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15E42FA8-1AA7-46A9-A686-84D0E563EACE}" xr6:coauthVersionLast="47" xr6:coauthVersionMax="47" xr10:uidLastSave="{00000000-0000-0000-0000-000000000000}"/>
  <bookViews>
    <workbookView xWindow="1170" yWindow="1170" windowWidth="27195" windowHeight="1419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risks" sheetId="87" r:id="rId11"/>
    <sheet name="Misc_calcs" sheetId="62" r:id="rId12"/>
    <sheet name="Data" sheetId="47" r:id="rId13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68" l="1"/>
  <c r="H8" i="87"/>
  <c r="E10" i="87"/>
  <c r="T33" i="68" l="1"/>
  <c r="U33" i="68"/>
  <c r="V33" i="68"/>
  <c r="H12" i="87"/>
  <c r="Y33" i="68" s="1"/>
  <c r="A2" i="87"/>
  <c r="A1" i="87"/>
  <c r="S33" i="68" l="1"/>
  <c r="R33" i="68"/>
  <c r="Q33" i="68"/>
  <c r="AA33" i="68"/>
  <c r="X33" i="68"/>
  <c r="W33" i="68"/>
  <c r="P33" i="68"/>
  <c r="O33" i="68"/>
  <c r="N33" i="68"/>
  <c r="AG33" i="68"/>
  <c r="M33" i="68"/>
  <c r="AF33" i="68"/>
  <c r="AE33" i="68"/>
  <c r="AD33" i="68"/>
  <c r="AC33" i="68"/>
  <c r="AB33" i="68"/>
  <c r="Z33" i="68"/>
  <c r="A40" i="86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38" i="33" l="1"/>
  <c r="E16" i="47"/>
  <c r="F9" i="47" l="1"/>
  <c r="C22" i="85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45" i="33"/>
  <c r="A6" i="85"/>
  <c r="A2" i="85"/>
  <c r="A1" i="85"/>
  <c r="C43" i="33" l="1"/>
  <c r="C41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J77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J77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46" i="33" s="1"/>
  <c r="F96" i="85"/>
  <c r="D98" i="85"/>
  <c r="F98" i="85"/>
  <c r="I47" i="33" s="1"/>
  <c r="E98" i="85"/>
  <c r="D96" i="85"/>
  <c r="E97" i="85"/>
  <c r="G98" i="85"/>
  <c r="J47" i="33" s="1"/>
  <c r="G96" i="85"/>
  <c r="E96" i="85"/>
  <c r="G97" i="85"/>
  <c r="J46" i="33" s="1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46" i="33" s="1"/>
  <c r="C98" i="85"/>
  <c r="F47" i="33" s="1"/>
  <c r="C97" i="85"/>
  <c r="F46" i="33" s="1"/>
  <c r="C96" i="85"/>
  <c r="F45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K77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K80" i="82" l="1"/>
  <c r="K82" i="82" s="1"/>
  <c r="K107" i="82" s="1"/>
  <c r="L77" i="82"/>
  <c r="J82" i="73"/>
  <c r="J107" i="73" s="1"/>
  <c r="J82" i="81"/>
  <c r="J107" i="81" s="1"/>
  <c r="L74" i="82" a="1"/>
  <c r="L74" i="82" s="1"/>
  <c r="L72" i="82" a="1"/>
  <c r="L72" i="82" s="1"/>
  <c r="M77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M77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N77" i="82" s="1"/>
  <c r="M73" i="82" a="1"/>
  <c r="M73" i="82" s="1"/>
  <c r="M72" i="73" a="1"/>
  <c r="M72" i="73" s="1"/>
  <c r="N77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O77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P77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Q77" i="73" s="1"/>
  <c r="P74" i="82" a="1"/>
  <c r="P74" i="82" s="1"/>
  <c r="P73" i="82" a="1"/>
  <c r="P73" i="82" s="1"/>
  <c r="P72" i="82" a="1"/>
  <c r="P72" i="82" s="1"/>
  <c r="Q77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Q73" i="82" a="1"/>
  <c r="Q73" i="82" s="1"/>
  <c r="Q72" i="82" a="1"/>
  <c r="Q72" i="82" s="1"/>
  <c r="R77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S77" i="82" s="1"/>
  <c r="R73" i="82" a="1"/>
  <c r="R73" i="82" s="1"/>
  <c r="R74" i="82" a="1"/>
  <c r="R74" i="82" s="1"/>
  <c r="R72" i="73" a="1"/>
  <c r="R72" i="73" s="1"/>
  <c r="S77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T77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U77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V77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W77" i="82" s="1"/>
  <c r="V73" i="82" a="1"/>
  <c r="V73" i="82" s="1"/>
  <c r="V74" i="82" a="1"/>
  <c r="V74" i="82" s="1"/>
  <c r="V73" i="73" a="1"/>
  <c r="V73" i="73" s="1"/>
  <c r="V72" i="73" a="1"/>
  <c r="V72" i="73" s="1"/>
  <c r="W77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X77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X77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Y77" i="82" s="1"/>
  <c r="X73" i="82" a="1"/>
  <c r="X73" i="82" s="1"/>
  <c r="X74" i="73" a="1"/>
  <c r="X74" i="73" s="1"/>
  <c r="X73" i="73" a="1"/>
  <c r="X73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Z77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Z77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AA77" i="82" s="1"/>
  <c r="Z73" i="82" a="1"/>
  <c r="Z73" i="82" s="1"/>
  <c r="Z74" i="82" a="1"/>
  <c r="Z74" i="82" s="1"/>
  <c r="Z74" i="73" a="1"/>
  <c r="Z74" i="73" s="1"/>
  <c r="Z72" i="73" a="1"/>
  <c r="Z72" i="73" s="1"/>
  <c r="AA77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AB77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7" i="82" s="1"/>
  <c r="AC72" i="82" a="1"/>
  <c r="AC72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C77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82" l="1"/>
  <c r="AC82" i="82" s="1"/>
  <c r="AC107" i="82" s="1"/>
  <c r="AD77" i="82"/>
  <c r="AC80" i="73"/>
  <c r="AD77" i="73"/>
  <c r="AC7" i="75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D80" i="73" l="1"/>
  <c r="AD82" i="73" s="1"/>
  <c r="AD107" i="73" s="1"/>
  <c r="AE77" i="73"/>
  <c r="AE80" i="68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E74" i="82" a="1"/>
  <c r="AE74" i="82" s="1"/>
  <c r="AE72" i="82" a="1"/>
  <c r="AE72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AF77" i="82" l="1"/>
  <c r="AD80" i="82"/>
  <c r="AD82" i="82" s="1"/>
  <c r="AD107" i="82" s="1"/>
  <c r="AE77" i="82"/>
  <c r="AE80" i="82" s="1"/>
  <c r="AE82" i="82" s="1"/>
  <c r="AE107" i="82" s="1"/>
  <c r="AE80" i="73"/>
  <c r="AF77" i="73"/>
  <c r="K9" i="85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AF80" i="82" l="1"/>
  <c r="AF82" i="82" s="1"/>
  <c r="AF107" i="82" s="1"/>
  <c r="AG77" i="82"/>
  <c r="AF80" i="73"/>
  <c r="AG77" i="73"/>
  <c r="L9" i="85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F80" i="81"/>
  <c r="K88" i="75"/>
  <c r="K97" i="75" s="1"/>
  <c r="L9" i="75"/>
  <c r="L5" i="75" s="1"/>
  <c r="L9" i="82"/>
  <c r="L9" i="81"/>
  <c r="M9" i="68"/>
  <c r="L9" i="73"/>
  <c r="L9" i="72"/>
  <c r="AG80" i="73" l="1"/>
  <c r="AG82" i="73" s="1"/>
  <c r="AG107" i="73" s="1"/>
  <c r="M9" i="85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G94" i="43" a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G94" i="4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39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H13" i="33" s="1"/>
  <c r="Q106" i="81"/>
  <c r="F66" i="75"/>
  <c r="G12" i="33" s="1"/>
  <c r="F38" i="75"/>
  <c r="G10" i="33" s="1"/>
  <c r="F51" i="75" l="1" a="1"/>
  <c r="F51" i="75" s="1"/>
  <c r="I11" i="33" s="1"/>
  <c r="F70" i="85"/>
  <c r="G90" i="85" s="1"/>
  <c r="F76" i="85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F94" i="85" s="1"/>
  <c r="I110" i="73" a="1"/>
  <c r="I110" i="73" s="1"/>
  <c r="I58" i="85" s="1"/>
  <c r="F58" i="85" s="1"/>
  <c r="F91" i="85" s="1"/>
  <c r="I112" i="73" a="1"/>
  <c r="I112" i="73" s="1"/>
  <c r="I60" i="85" s="1"/>
  <c r="F60" i="85" s="1"/>
  <c r="F93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F92" i="85" s="1"/>
  <c r="I56" i="85"/>
  <c r="F56" i="85" s="1"/>
  <c r="F90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G95" i="85" l="1"/>
  <c r="J44" i="33" s="1"/>
  <c r="F95" i="85"/>
  <c r="I44" i="33" s="1"/>
  <c r="F77" i="85"/>
  <c r="J45" i="33" s="1"/>
  <c r="I63" i="85"/>
  <c r="F63" i="85" s="1"/>
  <c r="I45" i="33" s="1"/>
  <c r="I64" i="85"/>
  <c r="F64" i="85" s="1"/>
  <c r="I65" i="85"/>
  <c r="F65" i="85" s="1"/>
  <c r="F79" i="85"/>
  <c r="F78" i="85"/>
  <c r="F73" i="85"/>
  <c r="G92" i="85" s="1"/>
  <c r="F72" i="85"/>
  <c r="G91" i="85" s="1"/>
  <c r="F75" i="85"/>
  <c r="G94" i="85" s="1"/>
  <c r="F74" i="85"/>
  <c r="G93" i="85" s="1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39" i="33" l="1"/>
  <c r="I39" i="33"/>
  <c r="J43" i="33"/>
  <c r="J41" i="33"/>
  <c r="J42" i="33"/>
  <c r="I41" i="33"/>
  <c r="I42" i="33"/>
  <c r="J40" i="33"/>
  <c r="I43" i="33"/>
  <c r="I40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44" i="33" s="1"/>
  <c r="U36" i="85"/>
  <c r="F22" i="85"/>
  <c r="J31" i="85"/>
  <c r="Q36" i="85"/>
  <c r="F51" i="85"/>
  <c r="F47" i="85"/>
  <c r="U32" i="85"/>
  <c r="F16" i="85"/>
  <c r="C91" i="85" s="1"/>
  <c r="F40" i="33" s="1"/>
  <c r="F49" i="85"/>
  <c r="J32" i="85"/>
  <c r="F46" i="85"/>
  <c r="F17" i="85"/>
  <c r="C92" i="85" s="1"/>
  <c r="F41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46" i="33"/>
  <c r="H45" i="33"/>
  <c r="H47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40" i="33" s="1"/>
  <c r="F45" i="85"/>
  <c r="F50" i="85"/>
  <c r="F48" i="85"/>
  <c r="E95" i="85" s="1"/>
  <c r="H44" i="33" s="1"/>
  <c r="E90" i="85"/>
  <c r="H39" i="33" s="1"/>
  <c r="E92" i="85"/>
  <c r="H41" i="33" s="1"/>
  <c r="E94" i="85"/>
  <c r="H43" i="33" s="1"/>
  <c r="E93" i="85"/>
  <c r="H42" i="33" s="1"/>
  <c r="C94" i="85"/>
  <c r="F43" i="33" s="1"/>
  <c r="C93" i="85"/>
  <c r="F42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39" i="33" s="1"/>
  <c r="G44" i="33"/>
  <c r="I95" i="85"/>
  <c r="K95" i="85" s="1"/>
  <c r="L44" i="33" s="1"/>
  <c r="I92" i="85"/>
  <c r="K92" i="85" s="1"/>
  <c r="L41" i="33" s="1"/>
  <c r="G41" i="33"/>
  <c r="G43" i="33"/>
  <c r="I94" i="85"/>
  <c r="K94" i="85" s="1"/>
  <c r="L43" i="33" s="1"/>
  <c r="G42" i="33"/>
  <c r="I93" i="85"/>
  <c r="K93" i="85" s="1"/>
  <c r="L42" i="33" s="1"/>
  <c r="F30" i="85"/>
  <c r="D91" i="85" s="1"/>
  <c r="I90" i="85" l="1"/>
  <c r="K90" i="85" s="1"/>
  <c r="L39" i="33" s="1"/>
  <c r="G40" i="33"/>
  <c r="I91" i="85"/>
  <c r="K91" i="85" s="1"/>
  <c r="L40" i="33" s="1"/>
  <c r="G47" i="33"/>
  <c r="I98" i="85"/>
  <c r="K98" i="85" s="1"/>
  <c r="L47" i="33" s="1"/>
  <c r="G45" i="33"/>
  <c r="I96" i="85"/>
  <c r="K96" i="85" s="1"/>
  <c r="L45" i="33" s="1"/>
  <c r="G46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<sst xmlns="http://schemas.openxmlformats.org/spreadsheetml/2006/main" count="751" uniqueCount="258">
  <si>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</si>
  <si>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</si>
  <si>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</si>
  <si>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</si>
  <si>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</si>
  <si>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</si>
  <si>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</si>
  <si>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</si>
  <si>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</si>
  <si>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</si>
  <si>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</si>
  <si>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</si>
  <si>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</si>
  <si>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</si>
  <si>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</si>
  <si>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</si>
  <si>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</si>
  <si>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</si>
  <si>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</si>
  <si>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</si>
  <si>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</si>
  <si>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</si>
  <si>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</si>
  <si>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</si>
  <si>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</si>
  <si>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</si>
  <si>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</si>
  <si>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</si>
  <si>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</si>
  <si>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</si>
  <si>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</si>
  <si>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</si>
  <si>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</si>
  <si>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</si>
  <si>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</si>
  <si>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</si>
  <si>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</si>
  <si>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</si>
  <si>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</si>
  <si>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</si>
  <si>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</si>
  <si>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</si>
  <si>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</si>
  <si>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</si>
  <si>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</si>
  <si>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</si>
  <si>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</si>
  <si>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</si>
  <si>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</si>
  <si>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</si>
  <si>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</si>
  <si>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</si>
  <si>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</si>
  <si>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</si>
  <si>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</si>
  <si>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</si>
  <si>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</si>
  <si>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</si>
  <si>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</si>
  <si>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</si>
  <si>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</si>
  <si>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</si>
  <si>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</si>
  <si>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</si>
  <si>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</si>
  <si>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</si>
  <si>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</si>
  <si>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</si>
  <si>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</si>
  <si>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</si>
  <si>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</si>
  <si>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</si>
  <si>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</si>
  <si>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</si>
  <si>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</si>
  <si>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</si>
  <si>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</si>
  <si>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</si>
  <si>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</si>
  <si>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</si>
  <si>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</si>
  <si>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</si>
  <si>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</si>
  <si>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</si>
  <si>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</si>
  <si>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</si>
  <si>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</si>
  <si>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</si>
  <si>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</si>
  <si>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</si>
  <si>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</si>
  <si>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</si>
  <si>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</si>
  <si>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</si>
  <si>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</si>
  <si>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</si>
  <si>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</si>
  <si>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</si>
  <si>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</si>
  <si>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</si>
  <si>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</si>
  <si>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</si>
  <si>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</si>
  <si>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</si>
  <si>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</si>
  <si>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</si>
  <si>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</si>
  <si>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</si>
  <si>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</si>
  <si>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</si>
  <si>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</si>
  <si>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</si>
  <si>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</si>
  <si>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</si>
  <si>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</si>
  <si>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</si>
  <si>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</si>
  <si>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</si>
  <si>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</si>
  <si>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</si>
  <si>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</si>
  <si>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</si>
  <si>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</si>
  <si>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</si>
  <si>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</si>
  <si>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</si>
  <si>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</si>
  <si>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</si>
  <si>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</si>
  <si>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</si>
  <si>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</si>
  <si>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</si>
  <si>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</si>
  <si>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</si>
  <si>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</si>
  <si>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</si>
  <si>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</si>
  <si>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</si>
  <si>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</si>
  <si>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</si>
  <si>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</si>
  <si>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</si>
  <si>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</si>
  <si>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</si>
  <si>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</si>
  <si>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</si>
  <si>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</si>
  <si>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</si>
  <si>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</si>
  <si>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</si>
  <si>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</si>
  <si>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</si>
  <si>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</si>
  <si>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</si>
  <si>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</si>
  <si>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</si>
  <si>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</si>
  <si>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</si>
  <si>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</si>
  <si>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</si>
  <si>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</si>
  <si>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</si>
  <si>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</si>
  <si>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</si>
  <si>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</si>
  <si>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</si>
  <si>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</si>
  <si>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</si>
  <si>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</si>
  <si>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</si>
  <si>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</si>
  <si>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</si>
  <si>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</si>
  <si>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</si>
  <si>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</si>
  <si>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</si>
  <si>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</si>
  <si>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</si>
  <si>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</si>
  <si>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</si>
  <si>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</si>
  <si>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</si>
  <si>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</si>
  <si>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</si>
  <si>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</si>
  <si>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</si>
  <si>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</si>
  <si>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</si>
  <si>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</si>
  <si>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</si>
  <si>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</si>
  <si>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</si>
  <si>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</si>
  <si>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</si>
  <si>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</si>
  <si>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</si>
  <si>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</si>
  <si>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</si>
  <si>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</si>
  <si>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</si>
  <si>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</si>
  <si>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</si>
  <si>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</si>
  <si>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</si>
  <si>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</si>
  <si>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</si>
  <si>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</si>
  <si>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</si>
  <si>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</si>
  <si>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</si>
  <si>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</si>
  <si>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</si>
  <si>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</si>
  <si>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</si>
  <si>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</si>
  <si>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</si>
  <si>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</si>
  <si>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</si>
  <si>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</si>
  <si>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</si>
  <si>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</si>
  <si>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</si>
  <si>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</si>
  <si>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</si>
  <si>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</si>
  <si>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</si>
  <si>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</si>
  <si>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</si>
  <si>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</si>
  <si>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</si>
  <si>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</si>
  <si>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</si>
  <si>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</si>
  <si>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</si>
  <si>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</si>
  <si>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</si>
  <si>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</si>
  <si>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</si>
  <si>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</si>
  <si>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</si>
  <si>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</si>
  <si>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</si>
  <si>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</si>
  <si>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REFCL mini grids</t>
  </si>
  <si>
    <t>New zone substation</t>
  </si>
  <si>
    <t>WORKINGS - RISKS</t>
  </si>
  <si>
    <t>REFCL civil penalty benefits</t>
  </si>
  <si>
    <t>Original penalty for non-compliance</t>
  </si>
  <si>
    <t>per year</t>
  </si>
  <si>
    <t>Ongoing compliance penalty</t>
  </si>
  <si>
    <t>$5,500 per day</t>
  </si>
  <si>
    <t>REFCL civil penalties</t>
  </si>
  <si>
    <t>REFCL mini grid</t>
  </si>
  <si>
    <t>REFCL TRG compliance</t>
  </si>
  <si>
    <t>New REFCL and feeder transfers</t>
  </si>
  <si>
    <t>Penalty per point:</t>
  </si>
  <si>
    <t>TRG</t>
  </si>
  <si>
    <t>Terang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</si>
</sst>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4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</cellStyleXfs>
  <cellXfs count="346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Font="1" applyAlignment="1">
      <alignment horizontal="left"/>
    </xf>
    <xf numFmtId="0" fontId="17" fillId="0" borderId="0" xfId="18" applyFont="1" applyAlignment="1">
      <alignment horizontal="right"/>
    </xf>
    <xf numFmtId="0" fontId="93" fillId="0" borderId="0" xfId="18" applyFont="1"/>
    <xf numFmtId="0" fontId="24" fillId="18" borderId="0" xfId="18" applyFont="1" applyFill="1" applyAlignment="1">
      <alignment vertical="center"/>
    </xf>
    <xf numFmtId="44" fontId="27" fillId="2" borderId="0" xfId="23" applyNumberFormat="1"/>
    <xf numFmtId="0" fontId="27" fillId="2" borderId="0" xfId="23" applyNumberFormat="1"/>
    <xf numFmtId="6" fontId="27" fillId="2" borderId="0" xfId="23" applyNumberFormat="1"/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9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9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29" sqref="A29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3</v>
      </c>
      <c r="D2" s="312"/>
      <c r="E2" s="312"/>
    </row>
    <row r="3" spans="1:19" ht="15.75" x14ac:dyDescent="0.25">
      <c r="A3" s="310"/>
      <c r="C3" s="313" t="s">
        <v>238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253</v>
      </c>
    </row>
    <row r="6" spans="1:19" x14ac:dyDescent="0.25">
      <c r="A6" s="310"/>
      <c r="C6" s="315" t="s">
        <v>239</v>
      </c>
      <c r="D6" s="328">
        <v>3.15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13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REFCL TRG compliance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187</v>
      </c>
      <c r="H7" s="152" t="s">
        <v>188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6" t="str">
        <f>INDEX(Assumptions!$E$14:$E$18, MATCH(C9, Assumptions!$C$14:$C$18,0))</f>
        <v>No change to existing practices</v>
      </c>
      <c r="E9" s="337"/>
      <c r="F9" s="337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8" t="str">
        <f>INDEX(Assumptions!$E$14:$E$18, MATCH(C10, Assumptions!$C$14:$C$18,0))</f>
        <v>REFCL mini grids</v>
      </c>
      <c r="E10" s="339"/>
      <c r="F10" s="339"/>
      <c r="G10" s="103">
        <f>IF(Data!$C10, "", INDEX(Consol!$F$15:$F$82, MATCH($C10&amp;G$7, Consol!$D$15:$D$82,0))/mill_conv)</f>
        <v>-4.0197188766640126</v>
      </c>
      <c r="H10" s="103">
        <f>IF(Data!$C10, "", INDEX(Consol!$F$15:$F$82, MATCH($C10&amp;H$7, Consol!$D$15:$D$82,0))/mill_conv)</f>
        <v>29.00551878327019</v>
      </c>
      <c r="I10" s="103">
        <f>IF(Data!$C10, "", INDEX(Consol!$F$15:$F$82, MATCH($C10&amp;I$7, Consol!$D$15:$D$82,0))/mill_conv)</f>
        <v>24.985799906606172</v>
      </c>
    </row>
    <row r="11" spans="1:13" s="7" customFormat="1" ht="12.75" x14ac:dyDescent="0.2">
      <c r="C11" s="91" t="str">
        <v>Option 3</v>
      </c>
      <c r="D11" s="338" t="str">
        <f>INDEX(Assumptions!$E$14:$E$18, MATCH(C11, Assumptions!$C$14:$C$18,0))</f>
        <v>New REFCL and feeder transfers</v>
      </c>
      <c r="E11" s="339"/>
      <c r="F11" s="339"/>
      <c r="G11" s="103">
        <f>IF(Data!$C11, "", INDEX(Consol!$F$15:$F$82, MATCH($C11&amp;G$7, Consol!$D$15:$D$82,0))/mill_conv)</f>
        <v>-2.8712277690457233</v>
      </c>
      <c r="H11" s="103">
        <f>IF(Data!$C11, "", INDEX(Consol!$F$15:$F$82, MATCH($C11&amp;H$7, Consol!$D$15:$D$82,0))/mill_conv)</f>
        <v>29.00551878327019</v>
      </c>
      <c r="I11" s="103">
        <f>IF(Data!$C11, "", INDEX(Consol!$F$15:$F$82, MATCH($C11&amp;I$7, Consol!$D$15:$D$82,0))/mill_conv)</f>
        <v>26.134291014224466</v>
      </c>
    </row>
    <row r="12" spans="1:13" s="7" customFormat="1" ht="12.75" x14ac:dyDescent="0.2">
      <c r="C12" s="91" t="str">
        <v>Option 4</v>
      </c>
      <c r="D12" s="338" t="str">
        <f>INDEX(Assumptions!$E$14:$E$18, MATCH(C12, Assumptions!$C$14:$C$18,0))</f>
        <v>New zone substation</v>
      </c>
      <c r="E12" s="339"/>
      <c r="F12" s="339"/>
      <c r="G12" s="103">
        <f>IF(Data!$C12, "", INDEX(Consol!$F$15:$F$82, MATCH($C12&amp;G$7, Consol!$D$15:$D$82,0))/mill_conv)</f>
        <v>-32.721184832947955</v>
      </c>
      <c r="H12" s="103">
        <f>IF(Data!$C12, "", INDEX(Consol!$F$15:$F$82, MATCH($C12&amp;H$7, Consol!$D$15:$D$82,0))/mill_conv)</f>
        <v>29.00551878327019</v>
      </c>
      <c r="I12" s="103">
        <f>IF(Data!$C12, "", INDEX(Consol!$F$15:$F$82, MATCH($C12&amp;I$7, Consol!$D$15:$D$82,0))/mill_conv)</f>
        <v>-3.7156660496777651</v>
      </c>
    </row>
    <row r="13" spans="1:13" s="7" customFormat="1" ht="12.75" x14ac:dyDescent="0.2">
      <c r="C13" s="91" t="str">
        <v>Option 5</v>
      </c>
      <c r="D13" s="338">
        <f>INDEX(Assumptions!$E$14:$E$18, MATCH(C13, Assumptions!$C$14:$C$18,0))</f>
        <v>0</v>
      </c>
      <c r="E13" s="339"/>
      <c r="F13" s="339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3</v>
      </c>
      <c r="D18" s="335" t="str">
        <f>INDEX($D$9:$D$13,MATCH(G18, $I$9:$I$13,0))</f>
        <v>New REFCL and feeder transfers</v>
      </c>
      <c r="E18" s="335"/>
      <c r="F18" s="335"/>
      <c r="G18" s="104">
        <f>_xlfn.MAXIFS(I9:I13, IF(compliance, Data!$F$9:$F$13, Data!$C$9:$C$13),FALSE)</f>
        <v>26.134291014224466</v>
      </c>
      <c r="H18"/>
      <c r="I18" s="329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3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140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</v>
      </c>
      <c r="G30" s="105">
        <f>-INDEX(Consol!$I$15:$Q$82,MATCH($C$26&amp;$C30,Consol!$D$15:$D$82,0), MATCH(G$29, Consol!$I$9:$Q$9,0))/mill_conv</f>
        <v>0</v>
      </c>
      <c r="H30" s="105">
        <f>-INDEX(Consol!$I$15:$Q$82,MATCH($C$26&amp;$C30,Consol!$D$15:$D$82,0), MATCH(H$29, Consol!$I$9:$Q$9,0))/mill_conv</f>
        <v>5.5645632320829845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5.5645632320829845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3" s="8" customFormat="1" ht="12.75" x14ac:dyDescent="0.2"/>
    <row r="34" spans="1:13" s="8" customFormat="1" ht="12.75" x14ac:dyDescent="0.2"/>
    <row r="35" spans="1:13" s="8" customFormat="1" ht="15" x14ac:dyDescent="0.25">
      <c r="A35" s="19" t="s">
        <v>214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2.75" x14ac:dyDescent="0.2"/>
    <row r="37" spans="1:13" s="8" customFormat="1" ht="12.75" x14ac:dyDescent="0.2"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</row>
    <row r="38" spans="1:13" s="8" customFormat="1" ht="12.75" x14ac:dyDescent="0.2">
      <c r="C38" s="257" t="s">
        <v>218</v>
      </c>
      <c r="D38" s="185">
        <f>output_dollars</f>
        <v>46203</v>
      </c>
      <c r="E38" s="185"/>
      <c r="F38" s="258" t="str">
        <f>Sensitivity_calcs!C89</f>
        <v>Option 1 (base case)</v>
      </c>
      <c r="G38" s="258" t="str">
        <f>Sensitivity_calcs!D89</f>
        <v>Option 2</v>
      </c>
      <c r="H38" s="258" t="str">
        <f>Sensitivity_calcs!E89</f>
        <v>Option 3</v>
      </c>
      <c r="I38" s="258" t="str">
        <f>Sensitivity_calcs!F89</f>
        <v>Option 4</v>
      </c>
      <c r="J38" s="258" t="str">
        <f>Sensitivity_calcs!G89</f>
        <v>Option 5</v>
      </c>
      <c r="K38" s="262"/>
      <c r="L38" s="287" t="s">
        <v>216</v>
      </c>
      <c r="M38" s="262"/>
    </row>
    <row r="39" spans="1:13" s="8" customFormat="1" ht="12.75" x14ac:dyDescent="0.2">
      <c r="C39" s="285" t="str">
        <f>Sensitivity_calcs!B90</f>
        <v>None</v>
      </c>
      <c r="D39" s="265"/>
      <c r="E39" s="265"/>
      <c r="F39" s="286" t="str">
        <f>Sensitivity_calcs!C90</f>
        <v/>
      </c>
      <c r="G39" s="286">
        <f>Sensitivity_calcs!D90</f>
        <v>24.985799906606175</v>
      </c>
      <c r="H39" s="286">
        <f>Sensitivity_calcs!E90</f>
        <v>26.134291014224466</v>
      </c>
      <c r="I39" s="286">
        <f>Sensitivity_calcs!F90</f>
        <v>-3.7156660496777629</v>
      </c>
      <c r="J39" s="286" t="str">
        <f>Sensitivity_calcs!G90</f>
        <v/>
      </c>
      <c r="K39" s="256"/>
      <c r="L39" s="288" t="str">
        <f>Sensitivity_calcs!K90</f>
        <v>Option 3</v>
      </c>
      <c r="M39" s="256"/>
    </row>
    <row r="40" spans="1:13" s="8" customFormat="1" ht="12.75" x14ac:dyDescent="0.2">
      <c r="C40" s="264" t="str">
        <f>Sensitivity_calcs!B91</f>
        <v>Capex 10% higher</v>
      </c>
      <c r="D40" s="264"/>
      <c r="E40" s="264"/>
      <c r="F40" s="278" t="str">
        <f>Sensitivity_calcs!C91</f>
        <v/>
      </c>
      <c r="G40" s="273">
        <f>Sensitivity_calcs!D91</f>
        <v>24.58382801893978</v>
      </c>
      <c r="H40" s="273">
        <f>Sensitivity_calcs!E91</f>
        <v>25.847168237319902</v>
      </c>
      <c r="I40" s="273">
        <f>Sensitivity_calcs!F91</f>
        <v>-6.987784532972559</v>
      </c>
      <c r="J40" s="273" t="str">
        <f>Sensitivity_calcs!G91</f>
        <v/>
      </c>
      <c r="K40" s="256"/>
      <c r="L40" s="281" t="str">
        <f>Sensitivity_calcs!K91</f>
        <v>Option 3</v>
      </c>
      <c r="M40" s="256"/>
    </row>
    <row r="41" spans="1:13" s="8" customFormat="1" ht="12.75" x14ac:dyDescent="0.2">
      <c r="C41" s="264" t="str">
        <f>Sensitivity_calcs!B92</f>
        <v>Capex 10% lower</v>
      </c>
      <c r="D41" s="264"/>
      <c r="E41" s="264"/>
      <c r="F41" s="279" t="str">
        <f>Sensitivity_calcs!C92</f>
        <v/>
      </c>
      <c r="G41" s="274">
        <f>Sensitivity_calcs!D92</f>
        <v>25.387771794272584</v>
      </c>
      <c r="H41" s="274">
        <f>Sensitivity_calcs!E92</f>
        <v>26.421413791129041</v>
      </c>
      <c r="I41" s="274">
        <f>Sensitivity_calcs!F92</f>
        <v>-0.4435475663829675</v>
      </c>
      <c r="J41" s="274" t="str">
        <f>Sensitivity_calcs!G92</f>
        <v/>
      </c>
      <c r="K41" s="256"/>
      <c r="L41" s="281" t="str">
        <f>Sensitivity_calcs!K92</f>
        <v>Option 3</v>
      </c>
      <c r="M41" s="256"/>
    </row>
    <row r="42" spans="1:13" s="8" customFormat="1" ht="12.75" x14ac:dyDescent="0.2">
      <c r="C42" s="264" t="str">
        <f>Sensitivity_calcs!B93</f>
        <v>Total benefits 10% higher</v>
      </c>
      <c r="D42" s="264"/>
      <c r="E42" s="264"/>
      <c r="F42" s="279" t="str">
        <f>Sensitivity_calcs!C93</f>
        <v/>
      </c>
      <c r="G42" s="274">
        <f>Sensitivity_calcs!D93</f>
        <v>27.886351784933201</v>
      </c>
      <c r="H42" s="274">
        <f>Sensitivity_calcs!E93</f>
        <v>29.034842892551485</v>
      </c>
      <c r="I42" s="274">
        <f>Sensitivity_calcs!F93</f>
        <v>-0.8151141713507436</v>
      </c>
      <c r="J42" s="274" t="str">
        <f>Sensitivity_calcs!G93</f>
        <v/>
      </c>
      <c r="K42" s="256"/>
      <c r="L42" s="281" t="str">
        <f>Sensitivity_calcs!K93</f>
        <v>Option 3</v>
      </c>
      <c r="M42" s="256"/>
    </row>
    <row r="43" spans="1:13" s="8" customFormat="1" ht="12.75" x14ac:dyDescent="0.2">
      <c r="C43" s="264" t="str">
        <f>Sensitivity_calcs!B94</f>
        <v>Total benefits 10% lower</v>
      </c>
      <c r="D43" s="264"/>
      <c r="E43" s="264"/>
      <c r="F43" s="279" t="str">
        <f>Sensitivity_calcs!C94</f>
        <v/>
      </c>
      <c r="G43" s="274">
        <f>Sensitivity_calcs!D94</f>
        <v>22.08524802827916</v>
      </c>
      <c r="H43" s="274">
        <f>Sensitivity_calcs!E94</f>
        <v>23.233739135897451</v>
      </c>
      <c r="I43" s="274">
        <f>Sensitivity_calcs!F94</f>
        <v>-6.616217928004783</v>
      </c>
      <c r="J43" s="274" t="str">
        <f>Sensitivity_calcs!G94</f>
        <v/>
      </c>
      <c r="K43" s="256"/>
      <c r="L43" s="281" t="str">
        <f>Sensitivity_calcs!K94</f>
        <v>Option 3</v>
      </c>
      <c r="M43" s="256"/>
    </row>
    <row r="44" spans="1:13" s="8" customFormat="1" ht="12.75" x14ac:dyDescent="0.2">
      <c r="C44" s="264" t="str">
        <f>Sensitivity_calcs!B95</f>
        <v>Capex 10% higher &amp; Total benefits 10% lower</v>
      </c>
      <c r="D44" s="264"/>
      <c r="E44" s="264"/>
      <c r="F44" s="279" t="str">
        <f>Sensitivity_calcs!C95</f>
        <v/>
      </c>
      <c r="G44" s="274">
        <f>Sensitivity_calcs!D95</f>
        <v>21.683276140612758</v>
      </c>
      <c r="H44" s="274">
        <f>Sensitivity_calcs!E95</f>
        <v>22.94661635899287</v>
      </c>
      <c r="I44" s="274">
        <f>Sensitivity_calcs!F95</f>
        <v>-9.8883364112995782</v>
      </c>
      <c r="J44" s="274" t="str">
        <f>Sensitivity_calcs!G95</f>
        <v/>
      </c>
      <c r="K44" s="256"/>
      <c r="L44" s="281" t="str">
        <f>Sensitivity_calcs!K95</f>
        <v>Option 3</v>
      </c>
      <c r="M44" s="256"/>
    </row>
    <row r="45" spans="1:13" s="8" customFormat="1" ht="12.75" x14ac:dyDescent="0.2">
      <c r="C45" s="264">
        <f>Sensitivity_calcs!B96</f>
        <v>0</v>
      </c>
      <c r="D45" s="264"/>
      <c r="E45" s="264"/>
      <c r="F45" s="279" t="str">
        <f>Sensitivity_calcs!C96</f>
        <v/>
      </c>
      <c r="G45" s="274" t="str">
        <f>Sensitivity_calcs!D96</f>
        <v/>
      </c>
      <c r="H45" s="274" t="str">
        <f>Sensitivity_calcs!E96</f>
        <v/>
      </c>
      <c r="I45" s="274" t="str">
        <f>Sensitivity_calcs!F96</f>
        <v/>
      </c>
      <c r="J45" s="274" t="str">
        <f>Sensitivity_calcs!G96</f>
        <v/>
      </c>
      <c r="K45" s="256"/>
      <c r="L45" s="281" t="str">
        <f>Sensitivity_calcs!K96</f>
        <v/>
      </c>
      <c r="M45" s="256"/>
    </row>
    <row r="46" spans="1:13" s="8" customFormat="1" ht="12.75" x14ac:dyDescent="0.2">
      <c r="C46" s="264">
        <f>Sensitivity_calcs!B97</f>
        <v>0</v>
      </c>
      <c r="D46" s="259"/>
      <c r="E46" s="259"/>
      <c r="F46" s="279" t="str">
        <f>Sensitivity_calcs!C97</f>
        <v/>
      </c>
      <c r="G46" s="274" t="str">
        <f>Sensitivity_calcs!D97</f>
        <v/>
      </c>
      <c r="H46" s="274" t="str">
        <f>Sensitivity_calcs!E97</f>
        <v/>
      </c>
      <c r="I46" s="274" t="str">
        <f>Sensitivity_calcs!F97</f>
        <v/>
      </c>
      <c r="J46" s="274" t="str">
        <f>Sensitivity_calcs!G97</f>
        <v/>
      </c>
      <c r="K46" s="266">
        <f>IF(C46=0,0, INDEX($F$38:$J$38, MATCH(MAX($F46:$I46),$F46:$I46,0)))</f>
        <v>0</v>
      </c>
      <c r="L46" s="281" t="str">
        <f>Sensitivity_calcs!K97</f>
        <v/>
      </c>
    </row>
    <row r="47" spans="1:13" s="8" customFormat="1" ht="12.75" x14ac:dyDescent="0.2">
      <c r="D47" s="264">
        <f>Sensitivity_calcs!B98</f>
        <v>0</v>
      </c>
      <c r="E47" s="264"/>
      <c r="F47" s="279" t="str">
        <f>Sensitivity_calcs!C98</f>
        <v/>
      </c>
      <c r="G47" s="274" t="str">
        <f>Sensitivity_calcs!D98</f>
        <v/>
      </c>
      <c r="H47" s="274" t="str">
        <f>Sensitivity_calcs!E98</f>
        <v/>
      </c>
      <c r="I47" s="274" t="str">
        <f>Sensitivity_calcs!F98</f>
        <v/>
      </c>
      <c r="J47" s="274" t="str">
        <f>Sensitivity_calcs!G98</f>
        <v/>
      </c>
      <c r="K47" s="256"/>
      <c r="L47" s="281" t="str">
        <f>Sensitivity_calcs!K98</f>
        <v/>
      </c>
      <c r="M47" s="256"/>
    </row>
    <row r="48" spans="1:13" s="8" customFormat="1" ht="12.75" x14ac:dyDescent="0.2">
      <c r="D48" s="264">
        <f>Sensitivity_calcs!B99</f>
        <v>0</v>
      </c>
      <c r="E48" s="264"/>
      <c r="F48" s="280"/>
      <c r="G48" s="105"/>
      <c r="H48" s="105"/>
      <c r="I48" s="105"/>
      <c r="J48" s="105"/>
      <c r="K48" s="256"/>
      <c r="L48" s="256"/>
    </row>
    <row r="49" spans="4:10" s="8" customFormat="1" ht="12.75" x14ac:dyDescent="0.2">
      <c r="F49" s="263"/>
      <c r="G49" s="105"/>
      <c r="H49" s="105"/>
      <c r="I49" s="105"/>
      <c r="J49" s="105"/>
    </row>
    <row r="50" spans="4:10" s="8" customFormat="1" ht="12.75" x14ac:dyDescent="0.2">
      <c r="F50" s="263"/>
      <c r="G50" s="263"/>
      <c r="H50" s="263"/>
      <c r="I50" s="263"/>
    </row>
    <row r="51" spans="4:10" s="8" customFormat="1" ht="12.75" x14ac:dyDescent="0.2"/>
    <row r="52" spans="4:10" s="8" customFormat="1" ht="12.75" x14ac:dyDescent="0.2"/>
    <row r="53" spans="4:10" s="8" customFormat="1" ht="12.75" x14ac:dyDescent="0.2">
      <c r="D53" s="244"/>
      <c r="E53" s="244"/>
      <c r="F53" s="244"/>
    </row>
    <row r="54" spans="4:10" s="8" customFormat="1" ht="12.75" x14ac:dyDescent="0.2">
      <c r="D54" s="244"/>
      <c r="E54" s="244"/>
      <c r="F54" s="244"/>
    </row>
    <row r="55" spans="4:10" s="8" customFormat="1" ht="12.75" hidden="1" x14ac:dyDescent="0.2">
      <c r="D55" s="244"/>
      <c r="E55" s="244"/>
      <c r="F55" s="244"/>
    </row>
    <row r="56" spans="4:10" s="8" customFormat="1" ht="12.75" hidden="1" x14ac:dyDescent="0.2"/>
    <row r="57" spans="4:10" s="8" customFormat="1" ht="12.75" hidden="1" x14ac:dyDescent="0.2"/>
    <row r="58" spans="4:10" s="8" customFormat="1" ht="12.75" hidden="1" x14ac:dyDescent="0.2"/>
    <row r="59" spans="4:10" s="8" customFormat="1" ht="12.75" hidden="1" x14ac:dyDescent="0.2"/>
    <row r="60" spans="4:10" s="8" customFormat="1" ht="12.75" hidden="1" x14ac:dyDescent="0.2"/>
    <row r="61" spans="4:10" s="8" customFormat="1" ht="12.75" hidden="1" x14ac:dyDescent="0.2"/>
    <row r="62" spans="4:10" s="8" customFormat="1" ht="12.75" hidden="1" x14ac:dyDescent="0.2"/>
    <row r="63" spans="4:10" s="8" customFormat="1" ht="12.75" hidden="1" x14ac:dyDescent="0.2"/>
    <row r="64" spans="4:10" s="8" customFormat="1" ht="12.75" hidden="1" x14ac:dyDescent="0.2"/>
    <row r="65" s="8" customFormat="1" ht="12.75" hidden="1" x14ac:dyDescent="0.2"/>
    <row r="66" s="8" customFormat="1" ht="12.75" hidden="1" x14ac:dyDescent="0.2"/>
    <row r="67" s="8" customFormat="1" ht="12.75" hidden="1" x14ac:dyDescent="0.2"/>
    <row r="68" s="8" customFormat="1" ht="12.75" hidden="1" x14ac:dyDescent="0.2"/>
    <row r="69" s="8" customFormat="1" ht="12.75" hidden="1" x14ac:dyDescent="0.2"/>
    <row r="70" s="8" customFormat="1" ht="12.75" hidden="1" x14ac:dyDescent="0.2"/>
    <row r="71" s="8" customFormat="1" ht="12.75" hidden="1" x14ac:dyDescent="0.2"/>
    <row r="72" s="8" customFormat="1" ht="12.75" hidden="1" x14ac:dyDescent="0.2"/>
    <row r="73" s="8" customFormat="1" ht="12.75" hidden="1" x14ac:dyDescent="0.2"/>
    <row r="74" s="8" customFormat="1" ht="12.75" hidden="1" x14ac:dyDescent="0.2"/>
    <row r="75" s="8" customFormat="1" ht="12.75" hidden="1" x14ac:dyDescent="0.2"/>
    <row r="76" s="8" customFormat="1" ht="12.75" hidden="1" x14ac:dyDescent="0.2"/>
    <row r="77" s="8" customFormat="1" ht="12.75" hidden="1" x14ac:dyDescent="0.2"/>
    <row r="78" s="8" customFormat="1" ht="12.75" hidden="1" x14ac:dyDescent="0.2"/>
    <row r="79" s="8" customFormat="1" ht="12.75" hidden="1" x14ac:dyDescent="0.2"/>
    <row r="80" s="8" customFormat="1" ht="12.75" hidden="1" x14ac:dyDescent="0.2"/>
    <row r="81" s="8" customFormat="1" ht="12.75" hidden="1" x14ac:dyDescent="0.2"/>
    <row r="82" s="8" customFormat="1" ht="12.75" hidden="1" x14ac:dyDescent="0.2"/>
    <row r="83" s="8" customFormat="1" ht="12.75" hidden="1" x14ac:dyDescent="0.2"/>
    <row r="84" s="8" customFormat="1" ht="12.75" hidden="1" x14ac:dyDescent="0.2"/>
    <row r="85" s="8" customFormat="1" ht="12.75" hidden="1" x14ac:dyDescent="0.2"/>
    <row r="86" s="8" customFormat="1" ht="12.75" hidden="1" x14ac:dyDescent="0.2"/>
    <row r="87" s="8" customFormat="1" ht="12.75" hidden="1" x14ac:dyDescent="0.2"/>
    <row r="88" s="8" customFormat="1" ht="12.75" hidden="1" x14ac:dyDescent="0.2"/>
    <row r="89" s="8" customFormat="1" ht="12.75" hidden="1" x14ac:dyDescent="0.2"/>
    <row r="90" s="8" customFormat="1" ht="12.75" hidden="1" x14ac:dyDescent="0.2"/>
    <row r="91" s="8" customFormat="1" ht="12.75" hidden="1" x14ac:dyDescent="0.2"/>
    <row r="92" s="8" customFormat="1" ht="12.75" hidden="1" x14ac:dyDescent="0.2"/>
    <row r="93" s="8" customFormat="1" ht="12.75" hidden="1" x14ac:dyDescent="0.2"/>
    <row r="94" s="8" customFormat="1" ht="12.75" hidden="1" x14ac:dyDescent="0.2"/>
    <row r="95" s="8" customFormat="1" ht="12.75" hidden="1" x14ac:dyDescent="0.2"/>
    <row r="9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REFCL TRG compliance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43" t="s">
        <v>253</v>
      </c>
      <c r="F8" s="343"/>
      <c r="G8" s="343"/>
      <c r="H8" s="343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44" t="s">
        <v>58</v>
      </c>
      <c r="F14" s="344"/>
      <c r="G14" s="344"/>
      <c r="H14" s="344"/>
      <c r="I14" s="344"/>
      <c r="J14" s="344"/>
      <c r="K14" s="344"/>
      <c r="L14"/>
    </row>
    <row r="15" spans="1:16" s="1" customFormat="1" ht="12.75" customHeight="1" x14ac:dyDescent="0.2">
      <c r="C15" s="61" t="str">
        <v>Option 2</v>
      </c>
      <c r="D15" s="61"/>
      <c r="E15" s="345" t="s">
        <v>243</v>
      </c>
      <c r="F15" s="345"/>
      <c r="G15" s="345"/>
      <c r="H15" s="345"/>
      <c r="I15" s="345"/>
      <c r="J15" s="345"/>
      <c r="K15" s="345"/>
      <c r="L15"/>
    </row>
    <row r="16" spans="1:16" s="1" customFormat="1" ht="12.75" customHeight="1" x14ac:dyDescent="0.2">
      <c r="C16" s="61" t="str">
        <v>Option 3</v>
      </c>
      <c r="D16" s="61"/>
      <c r="E16" s="345" t="s">
        <v>254</v>
      </c>
      <c r="F16" s="345"/>
      <c r="G16" s="345"/>
      <c r="H16" s="345"/>
      <c r="I16" s="345"/>
      <c r="J16" s="345"/>
      <c r="K16" s="345"/>
      <c r="L16"/>
    </row>
    <row r="17" spans="1:16" s="1" customFormat="1" ht="12.75" customHeight="1" x14ac:dyDescent="0.2">
      <c r="C17" s="61" t="str">
        <v>Option 4</v>
      </c>
      <c r="D17" s="61"/>
      <c r="E17" s="345" t="s">
        <v>244</v>
      </c>
      <c r="F17" s="345"/>
      <c r="G17" s="345"/>
      <c r="H17" s="345"/>
      <c r="I17" s="345"/>
      <c r="J17" s="345"/>
      <c r="K17" s="345"/>
      <c r="L17"/>
    </row>
    <row r="18" spans="1:16" s="1" customFormat="1" ht="12.75" customHeight="1" x14ac:dyDescent="0.2">
      <c r="C18" s="61" t="str">
        <v>Option 5</v>
      </c>
      <c r="D18" s="61"/>
      <c r="E18" s="345"/>
      <c r="F18" s="345"/>
      <c r="G18" s="345"/>
      <c r="H18" s="345"/>
      <c r="I18" s="345"/>
      <c r="J18" s="345"/>
      <c r="K18" s="345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221</v>
      </c>
      <c r="D20"/>
      <c r="E20" s="291" t="s">
        <v>223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234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180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181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194</v>
      </c>
      <c r="G31" s="304">
        <v>20</v>
      </c>
      <c r="H31" s="68" t="s">
        <v>195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236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241</v>
      </c>
      <c r="D41" s="240" t="s">
        <v>242</v>
      </c>
      <c r="E41" s="324" t="s">
        <v>256</v>
      </c>
      <c r="F41" s="325"/>
      <c r="G41" s="326" t="s">
        <v>257</v>
      </c>
      <c r="H41" s="131">
        <v>45911.033992475495</v>
      </c>
      <c r="I41" s="327" t="s">
        <v>213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148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147</v>
      </c>
      <c r="G50" s="306">
        <v>5400000</v>
      </c>
      <c r="H50" s="69">
        <v>45107</v>
      </c>
    </row>
    <row r="52" spans="3:8" x14ac:dyDescent="0.2">
      <c r="C52" s="8" t="s">
        <v>163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179</v>
      </c>
      <c r="D69" s="59"/>
      <c r="E69" s="59"/>
      <c r="F69" s="59"/>
      <c r="G69" s="157" t="s">
        <v>68</v>
      </c>
      <c r="H69" s="157" t="s">
        <v>164</v>
      </c>
      <c r="I69" s="157" t="s">
        <v>178</v>
      </c>
      <c r="J69" s="156" t="s">
        <v>182</v>
      </c>
      <c r="K69" s="157"/>
      <c r="L69" s="157"/>
      <c r="M69" s="157"/>
    </row>
    <row r="70" spans="2:16" x14ac:dyDescent="0.2">
      <c r="C70" s="8" t="s">
        <v>165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40">
        <v>0</v>
      </c>
      <c r="K70" s="341"/>
      <c r="L70" s="341"/>
      <c r="M70" s="342"/>
    </row>
    <row r="71" spans="2:16" x14ac:dyDescent="0.2">
      <c r="C71" s="8" t="s">
        <v>166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40">
        <v>0</v>
      </c>
      <c r="K71" s="341"/>
      <c r="L71" s="341"/>
      <c r="M71" s="342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173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167</v>
      </c>
      <c r="G78" s="154">
        <v>0</v>
      </c>
      <c r="H78" s="69">
        <f>input_dollars</f>
        <v>45291</v>
      </c>
    </row>
    <row r="79" spans="2:16" x14ac:dyDescent="0.2">
      <c r="C79" s="8" t="s">
        <v>168</v>
      </c>
      <c r="G79" s="154">
        <v>0</v>
      </c>
      <c r="H79" s="69">
        <f>input_dollars</f>
        <v>45291</v>
      </c>
    </row>
    <row r="81" spans="1:16" x14ac:dyDescent="0.2">
      <c r="C81" s="8" t="s">
        <v>169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174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175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 cm="1">
        <f t="array" ref="G94:G101">INDEX(Data!$D$60:$F$67,,MATCH(bus,Data!$D$59:$F$59,0))</f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215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237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A33" sqref="A33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TRG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141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45911.033992475495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3">J27*$E$28</f>
        <v>0</v>
      </c>
      <c r="K28" s="119">
        <f t="shared" si="3"/>
        <v>0</v>
      </c>
      <c r="L28" s="119">
        <f t="shared" si="3"/>
        <v>0</v>
      </c>
      <c r="M28" s="119">
        <f t="shared" si="3"/>
        <v>0</v>
      </c>
      <c r="N28" s="119">
        <f t="shared" si="3"/>
        <v>0</v>
      </c>
      <c r="O28" s="119">
        <f t="shared" si="3"/>
        <v>0</v>
      </c>
      <c r="P28" s="119">
        <f t="shared" si="3"/>
        <v>0</v>
      </c>
      <c r="Q28" s="119">
        <f t="shared" si="3"/>
        <v>0</v>
      </c>
      <c r="R28" s="119">
        <f t="shared" si="3"/>
        <v>0</v>
      </c>
      <c r="S28" s="119">
        <f t="shared" si="3"/>
        <v>0</v>
      </c>
      <c r="T28" s="119">
        <f t="shared" si="3"/>
        <v>0</v>
      </c>
      <c r="U28" s="119">
        <f t="shared" si="3"/>
        <v>0</v>
      </c>
      <c r="V28" s="119">
        <f t="shared" si="3"/>
        <v>0</v>
      </c>
      <c r="W28" s="119">
        <f t="shared" si="3"/>
        <v>0</v>
      </c>
      <c r="X28" s="119">
        <f t="shared" si="3"/>
        <v>0</v>
      </c>
      <c r="Y28" s="119">
        <f t="shared" si="3"/>
        <v>0</v>
      </c>
      <c r="Z28" s="119">
        <f t="shared" si="3"/>
        <v>0</v>
      </c>
      <c r="AA28" s="119">
        <f t="shared" si="3"/>
        <v>0</v>
      </c>
      <c r="AB28" s="119">
        <f t="shared" si="3"/>
        <v>0</v>
      </c>
      <c r="AC28" s="119">
        <f t="shared" si="3"/>
        <v>0</v>
      </c>
      <c r="AD28" s="119">
        <f t="shared" si="3"/>
        <v>0</v>
      </c>
      <c r="AE28" s="119">
        <f t="shared" si="3"/>
        <v>0</v>
      </c>
      <c r="AF28" s="119">
        <f t="shared" si="3"/>
        <v>0</v>
      </c>
      <c r="AG28" s="119">
        <f t="shared" si="3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251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f>Workings_risks!$H$8</f>
        <v>4000000</v>
      </c>
      <c r="M33" s="32">
        <f>Workings_risks!$H$12</f>
        <v>2007500</v>
      </c>
      <c r="N33" s="32">
        <f>Workings_risks!$H$12</f>
        <v>2007500</v>
      </c>
      <c r="O33" s="32">
        <f>Workings_risks!$H$12</f>
        <v>2007500</v>
      </c>
      <c r="P33" s="32">
        <f>Workings_risks!$H$12</f>
        <v>2007500</v>
      </c>
      <c r="Q33" s="32">
        <f>Workings_risks!$H$12</f>
        <v>2007500</v>
      </c>
      <c r="R33" s="32">
        <f>Workings_risks!$H$12</f>
        <v>2007500</v>
      </c>
      <c r="S33" s="32">
        <f>Workings_risks!$H$12</f>
        <v>2007500</v>
      </c>
      <c r="T33" s="32">
        <f>Workings_risks!$H$12</f>
        <v>2007500</v>
      </c>
      <c r="U33" s="32">
        <f>Workings_risks!$H$12</f>
        <v>2007500</v>
      </c>
      <c r="V33" s="32">
        <f>Workings_risks!$H$12</f>
        <v>2007500</v>
      </c>
      <c r="W33" s="32">
        <f>Workings_risks!$H$12</f>
        <v>2007500</v>
      </c>
      <c r="X33" s="32">
        <f>Workings_risks!$H$12</f>
        <v>2007500</v>
      </c>
      <c r="Y33" s="32">
        <f>Workings_risks!$H$12</f>
        <v>2007500</v>
      </c>
      <c r="Z33" s="32">
        <f>Workings_risks!$H$12</f>
        <v>2007500</v>
      </c>
      <c r="AA33" s="32">
        <f>Workings_risks!$H$12</f>
        <v>2007500</v>
      </c>
      <c r="AB33" s="32">
        <f>Workings_risks!$H$12</f>
        <v>2007500</v>
      </c>
      <c r="AC33" s="32">
        <f>Workings_risks!$H$12</f>
        <v>2007500</v>
      </c>
      <c r="AD33" s="32">
        <f>Workings_risks!$H$12</f>
        <v>2007500</v>
      </c>
      <c r="AE33" s="32">
        <f>Workings_risks!$H$12</f>
        <v>2007500</v>
      </c>
      <c r="AF33" s="32">
        <f>Workings_risks!$H$12</f>
        <v>2007500</v>
      </c>
      <c r="AG33" s="32">
        <f>Workings_risks!$H$12</f>
        <v>2007500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06">
        <f>SUM(I28:I34)</f>
        <v>0</v>
      </c>
      <c r="J36" s="106">
        <f t="shared" ref="J36:AB36" si="4">SUM(J28:J34)</f>
        <v>0</v>
      </c>
      <c r="K36" s="106">
        <f t="shared" si="4"/>
        <v>0</v>
      </c>
      <c r="L36" s="106">
        <f t="shared" si="4"/>
        <v>4000000</v>
      </c>
      <c r="M36" s="106">
        <f t="shared" si="4"/>
        <v>2007500</v>
      </c>
      <c r="N36" s="106">
        <f t="shared" si="4"/>
        <v>2007500</v>
      </c>
      <c r="O36" s="106">
        <f t="shared" si="4"/>
        <v>2007500</v>
      </c>
      <c r="P36" s="106">
        <f t="shared" si="4"/>
        <v>2007500</v>
      </c>
      <c r="Q36" s="106">
        <f t="shared" si="4"/>
        <v>2007500</v>
      </c>
      <c r="R36" s="106">
        <f t="shared" si="4"/>
        <v>2007500</v>
      </c>
      <c r="S36" s="106">
        <f t="shared" si="4"/>
        <v>2007500</v>
      </c>
      <c r="T36" s="106">
        <f t="shared" si="4"/>
        <v>2007500</v>
      </c>
      <c r="U36" s="106">
        <f t="shared" si="4"/>
        <v>2007500</v>
      </c>
      <c r="V36" s="106">
        <f t="shared" si="4"/>
        <v>2007500</v>
      </c>
      <c r="W36" s="106">
        <f t="shared" si="4"/>
        <v>2007500</v>
      </c>
      <c r="X36" s="106">
        <f t="shared" si="4"/>
        <v>2007500</v>
      </c>
      <c r="Y36" s="106">
        <f t="shared" si="4"/>
        <v>2007500</v>
      </c>
      <c r="Z36" s="106">
        <f t="shared" si="4"/>
        <v>2007500</v>
      </c>
      <c r="AA36" s="106">
        <f t="shared" si="4"/>
        <v>2007500</v>
      </c>
      <c r="AB36" s="106">
        <f t="shared" si="4"/>
        <v>2007500</v>
      </c>
      <c r="AC36" s="106">
        <f>SUM(AC28:AC34)</f>
        <v>2007500</v>
      </c>
      <c r="AD36" s="106">
        <f>SUM(AD28:AD34)</f>
        <v>2007500</v>
      </c>
      <c r="AE36" s="106">
        <f>SUM(AE28:AE34)</f>
        <v>2007500</v>
      </c>
      <c r="AF36" s="106">
        <f>SUM(AF28:AF34)</f>
        <v>2007500</v>
      </c>
      <c r="AG36" s="106">
        <f>SUM(AG28:AG34)</f>
        <v>2007500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186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0</v>
      </c>
      <c r="J87" s="179">
        <f t="shared" si="18"/>
        <v>0</v>
      </c>
      <c r="K87" s="179">
        <f t="shared" si="18"/>
        <v>0</v>
      </c>
      <c r="L87" s="179">
        <f t="shared" si="18"/>
        <v>0</v>
      </c>
      <c r="M87" s="179">
        <f t="shared" si="18"/>
        <v>0</v>
      </c>
      <c r="N87" s="179">
        <f t="shared" si="18"/>
        <v>0</v>
      </c>
      <c r="O87" s="179">
        <f t="shared" si="18"/>
        <v>0</v>
      </c>
      <c r="P87" s="179">
        <f t="shared" si="18"/>
        <v>0</v>
      </c>
      <c r="Q87" s="179">
        <f t="shared" si="18"/>
        <v>0</v>
      </c>
      <c r="R87" s="179">
        <f t="shared" si="18"/>
        <v>0</v>
      </c>
      <c r="S87" s="179">
        <f t="shared" si="18"/>
        <v>0</v>
      </c>
      <c r="T87" s="179">
        <f t="shared" si="18"/>
        <v>0</v>
      </c>
      <c r="U87" s="179">
        <f t="shared" si="18"/>
        <v>0</v>
      </c>
      <c r="V87" s="179">
        <f t="shared" si="18"/>
        <v>0</v>
      </c>
      <c r="W87" s="179">
        <f t="shared" si="18"/>
        <v>0</v>
      </c>
      <c r="X87" s="179">
        <f t="shared" si="18"/>
        <v>0</v>
      </c>
      <c r="Y87" s="179">
        <f t="shared" si="18"/>
        <v>0</v>
      </c>
      <c r="Z87" s="179">
        <f t="shared" si="18"/>
        <v>0</v>
      </c>
      <c r="AA87" s="179">
        <f t="shared" si="18"/>
        <v>0</v>
      </c>
      <c r="AB87" s="179">
        <f t="shared" si="18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237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I14" sqref="I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TRG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REFCL mini grids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252</v>
      </c>
      <c r="D14"/>
      <c r="E14" s="148">
        <v>50</v>
      </c>
      <c r="G14" s="207">
        <f>input_dollars</f>
        <v>45291</v>
      </c>
      <c r="H14" s="149"/>
      <c r="I14" s="32">
        <v>0</v>
      </c>
      <c r="J14" s="32">
        <v>0</v>
      </c>
      <c r="K14" s="32">
        <v>7000000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7000000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45911.033992475495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2">
        <v>0</v>
      </c>
      <c r="S45" s="322">
        <v>0</v>
      </c>
      <c r="T45" s="322">
        <v>0</v>
      </c>
      <c r="U45" s="322">
        <v>0</v>
      </c>
      <c r="V45" s="322">
        <v>0</v>
      </c>
      <c r="W45" s="322">
        <v>0</v>
      </c>
      <c r="X45" s="322">
        <v>0</v>
      </c>
      <c r="Y45" s="322">
        <v>0</v>
      </c>
      <c r="Z45" s="322">
        <v>0</v>
      </c>
      <c r="AA45" s="322">
        <v>0</v>
      </c>
      <c r="AB45" s="322">
        <v>0</v>
      </c>
      <c r="AC45" s="322">
        <v>0</v>
      </c>
      <c r="AD45" s="322">
        <v>0</v>
      </c>
      <c r="AE45" s="322">
        <v>0</v>
      </c>
      <c r="AF45" s="322">
        <v>0</v>
      </c>
      <c r="AG45" s="32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22">
        <v>0</v>
      </c>
      <c r="Z46" s="322">
        <v>0</v>
      </c>
      <c r="AA46" s="322">
        <v>0</v>
      </c>
      <c r="AB46" s="322">
        <v>0</v>
      </c>
      <c r="AC46" s="322">
        <v>0</v>
      </c>
      <c r="AD46" s="322">
        <v>0</v>
      </c>
      <c r="AE46" s="322">
        <v>0</v>
      </c>
      <c r="AF46" s="322">
        <v>0</v>
      </c>
      <c r="AG46" s="322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88.357719508603083</v>
      </c>
      <c r="G47" s="207" t="s">
        <v>40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2">
        <v>0</v>
      </c>
      <c r="R47" s="322">
        <v>0</v>
      </c>
      <c r="S47" s="322">
        <v>0</v>
      </c>
      <c r="T47" s="322">
        <v>0</v>
      </c>
      <c r="U47" s="322">
        <v>0</v>
      </c>
      <c r="V47" s="322">
        <v>0</v>
      </c>
      <c r="W47" s="322">
        <v>0</v>
      </c>
      <c r="X47" s="322">
        <v>0</v>
      </c>
      <c r="Y47" s="322">
        <v>0</v>
      </c>
      <c r="Z47" s="322">
        <v>0</v>
      </c>
      <c r="AA47" s="322">
        <v>0</v>
      </c>
      <c r="AB47" s="322">
        <v>0</v>
      </c>
      <c r="AC47" s="322">
        <v>0</v>
      </c>
      <c r="AD47" s="322">
        <v>0</v>
      </c>
      <c r="AE47" s="322">
        <v>0</v>
      </c>
      <c r="AF47" s="322">
        <v>0</v>
      </c>
      <c r="AG47" s="32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322">
        <v>0</v>
      </c>
      <c r="O48" s="322">
        <v>0</v>
      </c>
      <c r="P48" s="322">
        <v>0</v>
      </c>
      <c r="Q48" s="322">
        <v>0</v>
      </c>
      <c r="R48" s="322">
        <v>0</v>
      </c>
      <c r="S48" s="322">
        <v>0</v>
      </c>
      <c r="T48" s="322">
        <v>0</v>
      </c>
      <c r="U48" s="322">
        <v>0</v>
      </c>
      <c r="V48" s="322">
        <v>0</v>
      </c>
      <c r="W48" s="322">
        <v>0</v>
      </c>
      <c r="X48" s="322">
        <v>0</v>
      </c>
      <c r="Y48" s="322">
        <v>0</v>
      </c>
      <c r="Z48" s="322">
        <v>0</v>
      </c>
      <c r="AA48" s="322">
        <v>0</v>
      </c>
      <c r="AB48" s="322">
        <v>0</v>
      </c>
      <c r="AC48" s="322">
        <v>0</v>
      </c>
      <c r="AD48" s="322">
        <v>0</v>
      </c>
      <c r="AE48" s="322">
        <v>0</v>
      </c>
      <c r="AF48" s="322">
        <v>0</v>
      </c>
      <c r="AG48" s="322">
        <v>0</v>
      </c>
    </row>
    <row r="49" spans="1:43" x14ac:dyDescent="0.2">
      <c r="C49" s="1" t="s">
        <v>9</v>
      </c>
      <c r="D49" s="205" t="s">
        <v>204</v>
      </c>
      <c r="E49" s="112">
        <f>Assumptions!G98</f>
        <v>0.35181336539087127</v>
      </c>
      <c r="G49" s="207" t="s">
        <v>205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22">
        <v>0</v>
      </c>
      <c r="Z49" s="322">
        <v>0</v>
      </c>
      <c r="AA49" s="322">
        <v>0</v>
      </c>
      <c r="AB49" s="322">
        <v>0</v>
      </c>
      <c r="AC49" s="322">
        <v>0</v>
      </c>
      <c r="AD49" s="322">
        <v>0</v>
      </c>
      <c r="AE49" s="322">
        <v>0</v>
      </c>
      <c r="AF49" s="322">
        <v>0</v>
      </c>
      <c r="AG49" s="322">
        <v>0</v>
      </c>
    </row>
    <row r="50" spans="1:43" x14ac:dyDescent="0.2">
      <c r="C50" s="1" t="s">
        <v>10</v>
      </c>
      <c r="D50" s="205" t="s">
        <v>204</v>
      </c>
      <c r="E50" s="112">
        <f>Assumptions!G99</f>
        <v>0.35181336539087127</v>
      </c>
      <c r="G50" s="207" t="s">
        <v>205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22">
        <v>0</v>
      </c>
      <c r="Z50" s="322">
        <v>0</v>
      </c>
      <c r="AA50" s="322">
        <v>0</v>
      </c>
      <c r="AB50" s="322">
        <v>0</v>
      </c>
      <c r="AC50" s="322">
        <v>0</v>
      </c>
      <c r="AD50" s="322">
        <v>0</v>
      </c>
      <c r="AE50" s="322">
        <v>0</v>
      </c>
      <c r="AF50" s="322">
        <v>0</v>
      </c>
      <c r="AG50" s="32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3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4000000</v>
      </c>
      <c r="M64" s="132">
        <f>(1-INDEX(Data!$C$9:$C$13, MATCH($A$3, options,0)))*('Option1 (base case)'!M36-M36)</f>
        <v>2007500</v>
      </c>
      <c r="N64" s="132">
        <f>(1-INDEX(Data!$C$9:$C$13, MATCH($A$3, options,0)))*('Option1 (base case)'!N36-N36)</f>
        <v>2007500</v>
      </c>
      <c r="O64" s="132">
        <f>(1-INDEX(Data!$C$9:$C$13, MATCH($A$3, options,0)))*('Option1 (base case)'!O36-O36)</f>
        <v>2007500</v>
      </c>
      <c r="P64" s="132">
        <f>(1-INDEX(Data!$C$9:$C$13, MATCH($A$3, options,0)))*('Option1 (base case)'!P36-P36)</f>
        <v>2007500</v>
      </c>
      <c r="Q64" s="132">
        <f>(1-INDEX(Data!$C$9:$C$13, MATCH($A$3, options,0)))*('Option1 (base case)'!Q36-Q36)</f>
        <v>2007500</v>
      </c>
      <c r="R64" s="132">
        <f>(1-INDEX(Data!$C$9:$C$13, MATCH($A$3, options,0)))*('Option1 (base case)'!R36-R36)</f>
        <v>2007500</v>
      </c>
      <c r="S64" s="132">
        <f>(1-INDEX(Data!$C$9:$C$13, MATCH($A$3, options,0)))*('Option1 (base case)'!S36-S36)</f>
        <v>2007500</v>
      </c>
      <c r="T64" s="132">
        <f>(1-INDEX(Data!$C$9:$C$13, MATCH($A$3, options,0)))*('Option1 (base case)'!T36-T36)</f>
        <v>2007500</v>
      </c>
      <c r="U64" s="132">
        <f>(1-INDEX(Data!$C$9:$C$13, MATCH($A$3, options,0)))*('Option1 (base case)'!U36-U36)</f>
        <v>2007500</v>
      </c>
      <c r="V64" s="132">
        <f>(1-INDEX(Data!$C$9:$C$13, MATCH($A$3, options,0)))*('Option1 (base case)'!V36-V36)</f>
        <v>2007500</v>
      </c>
      <c r="W64" s="132">
        <f>(1-INDEX(Data!$C$9:$C$13, MATCH($A$3, options,0)))*('Option1 (base case)'!W36-W36)</f>
        <v>2007500</v>
      </c>
      <c r="X64" s="132">
        <f>(1-INDEX(Data!$C$9:$C$13, MATCH($A$3, options,0)))*('Option1 (base case)'!X36-X36)</f>
        <v>2007500</v>
      </c>
      <c r="Y64" s="132">
        <f>(1-INDEX(Data!$C$9:$C$13, MATCH($A$3, options,0)))*('Option1 (base case)'!Y36-Y36)</f>
        <v>2007500</v>
      </c>
      <c r="Z64" s="132">
        <f>(1-INDEX(Data!$C$9:$C$13, MATCH($A$3, options,0)))*('Option1 (base case)'!Z36-Z36)</f>
        <v>2007500</v>
      </c>
      <c r="AA64" s="132">
        <f>(1-INDEX(Data!$C$9:$C$13, MATCH($A$3, options,0)))*('Option1 (base case)'!AA36-AA36)</f>
        <v>2007500</v>
      </c>
      <c r="AB64" s="132">
        <f>(1-INDEX(Data!$C$9:$C$13, MATCH($A$3, options,0)))*('Option1 (base case)'!AB36-AB36)</f>
        <v>2007500</v>
      </c>
      <c r="AC64" s="132">
        <f>(1-INDEX(Data!$C$9:$C$13, MATCH($A$3, options,0)))*('Option1 (base case)'!AC36-AC36)</f>
        <v>2007500</v>
      </c>
      <c r="AD64" s="132">
        <f>(1-INDEX(Data!$C$9:$C$13, MATCH($A$3, options,0)))*('Option1 (base case)'!AD36-AD36)</f>
        <v>2007500</v>
      </c>
      <c r="AE64" s="132">
        <f>(1-INDEX(Data!$C$9:$C$13, MATCH($A$3, options,0)))*('Option1 (base case)'!AE36-AE36)</f>
        <v>2007500</v>
      </c>
      <c r="AF64" s="132">
        <f>(1-INDEX(Data!$C$9:$C$13, MATCH($A$3, options,0)))*('Option1 (base case)'!AF36-AF36)</f>
        <v>2007500</v>
      </c>
      <c r="AG64" s="132">
        <f>(1-INDEX(Data!$C$9:$C$13, MATCH($A$3, options,0)))*('Option1 (base case)'!AG36-AG36)</f>
        <v>2007500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REFCL mini grid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-7000000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REFCL mini grid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-7000000</v>
      </c>
      <c r="L72" s="119" cm="1">
        <f t="array" ref="L72">SUMPRODUCT(($I67:L67))-SUMPRODUCT(($I67:L67)*($I$6:L$6&lt;=(L$6-$E14)))</f>
        <v>-7000000</v>
      </c>
      <c r="M72" s="119" cm="1">
        <f t="array" ref="M72">SUMPRODUCT(($I67:M67))-SUMPRODUCT(($I67:M67)*($I$6:M$6&lt;=(M$6-$E14)))</f>
        <v>-7000000</v>
      </c>
      <c r="N72" s="119" cm="1">
        <f t="array" ref="N72">SUMPRODUCT(($I67:N67))-SUMPRODUCT(($I67:N67)*($I$6:N$6&lt;=(N$6-$E14)))</f>
        <v>-7000000</v>
      </c>
      <c r="O72" s="119" cm="1">
        <f t="array" ref="O72">SUMPRODUCT(($I67:O67))-SUMPRODUCT(($I67:O67)*($I$6:O$6&lt;=(O$6-$E14)))</f>
        <v>-7000000</v>
      </c>
      <c r="P72" s="119" cm="1">
        <f t="array" ref="P72">SUMPRODUCT(($I67:P67))-SUMPRODUCT(($I67:P67)*($I$6:P$6&lt;=(P$6-$E14)))</f>
        <v>-7000000</v>
      </c>
      <c r="Q72" s="119" cm="1">
        <f t="array" ref="Q72">SUMPRODUCT(($I67:Q67))-SUMPRODUCT(($I67:Q67)*($I$6:Q$6&lt;=(Q$6-$E14)))</f>
        <v>-7000000</v>
      </c>
      <c r="R72" s="119" cm="1">
        <f t="array" ref="R72">SUMPRODUCT(($I67:R67))-SUMPRODUCT(($I67:R67)*($I$6:R$6&lt;=(R$6-$E14)))</f>
        <v>-7000000</v>
      </c>
      <c r="S72" s="119" cm="1">
        <f t="array" ref="S72">SUMPRODUCT(($I67:S67))-SUMPRODUCT(($I67:S67)*($I$6:S$6&lt;=(S$6-$E14)))</f>
        <v>-7000000</v>
      </c>
      <c r="T72" s="119" cm="1">
        <f t="array" ref="T72">SUMPRODUCT(($I67:T67))-SUMPRODUCT(($I67:T67)*($I$6:T$6&lt;=(T$6-$E14)))</f>
        <v>-7000000</v>
      </c>
      <c r="U72" s="119" cm="1">
        <f t="array" ref="U72">SUMPRODUCT(($I67:U67))-SUMPRODUCT(($I67:U67)*($I$6:U$6&lt;=(U$6-$E14)))</f>
        <v>-7000000</v>
      </c>
      <c r="V72" s="119" cm="1">
        <f t="array" ref="V72">SUMPRODUCT(($I67:V67))-SUMPRODUCT(($I67:V67)*($I$6:V$6&lt;=(V$6-$E14)))</f>
        <v>-7000000</v>
      </c>
      <c r="W72" s="119" cm="1">
        <f t="array" ref="W72">SUMPRODUCT(($I67:W67))-SUMPRODUCT(($I67:W67)*($I$6:W$6&lt;=(W$6-$E14)))</f>
        <v>-7000000</v>
      </c>
      <c r="X72" s="119" cm="1">
        <f t="array" ref="X72">SUMPRODUCT(($I67:X67))-SUMPRODUCT(($I67:X67)*($I$6:X$6&lt;=(X$6-$E14)))</f>
        <v>-7000000</v>
      </c>
      <c r="Y72" s="119" cm="1">
        <f t="array" ref="Y72">SUMPRODUCT(($I67:Y67))-SUMPRODUCT(($I67:Y67)*($I$6:Y$6&lt;=(Y$6-$E14)))</f>
        <v>-7000000</v>
      </c>
      <c r="Z72" s="119" cm="1">
        <f t="array" ref="Z72">SUMPRODUCT(($I67:Z67))-SUMPRODUCT(($I67:Z67)*($I$6:Z$6&lt;=(Z$6-$E14)))</f>
        <v>-7000000</v>
      </c>
      <c r="AA72" s="119" cm="1">
        <f t="array" ref="AA72">SUMPRODUCT(($I67:AA67))-SUMPRODUCT(($I67:AA67)*($I$6:AA$6&lt;=(AA$6-$E14)))</f>
        <v>-7000000</v>
      </c>
      <c r="AB72" s="119" cm="1">
        <f t="array" ref="AB72">SUMPRODUCT(($I67:AB67))-SUMPRODUCT(($I67:AB67)*($I$6:AB$6&lt;=(AB$6-$E14)))</f>
        <v>-7000000</v>
      </c>
      <c r="AC72" s="119" cm="1">
        <f t="array" ref="AC72">SUMPRODUCT(($I67:AC67))-SUMPRODUCT(($I67:AC67)*($I$6:AC$6&lt;=(AC$6-$E14)))</f>
        <v>-7000000</v>
      </c>
      <c r="AD72" s="119" cm="1">
        <f t="array" ref="AD72">SUMPRODUCT(($I67:AD67))-SUMPRODUCT(($I67:AD67)*($I$6:AD$6&lt;=(AD$6-$E14)))</f>
        <v>-7000000</v>
      </c>
      <c r="AE72" s="119" cm="1">
        <f t="array" ref="AE72">SUMPRODUCT(($I67:AE67))-SUMPRODUCT(($I67:AE67)*($I$6:AE$6&lt;=(AE$6-$E14)))</f>
        <v>-7000000</v>
      </c>
      <c r="AF72" s="119" cm="1">
        <f t="array" ref="AF72">SUMPRODUCT(($I67:AF67))-SUMPRODUCT(($I67:AF67)*($I$6:AF$6&lt;=(AF$6-$E14)))</f>
        <v>-7000000</v>
      </c>
      <c r="AG72" s="119" cm="1">
        <f t="array" ref="AG72">SUMPRODUCT(($I67:AG67))-SUMPRODUCT(($I67:AG67)*($I$6:AG$6&lt;=(AG$6-$E14)))</f>
        <v>-7000000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REFCL mini grid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-298435.96696583583</v>
      </c>
      <c r="M77" s="119">
        <f t="shared" si="8"/>
        <v>-298435.96696583583</v>
      </c>
      <c r="N77" s="119">
        <f t="shared" si="8"/>
        <v>-298435.96696583583</v>
      </c>
      <c r="O77" s="119">
        <f t="shared" si="8"/>
        <v>-298435.96696583583</v>
      </c>
      <c r="P77" s="119">
        <f t="shared" si="8"/>
        <v>-298435.96696583583</v>
      </c>
      <c r="Q77" s="119">
        <f t="shared" si="8"/>
        <v>-298435.96696583583</v>
      </c>
      <c r="R77" s="119">
        <f t="shared" si="8"/>
        <v>-298435.96696583583</v>
      </c>
      <c r="S77" s="119">
        <f t="shared" si="8"/>
        <v>-298435.96696583583</v>
      </c>
      <c r="T77" s="119">
        <f t="shared" si="8"/>
        <v>-298435.96696583583</v>
      </c>
      <c r="U77" s="119">
        <f t="shared" si="8"/>
        <v>-298435.96696583583</v>
      </c>
      <c r="V77" s="119">
        <f t="shared" si="8"/>
        <v>-298435.96696583583</v>
      </c>
      <c r="W77" s="119">
        <f t="shared" si="8"/>
        <v>-298435.96696583583</v>
      </c>
      <c r="X77" s="119">
        <f t="shared" si="8"/>
        <v>-298435.96696583583</v>
      </c>
      <c r="Y77" s="119">
        <f t="shared" si="8"/>
        <v>-298435.96696583583</v>
      </c>
      <c r="Z77" s="119">
        <f t="shared" si="8"/>
        <v>-298435.96696583583</v>
      </c>
      <c r="AA77" s="119">
        <f t="shared" si="8"/>
        <v>-298435.96696583583</v>
      </c>
      <c r="AB77" s="119">
        <f t="shared" si="8"/>
        <v>-298435.96696583583</v>
      </c>
      <c r="AC77" s="119">
        <f t="shared" si="8"/>
        <v>-298435.96696583583</v>
      </c>
      <c r="AD77" s="119">
        <f t="shared" si="8"/>
        <v>-298435.96696583583</v>
      </c>
      <c r="AE77" s="119">
        <f t="shared" si="8"/>
        <v>-298435.96696583583</v>
      </c>
      <c r="AF77" s="119">
        <f t="shared" si="8"/>
        <v>-298435.96696583583</v>
      </c>
      <c r="AG77" s="119">
        <f t="shared" si="8"/>
        <v>-298435.96696583583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-298435.96696583583</v>
      </c>
      <c r="M80" s="176">
        <f t="shared" si="11"/>
        <v>-298435.96696583583</v>
      </c>
      <c r="N80" s="176">
        <f t="shared" si="11"/>
        <v>-298435.96696583583</v>
      </c>
      <c r="O80" s="176">
        <f t="shared" si="11"/>
        <v>-298435.96696583583</v>
      </c>
      <c r="P80" s="176">
        <f t="shared" si="11"/>
        <v>-298435.96696583583</v>
      </c>
      <c r="Q80" s="176">
        <f t="shared" si="11"/>
        <v>-298435.96696583583</v>
      </c>
      <c r="R80" s="176">
        <f t="shared" si="11"/>
        <v>-298435.96696583583</v>
      </c>
      <c r="S80" s="176">
        <f t="shared" si="11"/>
        <v>-298435.96696583583</v>
      </c>
      <c r="T80" s="176">
        <f t="shared" si="11"/>
        <v>-298435.96696583583</v>
      </c>
      <c r="U80" s="176">
        <f t="shared" si="11"/>
        <v>-298435.96696583583</v>
      </c>
      <c r="V80" s="176">
        <f t="shared" si="11"/>
        <v>-298435.96696583583</v>
      </c>
      <c r="W80" s="176">
        <f t="shared" si="11"/>
        <v>-298435.96696583583</v>
      </c>
      <c r="X80" s="176">
        <f t="shared" si="11"/>
        <v>-298435.96696583583</v>
      </c>
      <c r="Y80" s="176">
        <f t="shared" si="11"/>
        <v>-298435.96696583583</v>
      </c>
      <c r="Z80" s="176">
        <f t="shared" si="11"/>
        <v>-298435.96696583583</v>
      </c>
      <c r="AA80" s="176">
        <f t="shared" si="11"/>
        <v>-298435.96696583583</v>
      </c>
      <c r="AB80" s="176">
        <f t="shared" si="11"/>
        <v>-298435.96696583583</v>
      </c>
      <c r="AC80" s="176">
        <f>SUM(AC77:AC79)</f>
        <v>-298435.96696583583</v>
      </c>
      <c r="AD80" s="176">
        <f>SUM(AD77:AD79)</f>
        <v>-298435.96696583583</v>
      </c>
      <c r="AE80" s="176">
        <f>SUM(AE77:AE79)</f>
        <v>-298435.96696583583</v>
      </c>
      <c r="AF80" s="176">
        <f>SUM(AF77:AF79)</f>
        <v>-298435.96696583583</v>
      </c>
      <c r="AG80" s="176">
        <f>SUM(AG77:AG79)</f>
        <v>-298435.96696583583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-298435.96696583583</v>
      </c>
      <c r="M82" s="119">
        <f t="shared" si="13"/>
        <v>-298435.96696583583</v>
      </c>
      <c r="N82" s="119">
        <f t="shared" si="13"/>
        <v>-298435.96696583583</v>
      </c>
      <c r="O82" s="119">
        <f t="shared" si="13"/>
        <v>-298435.96696583583</v>
      </c>
      <c r="P82" s="119">
        <f t="shared" si="13"/>
        <v>-298435.96696583583</v>
      </c>
      <c r="Q82" s="119">
        <f t="shared" si="13"/>
        <v>-298435.96696583583</v>
      </c>
      <c r="R82" s="119">
        <f t="shared" si="13"/>
        <v>-298435.96696583583</v>
      </c>
      <c r="S82" s="119">
        <f t="shared" si="13"/>
        <v>-298435.96696583583</v>
      </c>
      <c r="T82" s="119">
        <f t="shared" si="13"/>
        <v>-298435.96696583583</v>
      </c>
      <c r="U82" s="119">
        <f t="shared" si="13"/>
        <v>-298435.96696583583</v>
      </c>
      <c r="V82" s="119">
        <f t="shared" si="13"/>
        <v>-298435.96696583583</v>
      </c>
      <c r="W82" s="119">
        <f t="shared" si="13"/>
        <v>-298435.96696583583</v>
      </c>
      <c r="X82" s="119">
        <f t="shared" si="13"/>
        <v>-298435.96696583583</v>
      </c>
      <c r="Y82" s="119">
        <f t="shared" si="13"/>
        <v>-298435.96696583583</v>
      </c>
      <c r="Z82" s="119">
        <f t="shared" si="13"/>
        <v>-298435.96696583583</v>
      </c>
      <c r="AA82" s="119">
        <f t="shared" si="13"/>
        <v>-298435.96696583583</v>
      </c>
      <c r="AB82" s="119">
        <f t="shared" si="13"/>
        <v>-298435.96696583583</v>
      </c>
      <c r="AC82" s="119">
        <f>AC80</f>
        <v>-298435.96696583583</v>
      </c>
      <c r="AD82" s="119">
        <f>AD80</f>
        <v>-298435.96696583583</v>
      </c>
      <c r="AE82" s="119">
        <f>AE80</f>
        <v>-298435.96696583583</v>
      </c>
      <c r="AF82" s="119">
        <f>AF80</f>
        <v>-298435.96696583583</v>
      </c>
      <c r="AG82" s="119">
        <f>AG80</f>
        <v>-298435.96696583583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4000000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3701564.033034164</v>
      </c>
      <c r="M87" s="179">
        <f t="shared" si="17"/>
        <v>1709064.0330341642</v>
      </c>
      <c r="N87" s="179">
        <f t="shared" si="17"/>
        <v>1709064.0330341642</v>
      </c>
      <c r="O87" s="179">
        <f t="shared" si="17"/>
        <v>1709064.0330341642</v>
      </c>
      <c r="P87" s="179">
        <f t="shared" si="17"/>
        <v>1709064.0330341642</v>
      </c>
      <c r="Q87" s="179">
        <f t="shared" si="17"/>
        <v>1709064.0330341642</v>
      </c>
      <c r="R87" s="179">
        <f t="shared" si="17"/>
        <v>1709064.0330341642</v>
      </c>
      <c r="S87" s="179">
        <f t="shared" si="17"/>
        <v>1709064.0330341642</v>
      </c>
      <c r="T87" s="179">
        <f t="shared" si="17"/>
        <v>1709064.0330341642</v>
      </c>
      <c r="U87" s="179">
        <f t="shared" si="17"/>
        <v>1709064.0330341642</v>
      </c>
      <c r="V87" s="179">
        <f t="shared" si="17"/>
        <v>1709064.0330341642</v>
      </c>
      <c r="W87" s="179">
        <f t="shared" si="17"/>
        <v>1709064.0330341642</v>
      </c>
      <c r="X87" s="179">
        <f t="shared" si="17"/>
        <v>1709064.0330341642</v>
      </c>
      <c r="Y87" s="179">
        <f t="shared" si="17"/>
        <v>1709064.0330341642</v>
      </c>
      <c r="Z87" s="179">
        <f t="shared" si="17"/>
        <v>1709064.0330341642</v>
      </c>
      <c r="AA87" s="179">
        <f t="shared" si="17"/>
        <v>1709064.0330341642</v>
      </c>
      <c r="AB87" s="179">
        <f t="shared" si="17"/>
        <v>1709064.0330341642</v>
      </c>
      <c r="AC87" s="179">
        <f>SUM(AC82:AC86)</f>
        <v>1709064.0330341642</v>
      </c>
      <c r="AD87" s="179">
        <f>SUM(AD82:AD86)</f>
        <v>1709064.0330341642</v>
      </c>
      <c r="AE87" s="179">
        <f>SUM(AE82:AE86)</f>
        <v>1709064.0330341642</v>
      </c>
      <c r="AF87" s="179">
        <f>SUM(AF82:AF86)</f>
        <v>1709064.0330341642</v>
      </c>
      <c r="AG87" s="179">
        <f>SUM(AG82:AG86)</f>
        <v>1709064.0330341642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3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3701564.033034164</v>
      </c>
      <c r="M106" s="31">
        <f t="shared" si="18"/>
        <v>1709064.0330341642</v>
      </c>
      <c r="N106" s="31">
        <f t="shared" si="18"/>
        <v>1709064.0330341642</v>
      </c>
      <c r="O106" s="31">
        <f t="shared" si="18"/>
        <v>1709064.0330341642</v>
      </c>
      <c r="P106" s="31">
        <f t="shared" si="18"/>
        <v>1709064.0330341642</v>
      </c>
      <c r="Q106" s="31">
        <f t="shared" si="18"/>
        <v>1709064.0330341642</v>
      </c>
      <c r="R106" s="31">
        <f t="shared" si="18"/>
        <v>1709064.0330341642</v>
      </c>
      <c r="S106" s="31">
        <f t="shared" si="18"/>
        <v>1709064.0330341642</v>
      </c>
      <c r="T106" s="31">
        <f t="shared" si="18"/>
        <v>1709064.0330341642</v>
      </c>
      <c r="U106" s="31">
        <f t="shared" si="18"/>
        <v>1709064.0330341642</v>
      </c>
      <c r="V106" s="31">
        <f t="shared" si="18"/>
        <v>1709064.0330341642</v>
      </c>
      <c r="W106" s="31">
        <f t="shared" si="18"/>
        <v>1709064.0330341642</v>
      </c>
      <c r="X106" s="31">
        <f t="shared" si="18"/>
        <v>1709064.0330341642</v>
      </c>
      <c r="Y106" s="31">
        <f t="shared" si="18"/>
        <v>1709064.0330341642</v>
      </c>
      <c r="Z106" s="31">
        <f t="shared" si="18"/>
        <v>1709064.0330341642</v>
      </c>
      <c r="AA106" s="31">
        <f t="shared" si="18"/>
        <v>1709064.0330341642</v>
      </c>
      <c r="AB106" s="31">
        <f t="shared" si="18"/>
        <v>1709064.0330341642</v>
      </c>
      <c r="AC106" s="31">
        <f t="shared" si="18"/>
        <v>1709064.0330341642</v>
      </c>
      <c r="AD106" s="31">
        <f t="shared" si="18"/>
        <v>1709064.0330341642</v>
      </c>
      <c r="AE106" s="31">
        <f t="shared" si="18"/>
        <v>1709064.0330341642</v>
      </c>
      <c r="AF106" s="31">
        <f t="shared" si="18"/>
        <v>1709064.0330341642</v>
      </c>
      <c r="AG106" s="31">
        <f t="shared" si="18"/>
        <v>1709064.0330341642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-298435.96696583583</v>
      </c>
      <c r="M107" s="31">
        <f t="shared" si="19"/>
        <v>-298435.96696583583</v>
      </c>
      <c r="N107" s="31">
        <f t="shared" si="19"/>
        <v>-298435.96696583583</v>
      </c>
      <c r="O107" s="31">
        <f t="shared" si="19"/>
        <v>-298435.96696583583</v>
      </c>
      <c r="P107" s="31">
        <f t="shared" si="19"/>
        <v>-298435.96696583583</v>
      </c>
      <c r="Q107" s="31">
        <f t="shared" si="19"/>
        <v>-298435.96696583583</v>
      </c>
      <c r="R107" s="31">
        <f t="shared" si="19"/>
        <v>-298435.96696583583</v>
      </c>
      <c r="S107" s="31">
        <f t="shared" si="19"/>
        <v>-298435.96696583583</v>
      </c>
      <c r="T107" s="31">
        <f t="shared" si="19"/>
        <v>-298435.96696583583</v>
      </c>
      <c r="U107" s="31">
        <f t="shared" si="19"/>
        <v>-298435.96696583583</v>
      </c>
      <c r="V107" s="31">
        <f t="shared" si="19"/>
        <v>-298435.96696583583</v>
      </c>
      <c r="W107" s="31">
        <f t="shared" si="19"/>
        <v>-298435.96696583583</v>
      </c>
      <c r="X107" s="31">
        <f t="shared" si="19"/>
        <v>-298435.96696583583</v>
      </c>
      <c r="Y107" s="31">
        <f t="shared" si="19"/>
        <v>-298435.96696583583</v>
      </c>
      <c r="Z107" s="31">
        <f t="shared" si="19"/>
        <v>-298435.96696583583</v>
      </c>
      <c r="AA107" s="31">
        <f t="shared" si="19"/>
        <v>-298435.96696583583</v>
      </c>
      <c r="AB107" s="31">
        <f t="shared" si="19"/>
        <v>-298435.96696583583</v>
      </c>
      <c r="AC107" s="31">
        <f t="shared" si="19"/>
        <v>-298435.96696583583</v>
      </c>
      <c r="AD107" s="31">
        <f t="shared" si="19"/>
        <v>-298435.96696583583</v>
      </c>
      <c r="AE107" s="31">
        <f t="shared" si="19"/>
        <v>-298435.96696583583</v>
      </c>
      <c r="AF107" s="31">
        <f t="shared" si="19"/>
        <v>-298435.96696583583</v>
      </c>
      <c r="AG107" s="31">
        <f t="shared" si="19"/>
        <v>-298435.96696583583</v>
      </c>
    </row>
    <row r="108" spans="1:43" x14ac:dyDescent="0.2">
      <c r="C108" s="1" t="s">
        <v>237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4000000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3671720.4363375804</v>
      </c>
      <c r="M110" s="31" cm="1">
        <f t="array" ref="M110">M$106+IF($C110&lt;&gt;0,SUMPRODUCT((M$107:M$108)*TRANSPOSE(($D110:$E110))),0)</f>
        <v>1679220.4363375807</v>
      </c>
      <c r="N110" s="31" cm="1">
        <f t="array" ref="N110">N$106+IF($C110&lt;&gt;0,SUMPRODUCT((N$107:N$108)*TRANSPOSE(($D110:$E110))),0)</f>
        <v>1679220.4363375807</v>
      </c>
      <c r="O110" s="31" cm="1">
        <f t="array" ref="O110">O$106+IF($C110&lt;&gt;0,SUMPRODUCT((O$107:O$108)*TRANSPOSE(($D110:$E110))),0)</f>
        <v>1679220.4363375807</v>
      </c>
      <c r="P110" s="31" cm="1">
        <f t="array" ref="P110">P$106+IF($C110&lt;&gt;0,SUMPRODUCT((P$107:P$108)*TRANSPOSE(($D110:$E110))),0)</f>
        <v>1679220.4363375807</v>
      </c>
      <c r="Q110" s="31" cm="1">
        <f t="array" ref="Q110">Q$106+IF($C110&lt;&gt;0,SUMPRODUCT((Q$107:Q$108)*TRANSPOSE(($D110:$E110))),0)</f>
        <v>1679220.4363375807</v>
      </c>
      <c r="R110" s="31" cm="1">
        <f t="array" ref="R110">R$106+IF($C110&lt;&gt;0,SUMPRODUCT((R$107:R$108)*TRANSPOSE(($D110:$E110))),0)</f>
        <v>1679220.4363375807</v>
      </c>
      <c r="S110" s="31" cm="1">
        <f t="array" ref="S110">S$106+IF($C110&lt;&gt;0,SUMPRODUCT((S$107:S$108)*TRANSPOSE(($D110:$E110))),0)</f>
        <v>1679220.4363375807</v>
      </c>
      <c r="T110" s="31" cm="1">
        <f t="array" ref="T110">T$106+IF($C110&lt;&gt;0,SUMPRODUCT((T$107:T$108)*TRANSPOSE(($D110:$E110))),0)</f>
        <v>1679220.4363375807</v>
      </c>
      <c r="U110" s="31" cm="1">
        <f t="array" ref="U110">U$106+IF($C110&lt;&gt;0,SUMPRODUCT((U$107:U$108)*TRANSPOSE(($D110:$E110))),0)</f>
        <v>1679220.4363375807</v>
      </c>
      <c r="V110" s="31" cm="1">
        <f t="array" ref="V110">V$106+IF($C110&lt;&gt;0,SUMPRODUCT((V$107:V$108)*TRANSPOSE(($D110:$E110))),0)</f>
        <v>1679220.4363375807</v>
      </c>
      <c r="W110" s="31" cm="1">
        <f t="array" ref="W110">W$106+IF($C110&lt;&gt;0,SUMPRODUCT((W$107:W$108)*TRANSPOSE(($D110:$E110))),0)</f>
        <v>1679220.4363375807</v>
      </c>
      <c r="X110" s="31" cm="1">
        <f t="array" ref="X110">X$106+IF($C110&lt;&gt;0,SUMPRODUCT((X$107:X$108)*TRANSPOSE(($D110:$E110))),0)</f>
        <v>1679220.4363375807</v>
      </c>
      <c r="Y110" s="31" cm="1">
        <f t="array" ref="Y110">Y$106+IF($C110&lt;&gt;0,SUMPRODUCT((Y$107:Y$108)*TRANSPOSE(($D110:$E110))),0)</f>
        <v>1679220.4363375807</v>
      </c>
      <c r="Z110" s="31" cm="1">
        <f t="array" ref="Z110">Z$106+IF($C110&lt;&gt;0,SUMPRODUCT((Z$107:Z$108)*TRANSPOSE(($D110:$E110))),0)</f>
        <v>1679220.4363375807</v>
      </c>
      <c r="AA110" s="31" cm="1">
        <f t="array" ref="AA110">AA$106+IF($C110&lt;&gt;0,SUMPRODUCT((AA$107:AA$108)*TRANSPOSE(($D110:$E110))),0)</f>
        <v>1679220.4363375807</v>
      </c>
      <c r="AB110" s="31" cm="1">
        <f t="array" ref="AB110">AB$106+IF($C110&lt;&gt;0,SUMPRODUCT((AB$107:AB$108)*TRANSPOSE(($D110:$E110))),0)</f>
        <v>1679220.4363375807</v>
      </c>
      <c r="AC110" s="31" cm="1">
        <f t="array" ref="AC110">AC$106+IF($C110&lt;&gt;0,SUMPRODUCT((AC$107:AC$108)*TRANSPOSE(($D110:$E110))),0)</f>
        <v>1679220.4363375807</v>
      </c>
      <c r="AD110" s="31" cm="1">
        <f t="array" ref="AD110">AD$106+IF($C110&lt;&gt;0,SUMPRODUCT((AD$107:AD$108)*TRANSPOSE(($D110:$E110))),0)</f>
        <v>1679220.4363375807</v>
      </c>
      <c r="AE110" s="31" cm="1">
        <f t="array" ref="AE110">AE$106+IF($C110&lt;&gt;0,SUMPRODUCT((AE$107:AE$108)*TRANSPOSE(($D110:$E110))),0)</f>
        <v>1679220.4363375807</v>
      </c>
      <c r="AF110" s="31" cm="1">
        <f t="array" ref="AF110">AF$106+IF($C110&lt;&gt;0,SUMPRODUCT((AF$107:AF$108)*TRANSPOSE(($D110:$E110))),0)</f>
        <v>1679220.4363375807</v>
      </c>
      <c r="AG110" s="31" cm="1">
        <f t="array" ref="AG110">AG$106+IF($C110&lt;&gt;0,SUMPRODUCT((AG$107:AG$108)*TRANSPOSE(($D110:$E110))),0)</f>
        <v>1679220.4363375807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3731407.6297307475</v>
      </c>
      <c r="M111" s="31" cm="1">
        <f t="array" ref="M111">M$106+IF($C111&lt;&gt;0,SUMPRODUCT((M$107:M$108)*TRANSPOSE(($D111:$E111))),0)</f>
        <v>1738907.6297307478</v>
      </c>
      <c r="N111" s="31" cm="1">
        <f t="array" ref="N111">N$106+IF($C111&lt;&gt;0,SUMPRODUCT((N$107:N$108)*TRANSPOSE(($D111:$E111))),0)</f>
        <v>1738907.6297307478</v>
      </c>
      <c r="O111" s="31" cm="1">
        <f t="array" ref="O111">O$106+IF($C111&lt;&gt;0,SUMPRODUCT((O$107:O$108)*TRANSPOSE(($D111:$E111))),0)</f>
        <v>1738907.6297307478</v>
      </c>
      <c r="P111" s="31" cm="1">
        <f t="array" ref="P111">P$106+IF($C111&lt;&gt;0,SUMPRODUCT((P$107:P$108)*TRANSPOSE(($D111:$E111))),0)</f>
        <v>1738907.6297307478</v>
      </c>
      <c r="Q111" s="31" cm="1">
        <f t="array" ref="Q111">Q$106+IF($C111&lt;&gt;0,SUMPRODUCT((Q$107:Q$108)*TRANSPOSE(($D111:$E111))),0)</f>
        <v>1738907.6297307478</v>
      </c>
      <c r="R111" s="31" cm="1">
        <f t="array" ref="R111">R$106+IF($C111&lt;&gt;0,SUMPRODUCT((R$107:R$108)*TRANSPOSE(($D111:$E111))),0)</f>
        <v>1738907.6297307478</v>
      </c>
      <c r="S111" s="31" cm="1">
        <f t="array" ref="S111">S$106+IF($C111&lt;&gt;0,SUMPRODUCT((S$107:S$108)*TRANSPOSE(($D111:$E111))),0)</f>
        <v>1738907.6297307478</v>
      </c>
      <c r="T111" s="31" cm="1">
        <f t="array" ref="T111">T$106+IF($C111&lt;&gt;0,SUMPRODUCT((T$107:T$108)*TRANSPOSE(($D111:$E111))),0)</f>
        <v>1738907.6297307478</v>
      </c>
      <c r="U111" s="31" cm="1">
        <f t="array" ref="U111">U$106+IF($C111&lt;&gt;0,SUMPRODUCT((U$107:U$108)*TRANSPOSE(($D111:$E111))),0)</f>
        <v>1738907.6297307478</v>
      </c>
      <c r="V111" s="31" cm="1">
        <f t="array" ref="V111">V$106+IF($C111&lt;&gt;0,SUMPRODUCT((V$107:V$108)*TRANSPOSE(($D111:$E111))),0)</f>
        <v>1738907.6297307478</v>
      </c>
      <c r="W111" s="31" cm="1">
        <f t="array" ref="W111">W$106+IF($C111&lt;&gt;0,SUMPRODUCT((W$107:W$108)*TRANSPOSE(($D111:$E111))),0)</f>
        <v>1738907.6297307478</v>
      </c>
      <c r="X111" s="31" cm="1">
        <f t="array" ref="X111">X$106+IF($C111&lt;&gt;0,SUMPRODUCT((X$107:X$108)*TRANSPOSE(($D111:$E111))),0)</f>
        <v>1738907.6297307478</v>
      </c>
      <c r="Y111" s="31" cm="1">
        <f t="array" ref="Y111">Y$106+IF($C111&lt;&gt;0,SUMPRODUCT((Y$107:Y$108)*TRANSPOSE(($D111:$E111))),0)</f>
        <v>1738907.6297307478</v>
      </c>
      <c r="Z111" s="31" cm="1">
        <f t="array" ref="Z111">Z$106+IF($C111&lt;&gt;0,SUMPRODUCT((Z$107:Z$108)*TRANSPOSE(($D111:$E111))),0)</f>
        <v>1738907.6297307478</v>
      </c>
      <c r="AA111" s="31" cm="1">
        <f t="array" ref="AA111">AA$106+IF($C111&lt;&gt;0,SUMPRODUCT((AA$107:AA$108)*TRANSPOSE(($D111:$E111))),0)</f>
        <v>1738907.6297307478</v>
      </c>
      <c r="AB111" s="31" cm="1">
        <f t="array" ref="AB111">AB$106+IF($C111&lt;&gt;0,SUMPRODUCT((AB$107:AB$108)*TRANSPOSE(($D111:$E111))),0)</f>
        <v>1738907.6297307478</v>
      </c>
      <c r="AC111" s="31" cm="1">
        <f t="array" ref="AC111">AC$106+IF($C111&lt;&gt;0,SUMPRODUCT((AC$107:AC$108)*TRANSPOSE(($D111:$E111))),0)</f>
        <v>1738907.6297307478</v>
      </c>
      <c r="AD111" s="31" cm="1">
        <f t="array" ref="AD111">AD$106+IF($C111&lt;&gt;0,SUMPRODUCT((AD$107:AD$108)*TRANSPOSE(($D111:$E111))),0)</f>
        <v>1738907.6297307478</v>
      </c>
      <c r="AE111" s="31" cm="1">
        <f t="array" ref="AE111">AE$106+IF($C111&lt;&gt;0,SUMPRODUCT((AE$107:AE$108)*TRANSPOSE(($D111:$E111))),0)</f>
        <v>1738907.6297307478</v>
      </c>
      <c r="AF111" s="31" cm="1">
        <f t="array" ref="AF111">AF$106+IF($C111&lt;&gt;0,SUMPRODUCT((AF$107:AF$108)*TRANSPOSE(($D111:$E111))),0)</f>
        <v>1738907.6297307478</v>
      </c>
      <c r="AG111" s="31" cm="1">
        <f t="array" ref="AG111">AG$106+IF($C111&lt;&gt;0,SUMPRODUCT((AG$107:AG$108)*TRANSPOSE(($D111:$E111))),0)</f>
        <v>1738907.6297307478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4101564.033034164</v>
      </c>
      <c r="M112" s="31" cm="1">
        <f t="array" ref="M112">M$106+IF($C112&lt;&gt;0,SUMPRODUCT((M$107:M$108)*TRANSPOSE(($D112:$E112))),0)</f>
        <v>1909814.0330341642</v>
      </c>
      <c r="N112" s="31" cm="1">
        <f t="array" ref="N112">N$106+IF($C112&lt;&gt;0,SUMPRODUCT((N$107:N$108)*TRANSPOSE(($D112:$E112))),0)</f>
        <v>1909814.0330341642</v>
      </c>
      <c r="O112" s="31" cm="1">
        <f t="array" ref="O112">O$106+IF($C112&lt;&gt;0,SUMPRODUCT((O$107:O$108)*TRANSPOSE(($D112:$E112))),0)</f>
        <v>1909814.0330341642</v>
      </c>
      <c r="P112" s="31" cm="1">
        <f t="array" ref="P112">P$106+IF($C112&lt;&gt;0,SUMPRODUCT((P$107:P$108)*TRANSPOSE(($D112:$E112))),0)</f>
        <v>1909814.0330341642</v>
      </c>
      <c r="Q112" s="31" cm="1">
        <f t="array" ref="Q112">Q$106+IF($C112&lt;&gt;0,SUMPRODUCT((Q$107:Q$108)*TRANSPOSE(($D112:$E112))),0)</f>
        <v>1909814.0330341642</v>
      </c>
      <c r="R112" s="31" cm="1">
        <f t="array" ref="R112">R$106+IF($C112&lt;&gt;0,SUMPRODUCT((R$107:R$108)*TRANSPOSE(($D112:$E112))),0)</f>
        <v>1909814.0330341642</v>
      </c>
      <c r="S112" s="31" cm="1">
        <f t="array" ref="S112">S$106+IF($C112&lt;&gt;0,SUMPRODUCT((S$107:S$108)*TRANSPOSE(($D112:$E112))),0)</f>
        <v>1909814.0330341642</v>
      </c>
      <c r="T112" s="31" cm="1">
        <f t="array" ref="T112">T$106+IF($C112&lt;&gt;0,SUMPRODUCT((T$107:T$108)*TRANSPOSE(($D112:$E112))),0)</f>
        <v>1909814.0330341642</v>
      </c>
      <c r="U112" s="31" cm="1">
        <f t="array" ref="U112">U$106+IF($C112&lt;&gt;0,SUMPRODUCT((U$107:U$108)*TRANSPOSE(($D112:$E112))),0)</f>
        <v>1909814.0330341642</v>
      </c>
      <c r="V112" s="31" cm="1">
        <f t="array" ref="V112">V$106+IF($C112&lt;&gt;0,SUMPRODUCT((V$107:V$108)*TRANSPOSE(($D112:$E112))),0)</f>
        <v>1909814.0330341642</v>
      </c>
      <c r="W112" s="31" cm="1">
        <f t="array" ref="W112">W$106+IF($C112&lt;&gt;0,SUMPRODUCT((W$107:W$108)*TRANSPOSE(($D112:$E112))),0)</f>
        <v>1909814.0330341642</v>
      </c>
      <c r="X112" s="31" cm="1">
        <f t="array" ref="X112">X$106+IF($C112&lt;&gt;0,SUMPRODUCT((X$107:X$108)*TRANSPOSE(($D112:$E112))),0)</f>
        <v>1909814.0330341642</v>
      </c>
      <c r="Y112" s="31" cm="1">
        <f t="array" ref="Y112">Y$106+IF($C112&lt;&gt;0,SUMPRODUCT((Y$107:Y$108)*TRANSPOSE(($D112:$E112))),0)</f>
        <v>1909814.0330341642</v>
      </c>
      <c r="Z112" s="31" cm="1">
        <f t="array" ref="Z112">Z$106+IF($C112&lt;&gt;0,SUMPRODUCT((Z$107:Z$108)*TRANSPOSE(($D112:$E112))),0)</f>
        <v>1909814.0330341642</v>
      </c>
      <c r="AA112" s="31" cm="1">
        <f t="array" ref="AA112">AA$106+IF($C112&lt;&gt;0,SUMPRODUCT((AA$107:AA$108)*TRANSPOSE(($D112:$E112))),0)</f>
        <v>1909814.0330341642</v>
      </c>
      <c r="AB112" s="31" cm="1">
        <f t="array" ref="AB112">AB$106+IF($C112&lt;&gt;0,SUMPRODUCT((AB$107:AB$108)*TRANSPOSE(($D112:$E112))),0)</f>
        <v>1909814.0330341642</v>
      </c>
      <c r="AC112" s="31" cm="1">
        <f t="array" ref="AC112">AC$106+IF($C112&lt;&gt;0,SUMPRODUCT((AC$107:AC$108)*TRANSPOSE(($D112:$E112))),0)</f>
        <v>1909814.0330341642</v>
      </c>
      <c r="AD112" s="31" cm="1">
        <f t="array" ref="AD112">AD$106+IF($C112&lt;&gt;0,SUMPRODUCT((AD$107:AD$108)*TRANSPOSE(($D112:$E112))),0)</f>
        <v>1909814.0330341642</v>
      </c>
      <c r="AE112" s="31" cm="1">
        <f t="array" ref="AE112">AE$106+IF($C112&lt;&gt;0,SUMPRODUCT((AE$107:AE$108)*TRANSPOSE(($D112:$E112))),0)</f>
        <v>1909814.0330341642</v>
      </c>
      <c r="AF112" s="31" cm="1">
        <f t="array" ref="AF112">AF$106+IF($C112&lt;&gt;0,SUMPRODUCT((AF$107:AF$108)*TRANSPOSE(($D112:$E112))),0)</f>
        <v>1909814.0330341642</v>
      </c>
      <c r="AG112" s="31" cm="1">
        <f t="array" ref="AG112">AG$106+IF($C112&lt;&gt;0,SUMPRODUCT((AG$107:AG$108)*TRANSPOSE(($D112:$E112))),0)</f>
        <v>1909814.0330341642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3301564.033034164</v>
      </c>
      <c r="M113" s="31" cm="1">
        <f t="array" ref="M113">M$106+IF($C113&lt;&gt;0,SUMPRODUCT((M$107:M$108)*TRANSPOSE(($D113:$E113))),0)</f>
        <v>1508314.0330341642</v>
      </c>
      <c r="N113" s="31" cm="1">
        <f t="array" ref="N113">N$106+IF($C113&lt;&gt;0,SUMPRODUCT((N$107:N$108)*TRANSPOSE(($D113:$E113))),0)</f>
        <v>1508314.0330341642</v>
      </c>
      <c r="O113" s="31" cm="1">
        <f t="array" ref="O113">O$106+IF($C113&lt;&gt;0,SUMPRODUCT((O$107:O$108)*TRANSPOSE(($D113:$E113))),0)</f>
        <v>1508314.0330341642</v>
      </c>
      <c r="P113" s="31" cm="1">
        <f t="array" ref="P113">P$106+IF($C113&lt;&gt;0,SUMPRODUCT((P$107:P$108)*TRANSPOSE(($D113:$E113))),0)</f>
        <v>1508314.0330341642</v>
      </c>
      <c r="Q113" s="31" cm="1">
        <f t="array" ref="Q113">Q$106+IF($C113&lt;&gt;0,SUMPRODUCT((Q$107:Q$108)*TRANSPOSE(($D113:$E113))),0)</f>
        <v>1508314.0330341642</v>
      </c>
      <c r="R113" s="31" cm="1">
        <f t="array" ref="R113">R$106+IF($C113&lt;&gt;0,SUMPRODUCT((R$107:R$108)*TRANSPOSE(($D113:$E113))),0)</f>
        <v>1508314.0330341642</v>
      </c>
      <c r="S113" s="31" cm="1">
        <f t="array" ref="S113">S$106+IF($C113&lt;&gt;0,SUMPRODUCT((S$107:S$108)*TRANSPOSE(($D113:$E113))),0)</f>
        <v>1508314.0330341642</v>
      </c>
      <c r="T113" s="31" cm="1">
        <f t="array" ref="T113">T$106+IF($C113&lt;&gt;0,SUMPRODUCT((T$107:T$108)*TRANSPOSE(($D113:$E113))),0)</f>
        <v>1508314.0330341642</v>
      </c>
      <c r="U113" s="31" cm="1">
        <f t="array" ref="U113">U$106+IF($C113&lt;&gt;0,SUMPRODUCT((U$107:U$108)*TRANSPOSE(($D113:$E113))),0)</f>
        <v>1508314.0330341642</v>
      </c>
      <c r="V113" s="31" cm="1">
        <f t="array" ref="V113">V$106+IF($C113&lt;&gt;0,SUMPRODUCT((V$107:V$108)*TRANSPOSE(($D113:$E113))),0)</f>
        <v>1508314.0330341642</v>
      </c>
      <c r="W113" s="31" cm="1">
        <f t="array" ref="W113">W$106+IF($C113&lt;&gt;0,SUMPRODUCT((W$107:W$108)*TRANSPOSE(($D113:$E113))),0)</f>
        <v>1508314.0330341642</v>
      </c>
      <c r="X113" s="31" cm="1">
        <f t="array" ref="X113">X$106+IF($C113&lt;&gt;0,SUMPRODUCT((X$107:X$108)*TRANSPOSE(($D113:$E113))),0)</f>
        <v>1508314.0330341642</v>
      </c>
      <c r="Y113" s="31" cm="1">
        <f t="array" ref="Y113">Y$106+IF($C113&lt;&gt;0,SUMPRODUCT((Y$107:Y$108)*TRANSPOSE(($D113:$E113))),0)</f>
        <v>1508314.0330341642</v>
      </c>
      <c r="Z113" s="31" cm="1">
        <f t="array" ref="Z113">Z$106+IF($C113&lt;&gt;0,SUMPRODUCT((Z$107:Z$108)*TRANSPOSE(($D113:$E113))),0)</f>
        <v>1508314.0330341642</v>
      </c>
      <c r="AA113" s="31" cm="1">
        <f t="array" ref="AA113">AA$106+IF($C113&lt;&gt;0,SUMPRODUCT((AA$107:AA$108)*TRANSPOSE(($D113:$E113))),0)</f>
        <v>1508314.0330341642</v>
      </c>
      <c r="AB113" s="31" cm="1">
        <f t="array" ref="AB113">AB$106+IF($C113&lt;&gt;0,SUMPRODUCT((AB$107:AB$108)*TRANSPOSE(($D113:$E113))),0)</f>
        <v>1508314.0330341642</v>
      </c>
      <c r="AC113" s="31" cm="1">
        <f t="array" ref="AC113">AC$106+IF($C113&lt;&gt;0,SUMPRODUCT((AC$107:AC$108)*TRANSPOSE(($D113:$E113))),0)</f>
        <v>1508314.0330341642</v>
      </c>
      <c r="AD113" s="31" cm="1">
        <f t="array" ref="AD113">AD$106+IF($C113&lt;&gt;0,SUMPRODUCT((AD$107:AD$108)*TRANSPOSE(($D113:$E113))),0)</f>
        <v>1508314.0330341642</v>
      </c>
      <c r="AE113" s="31" cm="1">
        <f t="array" ref="AE113">AE$106+IF($C113&lt;&gt;0,SUMPRODUCT((AE$107:AE$108)*TRANSPOSE(($D113:$E113))),0)</f>
        <v>1508314.0330341642</v>
      </c>
      <c r="AF113" s="31" cm="1">
        <f t="array" ref="AF113">AF$106+IF($C113&lt;&gt;0,SUMPRODUCT((AF$107:AF$108)*TRANSPOSE(($D113:$E113))),0)</f>
        <v>1508314.0330341642</v>
      </c>
      <c r="AG113" s="31" cm="1">
        <f t="array" ref="AG113">AG$106+IF($C113&lt;&gt;0,SUMPRODUCT((AG$107:AG$108)*TRANSPOSE(($D113:$E113))),0)</f>
        <v>1508314.0330341642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3271720.4363375804</v>
      </c>
      <c r="M114" s="31" cm="1">
        <f t="array" ref="M114">M$106+IF($C114&lt;&gt;0,SUMPRODUCT((M$107:M$108)*TRANSPOSE(($D114:$E114))),0)</f>
        <v>1478470.4363375807</v>
      </c>
      <c r="N114" s="31" cm="1">
        <f t="array" ref="N114">N$106+IF($C114&lt;&gt;0,SUMPRODUCT((N$107:N$108)*TRANSPOSE(($D114:$E114))),0)</f>
        <v>1478470.4363375807</v>
      </c>
      <c r="O114" s="31" cm="1">
        <f t="array" ref="O114">O$106+IF($C114&lt;&gt;0,SUMPRODUCT((O$107:O$108)*TRANSPOSE(($D114:$E114))),0)</f>
        <v>1478470.4363375807</v>
      </c>
      <c r="P114" s="31" cm="1">
        <f t="array" ref="P114">P$106+IF($C114&lt;&gt;0,SUMPRODUCT((P$107:P$108)*TRANSPOSE(($D114:$E114))),0)</f>
        <v>1478470.4363375807</v>
      </c>
      <c r="Q114" s="31" cm="1">
        <f t="array" ref="Q114">Q$106+IF($C114&lt;&gt;0,SUMPRODUCT((Q$107:Q$108)*TRANSPOSE(($D114:$E114))),0)</f>
        <v>1478470.4363375807</v>
      </c>
      <c r="R114" s="31" cm="1">
        <f t="array" ref="R114">R$106+IF($C114&lt;&gt;0,SUMPRODUCT((R$107:R$108)*TRANSPOSE(($D114:$E114))),0)</f>
        <v>1478470.4363375807</v>
      </c>
      <c r="S114" s="31" cm="1">
        <f t="array" ref="S114">S$106+IF($C114&lt;&gt;0,SUMPRODUCT((S$107:S$108)*TRANSPOSE(($D114:$E114))),0)</f>
        <v>1478470.4363375807</v>
      </c>
      <c r="T114" s="31" cm="1">
        <f t="array" ref="T114">T$106+IF($C114&lt;&gt;0,SUMPRODUCT((T$107:T$108)*TRANSPOSE(($D114:$E114))),0)</f>
        <v>1478470.4363375807</v>
      </c>
      <c r="U114" s="31" cm="1">
        <f t="array" ref="U114">U$106+IF($C114&lt;&gt;0,SUMPRODUCT((U$107:U$108)*TRANSPOSE(($D114:$E114))),0)</f>
        <v>1478470.4363375807</v>
      </c>
      <c r="V114" s="31" cm="1">
        <f t="array" ref="V114">V$106+IF($C114&lt;&gt;0,SUMPRODUCT((V$107:V$108)*TRANSPOSE(($D114:$E114))),0)</f>
        <v>1478470.4363375807</v>
      </c>
      <c r="W114" s="31" cm="1">
        <f t="array" ref="W114">W$106+IF($C114&lt;&gt;0,SUMPRODUCT((W$107:W$108)*TRANSPOSE(($D114:$E114))),0)</f>
        <v>1478470.4363375807</v>
      </c>
      <c r="X114" s="31" cm="1">
        <f t="array" ref="X114">X$106+IF($C114&lt;&gt;0,SUMPRODUCT((X$107:X$108)*TRANSPOSE(($D114:$E114))),0)</f>
        <v>1478470.4363375807</v>
      </c>
      <c r="Y114" s="31" cm="1">
        <f t="array" ref="Y114">Y$106+IF($C114&lt;&gt;0,SUMPRODUCT((Y$107:Y$108)*TRANSPOSE(($D114:$E114))),0)</f>
        <v>1478470.4363375807</v>
      </c>
      <c r="Z114" s="31" cm="1">
        <f t="array" ref="Z114">Z$106+IF($C114&lt;&gt;0,SUMPRODUCT((Z$107:Z$108)*TRANSPOSE(($D114:$E114))),0)</f>
        <v>1478470.4363375807</v>
      </c>
      <c r="AA114" s="31" cm="1">
        <f t="array" ref="AA114">AA$106+IF($C114&lt;&gt;0,SUMPRODUCT((AA$107:AA$108)*TRANSPOSE(($D114:$E114))),0)</f>
        <v>1478470.4363375807</v>
      </c>
      <c r="AB114" s="31" cm="1">
        <f t="array" ref="AB114">AB$106+IF($C114&lt;&gt;0,SUMPRODUCT((AB$107:AB$108)*TRANSPOSE(($D114:$E114))),0)</f>
        <v>1478470.4363375807</v>
      </c>
      <c r="AC114" s="31" cm="1">
        <f t="array" ref="AC114">AC$106+IF($C114&lt;&gt;0,SUMPRODUCT((AC$107:AC$108)*TRANSPOSE(($D114:$E114))),0)</f>
        <v>1478470.4363375807</v>
      </c>
      <c r="AD114" s="31" cm="1">
        <f t="array" ref="AD114">AD$106+IF($C114&lt;&gt;0,SUMPRODUCT((AD$107:AD$108)*TRANSPOSE(($D114:$E114))),0)</f>
        <v>1478470.4363375807</v>
      </c>
      <c r="AE114" s="31" cm="1">
        <f t="array" ref="AE114">AE$106+IF($C114&lt;&gt;0,SUMPRODUCT((AE$107:AE$108)*TRANSPOSE(($D114:$E114))),0)</f>
        <v>1478470.4363375807</v>
      </c>
      <c r="AF114" s="31" cm="1">
        <f t="array" ref="AF114">AF$106+IF($C114&lt;&gt;0,SUMPRODUCT((AF$107:AF$108)*TRANSPOSE(($D114:$E114))),0)</f>
        <v>1478470.4363375807</v>
      </c>
      <c r="AG114" s="31" cm="1">
        <f t="array" ref="AG114">AG$106+IF($C114&lt;&gt;0,SUMPRODUCT((AG$107:AG$108)*TRANSPOSE(($D114:$E114))),0)</f>
        <v>1478470.4363375807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3701564.033034164</v>
      </c>
      <c r="M115" s="31" cm="1">
        <f t="array" ref="M115">M$106+IF($C115&lt;&gt;0,SUMPRODUCT((M$107:M$108)*TRANSPOSE(($D115:$E115))),0)</f>
        <v>1709064.0330341642</v>
      </c>
      <c r="N115" s="31" cm="1">
        <f t="array" ref="N115">N$106+IF($C115&lt;&gt;0,SUMPRODUCT((N$107:N$108)*TRANSPOSE(($D115:$E115))),0)</f>
        <v>1709064.0330341642</v>
      </c>
      <c r="O115" s="31" cm="1">
        <f t="array" ref="O115">O$106+IF($C115&lt;&gt;0,SUMPRODUCT((O$107:O$108)*TRANSPOSE(($D115:$E115))),0)</f>
        <v>1709064.0330341642</v>
      </c>
      <c r="P115" s="31" cm="1">
        <f t="array" ref="P115">P$106+IF($C115&lt;&gt;0,SUMPRODUCT((P$107:P$108)*TRANSPOSE(($D115:$E115))),0)</f>
        <v>1709064.0330341642</v>
      </c>
      <c r="Q115" s="31" cm="1">
        <f t="array" ref="Q115">Q$106+IF($C115&lt;&gt;0,SUMPRODUCT((Q$107:Q$108)*TRANSPOSE(($D115:$E115))),0)</f>
        <v>1709064.0330341642</v>
      </c>
      <c r="R115" s="31" cm="1">
        <f t="array" ref="R115">R$106+IF($C115&lt;&gt;0,SUMPRODUCT((R$107:R$108)*TRANSPOSE(($D115:$E115))),0)</f>
        <v>1709064.0330341642</v>
      </c>
      <c r="S115" s="31" cm="1">
        <f t="array" ref="S115">S$106+IF($C115&lt;&gt;0,SUMPRODUCT((S$107:S$108)*TRANSPOSE(($D115:$E115))),0)</f>
        <v>1709064.0330341642</v>
      </c>
      <c r="T115" s="31" cm="1">
        <f t="array" ref="T115">T$106+IF($C115&lt;&gt;0,SUMPRODUCT((T$107:T$108)*TRANSPOSE(($D115:$E115))),0)</f>
        <v>1709064.0330341642</v>
      </c>
      <c r="U115" s="31" cm="1">
        <f t="array" ref="U115">U$106+IF($C115&lt;&gt;0,SUMPRODUCT((U$107:U$108)*TRANSPOSE(($D115:$E115))),0)</f>
        <v>1709064.0330341642</v>
      </c>
      <c r="V115" s="31" cm="1">
        <f t="array" ref="V115">V$106+IF($C115&lt;&gt;0,SUMPRODUCT((V$107:V$108)*TRANSPOSE(($D115:$E115))),0)</f>
        <v>1709064.0330341642</v>
      </c>
      <c r="W115" s="31" cm="1">
        <f t="array" ref="W115">W$106+IF($C115&lt;&gt;0,SUMPRODUCT((W$107:W$108)*TRANSPOSE(($D115:$E115))),0)</f>
        <v>1709064.0330341642</v>
      </c>
      <c r="X115" s="31" cm="1">
        <f t="array" ref="X115">X$106+IF($C115&lt;&gt;0,SUMPRODUCT((X$107:X$108)*TRANSPOSE(($D115:$E115))),0)</f>
        <v>1709064.0330341642</v>
      </c>
      <c r="Y115" s="31" cm="1">
        <f t="array" ref="Y115">Y$106+IF($C115&lt;&gt;0,SUMPRODUCT((Y$107:Y$108)*TRANSPOSE(($D115:$E115))),0)</f>
        <v>1709064.0330341642</v>
      </c>
      <c r="Z115" s="31" cm="1">
        <f t="array" ref="Z115">Z$106+IF($C115&lt;&gt;0,SUMPRODUCT((Z$107:Z$108)*TRANSPOSE(($D115:$E115))),0)</f>
        <v>1709064.0330341642</v>
      </c>
      <c r="AA115" s="31" cm="1">
        <f t="array" ref="AA115">AA$106+IF($C115&lt;&gt;0,SUMPRODUCT((AA$107:AA$108)*TRANSPOSE(($D115:$E115))),0)</f>
        <v>1709064.0330341642</v>
      </c>
      <c r="AB115" s="31" cm="1">
        <f t="array" ref="AB115">AB$106+IF($C115&lt;&gt;0,SUMPRODUCT((AB$107:AB$108)*TRANSPOSE(($D115:$E115))),0)</f>
        <v>1709064.0330341642</v>
      </c>
      <c r="AC115" s="31" cm="1">
        <f t="array" ref="AC115">AC$106+IF($C115&lt;&gt;0,SUMPRODUCT((AC$107:AC$108)*TRANSPOSE(($D115:$E115))),0)</f>
        <v>1709064.0330341642</v>
      </c>
      <c r="AD115" s="31" cm="1">
        <f t="array" ref="AD115">AD$106+IF($C115&lt;&gt;0,SUMPRODUCT((AD$107:AD$108)*TRANSPOSE(($D115:$E115))),0)</f>
        <v>1709064.0330341642</v>
      </c>
      <c r="AE115" s="31" cm="1">
        <f t="array" ref="AE115">AE$106+IF($C115&lt;&gt;0,SUMPRODUCT((AE$107:AE$108)*TRANSPOSE(($D115:$E115))),0)</f>
        <v>1709064.0330341642</v>
      </c>
      <c r="AF115" s="31" cm="1">
        <f t="array" ref="AF115">AF$106+IF($C115&lt;&gt;0,SUMPRODUCT((AF$107:AF$108)*TRANSPOSE(($D115:$E115))),0)</f>
        <v>1709064.0330341642</v>
      </c>
      <c r="AG115" s="31" cm="1">
        <f t="array" ref="AG115">AG$106+IF($C115&lt;&gt;0,SUMPRODUCT((AG$107:AG$108)*TRANSPOSE(($D115:$E115))),0)</f>
        <v>1709064.0330341642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3701564.033034164</v>
      </c>
      <c r="M116" s="31" cm="1">
        <f t="array" ref="M116">M$106+IF($C116&lt;&gt;0,SUMPRODUCT((M$107:M$108)*TRANSPOSE(($D116:$E116))),0)</f>
        <v>1709064.0330341642</v>
      </c>
      <c r="N116" s="31" cm="1">
        <f t="array" ref="N116">N$106+IF($C116&lt;&gt;0,SUMPRODUCT((N$107:N$108)*TRANSPOSE(($D116:$E116))),0)</f>
        <v>1709064.0330341642</v>
      </c>
      <c r="O116" s="31" cm="1">
        <f t="array" ref="O116">O$106+IF($C116&lt;&gt;0,SUMPRODUCT((O$107:O$108)*TRANSPOSE(($D116:$E116))),0)</f>
        <v>1709064.0330341642</v>
      </c>
      <c r="P116" s="31" cm="1">
        <f t="array" ref="P116">P$106+IF($C116&lt;&gt;0,SUMPRODUCT((P$107:P$108)*TRANSPOSE(($D116:$E116))),0)</f>
        <v>1709064.0330341642</v>
      </c>
      <c r="Q116" s="31" cm="1">
        <f t="array" ref="Q116">Q$106+IF($C116&lt;&gt;0,SUMPRODUCT((Q$107:Q$108)*TRANSPOSE(($D116:$E116))),0)</f>
        <v>1709064.0330341642</v>
      </c>
      <c r="R116" s="31" cm="1">
        <f t="array" ref="R116">R$106+IF($C116&lt;&gt;0,SUMPRODUCT((R$107:R$108)*TRANSPOSE(($D116:$E116))),0)</f>
        <v>1709064.0330341642</v>
      </c>
      <c r="S116" s="31" cm="1">
        <f t="array" ref="S116">S$106+IF($C116&lt;&gt;0,SUMPRODUCT((S$107:S$108)*TRANSPOSE(($D116:$E116))),0)</f>
        <v>1709064.0330341642</v>
      </c>
      <c r="T116" s="31" cm="1">
        <f t="array" ref="T116">T$106+IF($C116&lt;&gt;0,SUMPRODUCT((T$107:T$108)*TRANSPOSE(($D116:$E116))),0)</f>
        <v>1709064.0330341642</v>
      </c>
      <c r="U116" s="31" cm="1">
        <f t="array" ref="U116">U$106+IF($C116&lt;&gt;0,SUMPRODUCT((U$107:U$108)*TRANSPOSE(($D116:$E116))),0)</f>
        <v>1709064.0330341642</v>
      </c>
      <c r="V116" s="31" cm="1">
        <f t="array" ref="V116">V$106+IF($C116&lt;&gt;0,SUMPRODUCT((V$107:V$108)*TRANSPOSE(($D116:$E116))),0)</f>
        <v>1709064.0330341642</v>
      </c>
      <c r="W116" s="31" cm="1">
        <f t="array" ref="W116">W$106+IF($C116&lt;&gt;0,SUMPRODUCT((W$107:W$108)*TRANSPOSE(($D116:$E116))),0)</f>
        <v>1709064.0330341642</v>
      </c>
      <c r="X116" s="31" cm="1">
        <f t="array" ref="X116">X$106+IF($C116&lt;&gt;0,SUMPRODUCT((X$107:X$108)*TRANSPOSE(($D116:$E116))),0)</f>
        <v>1709064.0330341642</v>
      </c>
      <c r="Y116" s="31" cm="1">
        <f t="array" ref="Y116">Y$106+IF($C116&lt;&gt;0,SUMPRODUCT((Y$107:Y$108)*TRANSPOSE(($D116:$E116))),0)</f>
        <v>1709064.0330341642</v>
      </c>
      <c r="Z116" s="31" cm="1">
        <f t="array" ref="Z116">Z$106+IF($C116&lt;&gt;0,SUMPRODUCT((Z$107:Z$108)*TRANSPOSE(($D116:$E116))),0)</f>
        <v>1709064.0330341642</v>
      </c>
      <c r="AA116" s="31" cm="1">
        <f t="array" ref="AA116">AA$106+IF($C116&lt;&gt;0,SUMPRODUCT((AA$107:AA$108)*TRANSPOSE(($D116:$E116))),0)</f>
        <v>1709064.0330341642</v>
      </c>
      <c r="AB116" s="31" cm="1">
        <f t="array" ref="AB116">AB$106+IF($C116&lt;&gt;0,SUMPRODUCT((AB$107:AB$108)*TRANSPOSE(($D116:$E116))),0)</f>
        <v>1709064.0330341642</v>
      </c>
      <c r="AC116" s="31" cm="1">
        <f t="array" ref="AC116">AC$106+IF($C116&lt;&gt;0,SUMPRODUCT((AC$107:AC$108)*TRANSPOSE(($D116:$E116))),0)</f>
        <v>1709064.0330341642</v>
      </c>
      <c r="AD116" s="31" cm="1">
        <f t="array" ref="AD116">AD$106+IF($C116&lt;&gt;0,SUMPRODUCT((AD$107:AD$108)*TRANSPOSE(($D116:$E116))),0)</f>
        <v>1709064.0330341642</v>
      </c>
      <c r="AE116" s="31" cm="1">
        <f t="array" ref="AE116">AE$106+IF($C116&lt;&gt;0,SUMPRODUCT((AE$107:AE$108)*TRANSPOSE(($D116:$E116))),0)</f>
        <v>1709064.0330341642</v>
      </c>
      <c r="AF116" s="31" cm="1">
        <f t="array" ref="AF116">AF$106+IF($C116&lt;&gt;0,SUMPRODUCT((AF$107:AF$108)*TRANSPOSE(($D116:$E116))),0)</f>
        <v>1709064.0330341642</v>
      </c>
      <c r="AG116" s="31" cm="1">
        <f t="array" ref="AG116">AG$106+IF($C116&lt;&gt;0,SUMPRODUCT((AG$107:AG$108)*TRANSPOSE(($D116:$E116))),0)</f>
        <v>1709064.0330341642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3701564.033034164</v>
      </c>
      <c r="M117" s="31" cm="1">
        <f t="array" ref="M117">M$106+IF($C117&lt;&gt;0,SUMPRODUCT((M$107:M$108)*TRANSPOSE(($D117:$E117))),0)</f>
        <v>1709064.0330341642</v>
      </c>
      <c r="N117" s="31" cm="1">
        <f t="array" ref="N117">N$106+IF($C117&lt;&gt;0,SUMPRODUCT((N$107:N$108)*TRANSPOSE(($D117:$E117))),0)</f>
        <v>1709064.0330341642</v>
      </c>
      <c r="O117" s="31" cm="1">
        <f t="array" ref="O117">O$106+IF($C117&lt;&gt;0,SUMPRODUCT((O$107:O$108)*TRANSPOSE(($D117:$E117))),0)</f>
        <v>1709064.0330341642</v>
      </c>
      <c r="P117" s="31" cm="1">
        <f t="array" ref="P117">P$106+IF($C117&lt;&gt;0,SUMPRODUCT((P$107:P$108)*TRANSPOSE(($D117:$E117))),0)</f>
        <v>1709064.0330341642</v>
      </c>
      <c r="Q117" s="31" cm="1">
        <f t="array" ref="Q117">Q$106+IF($C117&lt;&gt;0,SUMPRODUCT((Q$107:Q$108)*TRANSPOSE(($D117:$E117))),0)</f>
        <v>1709064.0330341642</v>
      </c>
      <c r="R117" s="31" cm="1">
        <f t="array" ref="R117">R$106+IF($C117&lt;&gt;0,SUMPRODUCT((R$107:R$108)*TRANSPOSE(($D117:$E117))),0)</f>
        <v>1709064.0330341642</v>
      </c>
      <c r="S117" s="31" cm="1">
        <f t="array" ref="S117">S$106+IF($C117&lt;&gt;0,SUMPRODUCT((S$107:S$108)*TRANSPOSE(($D117:$E117))),0)</f>
        <v>1709064.0330341642</v>
      </c>
      <c r="T117" s="31" cm="1">
        <f t="array" ref="T117">T$106+IF($C117&lt;&gt;0,SUMPRODUCT((T$107:T$108)*TRANSPOSE(($D117:$E117))),0)</f>
        <v>1709064.0330341642</v>
      </c>
      <c r="U117" s="31" cm="1">
        <f t="array" ref="U117">U$106+IF($C117&lt;&gt;0,SUMPRODUCT((U$107:U$108)*TRANSPOSE(($D117:$E117))),0)</f>
        <v>1709064.0330341642</v>
      </c>
      <c r="V117" s="31" cm="1">
        <f t="array" ref="V117">V$106+IF($C117&lt;&gt;0,SUMPRODUCT((V$107:V$108)*TRANSPOSE(($D117:$E117))),0)</f>
        <v>1709064.0330341642</v>
      </c>
      <c r="W117" s="31" cm="1">
        <f t="array" ref="W117">W$106+IF($C117&lt;&gt;0,SUMPRODUCT((W$107:W$108)*TRANSPOSE(($D117:$E117))),0)</f>
        <v>1709064.0330341642</v>
      </c>
      <c r="X117" s="31" cm="1">
        <f t="array" ref="X117">X$106+IF($C117&lt;&gt;0,SUMPRODUCT((X$107:X$108)*TRANSPOSE(($D117:$E117))),0)</f>
        <v>1709064.0330341642</v>
      </c>
      <c r="Y117" s="31" cm="1">
        <f t="array" ref="Y117">Y$106+IF($C117&lt;&gt;0,SUMPRODUCT((Y$107:Y$108)*TRANSPOSE(($D117:$E117))),0)</f>
        <v>1709064.0330341642</v>
      </c>
      <c r="Z117" s="31" cm="1">
        <f t="array" ref="Z117">Z$106+IF($C117&lt;&gt;0,SUMPRODUCT((Z$107:Z$108)*TRANSPOSE(($D117:$E117))),0)</f>
        <v>1709064.0330341642</v>
      </c>
      <c r="AA117" s="31" cm="1">
        <f t="array" ref="AA117">AA$106+IF($C117&lt;&gt;0,SUMPRODUCT((AA$107:AA$108)*TRANSPOSE(($D117:$E117))),0)</f>
        <v>1709064.0330341642</v>
      </c>
      <c r="AB117" s="31" cm="1">
        <f t="array" ref="AB117">AB$106+IF($C117&lt;&gt;0,SUMPRODUCT((AB$107:AB$108)*TRANSPOSE(($D117:$E117))),0)</f>
        <v>1709064.0330341642</v>
      </c>
      <c r="AC117" s="31" cm="1">
        <f t="array" ref="AC117">AC$106+IF($C117&lt;&gt;0,SUMPRODUCT((AC$107:AC$108)*TRANSPOSE(($D117:$E117))),0)</f>
        <v>1709064.0330341642</v>
      </c>
      <c r="AD117" s="31" cm="1">
        <f t="array" ref="AD117">AD$106+IF($C117&lt;&gt;0,SUMPRODUCT((AD$107:AD$108)*TRANSPOSE(($D117:$E117))),0)</f>
        <v>1709064.0330341642</v>
      </c>
      <c r="AE117" s="31" cm="1">
        <f t="array" ref="AE117">AE$106+IF($C117&lt;&gt;0,SUMPRODUCT((AE$107:AE$108)*TRANSPOSE(($D117:$E117))),0)</f>
        <v>1709064.0330341642</v>
      </c>
      <c r="AF117" s="31" cm="1">
        <f t="array" ref="AF117">AF$106+IF($C117&lt;&gt;0,SUMPRODUCT((AF$107:AF$108)*TRANSPOSE(($D117:$E117))),0)</f>
        <v>1709064.0330341642</v>
      </c>
      <c r="AG117" s="31" cm="1">
        <f t="array" ref="AG117">AG$106+IF($C117&lt;&gt;0,SUMPRODUCT((AG$107:AG$108)*TRANSPOSE(($D117:$E117))),0)</f>
        <v>1709064.0330341642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I14" sqref="I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TRG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 t="str">
        <f>INDEX(Assumptions!$E$14:$E$18, MATCH(A3,_xlfn.ANCHORARRAY( Assumptions!$C$14),0))</f>
        <v>New REFCL and feeder transfers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254</v>
      </c>
      <c r="D14"/>
      <c r="E14" s="148">
        <v>50</v>
      </c>
      <c r="G14" s="207">
        <f>input_dollars</f>
        <v>45291</v>
      </c>
      <c r="H14" s="149"/>
      <c r="I14" s="32">
        <v>0</v>
      </c>
      <c r="J14" s="32">
        <v>0</v>
      </c>
      <c r="K14" s="32">
        <v>5000000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5000000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45911.033992475495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B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>SUM(AC28:AC34)</f>
        <v>0</v>
      </c>
      <c r="AD36" s="170">
        <f>SUM(AD28:AD34)</f>
        <v>0</v>
      </c>
      <c r="AE36" s="170">
        <f>SUM(AE28:AE34)</f>
        <v>0</v>
      </c>
      <c r="AF36" s="170">
        <f>SUM(AF28:AF34)</f>
        <v>0</v>
      </c>
      <c r="AG36" s="170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4000000</v>
      </c>
      <c r="M64" s="132">
        <f>(1-INDEX(Data!$C$9:$C$13, MATCH($A$3, options,0)))*('Option1 (base case)'!M36-M36)</f>
        <v>2007500</v>
      </c>
      <c r="N64" s="132">
        <f>(1-INDEX(Data!$C$9:$C$13, MATCH($A$3, options,0)))*('Option1 (base case)'!N36-N36)</f>
        <v>2007500</v>
      </c>
      <c r="O64" s="132">
        <f>(1-INDEX(Data!$C$9:$C$13, MATCH($A$3, options,0)))*('Option1 (base case)'!O36-O36)</f>
        <v>2007500</v>
      </c>
      <c r="P64" s="132">
        <f>(1-INDEX(Data!$C$9:$C$13, MATCH($A$3, options,0)))*('Option1 (base case)'!P36-P36)</f>
        <v>2007500</v>
      </c>
      <c r="Q64" s="132">
        <f>(1-INDEX(Data!$C$9:$C$13, MATCH($A$3, options,0)))*('Option1 (base case)'!Q36-Q36)</f>
        <v>2007500</v>
      </c>
      <c r="R64" s="132">
        <f>(1-INDEX(Data!$C$9:$C$13, MATCH($A$3, options,0)))*('Option1 (base case)'!R36-R36)</f>
        <v>2007500</v>
      </c>
      <c r="S64" s="132">
        <f>(1-INDEX(Data!$C$9:$C$13, MATCH($A$3, options,0)))*('Option1 (base case)'!S36-S36)</f>
        <v>2007500</v>
      </c>
      <c r="T64" s="132">
        <f>(1-INDEX(Data!$C$9:$C$13, MATCH($A$3, options,0)))*('Option1 (base case)'!T36-T36)</f>
        <v>2007500</v>
      </c>
      <c r="U64" s="132">
        <f>(1-INDEX(Data!$C$9:$C$13, MATCH($A$3, options,0)))*('Option1 (base case)'!U36-U36)</f>
        <v>2007500</v>
      </c>
      <c r="V64" s="132">
        <f>(1-INDEX(Data!$C$9:$C$13, MATCH($A$3, options,0)))*('Option1 (base case)'!V36-V36)</f>
        <v>2007500</v>
      </c>
      <c r="W64" s="132">
        <f>(1-INDEX(Data!$C$9:$C$13, MATCH($A$3, options,0)))*('Option1 (base case)'!W36-W36)</f>
        <v>2007500</v>
      </c>
      <c r="X64" s="132">
        <f>(1-INDEX(Data!$C$9:$C$13, MATCH($A$3, options,0)))*('Option1 (base case)'!X36-X36)</f>
        <v>2007500</v>
      </c>
      <c r="Y64" s="132">
        <f>(1-INDEX(Data!$C$9:$C$13, MATCH($A$3, options,0)))*('Option1 (base case)'!Y36-Y36)</f>
        <v>2007500</v>
      </c>
      <c r="Z64" s="132">
        <f>(1-INDEX(Data!$C$9:$C$13, MATCH($A$3, options,0)))*('Option1 (base case)'!Z36-Z36)</f>
        <v>2007500</v>
      </c>
      <c r="AA64" s="132">
        <f>(1-INDEX(Data!$C$9:$C$13, MATCH($A$3, options,0)))*('Option1 (base case)'!AA36-AA36)</f>
        <v>2007500</v>
      </c>
      <c r="AB64" s="132">
        <f>(1-INDEX(Data!$C$9:$C$13, MATCH($A$3, options,0)))*('Option1 (base case)'!AB36-AB36)</f>
        <v>2007500</v>
      </c>
      <c r="AC64" s="132">
        <f>(1-INDEX(Data!$C$9:$C$13, MATCH($A$3, options,0)))*('Option1 (base case)'!AC36-AC36)</f>
        <v>2007500</v>
      </c>
      <c r="AD64" s="132">
        <f>(1-INDEX(Data!$C$9:$C$13, MATCH($A$3, options,0)))*('Option1 (base case)'!AD36-AD36)</f>
        <v>2007500</v>
      </c>
      <c r="AE64" s="132">
        <f>(1-INDEX(Data!$C$9:$C$13, MATCH($A$3, options,0)))*('Option1 (base case)'!AE36-AE36)</f>
        <v>2007500</v>
      </c>
      <c r="AF64" s="132">
        <f>(1-INDEX(Data!$C$9:$C$13, MATCH($A$3, options,0)))*('Option1 (base case)'!AF36-AF36)</f>
        <v>2007500</v>
      </c>
      <c r="AG64" s="132">
        <f>(1-INDEX(Data!$C$9:$C$13, MATCH($A$3, options,0)))*('Option1 (base case)'!AG36-AG36)</f>
        <v>2007500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New REFCL and feeder transfers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-5000000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New REFCL and feeder transfers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-5000000</v>
      </c>
      <c r="L72" s="119" cm="1">
        <f t="array" ref="L72">SUMPRODUCT(($I67:L67))-SUMPRODUCT(($I67:L67)*($I$6:L$6&lt;=(L$6-$E14)))</f>
        <v>-5000000</v>
      </c>
      <c r="M72" s="119" cm="1">
        <f t="array" ref="M72">SUMPRODUCT(($I67:M67))-SUMPRODUCT(($I67:M67)*($I$6:M$6&lt;=(M$6-$E14)))</f>
        <v>-5000000</v>
      </c>
      <c r="N72" s="119" cm="1">
        <f t="array" ref="N72">SUMPRODUCT(($I67:N67))-SUMPRODUCT(($I67:N67)*($I$6:N$6&lt;=(N$6-$E14)))</f>
        <v>-5000000</v>
      </c>
      <c r="O72" s="119" cm="1">
        <f t="array" ref="O72">SUMPRODUCT(($I67:O67))-SUMPRODUCT(($I67:O67)*($I$6:O$6&lt;=(O$6-$E14)))</f>
        <v>-5000000</v>
      </c>
      <c r="P72" s="119" cm="1">
        <f t="array" ref="P72">SUMPRODUCT(($I67:P67))-SUMPRODUCT(($I67:P67)*($I$6:P$6&lt;=(P$6-$E14)))</f>
        <v>-5000000</v>
      </c>
      <c r="Q72" s="119" cm="1">
        <f t="array" ref="Q72">SUMPRODUCT(($I67:Q67))-SUMPRODUCT(($I67:Q67)*($I$6:Q$6&lt;=(Q$6-$E14)))</f>
        <v>-5000000</v>
      </c>
      <c r="R72" s="119" cm="1">
        <f t="array" ref="R72">SUMPRODUCT(($I67:R67))-SUMPRODUCT(($I67:R67)*($I$6:R$6&lt;=(R$6-$E14)))</f>
        <v>-5000000</v>
      </c>
      <c r="S72" s="119" cm="1">
        <f t="array" ref="S72">SUMPRODUCT(($I67:S67))-SUMPRODUCT(($I67:S67)*($I$6:S$6&lt;=(S$6-$E14)))</f>
        <v>-5000000</v>
      </c>
      <c r="T72" s="119" cm="1">
        <f t="array" ref="T72">SUMPRODUCT(($I67:T67))-SUMPRODUCT(($I67:T67)*($I$6:T$6&lt;=(T$6-$E14)))</f>
        <v>-5000000</v>
      </c>
      <c r="U72" s="119" cm="1">
        <f t="array" ref="U72">SUMPRODUCT(($I67:U67))-SUMPRODUCT(($I67:U67)*($I$6:U$6&lt;=(U$6-$E14)))</f>
        <v>-5000000</v>
      </c>
      <c r="V72" s="119" cm="1">
        <f t="array" ref="V72">SUMPRODUCT(($I67:V67))-SUMPRODUCT(($I67:V67)*($I$6:V$6&lt;=(V$6-$E14)))</f>
        <v>-5000000</v>
      </c>
      <c r="W72" s="119" cm="1">
        <f t="array" ref="W72">SUMPRODUCT(($I67:W67))-SUMPRODUCT(($I67:W67)*($I$6:W$6&lt;=(W$6-$E14)))</f>
        <v>-5000000</v>
      </c>
      <c r="X72" s="119" cm="1">
        <f t="array" ref="X72">SUMPRODUCT(($I67:X67))-SUMPRODUCT(($I67:X67)*($I$6:X$6&lt;=(X$6-$E14)))</f>
        <v>-5000000</v>
      </c>
      <c r="Y72" s="119" cm="1">
        <f t="array" ref="Y72">SUMPRODUCT(($I67:Y67))-SUMPRODUCT(($I67:Y67)*($I$6:Y$6&lt;=(Y$6-$E14)))</f>
        <v>-5000000</v>
      </c>
      <c r="Z72" s="119" cm="1">
        <f t="array" ref="Z72">SUMPRODUCT(($I67:Z67))-SUMPRODUCT(($I67:Z67)*($I$6:Z$6&lt;=(Z$6-$E14)))</f>
        <v>-5000000</v>
      </c>
      <c r="AA72" s="119" cm="1">
        <f t="array" ref="AA72">SUMPRODUCT(($I67:AA67))-SUMPRODUCT(($I67:AA67)*($I$6:AA$6&lt;=(AA$6-$E14)))</f>
        <v>-5000000</v>
      </c>
      <c r="AB72" s="119" cm="1">
        <f t="array" ref="AB72">SUMPRODUCT(($I67:AB67))-SUMPRODUCT(($I67:AB67)*($I$6:AB$6&lt;=(AB$6-$E14)))</f>
        <v>-5000000</v>
      </c>
      <c r="AC72" s="119" cm="1">
        <f t="array" ref="AC72">SUMPRODUCT(($I67:AC67))-SUMPRODUCT(($I67:AC67)*($I$6:AC$6&lt;=(AC$6-$E14)))</f>
        <v>-5000000</v>
      </c>
      <c r="AD72" s="119" cm="1">
        <f t="array" ref="AD72">SUMPRODUCT(($I67:AD67))-SUMPRODUCT(($I67:AD67)*($I$6:AD$6&lt;=(AD$6-$E14)))</f>
        <v>-5000000</v>
      </c>
      <c r="AE72" s="119" cm="1">
        <f t="array" ref="AE72">SUMPRODUCT(($I67:AE67))-SUMPRODUCT(($I67:AE67)*($I$6:AE$6&lt;=(AE$6-$E14)))</f>
        <v>-5000000</v>
      </c>
      <c r="AF72" s="119" cm="1">
        <f t="array" ref="AF72">SUMPRODUCT(($I67:AF67))-SUMPRODUCT(($I67:AF67)*($I$6:AF$6&lt;=(AF$6-$E14)))</f>
        <v>-5000000</v>
      </c>
      <c r="AG72" s="119" cm="1">
        <f t="array" ref="AG72">SUMPRODUCT(($I67:AG67))-SUMPRODUCT(($I67:AG67)*($I$6:AG$6&lt;=(AG$6-$E14)))</f>
        <v>-5000000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New REFCL and feeder transfers</v>
      </c>
      <c r="D77" s="38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-213168.54783273992</v>
      </c>
      <c r="M77" s="119">
        <f t="shared" si="8"/>
        <v>-213168.54783273992</v>
      </c>
      <c r="N77" s="119">
        <f t="shared" si="8"/>
        <v>-213168.54783273992</v>
      </c>
      <c r="O77" s="119">
        <f t="shared" si="8"/>
        <v>-213168.54783273992</v>
      </c>
      <c r="P77" s="119">
        <f t="shared" si="8"/>
        <v>-213168.54783273992</v>
      </c>
      <c r="Q77" s="119">
        <f t="shared" si="8"/>
        <v>-213168.54783273992</v>
      </c>
      <c r="R77" s="119">
        <f t="shared" si="8"/>
        <v>-213168.54783273992</v>
      </c>
      <c r="S77" s="119">
        <f t="shared" si="8"/>
        <v>-213168.54783273992</v>
      </c>
      <c r="T77" s="119">
        <f t="shared" si="8"/>
        <v>-213168.54783273992</v>
      </c>
      <c r="U77" s="119">
        <f t="shared" si="8"/>
        <v>-213168.54783273992</v>
      </c>
      <c r="V77" s="119">
        <f t="shared" si="8"/>
        <v>-213168.54783273992</v>
      </c>
      <c r="W77" s="119">
        <f t="shared" si="8"/>
        <v>-213168.54783273992</v>
      </c>
      <c r="X77" s="119">
        <f t="shared" si="8"/>
        <v>-213168.54783273992</v>
      </c>
      <c r="Y77" s="119">
        <f t="shared" si="8"/>
        <v>-213168.54783273992</v>
      </c>
      <c r="Z77" s="119">
        <f t="shared" si="8"/>
        <v>-213168.54783273992</v>
      </c>
      <c r="AA77" s="119">
        <f t="shared" si="8"/>
        <v>-213168.54783273992</v>
      </c>
      <c r="AB77" s="119">
        <f t="shared" si="8"/>
        <v>-213168.54783273992</v>
      </c>
      <c r="AC77" s="119">
        <f t="shared" si="8"/>
        <v>-213168.54783273992</v>
      </c>
      <c r="AD77" s="119">
        <f t="shared" si="8"/>
        <v>-213168.54783273992</v>
      </c>
      <c r="AE77" s="119">
        <f t="shared" si="8"/>
        <v>-213168.54783273992</v>
      </c>
      <c r="AF77" s="119">
        <f t="shared" si="8"/>
        <v>-213168.54783273992</v>
      </c>
      <c r="AG77" s="119">
        <f t="shared" si="8"/>
        <v>-213168.54783273992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-213168.54783273992</v>
      </c>
      <c r="M80" s="176">
        <f t="shared" si="11"/>
        <v>-213168.54783273992</v>
      </c>
      <c r="N80" s="176">
        <f t="shared" si="11"/>
        <v>-213168.54783273992</v>
      </c>
      <c r="O80" s="176">
        <f t="shared" si="11"/>
        <v>-213168.54783273992</v>
      </c>
      <c r="P80" s="176">
        <f t="shared" si="11"/>
        <v>-213168.54783273992</v>
      </c>
      <c r="Q80" s="176">
        <f t="shared" si="11"/>
        <v>-213168.54783273992</v>
      </c>
      <c r="R80" s="176">
        <f t="shared" si="11"/>
        <v>-213168.54783273992</v>
      </c>
      <c r="S80" s="176">
        <f t="shared" si="11"/>
        <v>-213168.54783273992</v>
      </c>
      <c r="T80" s="176">
        <f t="shared" si="11"/>
        <v>-213168.54783273992</v>
      </c>
      <c r="U80" s="176">
        <f t="shared" si="11"/>
        <v>-213168.54783273992</v>
      </c>
      <c r="V80" s="176">
        <f t="shared" si="11"/>
        <v>-213168.54783273992</v>
      </c>
      <c r="W80" s="176">
        <f t="shared" si="11"/>
        <v>-213168.54783273992</v>
      </c>
      <c r="X80" s="176">
        <f t="shared" si="11"/>
        <v>-213168.54783273992</v>
      </c>
      <c r="Y80" s="176">
        <f t="shared" si="11"/>
        <v>-213168.54783273992</v>
      </c>
      <c r="Z80" s="176">
        <f t="shared" si="11"/>
        <v>-213168.54783273992</v>
      </c>
      <c r="AA80" s="176">
        <f t="shared" si="11"/>
        <v>-213168.54783273992</v>
      </c>
      <c r="AB80" s="176">
        <f t="shared" si="11"/>
        <v>-213168.54783273992</v>
      </c>
      <c r="AC80" s="176">
        <f>SUM(AC77:AC79)</f>
        <v>-213168.54783273992</v>
      </c>
      <c r="AD80" s="176">
        <f>SUM(AD77:AD79)</f>
        <v>-213168.54783273992</v>
      </c>
      <c r="AE80" s="176">
        <f>SUM(AE77:AE79)</f>
        <v>-213168.54783273992</v>
      </c>
      <c r="AF80" s="176">
        <f>SUM(AF77:AF79)</f>
        <v>-213168.54783273992</v>
      </c>
      <c r="AG80" s="176">
        <f>SUM(AG77:AG79)</f>
        <v>-213168.54783273992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-213168.54783273992</v>
      </c>
      <c r="M82" s="119">
        <f t="shared" si="13"/>
        <v>-213168.54783273992</v>
      </c>
      <c r="N82" s="119">
        <f t="shared" si="13"/>
        <v>-213168.54783273992</v>
      </c>
      <c r="O82" s="119">
        <f t="shared" si="13"/>
        <v>-213168.54783273992</v>
      </c>
      <c r="P82" s="119">
        <f t="shared" si="13"/>
        <v>-213168.54783273992</v>
      </c>
      <c r="Q82" s="119">
        <f t="shared" si="13"/>
        <v>-213168.54783273992</v>
      </c>
      <c r="R82" s="119">
        <f t="shared" si="13"/>
        <v>-213168.54783273992</v>
      </c>
      <c r="S82" s="119">
        <f t="shared" si="13"/>
        <v>-213168.54783273992</v>
      </c>
      <c r="T82" s="119">
        <f t="shared" si="13"/>
        <v>-213168.54783273992</v>
      </c>
      <c r="U82" s="119">
        <f t="shared" si="13"/>
        <v>-213168.54783273992</v>
      </c>
      <c r="V82" s="119">
        <f t="shared" si="13"/>
        <v>-213168.54783273992</v>
      </c>
      <c r="W82" s="119">
        <f t="shared" si="13"/>
        <v>-213168.54783273992</v>
      </c>
      <c r="X82" s="119">
        <f t="shared" si="13"/>
        <v>-213168.54783273992</v>
      </c>
      <c r="Y82" s="119">
        <f t="shared" si="13"/>
        <v>-213168.54783273992</v>
      </c>
      <c r="Z82" s="119">
        <f t="shared" si="13"/>
        <v>-213168.54783273992</v>
      </c>
      <c r="AA82" s="119">
        <f t="shared" si="13"/>
        <v>-213168.54783273992</v>
      </c>
      <c r="AB82" s="119">
        <f t="shared" si="13"/>
        <v>-213168.54783273992</v>
      </c>
      <c r="AC82" s="119">
        <f>AC80</f>
        <v>-213168.54783273992</v>
      </c>
      <c r="AD82" s="119">
        <f>AD80</f>
        <v>-213168.54783273992</v>
      </c>
      <c r="AE82" s="119">
        <f>AE80</f>
        <v>-213168.54783273992</v>
      </c>
      <c r="AF82" s="119">
        <f>AF80</f>
        <v>-213168.54783273992</v>
      </c>
      <c r="AG82" s="119">
        <f>AG80</f>
        <v>-213168.54783273992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0</v>
      </c>
      <c r="L84" s="31">
        <f t="shared" si="15"/>
        <v>4000000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 t="shared" si="15"/>
        <v>2007500</v>
      </c>
      <c r="AD84" s="31">
        <f t="shared" si="15"/>
        <v>2007500</v>
      </c>
      <c r="AE84" s="31">
        <f t="shared" si="15"/>
        <v>2007500</v>
      </c>
      <c r="AF84" s="31">
        <f t="shared" si="15"/>
        <v>2007500</v>
      </c>
      <c r="AG84" s="31">
        <f t="shared" si="15"/>
        <v>2007500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3786831.45216726</v>
      </c>
      <c r="M87" s="179">
        <f t="shared" si="17"/>
        <v>1794331.45216726</v>
      </c>
      <c r="N87" s="179">
        <f t="shared" si="17"/>
        <v>1794331.45216726</v>
      </c>
      <c r="O87" s="179">
        <f t="shared" si="17"/>
        <v>1794331.45216726</v>
      </c>
      <c r="P87" s="179">
        <f t="shared" si="17"/>
        <v>1794331.45216726</v>
      </c>
      <c r="Q87" s="179">
        <f t="shared" si="17"/>
        <v>1794331.45216726</v>
      </c>
      <c r="R87" s="179">
        <f t="shared" si="17"/>
        <v>1794331.45216726</v>
      </c>
      <c r="S87" s="179">
        <f t="shared" si="17"/>
        <v>1794331.45216726</v>
      </c>
      <c r="T87" s="179">
        <f t="shared" si="17"/>
        <v>1794331.45216726</v>
      </c>
      <c r="U87" s="179">
        <f t="shared" si="17"/>
        <v>1794331.45216726</v>
      </c>
      <c r="V87" s="179">
        <f t="shared" si="17"/>
        <v>1794331.45216726</v>
      </c>
      <c r="W87" s="179">
        <f t="shared" si="17"/>
        <v>1794331.45216726</v>
      </c>
      <c r="X87" s="179">
        <f t="shared" si="17"/>
        <v>1794331.45216726</v>
      </c>
      <c r="Y87" s="179">
        <f t="shared" si="17"/>
        <v>1794331.45216726</v>
      </c>
      <c r="Z87" s="179">
        <f t="shared" si="17"/>
        <v>1794331.45216726</v>
      </c>
      <c r="AA87" s="179">
        <f t="shared" si="17"/>
        <v>1794331.45216726</v>
      </c>
      <c r="AB87" s="179">
        <f t="shared" si="17"/>
        <v>1794331.45216726</v>
      </c>
      <c r="AC87" s="179">
        <f>SUM(AC82:AC86)</f>
        <v>1794331.45216726</v>
      </c>
      <c r="AD87" s="179">
        <f>SUM(AD82:AD86)</f>
        <v>1794331.45216726</v>
      </c>
      <c r="AE87" s="179">
        <f>SUM(AE82:AE86)</f>
        <v>1794331.45216726</v>
      </c>
      <c r="AF87" s="179">
        <f>SUM(AF82:AF86)</f>
        <v>1794331.45216726</v>
      </c>
      <c r="AG87" s="179">
        <f>SUM(AG82:AG86)</f>
        <v>1794331.45216726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3</v>
      </c>
    </row>
    <row r="94" spans="1:34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3786831.45216726</v>
      </c>
      <c r="M106" s="31">
        <f t="shared" si="18"/>
        <v>1794331.45216726</v>
      </c>
      <c r="N106" s="31">
        <f t="shared" si="18"/>
        <v>1794331.45216726</v>
      </c>
      <c r="O106" s="31">
        <f t="shared" si="18"/>
        <v>1794331.45216726</v>
      </c>
      <c r="P106" s="31">
        <f t="shared" si="18"/>
        <v>1794331.45216726</v>
      </c>
      <c r="Q106" s="31">
        <f t="shared" si="18"/>
        <v>1794331.45216726</v>
      </c>
      <c r="R106" s="31">
        <f t="shared" si="18"/>
        <v>1794331.45216726</v>
      </c>
      <c r="S106" s="31">
        <f t="shared" si="18"/>
        <v>1794331.45216726</v>
      </c>
      <c r="T106" s="31">
        <f t="shared" si="18"/>
        <v>1794331.45216726</v>
      </c>
      <c r="U106" s="31">
        <f t="shared" si="18"/>
        <v>1794331.45216726</v>
      </c>
      <c r="V106" s="31">
        <f t="shared" si="18"/>
        <v>1794331.45216726</v>
      </c>
      <c r="W106" s="31">
        <f t="shared" si="18"/>
        <v>1794331.45216726</v>
      </c>
      <c r="X106" s="31">
        <f t="shared" si="18"/>
        <v>1794331.45216726</v>
      </c>
      <c r="Y106" s="31">
        <f t="shared" si="18"/>
        <v>1794331.45216726</v>
      </c>
      <c r="Z106" s="31">
        <f t="shared" si="18"/>
        <v>1794331.45216726</v>
      </c>
      <c r="AA106" s="31">
        <f t="shared" si="18"/>
        <v>1794331.45216726</v>
      </c>
      <c r="AB106" s="31">
        <f t="shared" si="18"/>
        <v>1794331.45216726</v>
      </c>
      <c r="AC106" s="31">
        <f t="shared" si="18"/>
        <v>1794331.45216726</v>
      </c>
      <c r="AD106" s="31">
        <f t="shared" si="18"/>
        <v>1794331.45216726</v>
      </c>
      <c r="AE106" s="31">
        <f t="shared" si="18"/>
        <v>1794331.45216726</v>
      </c>
      <c r="AF106" s="31">
        <f t="shared" si="18"/>
        <v>1794331.45216726</v>
      </c>
      <c r="AG106" s="31">
        <f t="shared" si="18"/>
        <v>1794331.45216726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-213168.54783273992</v>
      </c>
      <c r="M107" s="31">
        <f t="shared" si="19"/>
        <v>-213168.54783273992</v>
      </c>
      <c r="N107" s="31">
        <f t="shared" si="19"/>
        <v>-213168.54783273992</v>
      </c>
      <c r="O107" s="31">
        <f t="shared" si="19"/>
        <v>-213168.54783273992</v>
      </c>
      <c r="P107" s="31">
        <f t="shared" si="19"/>
        <v>-213168.54783273992</v>
      </c>
      <c r="Q107" s="31">
        <f t="shared" si="19"/>
        <v>-213168.54783273992</v>
      </c>
      <c r="R107" s="31">
        <f t="shared" si="19"/>
        <v>-213168.54783273992</v>
      </c>
      <c r="S107" s="31">
        <f t="shared" si="19"/>
        <v>-213168.54783273992</v>
      </c>
      <c r="T107" s="31">
        <f t="shared" si="19"/>
        <v>-213168.54783273992</v>
      </c>
      <c r="U107" s="31">
        <f t="shared" si="19"/>
        <v>-213168.54783273992</v>
      </c>
      <c r="V107" s="31">
        <f t="shared" si="19"/>
        <v>-213168.54783273992</v>
      </c>
      <c r="W107" s="31">
        <f t="shared" si="19"/>
        <v>-213168.54783273992</v>
      </c>
      <c r="X107" s="31">
        <f t="shared" si="19"/>
        <v>-213168.54783273992</v>
      </c>
      <c r="Y107" s="31">
        <f t="shared" si="19"/>
        <v>-213168.54783273992</v>
      </c>
      <c r="Z107" s="31">
        <f t="shared" si="19"/>
        <v>-213168.54783273992</v>
      </c>
      <c r="AA107" s="31">
        <f t="shared" si="19"/>
        <v>-213168.54783273992</v>
      </c>
      <c r="AB107" s="31">
        <f t="shared" si="19"/>
        <v>-213168.54783273992</v>
      </c>
      <c r="AC107" s="31">
        <f t="shared" si="19"/>
        <v>-213168.54783273992</v>
      </c>
      <c r="AD107" s="31">
        <f t="shared" si="19"/>
        <v>-213168.54783273992</v>
      </c>
      <c r="AE107" s="31">
        <f t="shared" si="19"/>
        <v>-213168.54783273992</v>
      </c>
      <c r="AF107" s="31">
        <f t="shared" si="19"/>
        <v>-213168.54783273992</v>
      </c>
      <c r="AG107" s="31">
        <f t="shared" si="19"/>
        <v>-213168.54783273992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4000000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3765514.5973839862</v>
      </c>
      <c r="M110" s="31" cm="1">
        <f t="array" ref="M110">M$106+IF($C110&lt;&gt;0,SUMPRODUCT((M$107:M$108)*TRANSPOSE(($D110:$E110))),0)</f>
        <v>1773014.597383986</v>
      </c>
      <c r="N110" s="31" cm="1">
        <f t="array" ref="N110">N$106+IF($C110&lt;&gt;0,SUMPRODUCT((N$107:N$108)*TRANSPOSE(($D110:$E110))),0)</f>
        <v>1773014.597383986</v>
      </c>
      <c r="O110" s="31" cm="1">
        <f t="array" ref="O110">O$106+IF($C110&lt;&gt;0,SUMPRODUCT((O$107:O$108)*TRANSPOSE(($D110:$E110))),0)</f>
        <v>1773014.597383986</v>
      </c>
      <c r="P110" s="31" cm="1">
        <f t="array" ref="P110">P$106+IF($C110&lt;&gt;0,SUMPRODUCT((P$107:P$108)*TRANSPOSE(($D110:$E110))),0)</f>
        <v>1773014.597383986</v>
      </c>
      <c r="Q110" s="31" cm="1">
        <f t="array" ref="Q110">Q$106+IF($C110&lt;&gt;0,SUMPRODUCT((Q$107:Q$108)*TRANSPOSE(($D110:$E110))),0)</f>
        <v>1773014.597383986</v>
      </c>
      <c r="R110" s="31" cm="1">
        <f t="array" ref="R110">R$106+IF($C110&lt;&gt;0,SUMPRODUCT((R$107:R$108)*TRANSPOSE(($D110:$E110))),0)</f>
        <v>1773014.597383986</v>
      </c>
      <c r="S110" s="31" cm="1">
        <f t="array" ref="S110">S$106+IF($C110&lt;&gt;0,SUMPRODUCT((S$107:S$108)*TRANSPOSE(($D110:$E110))),0)</f>
        <v>1773014.597383986</v>
      </c>
      <c r="T110" s="31" cm="1">
        <f t="array" ref="T110">T$106+IF($C110&lt;&gt;0,SUMPRODUCT((T$107:T$108)*TRANSPOSE(($D110:$E110))),0)</f>
        <v>1773014.597383986</v>
      </c>
      <c r="U110" s="31" cm="1">
        <f t="array" ref="U110">U$106+IF($C110&lt;&gt;0,SUMPRODUCT((U$107:U$108)*TRANSPOSE(($D110:$E110))),0)</f>
        <v>1773014.597383986</v>
      </c>
      <c r="V110" s="31" cm="1">
        <f t="array" ref="V110">V$106+IF($C110&lt;&gt;0,SUMPRODUCT((V$107:V$108)*TRANSPOSE(($D110:$E110))),0)</f>
        <v>1773014.597383986</v>
      </c>
      <c r="W110" s="31" cm="1">
        <f t="array" ref="W110">W$106+IF($C110&lt;&gt;0,SUMPRODUCT((W$107:W$108)*TRANSPOSE(($D110:$E110))),0)</f>
        <v>1773014.597383986</v>
      </c>
      <c r="X110" s="31" cm="1">
        <f t="array" ref="X110">X$106+IF($C110&lt;&gt;0,SUMPRODUCT((X$107:X$108)*TRANSPOSE(($D110:$E110))),0)</f>
        <v>1773014.597383986</v>
      </c>
      <c r="Y110" s="31" cm="1">
        <f t="array" ref="Y110">Y$106+IF($C110&lt;&gt;0,SUMPRODUCT((Y$107:Y$108)*TRANSPOSE(($D110:$E110))),0)</f>
        <v>1773014.597383986</v>
      </c>
      <c r="Z110" s="31" cm="1">
        <f t="array" ref="Z110">Z$106+IF($C110&lt;&gt;0,SUMPRODUCT((Z$107:Z$108)*TRANSPOSE(($D110:$E110))),0)</f>
        <v>1773014.597383986</v>
      </c>
      <c r="AA110" s="31" cm="1">
        <f t="array" ref="AA110">AA$106+IF($C110&lt;&gt;0,SUMPRODUCT((AA$107:AA$108)*TRANSPOSE(($D110:$E110))),0)</f>
        <v>1773014.597383986</v>
      </c>
      <c r="AB110" s="31" cm="1">
        <f t="array" ref="AB110">AB$106+IF($C110&lt;&gt;0,SUMPRODUCT((AB$107:AB$108)*TRANSPOSE(($D110:$E110))),0)</f>
        <v>1773014.597383986</v>
      </c>
      <c r="AC110" s="31" cm="1">
        <f t="array" ref="AC110">AC$106+IF($C110&lt;&gt;0,SUMPRODUCT((AC$107:AC$108)*TRANSPOSE(($D110:$E110))),0)</f>
        <v>1773014.597383986</v>
      </c>
      <c r="AD110" s="31" cm="1">
        <f t="array" ref="AD110">AD$106+IF($C110&lt;&gt;0,SUMPRODUCT((AD$107:AD$108)*TRANSPOSE(($D110:$E110))),0)</f>
        <v>1773014.597383986</v>
      </c>
      <c r="AE110" s="31" cm="1">
        <f t="array" ref="AE110">AE$106+IF($C110&lt;&gt;0,SUMPRODUCT((AE$107:AE$108)*TRANSPOSE(($D110:$E110))),0)</f>
        <v>1773014.597383986</v>
      </c>
      <c r="AF110" s="31" cm="1">
        <f t="array" ref="AF110">AF$106+IF($C110&lt;&gt;0,SUMPRODUCT((AF$107:AF$108)*TRANSPOSE(($D110:$E110))),0)</f>
        <v>1773014.597383986</v>
      </c>
      <c r="AG110" s="31" cm="1">
        <f t="array" ref="AG110">AG$106+IF($C110&lt;&gt;0,SUMPRODUCT((AG$107:AG$108)*TRANSPOSE(($D110:$E110))),0)</f>
        <v>1773014.597383986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3808148.3069505338</v>
      </c>
      <c r="M111" s="31" cm="1">
        <f t="array" ref="M111">M$106+IF($C111&lt;&gt;0,SUMPRODUCT((M$107:M$108)*TRANSPOSE(($D111:$E111))),0)</f>
        <v>1815648.306950534</v>
      </c>
      <c r="N111" s="31" cm="1">
        <f t="array" ref="N111">N$106+IF($C111&lt;&gt;0,SUMPRODUCT((N$107:N$108)*TRANSPOSE(($D111:$E111))),0)</f>
        <v>1815648.306950534</v>
      </c>
      <c r="O111" s="31" cm="1">
        <f t="array" ref="O111">O$106+IF($C111&lt;&gt;0,SUMPRODUCT((O$107:O$108)*TRANSPOSE(($D111:$E111))),0)</f>
        <v>1815648.306950534</v>
      </c>
      <c r="P111" s="31" cm="1">
        <f t="array" ref="P111">P$106+IF($C111&lt;&gt;0,SUMPRODUCT((P$107:P$108)*TRANSPOSE(($D111:$E111))),0)</f>
        <v>1815648.306950534</v>
      </c>
      <c r="Q111" s="31" cm="1">
        <f t="array" ref="Q111">Q$106+IF($C111&lt;&gt;0,SUMPRODUCT((Q$107:Q$108)*TRANSPOSE(($D111:$E111))),0)</f>
        <v>1815648.306950534</v>
      </c>
      <c r="R111" s="31" cm="1">
        <f t="array" ref="R111">R$106+IF($C111&lt;&gt;0,SUMPRODUCT((R$107:R$108)*TRANSPOSE(($D111:$E111))),0)</f>
        <v>1815648.306950534</v>
      </c>
      <c r="S111" s="31" cm="1">
        <f t="array" ref="S111">S$106+IF($C111&lt;&gt;0,SUMPRODUCT((S$107:S$108)*TRANSPOSE(($D111:$E111))),0)</f>
        <v>1815648.306950534</v>
      </c>
      <c r="T111" s="31" cm="1">
        <f t="array" ref="T111">T$106+IF($C111&lt;&gt;0,SUMPRODUCT((T$107:T$108)*TRANSPOSE(($D111:$E111))),0)</f>
        <v>1815648.306950534</v>
      </c>
      <c r="U111" s="31" cm="1">
        <f t="array" ref="U111">U$106+IF($C111&lt;&gt;0,SUMPRODUCT((U$107:U$108)*TRANSPOSE(($D111:$E111))),0)</f>
        <v>1815648.306950534</v>
      </c>
      <c r="V111" s="31" cm="1">
        <f t="array" ref="V111">V$106+IF($C111&lt;&gt;0,SUMPRODUCT((V$107:V$108)*TRANSPOSE(($D111:$E111))),0)</f>
        <v>1815648.306950534</v>
      </c>
      <c r="W111" s="31" cm="1">
        <f t="array" ref="W111">W$106+IF($C111&lt;&gt;0,SUMPRODUCT((W$107:W$108)*TRANSPOSE(($D111:$E111))),0)</f>
        <v>1815648.306950534</v>
      </c>
      <c r="X111" s="31" cm="1">
        <f t="array" ref="X111">X$106+IF($C111&lt;&gt;0,SUMPRODUCT((X$107:X$108)*TRANSPOSE(($D111:$E111))),0)</f>
        <v>1815648.306950534</v>
      </c>
      <c r="Y111" s="31" cm="1">
        <f t="array" ref="Y111">Y$106+IF($C111&lt;&gt;0,SUMPRODUCT((Y$107:Y$108)*TRANSPOSE(($D111:$E111))),0)</f>
        <v>1815648.306950534</v>
      </c>
      <c r="Z111" s="31" cm="1">
        <f t="array" ref="Z111">Z$106+IF($C111&lt;&gt;0,SUMPRODUCT((Z$107:Z$108)*TRANSPOSE(($D111:$E111))),0)</f>
        <v>1815648.306950534</v>
      </c>
      <c r="AA111" s="31" cm="1">
        <f t="array" ref="AA111">AA$106+IF($C111&lt;&gt;0,SUMPRODUCT((AA$107:AA$108)*TRANSPOSE(($D111:$E111))),0)</f>
        <v>1815648.306950534</v>
      </c>
      <c r="AB111" s="31" cm="1">
        <f t="array" ref="AB111">AB$106+IF($C111&lt;&gt;0,SUMPRODUCT((AB$107:AB$108)*TRANSPOSE(($D111:$E111))),0)</f>
        <v>1815648.306950534</v>
      </c>
      <c r="AC111" s="31" cm="1">
        <f t="array" ref="AC111">AC$106+IF($C111&lt;&gt;0,SUMPRODUCT((AC$107:AC$108)*TRANSPOSE(($D111:$E111))),0)</f>
        <v>1815648.306950534</v>
      </c>
      <c r="AD111" s="31" cm="1">
        <f t="array" ref="AD111">AD$106+IF($C111&lt;&gt;0,SUMPRODUCT((AD$107:AD$108)*TRANSPOSE(($D111:$E111))),0)</f>
        <v>1815648.306950534</v>
      </c>
      <c r="AE111" s="31" cm="1">
        <f t="array" ref="AE111">AE$106+IF($C111&lt;&gt;0,SUMPRODUCT((AE$107:AE$108)*TRANSPOSE(($D111:$E111))),0)</f>
        <v>1815648.306950534</v>
      </c>
      <c r="AF111" s="31" cm="1">
        <f t="array" ref="AF111">AF$106+IF($C111&lt;&gt;0,SUMPRODUCT((AF$107:AF$108)*TRANSPOSE(($D111:$E111))),0)</f>
        <v>1815648.306950534</v>
      </c>
      <c r="AG111" s="31" cm="1">
        <f t="array" ref="AG111">AG$106+IF($C111&lt;&gt;0,SUMPRODUCT((AG$107:AG$108)*TRANSPOSE(($D111:$E111))),0)</f>
        <v>1815648.306950534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4186831.45216726</v>
      </c>
      <c r="M112" s="31" cm="1">
        <f t="array" ref="M112">M$106+IF($C112&lt;&gt;0,SUMPRODUCT((M$107:M$108)*TRANSPOSE(($D112:$E112))),0)</f>
        <v>1995081.45216726</v>
      </c>
      <c r="N112" s="31" cm="1">
        <f t="array" ref="N112">N$106+IF($C112&lt;&gt;0,SUMPRODUCT((N$107:N$108)*TRANSPOSE(($D112:$E112))),0)</f>
        <v>1995081.45216726</v>
      </c>
      <c r="O112" s="31" cm="1">
        <f t="array" ref="O112">O$106+IF($C112&lt;&gt;0,SUMPRODUCT((O$107:O$108)*TRANSPOSE(($D112:$E112))),0)</f>
        <v>1995081.45216726</v>
      </c>
      <c r="P112" s="31" cm="1">
        <f t="array" ref="P112">P$106+IF($C112&lt;&gt;0,SUMPRODUCT((P$107:P$108)*TRANSPOSE(($D112:$E112))),0)</f>
        <v>1995081.45216726</v>
      </c>
      <c r="Q112" s="31" cm="1">
        <f t="array" ref="Q112">Q$106+IF($C112&lt;&gt;0,SUMPRODUCT((Q$107:Q$108)*TRANSPOSE(($D112:$E112))),0)</f>
        <v>1995081.45216726</v>
      </c>
      <c r="R112" s="31" cm="1">
        <f t="array" ref="R112">R$106+IF($C112&lt;&gt;0,SUMPRODUCT((R$107:R$108)*TRANSPOSE(($D112:$E112))),0)</f>
        <v>1995081.45216726</v>
      </c>
      <c r="S112" s="31" cm="1">
        <f t="array" ref="S112">S$106+IF($C112&lt;&gt;0,SUMPRODUCT((S$107:S$108)*TRANSPOSE(($D112:$E112))),0)</f>
        <v>1995081.45216726</v>
      </c>
      <c r="T112" s="31" cm="1">
        <f t="array" ref="T112">T$106+IF($C112&lt;&gt;0,SUMPRODUCT((T$107:T$108)*TRANSPOSE(($D112:$E112))),0)</f>
        <v>1995081.45216726</v>
      </c>
      <c r="U112" s="31" cm="1">
        <f t="array" ref="U112">U$106+IF($C112&lt;&gt;0,SUMPRODUCT((U$107:U$108)*TRANSPOSE(($D112:$E112))),0)</f>
        <v>1995081.45216726</v>
      </c>
      <c r="V112" s="31" cm="1">
        <f t="array" ref="V112">V$106+IF($C112&lt;&gt;0,SUMPRODUCT((V$107:V$108)*TRANSPOSE(($D112:$E112))),0)</f>
        <v>1995081.45216726</v>
      </c>
      <c r="W112" s="31" cm="1">
        <f t="array" ref="W112">W$106+IF($C112&lt;&gt;0,SUMPRODUCT((W$107:W$108)*TRANSPOSE(($D112:$E112))),0)</f>
        <v>1995081.45216726</v>
      </c>
      <c r="X112" s="31" cm="1">
        <f t="array" ref="X112">X$106+IF($C112&lt;&gt;0,SUMPRODUCT((X$107:X$108)*TRANSPOSE(($D112:$E112))),0)</f>
        <v>1995081.45216726</v>
      </c>
      <c r="Y112" s="31" cm="1">
        <f t="array" ref="Y112">Y$106+IF($C112&lt;&gt;0,SUMPRODUCT((Y$107:Y$108)*TRANSPOSE(($D112:$E112))),0)</f>
        <v>1995081.45216726</v>
      </c>
      <c r="Z112" s="31" cm="1">
        <f t="array" ref="Z112">Z$106+IF($C112&lt;&gt;0,SUMPRODUCT((Z$107:Z$108)*TRANSPOSE(($D112:$E112))),0)</f>
        <v>1995081.45216726</v>
      </c>
      <c r="AA112" s="31" cm="1">
        <f t="array" ref="AA112">AA$106+IF($C112&lt;&gt;0,SUMPRODUCT((AA$107:AA$108)*TRANSPOSE(($D112:$E112))),0)</f>
        <v>1995081.45216726</v>
      </c>
      <c r="AB112" s="31" cm="1">
        <f t="array" ref="AB112">AB$106+IF($C112&lt;&gt;0,SUMPRODUCT((AB$107:AB$108)*TRANSPOSE(($D112:$E112))),0)</f>
        <v>1995081.45216726</v>
      </c>
      <c r="AC112" s="31" cm="1">
        <f t="array" ref="AC112">AC$106+IF($C112&lt;&gt;0,SUMPRODUCT((AC$107:AC$108)*TRANSPOSE(($D112:$E112))),0)</f>
        <v>1995081.45216726</v>
      </c>
      <c r="AD112" s="31" cm="1">
        <f t="array" ref="AD112">AD$106+IF($C112&lt;&gt;0,SUMPRODUCT((AD$107:AD$108)*TRANSPOSE(($D112:$E112))),0)</f>
        <v>1995081.45216726</v>
      </c>
      <c r="AE112" s="31" cm="1">
        <f t="array" ref="AE112">AE$106+IF($C112&lt;&gt;0,SUMPRODUCT((AE$107:AE$108)*TRANSPOSE(($D112:$E112))),0)</f>
        <v>1995081.45216726</v>
      </c>
      <c r="AF112" s="31" cm="1">
        <f t="array" ref="AF112">AF$106+IF($C112&lt;&gt;0,SUMPRODUCT((AF$107:AF$108)*TRANSPOSE(($D112:$E112))),0)</f>
        <v>1995081.45216726</v>
      </c>
      <c r="AG112" s="31" cm="1">
        <f t="array" ref="AG112">AG$106+IF($C112&lt;&gt;0,SUMPRODUCT((AG$107:AG$108)*TRANSPOSE(($D112:$E112))),0)</f>
        <v>1995081.45216726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3386831.45216726</v>
      </c>
      <c r="M113" s="31" cm="1">
        <f t="array" ref="M113">M$106+IF($C113&lt;&gt;0,SUMPRODUCT((M$107:M$108)*TRANSPOSE(($D113:$E113))),0)</f>
        <v>1593581.45216726</v>
      </c>
      <c r="N113" s="31" cm="1">
        <f t="array" ref="N113">N$106+IF($C113&lt;&gt;0,SUMPRODUCT((N$107:N$108)*TRANSPOSE(($D113:$E113))),0)</f>
        <v>1593581.45216726</v>
      </c>
      <c r="O113" s="31" cm="1">
        <f t="array" ref="O113">O$106+IF($C113&lt;&gt;0,SUMPRODUCT((O$107:O$108)*TRANSPOSE(($D113:$E113))),0)</f>
        <v>1593581.45216726</v>
      </c>
      <c r="P113" s="31" cm="1">
        <f t="array" ref="P113">P$106+IF($C113&lt;&gt;0,SUMPRODUCT((P$107:P$108)*TRANSPOSE(($D113:$E113))),0)</f>
        <v>1593581.45216726</v>
      </c>
      <c r="Q113" s="31" cm="1">
        <f t="array" ref="Q113">Q$106+IF($C113&lt;&gt;0,SUMPRODUCT((Q$107:Q$108)*TRANSPOSE(($D113:$E113))),0)</f>
        <v>1593581.45216726</v>
      </c>
      <c r="R113" s="31" cm="1">
        <f t="array" ref="R113">R$106+IF($C113&lt;&gt;0,SUMPRODUCT((R$107:R$108)*TRANSPOSE(($D113:$E113))),0)</f>
        <v>1593581.45216726</v>
      </c>
      <c r="S113" s="31" cm="1">
        <f t="array" ref="S113">S$106+IF($C113&lt;&gt;0,SUMPRODUCT((S$107:S$108)*TRANSPOSE(($D113:$E113))),0)</f>
        <v>1593581.45216726</v>
      </c>
      <c r="T113" s="31" cm="1">
        <f t="array" ref="T113">T$106+IF($C113&lt;&gt;0,SUMPRODUCT((T$107:T$108)*TRANSPOSE(($D113:$E113))),0)</f>
        <v>1593581.45216726</v>
      </c>
      <c r="U113" s="31" cm="1">
        <f t="array" ref="U113">U$106+IF($C113&lt;&gt;0,SUMPRODUCT((U$107:U$108)*TRANSPOSE(($D113:$E113))),0)</f>
        <v>1593581.45216726</v>
      </c>
      <c r="V113" s="31" cm="1">
        <f t="array" ref="V113">V$106+IF($C113&lt;&gt;0,SUMPRODUCT((V$107:V$108)*TRANSPOSE(($D113:$E113))),0)</f>
        <v>1593581.45216726</v>
      </c>
      <c r="W113" s="31" cm="1">
        <f t="array" ref="W113">W$106+IF($C113&lt;&gt;0,SUMPRODUCT((W$107:W$108)*TRANSPOSE(($D113:$E113))),0)</f>
        <v>1593581.45216726</v>
      </c>
      <c r="X113" s="31" cm="1">
        <f t="array" ref="X113">X$106+IF($C113&lt;&gt;0,SUMPRODUCT((X$107:X$108)*TRANSPOSE(($D113:$E113))),0)</f>
        <v>1593581.45216726</v>
      </c>
      <c r="Y113" s="31" cm="1">
        <f t="array" ref="Y113">Y$106+IF($C113&lt;&gt;0,SUMPRODUCT((Y$107:Y$108)*TRANSPOSE(($D113:$E113))),0)</f>
        <v>1593581.45216726</v>
      </c>
      <c r="Z113" s="31" cm="1">
        <f t="array" ref="Z113">Z$106+IF($C113&lt;&gt;0,SUMPRODUCT((Z$107:Z$108)*TRANSPOSE(($D113:$E113))),0)</f>
        <v>1593581.45216726</v>
      </c>
      <c r="AA113" s="31" cm="1">
        <f t="array" ref="AA113">AA$106+IF($C113&lt;&gt;0,SUMPRODUCT((AA$107:AA$108)*TRANSPOSE(($D113:$E113))),0)</f>
        <v>1593581.45216726</v>
      </c>
      <c r="AB113" s="31" cm="1">
        <f t="array" ref="AB113">AB$106+IF($C113&lt;&gt;0,SUMPRODUCT((AB$107:AB$108)*TRANSPOSE(($D113:$E113))),0)</f>
        <v>1593581.45216726</v>
      </c>
      <c r="AC113" s="31" cm="1">
        <f t="array" ref="AC113">AC$106+IF($C113&lt;&gt;0,SUMPRODUCT((AC$107:AC$108)*TRANSPOSE(($D113:$E113))),0)</f>
        <v>1593581.45216726</v>
      </c>
      <c r="AD113" s="31" cm="1">
        <f t="array" ref="AD113">AD$106+IF($C113&lt;&gt;0,SUMPRODUCT((AD$107:AD$108)*TRANSPOSE(($D113:$E113))),0)</f>
        <v>1593581.45216726</v>
      </c>
      <c r="AE113" s="31" cm="1">
        <f t="array" ref="AE113">AE$106+IF($C113&lt;&gt;0,SUMPRODUCT((AE$107:AE$108)*TRANSPOSE(($D113:$E113))),0)</f>
        <v>1593581.45216726</v>
      </c>
      <c r="AF113" s="31" cm="1">
        <f t="array" ref="AF113">AF$106+IF($C113&lt;&gt;0,SUMPRODUCT((AF$107:AF$108)*TRANSPOSE(($D113:$E113))),0)</f>
        <v>1593581.45216726</v>
      </c>
      <c r="AG113" s="31" cm="1">
        <f t="array" ref="AG113">AG$106+IF($C113&lt;&gt;0,SUMPRODUCT((AG$107:AG$108)*TRANSPOSE(($D113:$E113))),0)</f>
        <v>1593581.45216726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3365514.5973839862</v>
      </c>
      <c r="M114" s="31" cm="1">
        <f t="array" ref="M114">M$106+IF($C114&lt;&gt;0,SUMPRODUCT((M$107:M$108)*TRANSPOSE(($D114:$E114))),0)</f>
        <v>1572264.597383986</v>
      </c>
      <c r="N114" s="31" cm="1">
        <f t="array" ref="N114">N$106+IF($C114&lt;&gt;0,SUMPRODUCT((N$107:N$108)*TRANSPOSE(($D114:$E114))),0)</f>
        <v>1572264.597383986</v>
      </c>
      <c r="O114" s="31" cm="1">
        <f t="array" ref="O114">O$106+IF($C114&lt;&gt;0,SUMPRODUCT((O$107:O$108)*TRANSPOSE(($D114:$E114))),0)</f>
        <v>1572264.597383986</v>
      </c>
      <c r="P114" s="31" cm="1">
        <f t="array" ref="P114">P$106+IF($C114&lt;&gt;0,SUMPRODUCT((P$107:P$108)*TRANSPOSE(($D114:$E114))),0)</f>
        <v>1572264.597383986</v>
      </c>
      <c r="Q114" s="31" cm="1">
        <f t="array" ref="Q114">Q$106+IF($C114&lt;&gt;0,SUMPRODUCT((Q$107:Q$108)*TRANSPOSE(($D114:$E114))),0)</f>
        <v>1572264.597383986</v>
      </c>
      <c r="R114" s="31" cm="1">
        <f t="array" ref="R114">R$106+IF($C114&lt;&gt;0,SUMPRODUCT((R$107:R$108)*TRANSPOSE(($D114:$E114))),0)</f>
        <v>1572264.597383986</v>
      </c>
      <c r="S114" s="31" cm="1">
        <f t="array" ref="S114">S$106+IF($C114&lt;&gt;0,SUMPRODUCT((S$107:S$108)*TRANSPOSE(($D114:$E114))),0)</f>
        <v>1572264.597383986</v>
      </c>
      <c r="T114" s="31" cm="1">
        <f t="array" ref="T114">T$106+IF($C114&lt;&gt;0,SUMPRODUCT((T$107:T$108)*TRANSPOSE(($D114:$E114))),0)</f>
        <v>1572264.597383986</v>
      </c>
      <c r="U114" s="31" cm="1">
        <f t="array" ref="U114">U$106+IF($C114&lt;&gt;0,SUMPRODUCT((U$107:U$108)*TRANSPOSE(($D114:$E114))),0)</f>
        <v>1572264.597383986</v>
      </c>
      <c r="V114" s="31" cm="1">
        <f t="array" ref="V114">V$106+IF($C114&lt;&gt;0,SUMPRODUCT((V$107:V$108)*TRANSPOSE(($D114:$E114))),0)</f>
        <v>1572264.597383986</v>
      </c>
      <c r="W114" s="31" cm="1">
        <f t="array" ref="W114">W$106+IF($C114&lt;&gt;0,SUMPRODUCT((W$107:W$108)*TRANSPOSE(($D114:$E114))),0)</f>
        <v>1572264.597383986</v>
      </c>
      <c r="X114" s="31" cm="1">
        <f t="array" ref="X114">X$106+IF($C114&lt;&gt;0,SUMPRODUCT((X$107:X$108)*TRANSPOSE(($D114:$E114))),0)</f>
        <v>1572264.597383986</v>
      </c>
      <c r="Y114" s="31" cm="1">
        <f t="array" ref="Y114">Y$106+IF($C114&lt;&gt;0,SUMPRODUCT((Y$107:Y$108)*TRANSPOSE(($D114:$E114))),0)</f>
        <v>1572264.597383986</v>
      </c>
      <c r="Z114" s="31" cm="1">
        <f t="array" ref="Z114">Z$106+IF($C114&lt;&gt;0,SUMPRODUCT((Z$107:Z$108)*TRANSPOSE(($D114:$E114))),0)</f>
        <v>1572264.597383986</v>
      </c>
      <c r="AA114" s="31" cm="1">
        <f t="array" ref="AA114">AA$106+IF($C114&lt;&gt;0,SUMPRODUCT((AA$107:AA$108)*TRANSPOSE(($D114:$E114))),0)</f>
        <v>1572264.597383986</v>
      </c>
      <c r="AB114" s="31" cm="1">
        <f t="array" ref="AB114">AB$106+IF($C114&lt;&gt;0,SUMPRODUCT((AB$107:AB$108)*TRANSPOSE(($D114:$E114))),0)</f>
        <v>1572264.597383986</v>
      </c>
      <c r="AC114" s="31" cm="1">
        <f t="array" ref="AC114">AC$106+IF($C114&lt;&gt;0,SUMPRODUCT((AC$107:AC$108)*TRANSPOSE(($D114:$E114))),0)</f>
        <v>1572264.597383986</v>
      </c>
      <c r="AD114" s="31" cm="1">
        <f t="array" ref="AD114">AD$106+IF($C114&lt;&gt;0,SUMPRODUCT((AD$107:AD$108)*TRANSPOSE(($D114:$E114))),0)</f>
        <v>1572264.597383986</v>
      </c>
      <c r="AE114" s="31" cm="1">
        <f t="array" ref="AE114">AE$106+IF($C114&lt;&gt;0,SUMPRODUCT((AE$107:AE$108)*TRANSPOSE(($D114:$E114))),0)</f>
        <v>1572264.597383986</v>
      </c>
      <c r="AF114" s="31" cm="1">
        <f t="array" ref="AF114">AF$106+IF($C114&lt;&gt;0,SUMPRODUCT((AF$107:AF$108)*TRANSPOSE(($D114:$E114))),0)</f>
        <v>1572264.597383986</v>
      </c>
      <c r="AG114" s="31" cm="1">
        <f t="array" ref="AG114">AG$106+IF($C114&lt;&gt;0,SUMPRODUCT((AG$107:AG$108)*TRANSPOSE(($D114:$E114))),0)</f>
        <v>1572264.597383986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3786831.45216726</v>
      </c>
      <c r="M115" s="31" cm="1">
        <f t="array" ref="M115">M$106+IF($C115&lt;&gt;0,SUMPRODUCT((M$107:M$108)*TRANSPOSE(($D115:$E115))),0)</f>
        <v>1794331.45216726</v>
      </c>
      <c r="N115" s="31" cm="1">
        <f t="array" ref="N115">N$106+IF($C115&lt;&gt;0,SUMPRODUCT((N$107:N$108)*TRANSPOSE(($D115:$E115))),0)</f>
        <v>1794331.45216726</v>
      </c>
      <c r="O115" s="31" cm="1">
        <f t="array" ref="O115">O$106+IF($C115&lt;&gt;0,SUMPRODUCT((O$107:O$108)*TRANSPOSE(($D115:$E115))),0)</f>
        <v>1794331.45216726</v>
      </c>
      <c r="P115" s="31" cm="1">
        <f t="array" ref="P115">P$106+IF($C115&lt;&gt;0,SUMPRODUCT((P$107:P$108)*TRANSPOSE(($D115:$E115))),0)</f>
        <v>1794331.45216726</v>
      </c>
      <c r="Q115" s="31" cm="1">
        <f t="array" ref="Q115">Q$106+IF($C115&lt;&gt;0,SUMPRODUCT((Q$107:Q$108)*TRANSPOSE(($D115:$E115))),0)</f>
        <v>1794331.45216726</v>
      </c>
      <c r="R115" s="31" cm="1">
        <f t="array" ref="R115">R$106+IF($C115&lt;&gt;0,SUMPRODUCT((R$107:R$108)*TRANSPOSE(($D115:$E115))),0)</f>
        <v>1794331.45216726</v>
      </c>
      <c r="S115" s="31" cm="1">
        <f t="array" ref="S115">S$106+IF($C115&lt;&gt;0,SUMPRODUCT((S$107:S$108)*TRANSPOSE(($D115:$E115))),0)</f>
        <v>1794331.45216726</v>
      </c>
      <c r="T115" s="31" cm="1">
        <f t="array" ref="T115">T$106+IF($C115&lt;&gt;0,SUMPRODUCT((T$107:T$108)*TRANSPOSE(($D115:$E115))),0)</f>
        <v>1794331.45216726</v>
      </c>
      <c r="U115" s="31" cm="1">
        <f t="array" ref="U115">U$106+IF($C115&lt;&gt;0,SUMPRODUCT((U$107:U$108)*TRANSPOSE(($D115:$E115))),0)</f>
        <v>1794331.45216726</v>
      </c>
      <c r="V115" s="31" cm="1">
        <f t="array" ref="V115">V$106+IF($C115&lt;&gt;0,SUMPRODUCT((V$107:V$108)*TRANSPOSE(($D115:$E115))),0)</f>
        <v>1794331.45216726</v>
      </c>
      <c r="W115" s="31" cm="1">
        <f t="array" ref="W115">W$106+IF($C115&lt;&gt;0,SUMPRODUCT((W$107:W$108)*TRANSPOSE(($D115:$E115))),0)</f>
        <v>1794331.45216726</v>
      </c>
      <c r="X115" s="31" cm="1">
        <f t="array" ref="X115">X$106+IF($C115&lt;&gt;0,SUMPRODUCT((X$107:X$108)*TRANSPOSE(($D115:$E115))),0)</f>
        <v>1794331.45216726</v>
      </c>
      <c r="Y115" s="31" cm="1">
        <f t="array" ref="Y115">Y$106+IF($C115&lt;&gt;0,SUMPRODUCT((Y$107:Y$108)*TRANSPOSE(($D115:$E115))),0)</f>
        <v>1794331.45216726</v>
      </c>
      <c r="Z115" s="31" cm="1">
        <f t="array" ref="Z115">Z$106+IF($C115&lt;&gt;0,SUMPRODUCT((Z$107:Z$108)*TRANSPOSE(($D115:$E115))),0)</f>
        <v>1794331.45216726</v>
      </c>
      <c r="AA115" s="31" cm="1">
        <f t="array" ref="AA115">AA$106+IF($C115&lt;&gt;0,SUMPRODUCT((AA$107:AA$108)*TRANSPOSE(($D115:$E115))),0)</f>
        <v>1794331.45216726</v>
      </c>
      <c r="AB115" s="31" cm="1">
        <f t="array" ref="AB115">AB$106+IF($C115&lt;&gt;0,SUMPRODUCT((AB$107:AB$108)*TRANSPOSE(($D115:$E115))),0)</f>
        <v>1794331.45216726</v>
      </c>
      <c r="AC115" s="31" cm="1">
        <f t="array" ref="AC115">AC$106+IF($C115&lt;&gt;0,SUMPRODUCT((AC$107:AC$108)*TRANSPOSE(($D115:$E115))),0)</f>
        <v>1794331.45216726</v>
      </c>
      <c r="AD115" s="31" cm="1">
        <f t="array" ref="AD115">AD$106+IF($C115&lt;&gt;0,SUMPRODUCT((AD$107:AD$108)*TRANSPOSE(($D115:$E115))),0)</f>
        <v>1794331.45216726</v>
      </c>
      <c r="AE115" s="31" cm="1">
        <f t="array" ref="AE115">AE$106+IF($C115&lt;&gt;0,SUMPRODUCT((AE$107:AE$108)*TRANSPOSE(($D115:$E115))),0)</f>
        <v>1794331.45216726</v>
      </c>
      <c r="AF115" s="31" cm="1">
        <f t="array" ref="AF115">AF$106+IF($C115&lt;&gt;0,SUMPRODUCT((AF$107:AF$108)*TRANSPOSE(($D115:$E115))),0)</f>
        <v>1794331.45216726</v>
      </c>
      <c r="AG115" s="31" cm="1">
        <f t="array" ref="AG115">AG$106+IF($C115&lt;&gt;0,SUMPRODUCT((AG$107:AG$108)*TRANSPOSE(($D115:$E115))),0)</f>
        <v>1794331.45216726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3786831.45216726</v>
      </c>
      <c r="M116" s="31" cm="1">
        <f t="array" ref="M116">M$106+IF($C116&lt;&gt;0,SUMPRODUCT((M$107:M$108)*TRANSPOSE(($D116:$E116))),0)</f>
        <v>1794331.45216726</v>
      </c>
      <c r="N116" s="31" cm="1">
        <f t="array" ref="N116">N$106+IF($C116&lt;&gt;0,SUMPRODUCT((N$107:N$108)*TRANSPOSE(($D116:$E116))),0)</f>
        <v>1794331.45216726</v>
      </c>
      <c r="O116" s="31" cm="1">
        <f t="array" ref="O116">O$106+IF($C116&lt;&gt;0,SUMPRODUCT((O$107:O$108)*TRANSPOSE(($D116:$E116))),0)</f>
        <v>1794331.45216726</v>
      </c>
      <c r="P116" s="31" cm="1">
        <f t="array" ref="P116">P$106+IF($C116&lt;&gt;0,SUMPRODUCT((P$107:P$108)*TRANSPOSE(($D116:$E116))),0)</f>
        <v>1794331.45216726</v>
      </c>
      <c r="Q116" s="31" cm="1">
        <f t="array" ref="Q116">Q$106+IF($C116&lt;&gt;0,SUMPRODUCT((Q$107:Q$108)*TRANSPOSE(($D116:$E116))),0)</f>
        <v>1794331.45216726</v>
      </c>
      <c r="R116" s="31" cm="1">
        <f t="array" ref="R116">R$106+IF($C116&lt;&gt;0,SUMPRODUCT((R$107:R$108)*TRANSPOSE(($D116:$E116))),0)</f>
        <v>1794331.45216726</v>
      </c>
      <c r="S116" s="31" cm="1">
        <f t="array" ref="S116">S$106+IF($C116&lt;&gt;0,SUMPRODUCT((S$107:S$108)*TRANSPOSE(($D116:$E116))),0)</f>
        <v>1794331.45216726</v>
      </c>
      <c r="T116" s="31" cm="1">
        <f t="array" ref="T116">T$106+IF($C116&lt;&gt;0,SUMPRODUCT((T$107:T$108)*TRANSPOSE(($D116:$E116))),0)</f>
        <v>1794331.45216726</v>
      </c>
      <c r="U116" s="31" cm="1">
        <f t="array" ref="U116">U$106+IF($C116&lt;&gt;0,SUMPRODUCT((U$107:U$108)*TRANSPOSE(($D116:$E116))),0)</f>
        <v>1794331.45216726</v>
      </c>
      <c r="V116" s="31" cm="1">
        <f t="array" ref="V116">V$106+IF($C116&lt;&gt;0,SUMPRODUCT((V$107:V$108)*TRANSPOSE(($D116:$E116))),0)</f>
        <v>1794331.45216726</v>
      </c>
      <c r="W116" s="31" cm="1">
        <f t="array" ref="W116">W$106+IF($C116&lt;&gt;0,SUMPRODUCT((W$107:W$108)*TRANSPOSE(($D116:$E116))),0)</f>
        <v>1794331.45216726</v>
      </c>
      <c r="X116" s="31" cm="1">
        <f t="array" ref="X116">X$106+IF($C116&lt;&gt;0,SUMPRODUCT((X$107:X$108)*TRANSPOSE(($D116:$E116))),0)</f>
        <v>1794331.45216726</v>
      </c>
      <c r="Y116" s="31" cm="1">
        <f t="array" ref="Y116">Y$106+IF($C116&lt;&gt;0,SUMPRODUCT((Y$107:Y$108)*TRANSPOSE(($D116:$E116))),0)</f>
        <v>1794331.45216726</v>
      </c>
      <c r="Z116" s="31" cm="1">
        <f t="array" ref="Z116">Z$106+IF($C116&lt;&gt;0,SUMPRODUCT((Z$107:Z$108)*TRANSPOSE(($D116:$E116))),0)</f>
        <v>1794331.45216726</v>
      </c>
      <c r="AA116" s="31" cm="1">
        <f t="array" ref="AA116">AA$106+IF($C116&lt;&gt;0,SUMPRODUCT((AA$107:AA$108)*TRANSPOSE(($D116:$E116))),0)</f>
        <v>1794331.45216726</v>
      </c>
      <c r="AB116" s="31" cm="1">
        <f t="array" ref="AB116">AB$106+IF($C116&lt;&gt;0,SUMPRODUCT((AB$107:AB$108)*TRANSPOSE(($D116:$E116))),0)</f>
        <v>1794331.45216726</v>
      </c>
      <c r="AC116" s="31" cm="1">
        <f t="array" ref="AC116">AC$106+IF($C116&lt;&gt;0,SUMPRODUCT((AC$107:AC$108)*TRANSPOSE(($D116:$E116))),0)</f>
        <v>1794331.45216726</v>
      </c>
      <c r="AD116" s="31" cm="1">
        <f t="array" ref="AD116">AD$106+IF($C116&lt;&gt;0,SUMPRODUCT((AD$107:AD$108)*TRANSPOSE(($D116:$E116))),0)</f>
        <v>1794331.45216726</v>
      </c>
      <c r="AE116" s="31" cm="1">
        <f t="array" ref="AE116">AE$106+IF($C116&lt;&gt;0,SUMPRODUCT((AE$107:AE$108)*TRANSPOSE(($D116:$E116))),0)</f>
        <v>1794331.45216726</v>
      </c>
      <c r="AF116" s="31" cm="1">
        <f t="array" ref="AF116">AF$106+IF($C116&lt;&gt;0,SUMPRODUCT((AF$107:AF$108)*TRANSPOSE(($D116:$E116))),0)</f>
        <v>1794331.45216726</v>
      </c>
      <c r="AG116" s="31" cm="1">
        <f t="array" ref="AG116">AG$106+IF($C116&lt;&gt;0,SUMPRODUCT((AG$107:AG$108)*TRANSPOSE(($D116:$E116))),0)</f>
        <v>1794331.45216726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3786831.45216726</v>
      </c>
      <c r="M117" s="31" cm="1">
        <f t="array" ref="M117">M$106+IF($C117&lt;&gt;0,SUMPRODUCT((M$107:M$108)*TRANSPOSE(($D117:$E117))),0)</f>
        <v>1794331.45216726</v>
      </c>
      <c r="N117" s="31" cm="1">
        <f t="array" ref="N117">N$106+IF($C117&lt;&gt;0,SUMPRODUCT((N$107:N$108)*TRANSPOSE(($D117:$E117))),0)</f>
        <v>1794331.45216726</v>
      </c>
      <c r="O117" s="31" cm="1">
        <f t="array" ref="O117">O$106+IF($C117&lt;&gt;0,SUMPRODUCT((O$107:O$108)*TRANSPOSE(($D117:$E117))),0)</f>
        <v>1794331.45216726</v>
      </c>
      <c r="P117" s="31" cm="1">
        <f t="array" ref="P117">P$106+IF($C117&lt;&gt;0,SUMPRODUCT((P$107:P$108)*TRANSPOSE(($D117:$E117))),0)</f>
        <v>1794331.45216726</v>
      </c>
      <c r="Q117" s="31" cm="1">
        <f t="array" ref="Q117">Q$106+IF($C117&lt;&gt;0,SUMPRODUCT((Q$107:Q$108)*TRANSPOSE(($D117:$E117))),0)</f>
        <v>1794331.45216726</v>
      </c>
      <c r="R117" s="31" cm="1">
        <f t="array" ref="R117">R$106+IF($C117&lt;&gt;0,SUMPRODUCT((R$107:R$108)*TRANSPOSE(($D117:$E117))),0)</f>
        <v>1794331.45216726</v>
      </c>
      <c r="S117" s="31" cm="1">
        <f t="array" ref="S117">S$106+IF($C117&lt;&gt;0,SUMPRODUCT((S$107:S$108)*TRANSPOSE(($D117:$E117))),0)</f>
        <v>1794331.45216726</v>
      </c>
      <c r="T117" s="31" cm="1">
        <f t="array" ref="T117">T$106+IF($C117&lt;&gt;0,SUMPRODUCT((T$107:T$108)*TRANSPOSE(($D117:$E117))),0)</f>
        <v>1794331.45216726</v>
      </c>
      <c r="U117" s="31" cm="1">
        <f t="array" ref="U117">U$106+IF($C117&lt;&gt;0,SUMPRODUCT((U$107:U$108)*TRANSPOSE(($D117:$E117))),0)</f>
        <v>1794331.45216726</v>
      </c>
      <c r="V117" s="31" cm="1">
        <f t="array" ref="V117">V$106+IF($C117&lt;&gt;0,SUMPRODUCT((V$107:V$108)*TRANSPOSE(($D117:$E117))),0)</f>
        <v>1794331.45216726</v>
      </c>
      <c r="W117" s="31" cm="1">
        <f t="array" ref="W117">W$106+IF($C117&lt;&gt;0,SUMPRODUCT((W$107:W$108)*TRANSPOSE(($D117:$E117))),0)</f>
        <v>1794331.45216726</v>
      </c>
      <c r="X117" s="31" cm="1">
        <f t="array" ref="X117">X$106+IF($C117&lt;&gt;0,SUMPRODUCT((X$107:X$108)*TRANSPOSE(($D117:$E117))),0)</f>
        <v>1794331.45216726</v>
      </c>
      <c r="Y117" s="31" cm="1">
        <f t="array" ref="Y117">Y$106+IF($C117&lt;&gt;0,SUMPRODUCT((Y$107:Y$108)*TRANSPOSE(($D117:$E117))),0)</f>
        <v>1794331.45216726</v>
      </c>
      <c r="Z117" s="31" cm="1">
        <f t="array" ref="Z117">Z$106+IF($C117&lt;&gt;0,SUMPRODUCT((Z$107:Z$108)*TRANSPOSE(($D117:$E117))),0)</f>
        <v>1794331.45216726</v>
      </c>
      <c r="AA117" s="31" cm="1">
        <f t="array" ref="AA117">AA$106+IF($C117&lt;&gt;0,SUMPRODUCT((AA$107:AA$108)*TRANSPOSE(($D117:$E117))),0)</f>
        <v>1794331.45216726</v>
      </c>
      <c r="AB117" s="31" cm="1">
        <f t="array" ref="AB117">AB$106+IF($C117&lt;&gt;0,SUMPRODUCT((AB$107:AB$108)*TRANSPOSE(($D117:$E117))),0)</f>
        <v>1794331.45216726</v>
      </c>
      <c r="AC117" s="31" cm="1">
        <f t="array" ref="AC117">AC$106+IF($C117&lt;&gt;0,SUMPRODUCT((AC$107:AC$108)*TRANSPOSE(($D117:$E117))),0)</f>
        <v>1794331.45216726</v>
      </c>
      <c r="AD117" s="31" cm="1">
        <f t="array" ref="AD117">AD$106+IF($C117&lt;&gt;0,SUMPRODUCT((AD$107:AD$108)*TRANSPOSE(($D117:$E117))),0)</f>
        <v>1794331.45216726</v>
      </c>
      <c r="AE117" s="31" cm="1">
        <f t="array" ref="AE117">AE$106+IF($C117&lt;&gt;0,SUMPRODUCT((AE$107:AE$108)*TRANSPOSE(($D117:$E117))),0)</f>
        <v>1794331.45216726</v>
      </c>
      <c r="AF117" s="31" cm="1">
        <f t="array" ref="AF117">AF$106+IF($C117&lt;&gt;0,SUMPRODUCT((AF$107:AF$108)*TRANSPOSE(($D117:$E117))),0)</f>
        <v>1794331.45216726</v>
      </c>
      <c r="AG117" s="31" cm="1">
        <f t="array" ref="AG117">AG$106+IF($C117&lt;&gt;0,SUMPRODUCT((AG$107:AG$108)*TRANSPOSE(($D117:$E117))),0)</f>
        <v>1794331.45216726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I11" activePane="bottomRight" state="frozen"/>
      <selection activeCell="S27" sqref="S27"/>
      <selection pane="topRight" activeCell="S27" sqref="S27"/>
      <selection pane="bottomLeft" activeCell="S27" sqref="S27"/>
      <selection pane="bottomRight" activeCell="L14" sqref="L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TRG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 t="str">
        <f>INDEX(Assumptions!$E$14:$E$18, MATCH(A3,_xlfn.ANCHORARRAY( Assumptions!$C$14),0))</f>
        <v>New zone substation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244</v>
      </c>
      <c r="D14"/>
      <c r="E14" s="148">
        <v>50</v>
      </c>
      <c r="G14" s="207">
        <f>input_dollars</f>
        <v>45291</v>
      </c>
      <c r="H14" s="149"/>
      <c r="I14" s="32">
        <v>0</v>
      </c>
      <c r="J14" s="32">
        <v>27450000</v>
      </c>
      <c r="K14" s="32">
        <v>27450000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27450000</v>
      </c>
      <c r="K17" s="106">
        <f t="shared" si="0"/>
        <v>27450000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45911.033992475495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4000000</v>
      </c>
      <c r="M64" s="132">
        <f>(1-INDEX(Data!$C$9:$C$13, MATCH($A$3, options,0)))*('Option1 (base case)'!M36-M36)</f>
        <v>2007500</v>
      </c>
      <c r="N64" s="132">
        <f>(1-INDEX(Data!$C$9:$C$13, MATCH($A$3, options,0)))*('Option1 (base case)'!N36-N36)</f>
        <v>2007500</v>
      </c>
      <c r="O64" s="132">
        <f>(1-INDEX(Data!$C$9:$C$13, MATCH($A$3, options,0)))*('Option1 (base case)'!O36-O36)</f>
        <v>2007500</v>
      </c>
      <c r="P64" s="132">
        <f>(1-INDEX(Data!$C$9:$C$13, MATCH($A$3, options,0)))*('Option1 (base case)'!P36-P36)</f>
        <v>2007500</v>
      </c>
      <c r="Q64" s="132">
        <f>(1-INDEX(Data!$C$9:$C$13, MATCH($A$3, options,0)))*('Option1 (base case)'!Q36-Q36)</f>
        <v>2007500</v>
      </c>
      <c r="R64" s="132">
        <f>(1-INDEX(Data!$C$9:$C$13, MATCH($A$3, options,0)))*('Option1 (base case)'!R36-R36)</f>
        <v>2007500</v>
      </c>
      <c r="S64" s="132">
        <f>(1-INDEX(Data!$C$9:$C$13, MATCH($A$3, options,0)))*('Option1 (base case)'!S36-S36)</f>
        <v>2007500</v>
      </c>
      <c r="T64" s="132">
        <f>(1-INDEX(Data!$C$9:$C$13, MATCH($A$3, options,0)))*('Option1 (base case)'!T36-T36)</f>
        <v>2007500</v>
      </c>
      <c r="U64" s="132">
        <f>(1-INDEX(Data!$C$9:$C$13, MATCH($A$3, options,0)))*('Option1 (base case)'!U36-U36)</f>
        <v>2007500</v>
      </c>
      <c r="V64" s="132">
        <f>(1-INDEX(Data!$C$9:$C$13, MATCH($A$3, options,0)))*('Option1 (base case)'!V36-V36)</f>
        <v>2007500</v>
      </c>
      <c r="W64" s="132">
        <f>(1-INDEX(Data!$C$9:$C$13, MATCH($A$3, options,0)))*('Option1 (base case)'!W36-W36)</f>
        <v>2007500</v>
      </c>
      <c r="X64" s="132">
        <f>(1-INDEX(Data!$C$9:$C$13, MATCH($A$3, options,0)))*('Option1 (base case)'!X36-X36)</f>
        <v>2007500</v>
      </c>
      <c r="Y64" s="132">
        <f>(1-INDEX(Data!$C$9:$C$13, MATCH($A$3, options,0)))*('Option1 (base case)'!Y36-Y36)</f>
        <v>2007500</v>
      </c>
      <c r="Z64" s="132">
        <f>(1-INDEX(Data!$C$9:$C$13, MATCH($A$3, options,0)))*('Option1 (base case)'!Z36-Z36)</f>
        <v>2007500</v>
      </c>
      <c r="AA64" s="132">
        <f>(1-INDEX(Data!$C$9:$C$13, MATCH($A$3, options,0)))*('Option1 (base case)'!AA36-AA36)</f>
        <v>2007500</v>
      </c>
      <c r="AB64" s="132">
        <f>(1-INDEX(Data!$C$9:$C$13, MATCH($A$3, options,0)))*('Option1 (base case)'!AB36-AB36)</f>
        <v>2007500</v>
      </c>
      <c r="AC64" s="132">
        <f>(1-INDEX(Data!$C$9:$C$13, MATCH($A$3, options,0)))*('Option1 (base case)'!AC36-AC36)</f>
        <v>2007500</v>
      </c>
      <c r="AD64" s="132">
        <f>(1-INDEX(Data!$C$9:$C$13, MATCH($A$3, options,0)))*('Option1 (base case)'!AD36-AD36)</f>
        <v>2007500</v>
      </c>
      <c r="AE64" s="132">
        <f>(1-INDEX(Data!$C$9:$C$13, MATCH($A$3, options,0)))*('Option1 (base case)'!AE36-AE36)</f>
        <v>2007500</v>
      </c>
      <c r="AF64" s="132">
        <f>(1-INDEX(Data!$C$9:$C$13, MATCH($A$3, options,0)))*('Option1 (base case)'!AF36-AF36)</f>
        <v>2007500</v>
      </c>
      <c r="AG64" s="132">
        <f>(1-INDEX(Data!$C$9:$C$13, MATCH($A$3, options,0)))*('Option1 (base case)'!AG36-AG36)</f>
        <v>2007500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New zone substation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-27450000</v>
      </c>
      <c r="K67" s="119">
        <f t="shared" si="5"/>
        <v>-27450000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New zone substation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-27450000</v>
      </c>
      <c r="K72" s="119" cm="1">
        <f t="array" ref="K72">SUMPRODUCT(($I67:K67))-SUMPRODUCT(($I67:K67)*($I$6:K$6&lt;=(K$6-$E14)))</f>
        <v>-54900000</v>
      </c>
      <c r="L72" s="119" cm="1">
        <f t="array" ref="L72">SUMPRODUCT(($I67:L67))-SUMPRODUCT(($I67:L67)*($I$6:L$6&lt;=(L$6-$E14)))</f>
        <v>-54900000</v>
      </c>
      <c r="M72" s="119" cm="1">
        <f t="array" ref="M72">SUMPRODUCT(($I67:M67))-SUMPRODUCT(($I67:M67)*($I$6:M$6&lt;=(M$6-$E14)))</f>
        <v>-54900000</v>
      </c>
      <c r="N72" s="119" cm="1">
        <f t="array" ref="N72">SUMPRODUCT(($I67:N67))-SUMPRODUCT(($I67:N67)*($I$6:N$6&lt;=(N$6-$E14)))</f>
        <v>-54900000</v>
      </c>
      <c r="O72" s="119" cm="1">
        <f t="array" ref="O72">SUMPRODUCT(($I67:O67))-SUMPRODUCT(($I67:O67)*($I$6:O$6&lt;=(O$6-$E14)))</f>
        <v>-54900000</v>
      </c>
      <c r="P72" s="119" cm="1">
        <f t="array" ref="P72">SUMPRODUCT(($I67:P67))-SUMPRODUCT(($I67:P67)*($I$6:P$6&lt;=(P$6-$E14)))</f>
        <v>-54900000</v>
      </c>
      <c r="Q72" s="119" cm="1">
        <f t="array" ref="Q72">SUMPRODUCT(($I67:Q67))-SUMPRODUCT(($I67:Q67)*($I$6:Q$6&lt;=(Q$6-$E14)))</f>
        <v>-54900000</v>
      </c>
      <c r="R72" s="119" cm="1">
        <f t="array" ref="R72">SUMPRODUCT(($I67:R67))-SUMPRODUCT(($I67:R67)*($I$6:R$6&lt;=(R$6-$E14)))</f>
        <v>-54900000</v>
      </c>
      <c r="S72" s="119" cm="1">
        <f t="array" ref="S72">SUMPRODUCT(($I67:S67))-SUMPRODUCT(($I67:S67)*($I$6:S$6&lt;=(S$6-$E14)))</f>
        <v>-54900000</v>
      </c>
      <c r="T72" s="119" cm="1">
        <f t="array" ref="T72">SUMPRODUCT(($I67:T67))-SUMPRODUCT(($I67:T67)*($I$6:T$6&lt;=(T$6-$E14)))</f>
        <v>-54900000</v>
      </c>
      <c r="U72" s="119" cm="1">
        <f t="array" ref="U72">SUMPRODUCT(($I67:U67))-SUMPRODUCT(($I67:U67)*($I$6:U$6&lt;=(U$6-$E14)))</f>
        <v>-54900000</v>
      </c>
      <c r="V72" s="119" cm="1">
        <f t="array" ref="V72">SUMPRODUCT(($I67:V67))-SUMPRODUCT(($I67:V67)*($I$6:V$6&lt;=(V$6-$E14)))</f>
        <v>-54900000</v>
      </c>
      <c r="W72" s="119" cm="1">
        <f t="array" ref="W72">SUMPRODUCT(($I67:W67))-SUMPRODUCT(($I67:W67)*($I$6:W$6&lt;=(W$6-$E14)))</f>
        <v>-54900000</v>
      </c>
      <c r="X72" s="119" cm="1">
        <f t="array" ref="X72">SUMPRODUCT(($I67:X67))-SUMPRODUCT(($I67:X67)*($I$6:X$6&lt;=(X$6-$E14)))</f>
        <v>-54900000</v>
      </c>
      <c r="Y72" s="119" cm="1">
        <f t="array" ref="Y72">SUMPRODUCT(($I67:Y67))-SUMPRODUCT(($I67:Y67)*($I$6:Y$6&lt;=(Y$6-$E14)))</f>
        <v>-54900000</v>
      </c>
      <c r="Z72" s="119" cm="1">
        <f t="array" ref="Z72">SUMPRODUCT(($I67:Z67))-SUMPRODUCT(($I67:Z67)*($I$6:Z$6&lt;=(Z$6-$E14)))</f>
        <v>-54900000</v>
      </c>
      <c r="AA72" s="119" cm="1">
        <f t="array" ref="AA72">SUMPRODUCT(($I67:AA67))-SUMPRODUCT(($I67:AA67)*($I$6:AA$6&lt;=(AA$6-$E14)))</f>
        <v>-54900000</v>
      </c>
      <c r="AB72" s="119" cm="1">
        <f t="array" ref="AB72">SUMPRODUCT(($I67:AB67))-SUMPRODUCT(($I67:AB67)*($I$6:AB$6&lt;=(AB$6-$E14)))</f>
        <v>-54900000</v>
      </c>
      <c r="AC72" s="119" cm="1">
        <f t="array" ref="AC72">SUMPRODUCT(($I67:AC67))-SUMPRODUCT(($I67:AC67)*($I$6:AC$6&lt;=(AC$6-$E14)))</f>
        <v>-54900000</v>
      </c>
      <c r="AD72" s="119" cm="1">
        <f t="array" ref="AD72">SUMPRODUCT(($I67:AD67))-SUMPRODUCT(($I67:AD67)*($I$6:AD$6&lt;=(AD$6-$E14)))</f>
        <v>-54900000</v>
      </c>
      <c r="AE72" s="119" cm="1">
        <f t="array" ref="AE72">SUMPRODUCT(($I67:AE67))-SUMPRODUCT(($I67:AE67)*($I$6:AE$6&lt;=(AE$6-$E14)))</f>
        <v>-54900000</v>
      </c>
      <c r="AF72" s="119" cm="1">
        <f t="array" ref="AF72">SUMPRODUCT(($I67:AF67))-SUMPRODUCT(($I67:AF67)*($I$6:AF$6&lt;=(AF$6-$E14)))</f>
        <v>-54900000</v>
      </c>
      <c r="AG72" s="119" cm="1">
        <f t="array" ref="AG72">SUMPRODUCT(($I67:AG67))-SUMPRODUCT(($I67:AG67)*($I$6:AG$6&lt;=(AG$6-$E14)))</f>
        <v>-54900000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New zone substation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-1170295.327601742</v>
      </c>
      <c r="L77" s="119">
        <f t="shared" si="8"/>
        <v>-2340590.655203484</v>
      </c>
      <c r="M77" s="119">
        <f t="shared" si="8"/>
        <v>-2340590.655203484</v>
      </c>
      <c r="N77" s="119">
        <f t="shared" si="8"/>
        <v>-2340590.655203484</v>
      </c>
      <c r="O77" s="119">
        <f t="shared" si="8"/>
        <v>-2340590.655203484</v>
      </c>
      <c r="P77" s="119">
        <f t="shared" si="8"/>
        <v>-2340590.655203484</v>
      </c>
      <c r="Q77" s="119">
        <f t="shared" si="8"/>
        <v>-2340590.655203484</v>
      </c>
      <c r="R77" s="119">
        <f t="shared" si="8"/>
        <v>-2340590.655203484</v>
      </c>
      <c r="S77" s="119">
        <f t="shared" si="8"/>
        <v>-2340590.655203484</v>
      </c>
      <c r="T77" s="119">
        <f t="shared" si="8"/>
        <v>-2340590.655203484</v>
      </c>
      <c r="U77" s="119">
        <f t="shared" si="8"/>
        <v>-2340590.655203484</v>
      </c>
      <c r="V77" s="119">
        <f t="shared" si="8"/>
        <v>-2340590.655203484</v>
      </c>
      <c r="W77" s="119">
        <f t="shared" si="8"/>
        <v>-2340590.655203484</v>
      </c>
      <c r="X77" s="119">
        <f t="shared" si="8"/>
        <v>-2340590.655203484</v>
      </c>
      <c r="Y77" s="119">
        <f t="shared" si="8"/>
        <v>-2340590.655203484</v>
      </c>
      <c r="Z77" s="119">
        <f t="shared" si="8"/>
        <v>-2340590.655203484</v>
      </c>
      <c r="AA77" s="119">
        <f t="shared" si="8"/>
        <v>-2340590.655203484</v>
      </c>
      <c r="AB77" s="119">
        <f t="shared" si="8"/>
        <v>-2340590.655203484</v>
      </c>
      <c r="AC77" s="119">
        <f t="shared" si="8"/>
        <v>-2340590.655203484</v>
      </c>
      <c r="AD77" s="119">
        <f t="shared" si="8"/>
        <v>-2340590.655203484</v>
      </c>
      <c r="AE77" s="119">
        <f t="shared" si="8"/>
        <v>-2340590.655203484</v>
      </c>
      <c r="AF77" s="119">
        <f t="shared" si="8"/>
        <v>-2340590.655203484</v>
      </c>
      <c r="AG77" s="119">
        <f t="shared" si="8"/>
        <v>-2340590.655203484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-1170295.327601742</v>
      </c>
      <c r="L80" s="176">
        <f t="shared" si="11"/>
        <v>-2340590.655203484</v>
      </c>
      <c r="M80" s="176">
        <f t="shared" si="11"/>
        <v>-2340590.655203484</v>
      </c>
      <c r="N80" s="176">
        <f t="shared" si="11"/>
        <v>-2340590.655203484</v>
      </c>
      <c r="O80" s="176">
        <f t="shared" si="11"/>
        <v>-2340590.655203484</v>
      </c>
      <c r="P80" s="176">
        <f t="shared" si="11"/>
        <v>-2340590.655203484</v>
      </c>
      <c r="Q80" s="176">
        <f t="shared" si="11"/>
        <v>-2340590.655203484</v>
      </c>
      <c r="R80" s="176">
        <f t="shared" si="11"/>
        <v>-2340590.655203484</v>
      </c>
      <c r="S80" s="176">
        <f t="shared" si="11"/>
        <v>-2340590.655203484</v>
      </c>
      <c r="T80" s="176">
        <f t="shared" si="11"/>
        <v>-2340590.655203484</v>
      </c>
      <c r="U80" s="176">
        <f t="shared" si="11"/>
        <v>-2340590.655203484</v>
      </c>
      <c r="V80" s="176">
        <f t="shared" si="11"/>
        <v>-2340590.655203484</v>
      </c>
      <c r="W80" s="176">
        <f t="shared" si="11"/>
        <v>-2340590.655203484</v>
      </c>
      <c r="X80" s="176">
        <f t="shared" si="11"/>
        <v>-2340590.655203484</v>
      </c>
      <c r="Y80" s="176">
        <f t="shared" si="11"/>
        <v>-2340590.655203484</v>
      </c>
      <c r="Z80" s="176">
        <f t="shared" si="11"/>
        <v>-2340590.655203484</v>
      </c>
      <c r="AA80" s="176">
        <f t="shared" si="11"/>
        <v>-2340590.655203484</v>
      </c>
      <c r="AB80" s="176">
        <f t="shared" si="11"/>
        <v>-2340590.655203484</v>
      </c>
      <c r="AC80" s="176">
        <f>SUM(AC77:AC79)</f>
        <v>-2340590.655203484</v>
      </c>
      <c r="AD80" s="176">
        <f>SUM(AD77:AD79)</f>
        <v>-2340590.655203484</v>
      </c>
      <c r="AE80" s="176">
        <f>SUM(AE77:AE79)</f>
        <v>-2340590.655203484</v>
      </c>
      <c r="AF80" s="176">
        <f>SUM(AF77:AF79)</f>
        <v>-2340590.655203484</v>
      </c>
      <c r="AG80" s="176">
        <f>SUM(AG77:AG79)</f>
        <v>-2340590.655203484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-1170295.327601742</v>
      </c>
      <c r="L82" s="119">
        <f t="shared" si="13"/>
        <v>-2340590.655203484</v>
      </c>
      <c r="M82" s="119">
        <f t="shared" si="13"/>
        <v>-2340590.655203484</v>
      </c>
      <c r="N82" s="119">
        <f t="shared" si="13"/>
        <v>-2340590.655203484</v>
      </c>
      <c r="O82" s="119">
        <f t="shared" si="13"/>
        <v>-2340590.655203484</v>
      </c>
      <c r="P82" s="119">
        <f t="shared" si="13"/>
        <v>-2340590.655203484</v>
      </c>
      <c r="Q82" s="119">
        <f t="shared" si="13"/>
        <v>-2340590.655203484</v>
      </c>
      <c r="R82" s="119">
        <f t="shared" si="13"/>
        <v>-2340590.655203484</v>
      </c>
      <c r="S82" s="119">
        <f t="shared" si="13"/>
        <v>-2340590.655203484</v>
      </c>
      <c r="T82" s="119">
        <f t="shared" si="13"/>
        <v>-2340590.655203484</v>
      </c>
      <c r="U82" s="119">
        <f t="shared" si="13"/>
        <v>-2340590.655203484</v>
      </c>
      <c r="V82" s="119">
        <f t="shared" si="13"/>
        <v>-2340590.655203484</v>
      </c>
      <c r="W82" s="119">
        <f t="shared" si="13"/>
        <v>-2340590.655203484</v>
      </c>
      <c r="X82" s="119">
        <f t="shared" si="13"/>
        <v>-2340590.655203484</v>
      </c>
      <c r="Y82" s="119">
        <f t="shared" si="13"/>
        <v>-2340590.655203484</v>
      </c>
      <c r="Z82" s="119">
        <f t="shared" si="13"/>
        <v>-2340590.655203484</v>
      </c>
      <c r="AA82" s="119">
        <f t="shared" si="13"/>
        <v>-2340590.655203484</v>
      </c>
      <c r="AB82" s="119">
        <f t="shared" si="13"/>
        <v>-2340590.655203484</v>
      </c>
      <c r="AC82" s="119">
        <f>AC80</f>
        <v>-2340590.655203484</v>
      </c>
      <c r="AD82" s="119">
        <f>AD80</f>
        <v>-2340590.655203484</v>
      </c>
      <c r="AE82" s="119">
        <f>AE80</f>
        <v>-2340590.655203484</v>
      </c>
      <c r="AF82" s="119">
        <f>AF80</f>
        <v>-2340590.655203484</v>
      </c>
      <c r="AG82" s="119">
        <f>AG80</f>
        <v>-2340590.655203484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4000000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-1170295.327601742</v>
      </c>
      <c r="L87" s="179">
        <f t="shared" si="17"/>
        <v>1659409.344796516</v>
      </c>
      <c r="M87" s="179">
        <f t="shared" si="17"/>
        <v>-333090.655203484</v>
      </c>
      <c r="N87" s="179">
        <f t="shared" si="17"/>
        <v>-333090.655203484</v>
      </c>
      <c r="O87" s="179">
        <f t="shared" si="17"/>
        <v>-333090.655203484</v>
      </c>
      <c r="P87" s="179">
        <f t="shared" si="17"/>
        <v>-333090.655203484</v>
      </c>
      <c r="Q87" s="179">
        <f t="shared" si="17"/>
        <v>-333090.655203484</v>
      </c>
      <c r="R87" s="179">
        <f t="shared" si="17"/>
        <v>-333090.655203484</v>
      </c>
      <c r="S87" s="179">
        <f t="shared" si="17"/>
        <v>-333090.655203484</v>
      </c>
      <c r="T87" s="179">
        <f t="shared" si="17"/>
        <v>-333090.655203484</v>
      </c>
      <c r="U87" s="179">
        <f t="shared" si="17"/>
        <v>-333090.655203484</v>
      </c>
      <c r="V87" s="179">
        <f t="shared" si="17"/>
        <v>-333090.655203484</v>
      </c>
      <c r="W87" s="179">
        <f t="shared" si="17"/>
        <v>-333090.655203484</v>
      </c>
      <c r="X87" s="179">
        <f t="shared" si="17"/>
        <v>-333090.655203484</v>
      </c>
      <c r="Y87" s="179">
        <f t="shared" si="17"/>
        <v>-333090.655203484</v>
      </c>
      <c r="Z87" s="179">
        <f t="shared" si="17"/>
        <v>-333090.655203484</v>
      </c>
      <c r="AA87" s="179">
        <f t="shared" si="17"/>
        <v>-333090.655203484</v>
      </c>
      <c r="AB87" s="179">
        <f t="shared" si="17"/>
        <v>-333090.655203484</v>
      </c>
      <c r="AC87" s="179">
        <f>SUM(AC82:AC86)</f>
        <v>-333090.655203484</v>
      </c>
      <c r="AD87" s="179">
        <f>SUM(AD82:AD86)</f>
        <v>-333090.655203484</v>
      </c>
      <c r="AE87" s="179">
        <f>SUM(AE82:AE86)</f>
        <v>-333090.655203484</v>
      </c>
      <c r="AF87" s="179">
        <f>SUM(AF82:AF86)</f>
        <v>-333090.655203484</v>
      </c>
      <c r="AG87" s="179">
        <f>SUM(AG82:AG86)</f>
        <v>-333090.655203484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2</v>
      </c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-1170295.327601742</v>
      </c>
      <c r="L106" s="31">
        <f t="shared" si="18"/>
        <v>1659409.344796516</v>
      </c>
      <c r="M106" s="31">
        <f t="shared" si="18"/>
        <v>-333090.655203484</v>
      </c>
      <c r="N106" s="31">
        <f t="shared" si="18"/>
        <v>-333090.655203484</v>
      </c>
      <c r="O106" s="31">
        <f t="shared" si="18"/>
        <v>-333090.655203484</v>
      </c>
      <c r="P106" s="31">
        <f t="shared" si="18"/>
        <v>-333090.655203484</v>
      </c>
      <c r="Q106" s="31">
        <f t="shared" si="18"/>
        <v>-333090.655203484</v>
      </c>
      <c r="R106" s="31">
        <f t="shared" si="18"/>
        <v>-333090.655203484</v>
      </c>
      <c r="S106" s="31">
        <f t="shared" si="18"/>
        <v>-333090.655203484</v>
      </c>
      <c r="T106" s="31">
        <f t="shared" si="18"/>
        <v>-333090.655203484</v>
      </c>
      <c r="U106" s="31">
        <f t="shared" si="18"/>
        <v>-333090.655203484</v>
      </c>
      <c r="V106" s="31">
        <f t="shared" si="18"/>
        <v>-333090.655203484</v>
      </c>
      <c r="W106" s="31">
        <f t="shared" si="18"/>
        <v>-333090.655203484</v>
      </c>
      <c r="X106" s="31">
        <f t="shared" si="18"/>
        <v>-333090.655203484</v>
      </c>
      <c r="Y106" s="31">
        <f t="shared" si="18"/>
        <v>-333090.655203484</v>
      </c>
      <c r="Z106" s="31">
        <f t="shared" si="18"/>
        <v>-333090.655203484</v>
      </c>
      <c r="AA106" s="31">
        <f t="shared" si="18"/>
        <v>-333090.655203484</v>
      </c>
      <c r="AB106" s="31">
        <f t="shared" si="18"/>
        <v>-333090.655203484</v>
      </c>
      <c r="AC106" s="31">
        <f t="shared" si="18"/>
        <v>-333090.655203484</v>
      </c>
      <c r="AD106" s="31">
        <f t="shared" si="18"/>
        <v>-333090.655203484</v>
      </c>
      <c r="AE106" s="31">
        <f t="shared" si="18"/>
        <v>-333090.655203484</v>
      </c>
      <c r="AF106" s="31">
        <f t="shared" si="18"/>
        <v>-333090.655203484</v>
      </c>
      <c r="AG106" s="31">
        <f t="shared" si="18"/>
        <v>-333090.655203484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-1170295.327601742</v>
      </c>
      <c r="L107" s="31">
        <f t="shared" si="19"/>
        <v>-2340590.655203484</v>
      </c>
      <c r="M107" s="31">
        <f t="shared" si="19"/>
        <v>-2340590.655203484</v>
      </c>
      <c r="N107" s="31">
        <f t="shared" si="19"/>
        <v>-2340590.655203484</v>
      </c>
      <c r="O107" s="31">
        <f t="shared" si="19"/>
        <v>-2340590.655203484</v>
      </c>
      <c r="P107" s="31">
        <f t="shared" si="19"/>
        <v>-2340590.655203484</v>
      </c>
      <c r="Q107" s="31">
        <f t="shared" si="19"/>
        <v>-2340590.655203484</v>
      </c>
      <c r="R107" s="31">
        <f t="shared" si="19"/>
        <v>-2340590.655203484</v>
      </c>
      <c r="S107" s="31">
        <f t="shared" si="19"/>
        <v>-2340590.655203484</v>
      </c>
      <c r="T107" s="31">
        <f t="shared" si="19"/>
        <v>-2340590.655203484</v>
      </c>
      <c r="U107" s="31">
        <f t="shared" si="19"/>
        <v>-2340590.655203484</v>
      </c>
      <c r="V107" s="31">
        <f t="shared" si="19"/>
        <v>-2340590.655203484</v>
      </c>
      <c r="W107" s="31">
        <f t="shared" si="19"/>
        <v>-2340590.655203484</v>
      </c>
      <c r="X107" s="31">
        <f t="shared" si="19"/>
        <v>-2340590.655203484</v>
      </c>
      <c r="Y107" s="31">
        <f t="shared" si="19"/>
        <v>-2340590.655203484</v>
      </c>
      <c r="Z107" s="31">
        <f t="shared" si="19"/>
        <v>-2340590.655203484</v>
      </c>
      <c r="AA107" s="31">
        <f t="shared" si="19"/>
        <v>-2340590.655203484</v>
      </c>
      <c r="AB107" s="31">
        <f t="shared" si="19"/>
        <v>-2340590.655203484</v>
      </c>
      <c r="AC107" s="31">
        <f t="shared" si="19"/>
        <v>-2340590.655203484</v>
      </c>
      <c r="AD107" s="31">
        <f t="shared" si="19"/>
        <v>-2340590.655203484</v>
      </c>
      <c r="AE107" s="31">
        <f t="shared" si="19"/>
        <v>-2340590.655203484</v>
      </c>
      <c r="AF107" s="31">
        <f t="shared" si="19"/>
        <v>-2340590.655203484</v>
      </c>
      <c r="AG107" s="31">
        <f t="shared" si="19"/>
        <v>-2340590.655203484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4000000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-1287324.8603619162</v>
      </c>
      <c r="L110" s="31" cm="1">
        <f t="array" ref="L110">L$106+IF($C110&lt;&gt;0,SUMPRODUCT((L$107:L$108)*TRANSPOSE(($D110:$E110))),0)</f>
        <v>1425350.2792761675</v>
      </c>
      <c r="M110" s="31" cm="1">
        <f t="array" ref="M110">M$106+IF($C110&lt;&gt;0,SUMPRODUCT((M$107:M$108)*TRANSPOSE(($D110:$E110))),0)</f>
        <v>-567149.72072383238</v>
      </c>
      <c r="N110" s="31" cm="1">
        <f t="array" ref="N110">N$106+IF($C110&lt;&gt;0,SUMPRODUCT((N$107:N$108)*TRANSPOSE(($D110:$E110))),0)</f>
        <v>-567149.72072383238</v>
      </c>
      <c r="O110" s="31" cm="1">
        <f t="array" ref="O110">O$106+IF($C110&lt;&gt;0,SUMPRODUCT((O$107:O$108)*TRANSPOSE(($D110:$E110))),0)</f>
        <v>-567149.72072383238</v>
      </c>
      <c r="P110" s="31" cm="1">
        <f t="array" ref="P110">P$106+IF($C110&lt;&gt;0,SUMPRODUCT((P$107:P$108)*TRANSPOSE(($D110:$E110))),0)</f>
        <v>-567149.72072383238</v>
      </c>
      <c r="Q110" s="31" cm="1">
        <f t="array" ref="Q110">Q$106+IF($C110&lt;&gt;0,SUMPRODUCT((Q$107:Q$108)*TRANSPOSE(($D110:$E110))),0)</f>
        <v>-567149.72072383238</v>
      </c>
      <c r="R110" s="31" cm="1">
        <f t="array" ref="R110">R$106+IF($C110&lt;&gt;0,SUMPRODUCT((R$107:R$108)*TRANSPOSE(($D110:$E110))),0)</f>
        <v>-567149.72072383238</v>
      </c>
      <c r="S110" s="31" cm="1">
        <f t="array" ref="S110">S$106+IF($C110&lt;&gt;0,SUMPRODUCT((S$107:S$108)*TRANSPOSE(($D110:$E110))),0)</f>
        <v>-567149.72072383238</v>
      </c>
      <c r="T110" s="31" cm="1">
        <f t="array" ref="T110">T$106+IF($C110&lt;&gt;0,SUMPRODUCT((T$107:T$108)*TRANSPOSE(($D110:$E110))),0)</f>
        <v>-567149.72072383238</v>
      </c>
      <c r="U110" s="31" cm="1">
        <f t="array" ref="U110">U$106+IF($C110&lt;&gt;0,SUMPRODUCT((U$107:U$108)*TRANSPOSE(($D110:$E110))),0)</f>
        <v>-567149.72072383238</v>
      </c>
      <c r="V110" s="31" cm="1">
        <f t="array" ref="V110">V$106+IF($C110&lt;&gt;0,SUMPRODUCT((V$107:V$108)*TRANSPOSE(($D110:$E110))),0)</f>
        <v>-567149.72072383238</v>
      </c>
      <c r="W110" s="31" cm="1">
        <f t="array" ref="W110">W$106+IF($C110&lt;&gt;0,SUMPRODUCT((W$107:W$108)*TRANSPOSE(($D110:$E110))),0)</f>
        <v>-567149.72072383238</v>
      </c>
      <c r="X110" s="31" cm="1">
        <f t="array" ref="X110">X$106+IF($C110&lt;&gt;0,SUMPRODUCT((X$107:X$108)*TRANSPOSE(($D110:$E110))),0)</f>
        <v>-567149.72072383238</v>
      </c>
      <c r="Y110" s="31" cm="1">
        <f t="array" ref="Y110">Y$106+IF($C110&lt;&gt;0,SUMPRODUCT((Y$107:Y$108)*TRANSPOSE(($D110:$E110))),0)</f>
        <v>-567149.72072383238</v>
      </c>
      <c r="Z110" s="31" cm="1">
        <f t="array" ref="Z110">Z$106+IF($C110&lt;&gt;0,SUMPRODUCT((Z$107:Z$108)*TRANSPOSE(($D110:$E110))),0)</f>
        <v>-567149.72072383238</v>
      </c>
      <c r="AA110" s="31" cm="1">
        <f t="array" ref="AA110">AA$106+IF($C110&lt;&gt;0,SUMPRODUCT((AA$107:AA$108)*TRANSPOSE(($D110:$E110))),0)</f>
        <v>-567149.72072383238</v>
      </c>
      <c r="AB110" s="31" cm="1">
        <f t="array" ref="AB110">AB$106+IF($C110&lt;&gt;0,SUMPRODUCT((AB$107:AB$108)*TRANSPOSE(($D110:$E110))),0)</f>
        <v>-567149.72072383238</v>
      </c>
      <c r="AC110" s="31" cm="1">
        <f t="array" ref="AC110">AC$106+IF($C110&lt;&gt;0,SUMPRODUCT((AC$107:AC$108)*TRANSPOSE(($D110:$E110))),0)</f>
        <v>-567149.72072383238</v>
      </c>
      <c r="AD110" s="31" cm="1">
        <f t="array" ref="AD110">AD$106+IF($C110&lt;&gt;0,SUMPRODUCT((AD$107:AD$108)*TRANSPOSE(($D110:$E110))),0)</f>
        <v>-567149.72072383238</v>
      </c>
      <c r="AE110" s="31" cm="1">
        <f t="array" ref="AE110">AE$106+IF($C110&lt;&gt;0,SUMPRODUCT((AE$107:AE$108)*TRANSPOSE(($D110:$E110))),0)</f>
        <v>-567149.72072383238</v>
      </c>
      <c r="AF110" s="31" cm="1">
        <f t="array" ref="AF110">AF$106+IF($C110&lt;&gt;0,SUMPRODUCT((AF$107:AF$108)*TRANSPOSE(($D110:$E110))),0)</f>
        <v>-567149.72072383238</v>
      </c>
      <c r="AG110" s="31" cm="1">
        <f t="array" ref="AG110">AG$106+IF($C110&lt;&gt;0,SUMPRODUCT((AG$107:AG$108)*TRANSPOSE(($D110:$E110))),0)</f>
        <v>-567149.72072383238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-1053265.7948415678</v>
      </c>
      <c r="L111" s="31" cm="1">
        <f t="array" ref="L111">L$106+IF($C111&lt;&gt;0,SUMPRODUCT((L$107:L$108)*TRANSPOSE(($D111:$E111))),0)</f>
        <v>1893468.4103168645</v>
      </c>
      <c r="M111" s="31" cm="1">
        <f t="array" ref="M111">M$106+IF($C111&lt;&gt;0,SUMPRODUCT((M$107:M$108)*TRANSPOSE(($D111:$E111))),0)</f>
        <v>-99031.589683135593</v>
      </c>
      <c r="N111" s="31" cm="1">
        <f t="array" ref="N111">N$106+IF($C111&lt;&gt;0,SUMPRODUCT((N$107:N$108)*TRANSPOSE(($D111:$E111))),0)</f>
        <v>-99031.589683135593</v>
      </c>
      <c r="O111" s="31" cm="1">
        <f t="array" ref="O111">O$106+IF($C111&lt;&gt;0,SUMPRODUCT((O$107:O$108)*TRANSPOSE(($D111:$E111))),0)</f>
        <v>-99031.589683135593</v>
      </c>
      <c r="P111" s="31" cm="1">
        <f t="array" ref="P111">P$106+IF($C111&lt;&gt;0,SUMPRODUCT((P$107:P$108)*TRANSPOSE(($D111:$E111))),0)</f>
        <v>-99031.589683135593</v>
      </c>
      <c r="Q111" s="31" cm="1">
        <f t="array" ref="Q111">Q$106+IF($C111&lt;&gt;0,SUMPRODUCT((Q$107:Q$108)*TRANSPOSE(($D111:$E111))),0)</f>
        <v>-99031.589683135593</v>
      </c>
      <c r="R111" s="31" cm="1">
        <f t="array" ref="R111">R$106+IF($C111&lt;&gt;0,SUMPRODUCT((R$107:R$108)*TRANSPOSE(($D111:$E111))),0)</f>
        <v>-99031.589683135593</v>
      </c>
      <c r="S111" s="31" cm="1">
        <f t="array" ref="S111">S$106+IF($C111&lt;&gt;0,SUMPRODUCT((S$107:S$108)*TRANSPOSE(($D111:$E111))),0)</f>
        <v>-99031.589683135593</v>
      </c>
      <c r="T111" s="31" cm="1">
        <f t="array" ref="T111">T$106+IF($C111&lt;&gt;0,SUMPRODUCT((T$107:T$108)*TRANSPOSE(($D111:$E111))),0)</f>
        <v>-99031.589683135593</v>
      </c>
      <c r="U111" s="31" cm="1">
        <f t="array" ref="U111">U$106+IF($C111&lt;&gt;0,SUMPRODUCT((U$107:U$108)*TRANSPOSE(($D111:$E111))),0)</f>
        <v>-99031.589683135593</v>
      </c>
      <c r="V111" s="31" cm="1">
        <f t="array" ref="V111">V$106+IF($C111&lt;&gt;0,SUMPRODUCT((V$107:V$108)*TRANSPOSE(($D111:$E111))),0)</f>
        <v>-99031.589683135593</v>
      </c>
      <c r="W111" s="31" cm="1">
        <f t="array" ref="W111">W$106+IF($C111&lt;&gt;0,SUMPRODUCT((W$107:W$108)*TRANSPOSE(($D111:$E111))),0)</f>
        <v>-99031.589683135593</v>
      </c>
      <c r="X111" s="31" cm="1">
        <f t="array" ref="X111">X$106+IF($C111&lt;&gt;0,SUMPRODUCT((X$107:X$108)*TRANSPOSE(($D111:$E111))),0)</f>
        <v>-99031.589683135593</v>
      </c>
      <c r="Y111" s="31" cm="1">
        <f t="array" ref="Y111">Y$106+IF($C111&lt;&gt;0,SUMPRODUCT((Y$107:Y$108)*TRANSPOSE(($D111:$E111))),0)</f>
        <v>-99031.589683135593</v>
      </c>
      <c r="Z111" s="31" cm="1">
        <f t="array" ref="Z111">Z$106+IF($C111&lt;&gt;0,SUMPRODUCT((Z$107:Z$108)*TRANSPOSE(($D111:$E111))),0)</f>
        <v>-99031.589683135593</v>
      </c>
      <c r="AA111" s="31" cm="1">
        <f t="array" ref="AA111">AA$106+IF($C111&lt;&gt;0,SUMPRODUCT((AA$107:AA$108)*TRANSPOSE(($D111:$E111))),0)</f>
        <v>-99031.589683135593</v>
      </c>
      <c r="AB111" s="31" cm="1">
        <f t="array" ref="AB111">AB$106+IF($C111&lt;&gt;0,SUMPRODUCT((AB$107:AB$108)*TRANSPOSE(($D111:$E111))),0)</f>
        <v>-99031.589683135593</v>
      </c>
      <c r="AC111" s="31" cm="1">
        <f t="array" ref="AC111">AC$106+IF($C111&lt;&gt;0,SUMPRODUCT((AC$107:AC$108)*TRANSPOSE(($D111:$E111))),0)</f>
        <v>-99031.589683135593</v>
      </c>
      <c r="AD111" s="31" cm="1">
        <f t="array" ref="AD111">AD$106+IF($C111&lt;&gt;0,SUMPRODUCT((AD$107:AD$108)*TRANSPOSE(($D111:$E111))),0)</f>
        <v>-99031.589683135593</v>
      </c>
      <c r="AE111" s="31" cm="1">
        <f t="array" ref="AE111">AE$106+IF($C111&lt;&gt;0,SUMPRODUCT((AE$107:AE$108)*TRANSPOSE(($D111:$E111))),0)</f>
        <v>-99031.589683135593</v>
      </c>
      <c r="AF111" s="31" cm="1">
        <f t="array" ref="AF111">AF$106+IF($C111&lt;&gt;0,SUMPRODUCT((AF$107:AF$108)*TRANSPOSE(($D111:$E111))),0)</f>
        <v>-99031.589683135593</v>
      </c>
      <c r="AG111" s="31" cm="1">
        <f t="array" ref="AG111">AG$106+IF($C111&lt;&gt;0,SUMPRODUCT((AG$107:AG$108)*TRANSPOSE(($D111:$E111))),0)</f>
        <v>-99031.589683135593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-1170295.327601742</v>
      </c>
      <c r="L112" s="31" cm="1">
        <f t="array" ref="L112">L$106+IF($C112&lt;&gt;0,SUMPRODUCT((L$107:L$108)*TRANSPOSE(($D112:$E112))),0)</f>
        <v>2059409.344796516</v>
      </c>
      <c r="M112" s="31" cm="1">
        <f t="array" ref="M112">M$106+IF($C112&lt;&gt;0,SUMPRODUCT((M$107:M$108)*TRANSPOSE(($D112:$E112))),0)</f>
        <v>-132340.655203484</v>
      </c>
      <c r="N112" s="31" cm="1">
        <f t="array" ref="N112">N$106+IF($C112&lt;&gt;0,SUMPRODUCT((N$107:N$108)*TRANSPOSE(($D112:$E112))),0)</f>
        <v>-132340.655203484</v>
      </c>
      <c r="O112" s="31" cm="1">
        <f t="array" ref="O112">O$106+IF($C112&lt;&gt;0,SUMPRODUCT((O$107:O$108)*TRANSPOSE(($D112:$E112))),0)</f>
        <v>-132340.655203484</v>
      </c>
      <c r="P112" s="31" cm="1">
        <f t="array" ref="P112">P$106+IF($C112&lt;&gt;0,SUMPRODUCT((P$107:P$108)*TRANSPOSE(($D112:$E112))),0)</f>
        <v>-132340.655203484</v>
      </c>
      <c r="Q112" s="31" cm="1">
        <f t="array" ref="Q112">Q$106+IF($C112&lt;&gt;0,SUMPRODUCT((Q$107:Q$108)*TRANSPOSE(($D112:$E112))),0)</f>
        <v>-132340.655203484</v>
      </c>
      <c r="R112" s="31" cm="1">
        <f t="array" ref="R112">R$106+IF($C112&lt;&gt;0,SUMPRODUCT((R$107:R$108)*TRANSPOSE(($D112:$E112))),0)</f>
        <v>-132340.655203484</v>
      </c>
      <c r="S112" s="31" cm="1">
        <f t="array" ref="S112">S$106+IF($C112&lt;&gt;0,SUMPRODUCT((S$107:S$108)*TRANSPOSE(($D112:$E112))),0)</f>
        <v>-132340.655203484</v>
      </c>
      <c r="T112" s="31" cm="1">
        <f t="array" ref="T112">T$106+IF($C112&lt;&gt;0,SUMPRODUCT((T$107:T$108)*TRANSPOSE(($D112:$E112))),0)</f>
        <v>-132340.655203484</v>
      </c>
      <c r="U112" s="31" cm="1">
        <f t="array" ref="U112">U$106+IF($C112&lt;&gt;0,SUMPRODUCT((U$107:U$108)*TRANSPOSE(($D112:$E112))),0)</f>
        <v>-132340.655203484</v>
      </c>
      <c r="V112" s="31" cm="1">
        <f t="array" ref="V112">V$106+IF($C112&lt;&gt;0,SUMPRODUCT((V$107:V$108)*TRANSPOSE(($D112:$E112))),0)</f>
        <v>-132340.655203484</v>
      </c>
      <c r="W112" s="31" cm="1">
        <f t="array" ref="W112">W$106+IF($C112&lt;&gt;0,SUMPRODUCT((W$107:W$108)*TRANSPOSE(($D112:$E112))),0)</f>
        <v>-132340.655203484</v>
      </c>
      <c r="X112" s="31" cm="1">
        <f t="array" ref="X112">X$106+IF($C112&lt;&gt;0,SUMPRODUCT((X$107:X$108)*TRANSPOSE(($D112:$E112))),0)</f>
        <v>-132340.655203484</v>
      </c>
      <c r="Y112" s="31" cm="1">
        <f t="array" ref="Y112">Y$106+IF($C112&lt;&gt;0,SUMPRODUCT((Y$107:Y$108)*TRANSPOSE(($D112:$E112))),0)</f>
        <v>-132340.655203484</v>
      </c>
      <c r="Z112" s="31" cm="1">
        <f t="array" ref="Z112">Z$106+IF($C112&lt;&gt;0,SUMPRODUCT((Z$107:Z$108)*TRANSPOSE(($D112:$E112))),0)</f>
        <v>-132340.655203484</v>
      </c>
      <c r="AA112" s="31" cm="1">
        <f t="array" ref="AA112">AA$106+IF($C112&lt;&gt;0,SUMPRODUCT((AA$107:AA$108)*TRANSPOSE(($D112:$E112))),0)</f>
        <v>-132340.655203484</v>
      </c>
      <c r="AB112" s="31" cm="1">
        <f t="array" ref="AB112">AB$106+IF($C112&lt;&gt;0,SUMPRODUCT((AB$107:AB$108)*TRANSPOSE(($D112:$E112))),0)</f>
        <v>-132340.655203484</v>
      </c>
      <c r="AC112" s="31" cm="1">
        <f t="array" ref="AC112">AC$106+IF($C112&lt;&gt;0,SUMPRODUCT((AC$107:AC$108)*TRANSPOSE(($D112:$E112))),0)</f>
        <v>-132340.655203484</v>
      </c>
      <c r="AD112" s="31" cm="1">
        <f t="array" ref="AD112">AD$106+IF($C112&lt;&gt;0,SUMPRODUCT((AD$107:AD$108)*TRANSPOSE(($D112:$E112))),0)</f>
        <v>-132340.655203484</v>
      </c>
      <c r="AE112" s="31" cm="1">
        <f t="array" ref="AE112">AE$106+IF($C112&lt;&gt;0,SUMPRODUCT((AE$107:AE$108)*TRANSPOSE(($D112:$E112))),0)</f>
        <v>-132340.655203484</v>
      </c>
      <c r="AF112" s="31" cm="1">
        <f t="array" ref="AF112">AF$106+IF($C112&lt;&gt;0,SUMPRODUCT((AF$107:AF$108)*TRANSPOSE(($D112:$E112))),0)</f>
        <v>-132340.655203484</v>
      </c>
      <c r="AG112" s="31" cm="1">
        <f t="array" ref="AG112">AG$106+IF($C112&lt;&gt;0,SUMPRODUCT((AG$107:AG$108)*TRANSPOSE(($D112:$E112))),0)</f>
        <v>-132340.655203484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-1170295.327601742</v>
      </c>
      <c r="L113" s="31" cm="1">
        <f t="array" ref="L113">L$106+IF($C113&lt;&gt;0,SUMPRODUCT((L$107:L$108)*TRANSPOSE(($D113:$E113))),0)</f>
        <v>1259409.344796516</v>
      </c>
      <c r="M113" s="31" cm="1">
        <f t="array" ref="M113">M$106+IF($C113&lt;&gt;0,SUMPRODUCT((M$107:M$108)*TRANSPOSE(($D113:$E113))),0)</f>
        <v>-533840.655203484</v>
      </c>
      <c r="N113" s="31" cm="1">
        <f t="array" ref="N113">N$106+IF($C113&lt;&gt;0,SUMPRODUCT((N$107:N$108)*TRANSPOSE(($D113:$E113))),0)</f>
        <v>-533840.655203484</v>
      </c>
      <c r="O113" s="31" cm="1">
        <f t="array" ref="O113">O$106+IF($C113&lt;&gt;0,SUMPRODUCT((O$107:O$108)*TRANSPOSE(($D113:$E113))),0)</f>
        <v>-533840.655203484</v>
      </c>
      <c r="P113" s="31" cm="1">
        <f t="array" ref="P113">P$106+IF($C113&lt;&gt;0,SUMPRODUCT((P$107:P$108)*TRANSPOSE(($D113:$E113))),0)</f>
        <v>-533840.655203484</v>
      </c>
      <c r="Q113" s="31" cm="1">
        <f t="array" ref="Q113">Q$106+IF($C113&lt;&gt;0,SUMPRODUCT((Q$107:Q$108)*TRANSPOSE(($D113:$E113))),0)</f>
        <v>-533840.655203484</v>
      </c>
      <c r="R113" s="31" cm="1">
        <f t="array" ref="R113">R$106+IF($C113&lt;&gt;0,SUMPRODUCT((R$107:R$108)*TRANSPOSE(($D113:$E113))),0)</f>
        <v>-533840.655203484</v>
      </c>
      <c r="S113" s="31" cm="1">
        <f t="array" ref="S113">S$106+IF($C113&lt;&gt;0,SUMPRODUCT((S$107:S$108)*TRANSPOSE(($D113:$E113))),0)</f>
        <v>-533840.655203484</v>
      </c>
      <c r="T113" s="31" cm="1">
        <f t="array" ref="T113">T$106+IF($C113&lt;&gt;0,SUMPRODUCT((T$107:T$108)*TRANSPOSE(($D113:$E113))),0)</f>
        <v>-533840.655203484</v>
      </c>
      <c r="U113" s="31" cm="1">
        <f t="array" ref="U113">U$106+IF($C113&lt;&gt;0,SUMPRODUCT((U$107:U$108)*TRANSPOSE(($D113:$E113))),0)</f>
        <v>-533840.655203484</v>
      </c>
      <c r="V113" s="31" cm="1">
        <f t="array" ref="V113">V$106+IF($C113&lt;&gt;0,SUMPRODUCT((V$107:V$108)*TRANSPOSE(($D113:$E113))),0)</f>
        <v>-533840.655203484</v>
      </c>
      <c r="W113" s="31" cm="1">
        <f t="array" ref="W113">W$106+IF($C113&lt;&gt;0,SUMPRODUCT((W$107:W$108)*TRANSPOSE(($D113:$E113))),0)</f>
        <v>-533840.655203484</v>
      </c>
      <c r="X113" s="31" cm="1">
        <f t="array" ref="X113">X$106+IF($C113&lt;&gt;0,SUMPRODUCT((X$107:X$108)*TRANSPOSE(($D113:$E113))),0)</f>
        <v>-533840.655203484</v>
      </c>
      <c r="Y113" s="31" cm="1">
        <f t="array" ref="Y113">Y$106+IF($C113&lt;&gt;0,SUMPRODUCT((Y$107:Y$108)*TRANSPOSE(($D113:$E113))),0)</f>
        <v>-533840.655203484</v>
      </c>
      <c r="Z113" s="31" cm="1">
        <f t="array" ref="Z113">Z$106+IF($C113&lt;&gt;0,SUMPRODUCT((Z$107:Z$108)*TRANSPOSE(($D113:$E113))),0)</f>
        <v>-533840.655203484</v>
      </c>
      <c r="AA113" s="31" cm="1">
        <f t="array" ref="AA113">AA$106+IF($C113&lt;&gt;0,SUMPRODUCT((AA$107:AA$108)*TRANSPOSE(($D113:$E113))),0)</f>
        <v>-533840.655203484</v>
      </c>
      <c r="AB113" s="31" cm="1">
        <f t="array" ref="AB113">AB$106+IF($C113&lt;&gt;0,SUMPRODUCT((AB$107:AB$108)*TRANSPOSE(($D113:$E113))),0)</f>
        <v>-533840.655203484</v>
      </c>
      <c r="AC113" s="31" cm="1">
        <f t="array" ref="AC113">AC$106+IF($C113&lt;&gt;0,SUMPRODUCT((AC$107:AC$108)*TRANSPOSE(($D113:$E113))),0)</f>
        <v>-533840.655203484</v>
      </c>
      <c r="AD113" s="31" cm="1">
        <f t="array" ref="AD113">AD$106+IF($C113&lt;&gt;0,SUMPRODUCT((AD$107:AD$108)*TRANSPOSE(($D113:$E113))),0)</f>
        <v>-533840.655203484</v>
      </c>
      <c r="AE113" s="31" cm="1">
        <f t="array" ref="AE113">AE$106+IF($C113&lt;&gt;0,SUMPRODUCT((AE$107:AE$108)*TRANSPOSE(($D113:$E113))),0)</f>
        <v>-533840.655203484</v>
      </c>
      <c r="AF113" s="31" cm="1">
        <f t="array" ref="AF113">AF$106+IF($C113&lt;&gt;0,SUMPRODUCT((AF$107:AF$108)*TRANSPOSE(($D113:$E113))),0)</f>
        <v>-533840.655203484</v>
      </c>
      <c r="AG113" s="31" cm="1">
        <f t="array" ref="AG113">AG$106+IF($C113&lt;&gt;0,SUMPRODUCT((AG$107:AG$108)*TRANSPOSE(($D113:$E113))),0)</f>
        <v>-533840.655203484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-1287324.8603619162</v>
      </c>
      <c r="L114" s="31" cm="1">
        <f t="array" ref="L114">L$106+IF($C114&lt;&gt;0,SUMPRODUCT((L$107:L$108)*TRANSPOSE(($D114:$E114))),0)</f>
        <v>1025350.2792761676</v>
      </c>
      <c r="M114" s="31" cm="1">
        <f t="array" ref="M114">M$106+IF($C114&lt;&gt;0,SUMPRODUCT((M$107:M$108)*TRANSPOSE(($D114:$E114))),0)</f>
        <v>-767899.72072383238</v>
      </c>
      <c r="N114" s="31" cm="1">
        <f t="array" ref="N114">N$106+IF($C114&lt;&gt;0,SUMPRODUCT((N$107:N$108)*TRANSPOSE(($D114:$E114))),0)</f>
        <v>-767899.72072383238</v>
      </c>
      <c r="O114" s="31" cm="1">
        <f t="array" ref="O114">O$106+IF($C114&lt;&gt;0,SUMPRODUCT((O$107:O$108)*TRANSPOSE(($D114:$E114))),0)</f>
        <v>-767899.72072383238</v>
      </c>
      <c r="P114" s="31" cm="1">
        <f t="array" ref="P114">P$106+IF($C114&lt;&gt;0,SUMPRODUCT((P$107:P$108)*TRANSPOSE(($D114:$E114))),0)</f>
        <v>-767899.72072383238</v>
      </c>
      <c r="Q114" s="31" cm="1">
        <f t="array" ref="Q114">Q$106+IF($C114&lt;&gt;0,SUMPRODUCT((Q$107:Q$108)*TRANSPOSE(($D114:$E114))),0)</f>
        <v>-767899.72072383238</v>
      </c>
      <c r="R114" s="31" cm="1">
        <f t="array" ref="R114">R$106+IF($C114&lt;&gt;0,SUMPRODUCT((R$107:R$108)*TRANSPOSE(($D114:$E114))),0)</f>
        <v>-767899.72072383238</v>
      </c>
      <c r="S114" s="31" cm="1">
        <f t="array" ref="S114">S$106+IF($C114&lt;&gt;0,SUMPRODUCT((S$107:S$108)*TRANSPOSE(($D114:$E114))),0)</f>
        <v>-767899.72072383238</v>
      </c>
      <c r="T114" s="31" cm="1">
        <f t="array" ref="T114">T$106+IF($C114&lt;&gt;0,SUMPRODUCT((T$107:T$108)*TRANSPOSE(($D114:$E114))),0)</f>
        <v>-767899.72072383238</v>
      </c>
      <c r="U114" s="31" cm="1">
        <f t="array" ref="U114">U$106+IF($C114&lt;&gt;0,SUMPRODUCT((U$107:U$108)*TRANSPOSE(($D114:$E114))),0)</f>
        <v>-767899.72072383238</v>
      </c>
      <c r="V114" s="31" cm="1">
        <f t="array" ref="V114">V$106+IF($C114&lt;&gt;0,SUMPRODUCT((V$107:V$108)*TRANSPOSE(($D114:$E114))),0)</f>
        <v>-767899.72072383238</v>
      </c>
      <c r="W114" s="31" cm="1">
        <f t="array" ref="W114">W$106+IF($C114&lt;&gt;0,SUMPRODUCT((W$107:W$108)*TRANSPOSE(($D114:$E114))),0)</f>
        <v>-767899.72072383238</v>
      </c>
      <c r="X114" s="31" cm="1">
        <f t="array" ref="X114">X$106+IF($C114&lt;&gt;0,SUMPRODUCT((X$107:X$108)*TRANSPOSE(($D114:$E114))),0)</f>
        <v>-767899.72072383238</v>
      </c>
      <c r="Y114" s="31" cm="1">
        <f t="array" ref="Y114">Y$106+IF($C114&lt;&gt;0,SUMPRODUCT((Y$107:Y$108)*TRANSPOSE(($D114:$E114))),0)</f>
        <v>-767899.72072383238</v>
      </c>
      <c r="Z114" s="31" cm="1">
        <f t="array" ref="Z114">Z$106+IF($C114&lt;&gt;0,SUMPRODUCT((Z$107:Z$108)*TRANSPOSE(($D114:$E114))),0)</f>
        <v>-767899.72072383238</v>
      </c>
      <c r="AA114" s="31" cm="1">
        <f t="array" ref="AA114">AA$106+IF($C114&lt;&gt;0,SUMPRODUCT((AA$107:AA$108)*TRANSPOSE(($D114:$E114))),0)</f>
        <v>-767899.72072383238</v>
      </c>
      <c r="AB114" s="31" cm="1">
        <f t="array" ref="AB114">AB$106+IF($C114&lt;&gt;0,SUMPRODUCT((AB$107:AB$108)*TRANSPOSE(($D114:$E114))),0)</f>
        <v>-767899.72072383238</v>
      </c>
      <c r="AC114" s="31" cm="1">
        <f t="array" ref="AC114">AC$106+IF($C114&lt;&gt;0,SUMPRODUCT((AC$107:AC$108)*TRANSPOSE(($D114:$E114))),0)</f>
        <v>-767899.72072383238</v>
      </c>
      <c r="AD114" s="31" cm="1">
        <f t="array" ref="AD114">AD$106+IF($C114&lt;&gt;0,SUMPRODUCT((AD$107:AD$108)*TRANSPOSE(($D114:$E114))),0)</f>
        <v>-767899.72072383238</v>
      </c>
      <c r="AE114" s="31" cm="1">
        <f t="array" ref="AE114">AE$106+IF($C114&lt;&gt;0,SUMPRODUCT((AE$107:AE$108)*TRANSPOSE(($D114:$E114))),0)</f>
        <v>-767899.72072383238</v>
      </c>
      <c r="AF114" s="31" cm="1">
        <f t="array" ref="AF114">AF$106+IF($C114&lt;&gt;0,SUMPRODUCT((AF$107:AF$108)*TRANSPOSE(($D114:$E114))),0)</f>
        <v>-767899.72072383238</v>
      </c>
      <c r="AG114" s="31" cm="1">
        <f t="array" ref="AG114">AG$106+IF($C114&lt;&gt;0,SUMPRODUCT((AG$107:AG$108)*TRANSPOSE(($D114:$E114))),0)</f>
        <v>-767899.72072383238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-1170295.327601742</v>
      </c>
      <c r="L115" s="31" cm="1">
        <f t="array" ref="L115">L$106+IF($C115&lt;&gt;0,SUMPRODUCT((L$107:L$108)*TRANSPOSE(($D115:$E115))),0)</f>
        <v>1659409.344796516</v>
      </c>
      <c r="M115" s="31" cm="1">
        <f t="array" ref="M115">M$106+IF($C115&lt;&gt;0,SUMPRODUCT((M$107:M$108)*TRANSPOSE(($D115:$E115))),0)</f>
        <v>-333090.655203484</v>
      </c>
      <c r="N115" s="31" cm="1">
        <f t="array" ref="N115">N$106+IF($C115&lt;&gt;0,SUMPRODUCT((N$107:N$108)*TRANSPOSE(($D115:$E115))),0)</f>
        <v>-333090.655203484</v>
      </c>
      <c r="O115" s="31" cm="1">
        <f t="array" ref="O115">O$106+IF($C115&lt;&gt;0,SUMPRODUCT((O$107:O$108)*TRANSPOSE(($D115:$E115))),0)</f>
        <v>-333090.655203484</v>
      </c>
      <c r="P115" s="31" cm="1">
        <f t="array" ref="P115">P$106+IF($C115&lt;&gt;0,SUMPRODUCT((P$107:P$108)*TRANSPOSE(($D115:$E115))),0)</f>
        <v>-333090.655203484</v>
      </c>
      <c r="Q115" s="31" cm="1">
        <f t="array" ref="Q115">Q$106+IF($C115&lt;&gt;0,SUMPRODUCT((Q$107:Q$108)*TRANSPOSE(($D115:$E115))),0)</f>
        <v>-333090.655203484</v>
      </c>
      <c r="R115" s="31" cm="1">
        <f t="array" ref="R115">R$106+IF($C115&lt;&gt;0,SUMPRODUCT((R$107:R$108)*TRANSPOSE(($D115:$E115))),0)</f>
        <v>-333090.655203484</v>
      </c>
      <c r="S115" s="31" cm="1">
        <f t="array" ref="S115">S$106+IF($C115&lt;&gt;0,SUMPRODUCT((S$107:S$108)*TRANSPOSE(($D115:$E115))),0)</f>
        <v>-333090.655203484</v>
      </c>
      <c r="T115" s="31" cm="1">
        <f t="array" ref="T115">T$106+IF($C115&lt;&gt;0,SUMPRODUCT((T$107:T$108)*TRANSPOSE(($D115:$E115))),0)</f>
        <v>-333090.655203484</v>
      </c>
      <c r="U115" s="31" cm="1">
        <f t="array" ref="U115">U$106+IF($C115&lt;&gt;0,SUMPRODUCT((U$107:U$108)*TRANSPOSE(($D115:$E115))),0)</f>
        <v>-333090.655203484</v>
      </c>
      <c r="V115" s="31" cm="1">
        <f t="array" ref="V115">V$106+IF($C115&lt;&gt;0,SUMPRODUCT((V$107:V$108)*TRANSPOSE(($D115:$E115))),0)</f>
        <v>-333090.655203484</v>
      </c>
      <c r="W115" s="31" cm="1">
        <f t="array" ref="W115">W$106+IF($C115&lt;&gt;0,SUMPRODUCT((W$107:W$108)*TRANSPOSE(($D115:$E115))),0)</f>
        <v>-333090.655203484</v>
      </c>
      <c r="X115" s="31" cm="1">
        <f t="array" ref="X115">X$106+IF($C115&lt;&gt;0,SUMPRODUCT((X$107:X$108)*TRANSPOSE(($D115:$E115))),0)</f>
        <v>-333090.655203484</v>
      </c>
      <c r="Y115" s="31" cm="1">
        <f t="array" ref="Y115">Y$106+IF($C115&lt;&gt;0,SUMPRODUCT((Y$107:Y$108)*TRANSPOSE(($D115:$E115))),0)</f>
        <v>-333090.655203484</v>
      </c>
      <c r="Z115" s="31" cm="1">
        <f t="array" ref="Z115">Z$106+IF($C115&lt;&gt;0,SUMPRODUCT((Z$107:Z$108)*TRANSPOSE(($D115:$E115))),0)</f>
        <v>-333090.655203484</v>
      </c>
      <c r="AA115" s="31" cm="1">
        <f t="array" ref="AA115">AA$106+IF($C115&lt;&gt;0,SUMPRODUCT((AA$107:AA$108)*TRANSPOSE(($D115:$E115))),0)</f>
        <v>-333090.655203484</v>
      </c>
      <c r="AB115" s="31" cm="1">
        <f t="array" ref="AB115">AB$106+IF($C115&lt;&gt;0,SUMPRODUCT((AB$107:AB$108)*TRANSPOSE(($D115:$E115))),0)</f>
        <v>-333090.655203484</v>
      </c>
      <c r="AC115" s="31" cm="1">
        <f t="array" ref="AC115">AC$106+IF($C115&lt;&gt;0,SUMPRODUCT((AC$107:AC$108)*TRANSPOSE(($D115:$E115))),0)</f>
        <v>-333090.655203484</v>
      </c>
      <c r="AD115" s="31" cm="1">
        <f t="array" ref="AD115">AD$106+IF($C115&lt;&gt;0,SUMPRODUCT((AD$107:AD$108)*TRANSPOSE(($D115:$E115))),0)</f>
        <v>-333090.655203484</v>
      </c>
      <c r="AE115" s="31" cm="1">
        <f t="array" ref="AE115">AE$106+IF($C115&lt;&gt;0,SUMPRODUCT((AE$107:AE$108)*TRANSPOSE(($D115:$E115))),0)</f>
        <v>-333090.655203484</v>
      </c>
      <c r="AF115" s="31" cm="1">
        <f t="array" ref="AF115">AF$106+IF($C115&lt;&gt;0,SUMPRODUCT((AF$107:AF$108)*TRANSPOSE(($D115:$E115))),0)</f>
        <v>-333090.655203484</v>
      </c>
      <c r="AG115" s="31" cm="1">
        <f t="array" ref="AG115">AG$106+IF($C115&lt;&gt;0,SUMPRODUCT((AG$107:AG$108)*TRANSPOSE(($D115:$E115))),0)</f>
        <v>-333090.655203484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-1170295.327601742</v>
      </c>
      <c r="L116" s="31" cm="1">
        <f t="array" ref="L116">L$106+IF($C116&lt;&gt;0,SUMPRODUCT((L$107:L$108)*TRANSPOSE(($D116:$E116))),0)</f>
        <v>1659409.344796516</v>
      </c>
      <c r="M116" s="31" cm="1">
        <f t="array" ref="M116">M$106+IF($C116&lt;&gt;0,SUMPRODUCT((M$107:M$108)*TRANSPOSE(($D116:$E116))),0)</f>
        <v>-333090.655203484</v>
      </c>
      <c r="N116" s="31" cm="1">
        <f t="array" ref="N116">N$106+IF($C116&lt;&gt;0,SUMPRODUCT((N$107:N$108)*TRANSPOSE(($D116:$E116))),0)</f>
        <v>-333090.655203484</v>
      </c>
      <c r="O116" s="31" cm="1">
        <f t="array" ref="O116">O$106+IF($C116&lt;&gt;0,SUMPRODUCT((O$107:O$108)*TRANSPOSE(($D116:$E116))),0)</f>
        <v>-333090.655203484</v>
      </c>
      <c r="P116" s="31" cm="1">
        <f t="array" ref="P116">P$106+IF($C116&lt;&gt;0,SUMPRODUCT((P$107:P$108)*TRANSPOSE(($D116:$E116))),0)</f>
        <v>-333090.655203484</v>
      </c>
      <c r="Q116" s="31" cm="1">
        <f t="array" ref="Q116">Q$106+IF($C116&lt;&gt;0,SUMPRODUCT((Q$107:Q$108)*TRANSPOSE(($D116:$E116))),0)</f>
        <v>-333090.655203484</v>
      </c>
      <c r="R116" s="31" cm="1">
        <f t="array" ref="R116">R$106+IF($C116&lt;&gt;0,SUMPRODUCT((R$107:R$108)*TRANSPOSE(($D116:$E116))),0)</f>
        <v>-333090.655203484</v>
      </c>
      <c r="S116" s="31" cm="1">
        <f t="array" ref="S116">S$106+IF($C116&lt;&gt;0,SUMPRODUCT((S$107:S$108)*TRANSPOSE(($D116:$E116))),0)</f>
        <v>-333090.655203484</v>
      </c>
      <c r="T116" s="31" cm="1">
        <f t="array" ref="T116">T$106+IF($C116&lt;&gt;0,SUMPRODUCT((T$107:T$108)*TRANSPOSE(($D116:$E116))),0)</f>
        <v>-333090.655203484</v>
      </c>
      <c r="U116" s="31" cm="1">
        <f t="array" ref="U116">U$106+IF($C116&lt;&gt;0,SUMPRODUCT((U$107:U$108)*TRANSPOSE(($D116:$E116))),0)</f>
        <v>-333090.655203484</v>
      </c>
      <c r="V116" s="31" cm="1">
        <f t="array" ref="V116">V$106+IF($C116&lt;&gt;0,SUMPRODUCT((V$107:V$108)*TRANSPOSE(($D116:$E116))),0)</f>
        <v>-333090.655203484</v>
      </c>
      <c r="W116" s="31" cm="1">
        <f t="array" ref="W116">W$106+IF($C116&lt;&gt;0,SUMPRODUCT((W$107:W$108)*TRANSPOSE(($D116:$E116))),0)</f>
        <v>-333090.655203484</v>
      </c>
      <c r="X116" s="31" cm="1">
        <f t="array" ref="X116">X$106+IF($C116&lt;&gt;0,SUMPRODUCT((X$107:X$108)*TRANSPOSE(($D116:$E116))),0)</f>
        <v>-333090.655203484</v>
      </c>
      <c r="Y116" s="31" cm="1">
        <f t="array" ref="Y116">Y$106+IF($C116&lt;&gt;0,SUMPRODUCT((Y$107:Y$108)*TRANSPOSE(($D116:$E116))),0)</f>
        <v>-333090.655203484</v>
      </c>
      <c r="Z116" s="31" cm="1">
        <f t="array" ref="Z116">Z$106+IF($C116&lt;&gt;0,SUMPRODUCT((Z$107:Z$108)*TRANSPOSE(($D116:$E116))),0)</f>
        <v>-333090.655203484</v>
      </c>
      <c r="AA116" s="31" cm="1">
        <f t="array" ref="AA116">AA$106+IF($C116&lt;&gt;0,SUMPRODUCT((AA$107:AA$108)*TRANSPOSE(($D116:$E116))),0)</f>
        <v>-333090.655203484</v>
      </c>
      <c r="AB116" s="31" cm="1">
        <f t="array" ref="AB116">AB$106+IF($C116&lt;&gt;0,SUMPRODUCT((AB$107:AB$108)*TRANSPOSE(($D116:$E116))),0)</f>
        <v>-333090.655203484</v>
      </c>
      <c r="AC116" s="31" cm="1">
        <f t="array" ref="AC116">AC$106+IF($C116&lt;&gt;0,SUMPRODUCT((AC$107:AC$108)*TRANSPOSE(($D116:$E116))),0)</f>
        <v>-333090.655203484</v>
      </c>
      <c r="AD116" s="31" cm="1">
        <f t="array" ref="AD116">AD$106+IF($C116&lt;&gt;0,SUMPRODUCT((AD$107:AD$108)*TRANSPOSE(($D116:$E116))),0)</f>
        <v>-333090.655203484</v>
      </c>
      <c r="AE116" s="31" cm="1">
        <f t="array" ref="AE116">AE$106+IF($C116&lt;&gt;0,SUMPRODUCT((AE$107:AE$108)*TRANSPOSE(($D116:$E116))),0)</f>
        <v>-333090.655203484</v>
      </c>
      <c r="AF116" s="31" cm="1">
        <f t="array" ref="AF116">AF$106+IF($C116&lt;&gt;0,SUMPRODUCT((AF$107:AF$108)*TRANSPOSE(($D116:$E116))),0)</f>
        <v>-333090.655203484</v>
      </c>
      <c r="AG116" s="31" cm="1">
        <f t="array" ref="AG116">AG$106+IF($C116&lt;&gt;0,SUMPRODUCT((AG$107:AG$108)*TRANSPOSE(($D116:$E116))),0)</f>
        <v>-333090.655203484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-1170295.327601742</v>
      </c>
      <c r="L117" s="31" cm="1">
        <f t="array" ref="L117">L$106+IF($C117&lt;&gt;0,SUMPRODUCT((L$107:L$108)*TRANSPOSE(($D117:$E117))),0)</f>
        <v>1659409.344796516</v>
      </c>
      <c r="M117" s="31" cm="1">
        <f t="array" ref="M117">M$106+IF($C117&lt;&gt;0,SUMPRODUCT((M$107:M$108)*TRANSPOSE(($D117:$E117))),0)</f>
        <v>-333090.655203484</v>
      </c>
      <c r="N117" s="31" cm="1">
        <f t="array" ref="N117">N$106+IF($C117&lt;&gt;0,SUMPRODUCT((N$107:N$108)*TRANSPOSE(($D117:$E117))),0)</f>
        <v>-333090.655203484</v>
      </c>
      <c r="O117" s="31" cm="1">
        <f t="array" ref="O117">O$106+IF($C117&lt;&gt;0,SUMPRODUCT((O$107:O$108)*TRANSPOSE(($D117:$E117))),0)</f>
        <v>-333090.655203484</v>
      </c>
      <c r="P117" s="31" cm="1">
        <f t="array" ref="P117">P$106+IF($C117&lt;&gt;0,SUMPRODUCT((P$107:P$108)*TRANSPOSE(($D117:$E117))),0)</f>
        <v>-333090.655203484</v>
      </c>
      <c r="Q117" s="31" cm="1">
        <f t="array" ref="Q117">Q$106+IF($C117&lt;&gt;0,SUMPRODUCT((Q$107:Q$108)*TRANSPOSE(($D117:$E117))),0)</f>
        <v>-333090.655203484</v>
      </c>
      <c r="R117" s="31" cm="1">
        <f t="array" ref="R117">R$106+IF($C117&lt;&gt;0,SUMPRODUCT((R$107:R$108)*TRANSPOSE(($D117:$E117))),0)</f>
        <v>-333090.655203484</v>
      </c>
      <c r="S117" s="31" cm="1">
        <f t="array" ref="S117">S$106+IF($C117&lt;&gt;0,SUMPRODUCT((S$107:S$108)*TRANSPOSE(($D117:$E117))),0)</f>
        <v>-333090.655203484</v>
      </c>
      <c r="T117" s="31" cm="1">
        <f t="array" ref="T117">T$106+IF($C117&lt;&gt;0,SUMPRODUCT((T$107:T$108)*TRANSPOSE(($D117:$E117))),0)</f>
        <v>-333090.655203484</v>
      </c>
      <c r="U117" s="31" cm="1">
        <f t="array" ref="U117">U$106+IF($C117&lt;&gt;0,SUMPRODUCT((U$107:U$108)*TRANSPOSE(($D117:$E117))),0)</f>
        <v>-333090.655203484</v>
      </c>
      <c r="V117" s="31" cm="1">
        <f t="array" ref="V117">V$106+IF($C117&lt;&gt;0,SUMPRODUCT((V$107:V$108)*TRANSPOSE(($D117:$E117))),0)</f>
        <v>-333090.655203484</v>
      </c>
      <c r="W117" s="31" cm="1">
        <f t="array" ref="W117">W$106+IF($C117&lt;&gt;0,SUMPRODUCT((W$107:W$108)*TRANSPOSE(($D117:$E117))),0)</f>
        <v>-333090.655203484</v>
      </c>
      <c r="X117" s="31" cm="1">
        <f t="array" ref="X117">X$106+IF($C117&lt;&gt;0,SUMPRODUCT((X$107:X$108)*TRANSPOSE(($D117:$E117))),0)</f>
        <v>-333090.655203484</v>
      </c>
      <c r="Y117" s="31" cm="1">
        <f t="array" ref="Y117">Y$106+IF($C117&lt;&gt;0,SUMPRODUCT((Y$107:Y$108)*TRANSPOSE(($D117:$E117))),0)</f>
        <v>-333090.655203484</v>
      </c>
      <c r="Z117" s="31" cm="1">
        <f t="array" ref="Z117">Z$106+IF($C117&lt;&gt;0,SUMPRODUCT((Z$107:Z$108)*TRANSPOSE(($D117:$E117))),0)</f>
        <v>-333090.655203484</v>
      </c>
      <c r="AA117" s="31" cm="1">
        <f t="array" ref="AA117">AA$106+IF($C117&lt;&gt;0,SUMPRODUCT((AA$107:AA$108)*TRANSPOSE(($D117:$E117))),0)</f>
        <v>-333090.655203484</v>
      </c>
      <c r="AB117" s="31" cm="1">
        <f t="array" ref="AB117">AB$106+IF($C117&lt;&gt;0,SUMPRODUCT((AB$107:AB$108)*TRANSPOSE(($D117:$E117))),0)</f>
        <v>-333090.655203484</v>
      </c>
      <c r="AC117" s="31" cm="1">
        <f t="array" ref="AC117">AC$106+IF($C117&lt;&gt;0,SUMPRODUCT((AC$107:AC$108)*TRANSPOSE(($D117:$E117))),0)</f>
        <v>-333090.655203484</v>
      </c>
      <c r="AD117" s="31" cm="1">
        <f t="array" ref="AD117">AD$106+IF($C117&lt;&gt;0,SUMPRODUCT((AD$107:AD$108)*TRANSPOSE(($D117:$E117))),0)</f>
        <v>-333090.655203484</v>
      </c>
      <c r="AE117" s="31" cm="1">
        <f t="array" ref="AE117">AE$106+IF($C117&lt;&gt;0,SUMPRODUCT((AE$107:AE$108)*TRANSPOSE(($D117:$E117))),0)</f>
        <v>-333090.655203484</v>
      </c>
      <c r="AF117" s="31" cm="1">
        <f t="array" ref="AF117">AF$106+IF($C117&lt;&gt;0,SUMPRODUCT((AF$107:AF$108)*TRANSPOSE(($D117:$E117))),0)</f>
        <v>-333090.655203484</v>
      </c>
      <c r="AG117" s="31" cm="1">
        <f t="array" ref="AG117">AG$106+IF($C117&lt;&gt;0,SUMPRODUCT((AG$107:AG$108)*TRANSPOSE(($D117:$E117))),0)</f>
        <v>-333090.655203484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G14" sqref="G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TRG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183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45911.033992475495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191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REFCL TRG compliance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192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193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152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0</v>
      </c>
      <c r="G14" s="271">
        <f>output_dollars</f>
        <v>46203</v>
      </c>
      <c r="H14" s="272"/>
      <c r="I14" s="31">
        <f>'Option1 (base case)'!I$28*conv_2026</f>
        <v>0</v>
      </c>
      <c r="J14" s="31">
        <f>'Option1 (base case)'!J$28*conv_2026</f>
        <v>0</v>
      </c>
      <c r="K14" s="31">
        <f>'Option1 (base case)'!K$28*conv_2026</f>
        <v>0</v>
      </c>
      <c r="L14" s="31">
        <f>'Option1 (base case)'!L$28*conv_2026</f>
        <v>0</v>
      </c>
      <c r="M14" s="31">
        <f>'Option1 (base case)'!M$28*conv_2026</f>
        <v>0</v>
      </c>
      <c r="N14" s="31">
        <f>'Option1 (base case)'!N$28*conv_2026</f>
        <v>0</v>
      </c>
      <c r="O14" s="31">
        <f>'Option1 (base case)'!O$28*conv_2026</f>
        <v>0</v>
      </c>
      <c r="P14" s="31">
        <f>'Option1 (base case)'!P$28*conv_2026</f>
        <v>0</v>
      </c>
      <c r="Q14" s="31">
        <f>'Option1 (base case)'!Q$28*conv_2026</f>
        <v>0</v>
      </c>
      <c r="R14" s="31">
        <f>'Option1 (base case)'!R$28*conv_2026</f>
        <v>0</v>
      </c>
      <c r="S14" s="31">
        <f>'Option1 (base case)'!S$28*conv_2026</f>
        <v>0</v>
      </c>
      <c r="T14" s="31">
        <f>'Option1 (base case)'!T$28*conv_2026</f>
        <v>0</v>
      </c>
      <c r="U14" s="31">
        <f>'Option1 (base case)'!U$28*conv_2026</f>
        <v>0</v>
      </c>
      <c r="V14" s="31">
        <f>'Option1 (base case)'!V$28*conv_2026</f>
        <v>0</v>
      </c>
      <c r="W14" s="31">
        <f>'Option1 (base case)'!W$28*conv_2026</f>
        <v>0</v>
      </c>
      <c r="X14" s="31">
        <f>'Option1 (base case)'!X$28*conv_2026</f>
        <v>0</v>
      </c>
      <c r="Y14" s="31">
        <f>'Option1 (base case)'!Y$28*conv_2026</f>
        <v>0</v>
      </c>
      <c r="Z14" s="31">
        <f>'Option1 (base case)'!Z$28*conv_2026</f>
        <v>0</v>
      </c>
      <c r="AA14" s="31">
        <f>'Option1 (base case)'!AA$28*conv_2026</f>
        <v>0</v>
      </c>
      <c r="AB14" s="31">
        <f>'Option1 (base case)'!AB$28*conv_2026</f>
        <v>0</v>
      </c>
      <c r="AC14" s="31">
        <f>'Option1 (base case)'!AC$28*conv_2026</f>
        <v>0</v>
      </c>
      <c r="AD14" s="31">
        <f>'Option1 (base case)'!AD$28*conv_2026</f>
        <v>0</v>
      </c>
      <c r="AE14" s="31">
        <f>'Option1 (base case)'!AE$28*conv_2026</f>
        <v>0</v>
      </c>
      <c r="AF14" s="31">
        <f>'Option1 (base case)'!AF$28*conv_2026</f>
        <v>0</v>
      </c>
      <c r="AG14" s="31">
        <f>'Option1 (base case)'!AG$28*conv_2026</f>
        <v>0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29005518.783270191</v>
      </c>
      <c r="G16" s="225">
        <f>output_dollars</f>
        <v>46203</v>
      </c>
      <c r="H16" s="31"/>
      <c r="I16" s="31">
        <f>'Option1 (base case)'!I$36*conv_2026</f>
        <v>0</v>
      </c>
      <c r="J16" s="31">
        <f>'Option1 (base case)'!J$36*conv_2026</f>
        <v>0</v>
      </c>
      <c r="K16" s="31">
        <f>'Option1 (base case)'!K$36*conv_2026</f>
        <v>0</v>
      </c>
      <c r="L16" s="31">
        <f>'Option1 (base case)'!L$36*conv_2026</f>
        <v>4451650.5856663873</v>
      </c>
      <c r="M16" s="31">
        <f>'Option1 (base case)'!M$36*conv_2026</f>
        <v>2234172.137681318</v>
      </c>
      <c r="N16" s="31">
        <f>'Option1 (base case)'!N$36*conv_2026</f>
        <v>2234172.137681318</v>
      </c>
      <c r="O16" s="31">
        <f>'Option1 (base case)'!O$36*conv_2026</f>
        <v>2234172.137681318</v>
      </c>
      <c r="P16" s="31">
        <f>'Option1 (base case)'!P$36*conv_2026</f>
        <v>2234172.137681318</v>
      </c>
      <c r="Q16" s="31">
        <f>'Option1 (base case)'!Q$36*conv_2026</f>
        <v>2234172.137681318</v>
      </c>
      <c r="R16" s="31">
        <f>'Option1 (base case)'!R$36*conv_2026</f>
        <v>2234172.137681318</v>
      </c>
      <c r="S16" s="31">
        <f>'Option1 (base case)'!S$36*conv_2026</f>
        <v>2234172.137681318</v>
      </c>
      <c r="T16" s="31">
        <f>'Option1 (base case)'!T$36*conv_2026</f>
        <v>2234172.137681318</v>
      </c>
      <c r="U16" s="31">
        <f>'Option1 (base case)'!U$36*conv_2026</f>
        <v>2234172.137681318</v>
      </c>
      <c r="V16" s="31">
        <f>'Option1 (base case)'!V$36*conv_2026</f>
        <v>2234172.137681318</v>
      </c>
      <c r="W16" s="31">
        <f>'Option1 (base case)'!W$36*conv_2026</f>
        <v>2234172.137681318</v>
      </c>
      <c r="X16" s="31">
        <f>'Option1 (base case)'!X$36*conv_2026</f>
        <v>2234172.137681318</v>
      </c>
      <c r="Y16" s="31">
        <f>'Option1 (base case)'!Y$36*conv_2026</f>
        <v>2234172.137681318</v>
      </c>
      <c r="Z16" s="31">
        <f>'Option1 (base case)'!Z$36*conv_2026</f>
        <v>2234172.137681318</v>
      </c>
      <c r="AA16" s="31">
        <f>'Option1 (base case)'!AA$36*conv_2026</f>
        <v>2234172.137681318</v>
      </c>
      <c r="AB16" s="31">
        <f>'Option1 (base case)'!AB$36*conv_2026</f>
        <v>2234172.137681318</v>
      </c>
      <c r="AC16" s="31">
        <f>'Option1 (base case)'!AC$36*conv_2026</f>
        <v>2234172.137681318</v>
      </c>
      <c r="AD16" s="31">
        <f>'Option1 (base case)'!AD$36*conv_2026</f>
        <v>2234172.137681318</v>
      </c>
      <c r="AE16" s="31">
        <f>'Option1 (base case)'!AE$36*conv_2026</f>
        <v>2234172.137681318</v>
      </c>
      <c r="AF16" s="31">
        <f>'Option1 (base case)'!AF$36*conv_2026</f>
        <v>2234172.137681318</v>
      </c>
      <c r="AG16" s="31">
        <f>'Option1 (base case)'!AG$36*conv_2026</f>
        <v>2234172.137681318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187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188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0</v>
      </c>
      <c r="G28" s="271">
        <f>output_dollars</f>
        <v>46203</v>
      </c>
      <c r="H28" s="272"/>
      <c r="I28" s="31">
        <f>Option2!I$28*conv_2026</f>
        <v>0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-7148390.0725512374</v>
      </c>
      <c r="G29" s="225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0</v>
      </c>
      <c r="K29" s="31">
        <f>SUM(Option2!K$67:K$69)*conv_2026*K$7</f>
        <v>-7790388.5249161776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0</v>
      </c>
      <c r="G30" s="225">
        <f>output_dollars</f>
        <v>46203</v>
      </c>
      <c r="H30" s="31"/>
      <c r="I30" s="31">
        <f>Option2!I$36*conv_2026*I$7</f>
        <v>0</v>
      </c>
      <c r="J30" s="31">
        <f>Option2!J$36*conv_2026*J$7</f>
        <v>0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-4019718.8766640127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0</v>
      </c>
      <c r="L32" s="31">
        <f>Option2!L$82*conv_2026*L$7</f>
        <v>-332133.16178184445</v>
      </c>
      <c r="M32" s="31">
        <f>Option2!M$82*conv_2026*M$7</f>
        <v>-332133.16178184445</v>
      </c>
      <c r="N32" s="31">
        <f>Option2!N$82*conv_2026*N$7</f>
        <v>-332133.16178184445</v>
      </c>
      <c r="O32" s="31">
        <f>Option2!O$82*conv_2026*O$7</f>
        <v>-332133.16178184445</v>
      </c>
      <c r="P32" s="31">
        <f>Option2!P$82*conv_2026*P$7</f>
        <v>-332133.16178184445</v>
      </c>
      <c r="Q32" s="31">
        <f>Option2!Q$82*conv_2026*Q$7</f>
        <v>-332133.16178184445</v>
      </c>
      <c r="R32" s="31">
        <f>Option2!R$82*conv_2026*R$7</f>
        <v>-332133.16178184445</v>
      </c>
      <c r="S32" s="31">
        <f>Option2!S$82*conv_2026*S$7</f>
        <v>-332133.16178184445</v>
      </c>
      <c r="T32" s="31">
        <f>Option2!T$82*conv_2026*T$7</f>
        <v>-332133.16178184445</v>
      </c>
      <c r="U32" s="31">
        <f>Option2!U$82*conv_2026*U$7</f>
        <v>-332133.16178184445</v>
      </c>
      <c r="V32" s="31">
        <f>Option2!V$82*conv_2026*V$7</f>
        <v>-332133.16178184445</v>
      </c>
      <c r="W32" s="31">
        <f>Option2!W$82*conv_2026*W$7</f>
        <v>-332133.16178184445</v>
      </c>
      <c r="X32" s="31">
        <f>Option2!X$82*conv_2026*X$7</f>
        <v>-332133.16178184445</v>
      </c>
      <c r="Y32" s="31">
        <f>Option2!Y$82*conv_2026*Y$7</f>
        <v>-332133.16178184445</v>
      </c>
      <c r="Z32" s="31">
        <f>Option2!Z$82*conv_2026*Z$7</f>
        <v>-332133.16178184445</v>
      </c>
      <c r="AA32" s="31">
        <f>Option2!AA$82*conv_2026*AA$7</f>
        <v>-332133.16178184445</v>
      </c>
      <c r="AB32" s="31">
        <f>Option2!AB$82*conv_2026*AB$7</f>
        <v>-332133.16178184445</v>
      </c>
      <c r="AC32" s="31">
        <f>Option2!AC$82*conv_2026*AC$7</f>
        <v>-332133.16178184445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29005518.783270191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4451650.5856663873</v>
      </c>
      <c r="M34" s="31">
        <f>Option2!M$84*conv_2026*M$7</f>
        <v>2234172.137681318</v>
      </c>
      <c r="N34" s="31">
        <f>Option2!N$84*conv_2026*N$7</f>
        <v>2234172.137681318</v>
      </c>
      <c r="O34" s="31">
        <f>Option2!O$84*conv_2026*O$7</f>
        <v>2234172.137681318</v>
      </c>
      <c r="P34" s="31">
        <f>Option2!P$84*conv_2026*P$7</f>
        <v>2234172.137681318</v>
      </c>
      <c r="Q34" s="31">
        <f>Option2!Q$84*conv_2026*Q$7</f>
        <v>2234172.137681318</v>
      </c>
      <c r="R34" s="31">
        <f>Option2!R$84*conv_2026*R$7</f>
        <v>2234172.137681318</v>
      </c>
      <c r="S34" s="31">
        <f>Option2!S$84*conv_2026*S$7</f>
        <v>2234172.137681318</v>
      </c>
      <c r="T34" s="31">
        <f>Option2!T$84*conv_2026*T$7</f>
        <v>2234172.137681318</v>
      </c>
      <c r="U34" s="31">
        <f>Option2!U$84*conv_2026*U$7</f>
        <v>2234172.137681318</v>
      </c>
      <c r="V34" s="31">
        <f>Option2!V$84*conv_2026*V$7</f>
        <v>2234172.137681318</v>
      </c>
      <c r="W34" s="31">
        <f>Option2!W$84*conv_2026*W$7</f>
        <v>2234172.137681318</v>
      </c>
      <c r="X34" s="31">
        <f>Option2!X$84*conv_2026*X$7</f>
        <v>2234172.137681318</v>
      </c>
      <c r="Y34" s="31">
        <f>Option2!Y$84*conv_2026*Y$7</f>
        <v>2234172.137681318</v>
      </c>
      <c r="Z34" s="31">
        <f>Option2!Z$84*conv_2026*Z$7</f>
        <v>2234172.137681318</v>
      </c>
      <c r="AA34" s="31">
        <f>Option2!AA$84*conv_2026*AA$7</f>
        <v>2234172.137681318</v>
      </c>
      <c r="AB34" s="31">
        <f>Option2!AB$84*conv_2026*AB$7</f>
        <v>2234172.137681318</v>
      </c>
      <c r="AC34" s="31">
        <f>Option2!AC$84*conv_2026*AC$7</f>
        <v>2234172.137681318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0</v>
      </c>
      <c r="L36" s="52">
        <f t="shared" si="9"/>
        <v>4119517.4238845427</v>
      </c>
      <c r="M36" s="52">
        <f t="shared" si="9"/>
        <v>1902038.9758994735</v>
      </c>
      <c r="N36" s="52">
        <f t="shared" si="9"/>
        <v>1902038.9758994735</v>
      </c>
      <c r="O36" s="52">
        <f t="shared" si="9"/>
        <v>1902038.9758994735</v>
      </c>
      <c r="P36" s="52">
        <f t="shared" si="9"/>
        <v>1902038.9758994735</v>
      </c>
      <c r="Q36" s="52">
        <f t="shared" si="9"/>
        <v>1902038.9758994735</v>
      </c>
      <c r="R36" s="52">
        <f t="shared" si="9"/>
        <v>1902038.9758994735</v>
      </c>
      <c r="S36" s="52">
        <f t="shared" si="9"/>
        <v>1902038.9758994735</v>
      </c>
      <c r="T36" s="52">
        <f t="shared" si="9"/>
        <v>1902038.9758994735</v>
      </c>
      <c r="U36" s="52">
        <f t="shared" si="9"/>
        <v>1902038.9758994735</v>
      </c>
      <c r="V36" s="52">
        <f t="shared" si="9"/>
        <v>1902038.9758994735</v>
      </c>
      <c r="W36" s="52">
        <f t="shared" si="9"/>
        <v>1902038.9758994735</v>
      </c>
      <c r="X36" s="52">
        <f t="shared" si="9"/>
        <v>1902038.9758994735</v>
      </c>
      <c r="Y36" s="52">
        <f t="shared" si="9"/>
        <v>1902038.9758994735</v>
      </c>
      <c r="Z36" s="52">
        <f t="shared" si="9"/>
        <v>1902038.9758994735</v>
      </c>
      <c r="AA36" s="52">
        <f t="shared" si="9"/>
        <v>1902038.9758994735</v>
      </c>
      <c r="AB36" s="52">
        <f t="shared" si="9"/>
        <v>1902038.9758994735</v>
      </c>
      <c r="AC36" s="52">
        <f t="shared" si="9"/>
        <v>1902038.9758994735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24985799.906606171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187</v>
      </c>
      <c r="D38" s="38" t="str">
        <f t="shared" si="6"/>
        <v>Option 2PV of costs</v>
      </c>
      <c r="E38" s="1"/>
      <c r="F38" s="108">
        <f>SUM(F32:F33)</f>
        <v>-4019718.8766640127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188</v>
      </c>
      <c r="D39" s="38" t="str">
        <f t="shared" si="6"/>
        <v>Option 2PV of benefits</v>
      </c>
      <c r="E39" s="1"/>
      <c r="F39" s="108">
        <f>SUM(F34:F35)</f>
        <v>29005518.783270191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0</v>
      </c>
      <c r="G42" s="271">
        <f>output_dollars</f>
        <v>46203</v>
      </c>
      <c r="H42" s="272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-5105992.9089651704</v>
      </c>
      <c r="G43" s="225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-5564563.2320829844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0</v>
      </c>
      <c r="G44" s="225">
        <f>output_dollars</f>
        <v>46203</v>
      </c>
      <c r="H44" s="31"/>
      <c r="I44" s="31">
        <f>Option3!I$36*conv_2026*I$7</f>
        <v>0</v>
      </c>
      <c r="J44" s="31">
        <f>Option3!J$36*conv_2026*J$7</f>
        <v>0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-2871227.7690457231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-237237.97270131749</v>
      </c>
      <c r="M46" s="31">
        <f>Option3!M$82*conv_2026*M$7</f>
        <v>-237237.97270131749</v>
      </c>
      <c r="N46" s="31">
        <f>Option3!N$82*conv_2026*N$7</f>
        <v>-237237.97270131749</v>
      </c>
      <c r="O46" s="31">
        <f>Option3!O$82*conv_2026*O$7</f>
        <v>-237237.97270131749</v>
      </c>
      <c r="P46" s="31">
        <f>Option3!P$82*conv_2026*P$7</f>
        <v>-237237.97270131749</v>
      </c>
      <c r="Q46" s="31">
        <f>Option3!Q$82*conv_2026*Q$7</f>
        <v>-237237.97270131749</v>
      </c>
      <c r="R46" s="31">
        <f>Option3!R$82*conv_2026*R$7</f>
        <v>-237237.97270131749</v>
      </c>
      <c r="S46" s="31">
        <f>Option3!S$82*conv_2026*S$7</f>
        <v>-237237.97270131749</v>
      </c>
      <c r="T46" s="31">
        <f>Option3!T$82*conv_2026*T$7</f>
        <v>-237237.97270131749</v>
      </c>
      <c r="U46" s="31">
        <f>Option3!U$82*conv_2026*U$7</f>
        <v>-237237.97270131749</v>
      </c>
      <c r="V46" s="31">
        <f>Option3!V$82*conv_2026*V$7</f>
        <v>-237237.97270131749</v>
      </c>
      <c r="W46" s="31">
        <f>Option3!W$82*conv_2026*W$7</f>
        <v>-237237.97270131749</v>
      </c>
      <c r="X46" s="31">
        <f>Option3!X$82*conv_2026*X$7</f>
        <v>-237237.97270131749</v>
      </c>
      <c r="Y46" s="31">
        <f>Option3!Y$82*conv_2026*Y$7</f>
        <v>-237237.97270131749</v>
      </c>
      <c r="Z46" s="31">
        <f>Option3!Z$82*conv_2026*Z$7</f>
        <v>-237237.97270131749</v>
      </c>
      <c r="AA46" s="31">
        <f>Option3!AA$82*conv_2026*AA$7</f>
        <v>-237237.97270131749</v>
      </c>
      <c r="AB46" s="31">
        <f>Option3!AB$82*conv_2026*AB$7</f>
        <v>-237237.97270131749</v>
      </c>
      <c r="AC46" s="31">
        <f>Option3!AC$82*conv_2026*AC$7</f>
        <v>-237237.97270131749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29005518.783270191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4451650.5856663873</v>
      </c>
      <c r="M48" s="31">
        <f>Option3!M$84*conv_2026*M$7</f>
        <v>2234172.137681318</v>
      </c>
      <c r="N48" s="31">
        <f>Option3!N$84*conv_2026*N$7</f>
        <v>2234172.137681318</v>
      </c>
      <c r="O48" s="31">
        <f>Option3!O$84*conv_2026*O$7</f>
        <v>2234172.137681318</v>
      </c>
      <c r="P48" s="31">
        <f>Option3!P$84*conv_2026*P$7</f>
        <v>2234172.137681318</v>
      </c>
      <c r="Q48" s="31">
        <f>Option3!Q$84*conv_2026*Q$7</f>
        <v>2234172.137681318</v>
      </c>
      <c r="R48" s="31">
        <f>Option3!R$84*conv_2026*R$7</f>
        <v>2234172.137681318</v>
      </c>
      <c r="S48" s="31">
        <f>Option3!S$84*conv_2026*S$7</f>
        <v>2234172.137681318</v>
      </c>
      <c r="T48" s="31">
        <f>Option3!T$84*conv_2026*T$7</f>
        <v>2234172.137681318</v>
      </c>
      <c r="U48" s="31">
        <f>Option3!U$84*conv_2026*U$7</f>
        <v>2234172.137681318</v>
      </c>
      <c r="V48" s="31">
        <f>Option3!V$84*conv_2026*V$7</f>
        <v>2234172.137681318</v>
      </c>
      <c r="W48" s="31">
        <f>Option3!W$84*conv_2026*W$7</f>
        <v>2234172.137681318</v>
      </c>
      <c r="X48" s="31">
        <f>Option3!X$84*conv_2026*X$7</f>
        <v>2234172.137681318</v>
      </c>
      <c r="Y48" s="31">
        <f>Option3!Y$84*conv_2026*Y$7</f>
        <v>2234172.137681318</v>
      </c>
      <c r="Z48" s="31">
        <f>Option3!Z$84*conv_2026*Z$7</f>
        <v>2234172.137681318</v>
      </c>
      <c r="AA48" s="31">
        <f>Option3!AA$84*conv_2026*AA$7</f>
        <v>2234172.137681318</v>
      </c>
      <c r="AB48" s="31">
        <f>Option3!AB$84*conv_2026*AB$7</f>
        <v>2234172.137681318</v>
      </c>
      <c r="AC48" s="31">
        <f>Option3!AC$84*conv_2026*AC$7</f>
        <v>2234172.137681318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4214412.6129650697</v>
      </c>
      <c r="M50" s="52">
        <f t="shared" si="13"/>
        <v>1996934.1649800006</v>
      </c>
      <c r="N50" s="52">
        <f t="shared" si="13"/>
        <v>1996934.1649800006</v>
      </c>
      <c r="O50" s="52">
        <f t="shared" si="13"/>
        <v>1996934.1649800006</v>
      </c>
      <c r="P50" s="52">
        <f t="shared" si="13"/>
        <v>1996934.1649800006</v>
      </c>
      <c r="Q50" s="52">
        <f t="shared" si="13"/>
        <v>1996934.1649800006</v>
      </c>
      <c r="R50" s="52">
        <f t="shared" si="13"/>
        <v>1996934.1649800006</v>
      </c>
      <c r="S50" s="52">
        <f t="shared" si="13"/>
        <v>1996934.1649800006</v>
      </c>
      <c r="T50" s="52">
        <f t="shared" si="13"/>
        <v>1996934.1649800006</v>
      </c>
      <c r="U50" s="52">
        <f t="shared" si="13"/>
        <v>1996934.1649800006</v>
      </c>
      <c r="V50" s="52">
        <f t="shared" si="13"/>
        <v>1996934.1649800006</v>
      </c>
      <c r="W50" s="52">
        <f t="shared" si="13"/>
        <v>1996934.1649800006</v>
      </c>
      <c r="X50" s="52">
        <f t="shared" si="13"/>
        <v>1996934.1649800006</v>
      </c>
      <c r="Y50" s="52">
        <f t="shared" si="13"/>
        <v>1996934.1649800006</v>
      </c>
      <c r="Z50" s="52">
        <f t="shared" si="13"/>
        <v>1996934.1649800006</v>
      </c>
      <c r="AA50" s="52">
        <f t="shared" si="13"/>
        <v>1996934.1649800006</v>
      </c>
      <c r="AB50" s="52">
        <f t="shared" si="13"/>
        <v>1996934.1649800006</v>
      </c>
      <c r="AC50" s="52">
        <f>SUM(AC46:AC49)</f>
        <v>1996934.1649800006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26134291.014224466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187</v>
      </c>
      <c r="D52" s="38" t="str">
        <f t="shared" si="11"/>
        <v>Option 3PV of costs</v>
      </c>
      <c r="E52" s="1"/>
      <c r="F52" s="108">
        <f>SUM(F46:F47)</f>
        <v>-2871227.7690457231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188</v>
      </c>
      <c r="D53" s="38" t="str">
        <f t="shared" si="11"/>
        <v>Option 3PV of benefits</v>
      </c>
      <c r="E53" s="1"/>
      <c r="F53" s="108">
        <f>SUM(F48:F49)</f>
        <v>29005518.783270191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-57044918.677895218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-30549452.144135583</v>
      </c>
      <c r="K57" s="31">
        <f>SUM(Option4!K$67:K$69)*conv_2026*K$7</f>
        <v>-30549452.144135583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-32721184.832947955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-1302436.4701302329</v>
      </c>
      <c r="L60" s="31">
        <f>Option4!L$82*conv_2026*L$7</f>
        <v>-2604872.9402604657</v>
      </c>
      <c r="M60" s="31">
        <f>Option4!M$82*conv_2026*M$7</f>
        <v>-2604872.9402604657</v>
      </c>
      <c r="N60" s="31">
        <f>Option4!N$82*conv_2026*N$7</f>
        <v>-2604872.9402604657</v>
      </c>
      <c r="O60" s="31">
        <f>Option4!O$82*conv_2026*O$7</f>
        <v>-2604872.9402604657</v>
      </c>
      <c r="P60" s="31">
        <f>Option4!P$82*conv_2026*P$7</f>
        <v>-2604872.9402604657</v>
      </c>
      <c r="Q60" s="31">
        <f>Option4!Q$82*conv_2026*Q$7</f>
        <v>-2604872.9402604657</v>
      </c>
      <c r="R60" s="31">
        <f>Option4!R$82*conv_2026*R$7</f>
        <v>-2604872.9402604657</v>
      </c>
      <c r="S60" s="31">
        <f>Option4!S$82*conv_2026*S$7</f>
        <v>-2604872.9402604657</v>
      </c>
      <c r="T60" s="31">
        <f>Option4!T$82*conv_2026*T$7</f>
        <v>-2604872.9402604657</v>
      </c>
      <c r="U60" s="31">
        <f>Option4!U$82*conv_2026*U$7</f>
        <v>-2604872.9402604657</v>
      </c>
      <c r="V60" s="31">
        <f>Option4!V$82*conv_2026*V$7</f>
        <v>-2604872.9402604657</v>
      </c>
      <c r="W60" s="31">
        <f>Option4!W$82*conv_2026*W$7</f>
        <v>-2604872.9402604657</v>
      </c>
      <c r="X60" s="31">
        <f>Option4!X$82*conv_2026*X$7</f>
        <v>-2604872.9402604657</v>
      </c>
      <c r="Y60" s="31">
        <f>Option4!Y$82*conv_2026*Y$7</f>
        <v>-2604872.9402604657</v>
      </c>
      <c r="Z60" s="31">
        <f>Option4!Z$82*conv_2026*Z$7</f>
        <v>-2604872.9402604657</v>
      </c>
      <c r="AA60" s="31">
        <f>Option4!AA$82*conv_2026*AA$7</f>
        <v>-2604872.9402604657</v>
      </c>
      <c r="AB60" s="31">
        <f>Option4!AB$82*conv_2026*AB$7</f>
        <v>-2604872.9402604657</v>
      </c>
      <c r="AC60" s="31">
        <f>Option4!AC$82*conv_2026*AC$7</f>
        <v>-2604872.9402604657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29005518.783270191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4451650.5856663873</v>
      </c>
      <c r="M62" s="31">
        <f>Option4!M$84*conv_2026*M$7</f>
        <v>2234172.137681318</v>
      </c>
      <c r="N62" s="31">
        <f>Option4!N$84*conv_2026*N$7</f>
        <v>2234172.137681318</v>
      </c>
      <c r="O62" s="31">
        <f>Option4!O$84*conv_2026*O$7</f>
        <v>2234172.137681318</v>
      </c>
      <c r="P62" s="31">
        <f>Option4!P$84*conv_2026*P$7</f>
        <v>2234172.137681318</v>
      </c>
      <c r="Q62" s="31">
        <f>Option4!Q$84*conv_2026*Q$7</f>
        <v>2234172.137681318</v>
      </c>
      <c r="R62" s="31">
        <f>Option4!R$84*conv_2026*R$7</f>
        <v>2234172.137681318</v>
      </c>
      <c r="S62" s="31">
        <f>Option4!S$84*conv_2026*S$7</f>
        <v>2234172.137681318</v>
      </c>
      <c r="T62" s="31">
        <f>Option4!T$84*conv_2026*T$7</f>
        <v>2234172.137681318</v>
      </c>
      <c r="U62" s="31">
        <f>Option4!U$84*conv_2026*U$7</f>
        <v>2234172.137681318</v>
      </c>
      <c r="V62" s="31">
        <f>Option4!V$84*conv_2026*V$7</f>
        <v>2234172.137681318</v>
      </c>
      <c r="W62" s="31">
        <f>Option4!W$84*conv_2026*W$7</f>
        <v>2234172.137681318</v>
      </c>
      <c r="X62" s="31">
        <f>Option4!X$84*conv_2026*X$7</f>
        <v>2234172.137681318</v>
      </c>
      <c r="Y62" s="31">
        <f>Option4!Y$84*conv_2026*Y$7</f>
        <v>2234172.137681318</v>
      </c>
      <c r="Z62" s="31">
        <f>Option4!Z$84*conv_2026*Z$7</f>
        <v>2234172.137681318</v>
      </c>
      <c r="AA62" s="31">
        <f>Option4!AA$84*conv_2026*AA$7</f>
        <v>2234172.137681318</v>
      </c>
      <c r="AB62" s="31">
        <f>Option4!AB$84*conv_2026*AB$7</f>
        <v>2234172.137681318</v>
      </c>
      <c r="AC62" s="31">
        <f>Option4!AC$84*conv_2026*AC$7</f>
        <v>2234172.137681318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-1302436.4701302329</v>
      </c>
      <c r="L64" s="52">
        <f t="shared" si="17"/>
        <v>1846777.6454059216</v>
      </c>
      <c r="M64" s="52">
        <f t="shared" si="17"/>
        <v>-370700.80257914774</v>
      </c>
      <c r="N64" s="52">
        <f t="shared" si="17"/>
        <v>-370700.80257914774</v>
      </c>
      <c r="O64" s="52">
        <f t="shared" si="17"/>
        <v>-370700.80257914774</v>
      </c>
      <c r="P64" s="52">
        <f t="shared" si="17"/>
        <v>-370700.80257914774</v>
      </c>
      <c r="Q64" s="52">
        <f t="shared" si="17"/>
        <v>-370700.80257914774</v>
      </c>
      <c r="R64" s="52">
        <f t="shared" si="17"/>
        <v>-370700.80257914774</v>
      </c>
      <c r="S64" s="52">
        <f t="shared" si="17"/>
        <v>-370700.80257914774</v>
      </c>
      <c r="T64" s="52">
        <f t="shared" si="17"/>
        <v>-370700.80257914774</v>
      </c>
      <c r="U64" s="52">
        <f t="shared" si="17"/>
        <v>-370700.80257914774</v>
      </c>
      <c r="V64" s="52">
        <f t="shared" si="17"/>
        <v>-370700.80257914774</v>
      </c>
      <c r="W64" s="52">
        <f t="shared" si="17"/>
        <v>-370700.80257914774</v>
      </c>
      <c r="X64" s="52">
        <f t="shared" si="17"/>
        <v>-370700.80257914774</v>
      </c>
      <c r="Y64" s="52">
        <f t="shared" si="17"/>
        <v>-370700.80257914774</v>
      </c>
      <c r="Z64" s="52">
        <f t="shared" si="17"/>
        <v>-370700.80257914774</v>
      </c>
      <c r="AA64" s="52">
        <f t="shared" si="17"/>
        <v>-370700.80257914774</v>
      </c>
      <c r="AB64" s="52">
        <f t="shared" si="17"/>
        <v>-370700.80257914774</v>
      </c>
      <c r="AC64" s="52">
        <f>SUM(AC60:AC63)</f>
        <v>-370700.80257914774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-3715666.049677765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187</v>
      </c>
      <c r="D66" s="38" t="str">
        <f t="shared" si="14"/>
        <v>Option 4PV of costs</v>
      </c>
      <c r="E66" s="1"/>
      <c r="F66" s="108">
        <f>SUM(F60:F61)</f>
        <v>-32721184.832947955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188</v>
      </c>
      <c r="D67" s="38" t="str">
        <f t="shared" si="14"/>
        <v>Option 4PV of benefits</v>
      </c>
      <c r="E67" s="1"/>
      <c r="F67" s="108">
        <f>SUM(F62:F63)</f>
        <v>29005518.783270191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187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188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200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3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3 annualised capex</v>
      </c>
      <c r="I91" s="297" cm="1">
        <f t="array" ref="I91">MAX($D91*INDEX(I$15:W$81, MATCH($A91&amp;$C91, $D$15:$D$81,0),))/mill_conv</f>
        <v>0.2372379727013175</v>
      </c>
      <c r="J91" s="297" cm="1">
        <f t="array" ref="J91">MAX($D91*INDEX(J$15:X$81, MATCH($A91&amp;$C91, $D$15:$D$81,0),))/mill_conv</f>
        <v>0.2372379727013175</v>
      </c>
      <c r="K91" s="297" cm="1">
        <f t="array" ref="K91">MAX($D91*INDEX(K$15:Y$81, MATCH($A91&amp;$C91, $D$15:$D$81,0),))/mill_conv</f>
        <v>0.2372379727013175</v>
      </c>
      <c r="L91" s="297" cm="1">
        <f t="array" ref="L91">MAX($D91*INDEX(L$15:Z$81, MATCH($A91&amp;$C91, $D$15:$D$81,0),))/mill_conv</f>
        <v>0.2372379727013175</v>
      </c>
      <c r="M91" s="297" cm="1">
        <f t="array" ref="M91">MAX($D91*INDEX(M$15:AA$81, MATCH($A91&amp;$C91, $D$15:$D$81,0),))/mill_conv</f>
        <v>0.2372379727013175</v>
      </c>
      <c r="N91" s="297" cm="1">
        <f t="array" ref="N91">MAX($D91*INDEX(N$15:AB$81, MATCH($A91&amp;$C91, $D$15:$D$81,0),))/mill_conv</f>
        <v>0.2372379727013175</v>
      </c>
      <c r="O91" s="297" cm="1">
        <f t="array" ref="O91">MAX($D91*INDEX(O$15:AC$81, MATCH($A91&amp;$C91, $D$15:$D$81,0),))/mill_conv</f>
        <v>0.2372379727013175</v>
      </c>
      <c r="P91" s="297" cm="1">
        <f t="array" ref="P91">MAX($D91*INDEX(P$15:AD$81, MATCH($A91&amp;$C91, $D$15:$D$81,0),))/mill_conv</f>
        <v>0.2372379727013175</v>
      </c>
      <c r="Q91" s="297" cm="1">
        <f t="array" ref="Q91">MAX($D91*INDEX(Q$15:AE$81, MATCH($A91&amp;$C91, $D$15:$D$81,0),))/mill_conv</f>
        <v>0.2372379727013175</v>
      </c>
      <c r="R91" s="297" cm="1">
        <f t="array" ref="R91">MAX($D91*INDEX(R$15:AF$81, MATCH($A91&amp;$C91, $D$15:$D$81,0),))/mill_conv</f>
        <v>0.2372379727013175</v>
      </c>
      <c r="S91" s="297" cm="1">
        <f t="array" ref="S91">MAX($D91*INDEX(S$15:AG$81, MATCH($A91&amp;$C91, $D$15:$D$81,0),))/mill_conv</f>
        <v>0.2372379727013175</v>
      </c>
      <c r="T91" s="297" cm="1">
        <f t="array" ref="T91">MAX($D91*INDEX(T$15:AH$81, MATCH($A91&amp;$C91, $D$15:$D$81,0),))/mill_conv</f>
        <v>0.2372379727013175</v>
      </c>
      <c r="U91" s="297" cm="1">
        <f t="array" ref="U91">MAX($D91*INDEX(U$15:AI$81, MATCH($A91&amp;$C91, $D$15:$D$81,0),))/mill_conv</f>
        <v>0.2372379727013175</v>
      </c>
      <c r="V91" s="297" cm="1">
        <f t="array" ref="V91">MAX($D91*INDEX(V$15:AJ$81, MATCH($A91&amp;$C91, $D$15:$D$81,0),))/mill_conv</f>
        <v>0.2372379727013175</v>
      </c>
      <c r="W91" s="297" cm="1">
        <f t="array" ref="W91">MAX($D91*INDEX(W$15:AK$81, MATCH($A91&amp;$C91, $D$15:$D$81,0),))/mill_conv</f>
        <v>0.2372379727013175</v>
      </c>
      <c r="X91" s="297" cm="1">
        <f t="array" ref="X91">MAX($D91*INDEX(X$15:AL$81, MATCH($A91&amp;$C91, $D$15:$D$81,0),))/mill_conv</f>
        <v>0.2372379727013175</v>
      </c>
      <c r="Y91" s="297" cm="1">
        <f t="array" ref="Y91">MAX($D91*INDEX(Y$15:AM$81, MATCH($A91&amp;$C91, $D$15:$D$81,0),))/mill_conv</f>
        <v>0.2372379727013175</v>
      </c>
      <c r="Z91" s="297" cm="1">
        <f t="array" ref="Z91">MAX($D91*INDEX(Z$15:AN$81, MATCH($A91&amp;$C91, $D$15:$D$81,0),))/mill_conv</f>
        <v>0.2372379727013175</v>
      </c>
      <c r="AA91" s="297" cm="1">
        <f t="array" ref="AA91">MAX($D91*INDEX(AA$15:AO$81, MATCH($A91&amp;$C91, $D$15:$D$81,0),))/mill_conv</f>
        <v>0.2372379727013175</v>
      </c>
      <c r="AB91" s="297" cm="1">
        <f t="array" ref="AB91">MAX($D91*INDEX(AB$15:AP$81, MATCH($A91&amp;$C91, $D$15:$D$81,0),))/mill_conv</f>
        <v>0.2372379727013175</v>
      </c>
      <c r="AC91" s="297" cm="1">
        <f t="array" ref="AC91">MAX($D91*INDEX(AC$15:AQ$81, MATCH($A91&amp;$C91, $D$15:$D$81,0),))/mill_conv</f>
        <v>0.2372379727013175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170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0</v>
      </c>
      <c r="J92" s="297">
        <f t="shared" si="23"/>
        <v>0</v>
      </c>
      <c r="K92" s="297">
        <f t="shared" si="23"/>
        <v>0</v>
      </c>
      <c r="L92" s="297">
        <f t="shared" si="23"/>
        <v>4.4516505856663873</v>
      </c>
      <c r="M92" s="297">
        <f t="shared" si="23"/>
        <v>2.2341721376813179</v>
      </c>
      <c r="N92" s="297">
        <f t="shared" si="23"/>
        <v>2.2341721376813179</v>
      </c>
      <c r="O92" s="297">
        <f t="shared" si="23"/>
        <v>2.2341721376813179</v>
      </c>
      <c r="P92" s="297">
        <f t="shared" si="23"/>
        <v>2.2341721376813179</v>
      </c>
      <c r="Q92" s="297">
        <f t="shared" si="23"/>
        <v>2.2341721376813179</v>
      </c>
      <c r="R92" s="297">
        <f t="shared" si="23"/>
        <v>2.2341721376813179</v>
      </c>
      <c r="S92" s="297">
        <f t="shared" ref="S92:AG92" si="24">$D92*INDEX(S$15:S$81, MATCH($A92&amp;$C92, $D$15:$D$81,0))/mill_conv</f>
        <v>2.2341721376813179</v>
      </c>
      <c r="T92" s="297">
        <f t="shared" si="24"/>
        <v>2.2341721376813179</v>
      </c>
      <c r="U92" s="297">
        <f t="shared" si="24"/>
        <v>2.2341721376813179</v>
      </c>
      <c r="V92" s="297">
        <f t="shared" si="24"/>
        <v>2.2341721376813179</v>
      </c>
      <c r="W92" s="297">
        <f t="shared" si="24"/>
        <v>2.2341721376813179</v>
      </c>
      <c r="X92" s="297">
        <f t="shared" si="24"/>
        <v>2.2341721376813179</v>
      </c>
      <c r="Y92" s="297">
        <f t="shared" si="24"/>
        <v>2.2341721376813179</v>
      </c>
      <c r="Z92" s="297">
        <f t="shared" si="24"/>
        <v>2.2341721376813179</v>
      </c>
      <c r="AA92" s="297">
        <f t="shared" si="24"/>
        <v>2.2341721376813179</v>
      </c>
      <c r="AB92" s="297">
        <f t="shared" si="24"/>
        <v>2.2341721376813179</v>
      </c>
      <c r="AC92" s="297">
        <f t="shared" si="24"/>
        <v>2.2341721376813179</v>
      </c>
      <c r="AD92" s="297">
        <f t="shared" si="24"/>
        <v>2.2341721376813179</v>
      </c>
      <c r="AE92" s="297">
        <f t="shared" si="24"/>
        <v>2.2341721376813179</v>
      </c>
      <c r="AF92" s="297">
        <f t="shared" si="24"/>
        <v>2.2341721376813179</v>
      </c>
      <c r="AG92" s="297">
        <f t="shared" si="24"/>
        <v>2.2341721376813179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231</v>
      </c>
      <c r="B98" s="139"/>
      <c r="C98" s="196" t="s">
        <v>123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</v>
      </c>
      <c r="J99" s="119">
        <f>INDEX('Option1 (base case)'!J$14:J$87, MATCH($C99, 'Option1 (base case)'!$C$14:$C$87,0))/10^6</f>
        <v>0</v>
      </c>
      <c r="K99" s="119">
        <f>INDEX('Option1 (base case)'!K$14:K$87, MATCH($C99, 'Option1 (base case)'!$C$14:$C$87,0))/10^6</f>
        <v>0</v>
      </c>
      <c r="L99" s="119">
        <f>INDEX('Option1 (base case)'!L$14:L$87, MATCH($C99, 'Option1 (base case)'!$C$14:$C$87,0))/10^6</f>
        <v>0</v>
      </c>
      <c r="M99" s="119">
        <f>INDEX('Option1 (base case)'!M$14:M$87, MATCH($C99, 'Option1 (base case)'!$C$14:$C$87,0))/10^6</f>
        <v>0</v>
      </c>
      <c r="N99" s="119">
        <f>INDEX('Option1 (base case)'!N$14:N$87, MATCH($C99, 'Option1 (base case)'!$C$14:$C$87,0))/10^6</f>
        <v>0</v>
      </c>
      <c r="O99" s="119">
        <f>INDEX('Option1 (base case)'!O$14:O$87, MATCH($C99, 'Option1 (base case)'!$C$14:$C$87,0))/10^6</f>
        <v>0</v>
      </c>
      <c r="P99" s="119">
        <f>INDEX('Option1 (base case)'!P$14:P$87, MATCH($C99, 'Option1 (base case)'!$C$14:$C$87,0))/10^6</f>
        <v>0</v>
      </c>
      <c r="Q99" s="119">
        <f>INDEX('Option1 (base case)'!Q$14:Q$87, MATCH($C99, 'Option1 (base case)'!$C$14:$C$87,0))/10^6</f>
        <v>0</v>
      </c>
      <c r="R99" s="119">
        <f>INDEX('Option1 (base case)'!R$14:R$87, MATCH($C99, 'Option1 (base case)'!$C$14:$C$87,0))/10^6</f>
        <v>0</v>
      </c>
      <c r="S99" s="119">
        <f>INDEX('Option1 (base case)'!S$14:S$87, MATCH($C99, 'Option1 (base case)'!$C$14:$C$87,0))/10^6</f>
        <v>0</v>
      </c>
      <c r="T99" s="119">
        <f>INDEX('Option1 (base case)'!T$14:T$87, MATCH($C99, 'Option1 (base case)'!$C$14:$C$87,0))/10^6</f>
        <v>0</v>
      </c>
      <c r="U99" s="119">
        <f>INDEX('Option1 (base case)'!U$14:U$87, MATCH($C99, 'Option1 (base case)'!$C$14:$C$87,0))/10^6</f>
        <v>0</v>
      </c>
      <c r="V99" s="119">
        <f>INDEX('Option1 (base case)'!V$14:V$87, MATCH($C99, 'Option1 (base case)'!$C$14:$C$87,0))/10^6</f>
        <v>0</v>
      </c>
      <c r="W99" s="119">
        <f>INDEX('Option1 (base case)'!W$14:W$87, MATCH($C99, 'Option1 (base case)'!$C$14:$C$87,0))/10^6</f>
        <v>0</v>
      </c>
      <c r="X99" s="119">
        <f>INDEX('Option1 (base case)'!X$14:X$87, MATCH($C99, 'Option1 (base case)'!$C$14:$C$87,0))/10^6</f>
        <v>0</v>
      </c>
      <c r="Y99" s="119">
        <f>INDEX('Option1 (base case)'!Y$14:Y$87, MATCH($C99, 'Option1 (base case)'!$C$14:$C$87,0))/10^6</f>
        <v>0</v>
      </c>
      <c r="Z99" s="119">
        <f>INDEX('Option1 (base case)'!Z$14:Z$87, MATCH($C99, 'Option1 (base case)'!$C$14:$C$87,0))/10^6</f>
        <v>0</v>
      </c>
      <c r="AA99" s="119">
        <f>INDEX('Option1 (base case)'!AA$14:AA$87, MATCH($C99, 'Option1 (base case)'!$C$14:$C$87,0))/10^6</f>
        <v>0</v>
      </c>
      <c r="AB99" s="119">
        <f>INDEX('Option1 (base case)'!AB$14:AB$87, MATCH($C99, 'Option1 (base case)'!$C$14:$C$87,0))/10^6</f>
        <v>0</v>
      </c>
      <c r="AC99" s="119">
        <f>INDEX('Option1 (base case)'!AC$14:AC$87, MATCH($C99, 'Option1 (base case)'!$C$14:$C$87,0))/10^6</f>
        <v>0</v>
      </c>
      <c r="AD99" s="119">
        <f>INDEX('Option1 (base case)'!AD$14:AD$87, MATCH($C99, 'Option1 (base case)'!$C$14:$C$87,0))/10^6</f>
        <v>0</v>
      </c>
      <c r="AE99" s="119">
        <f>INDEX('Option1 (base case)'!AE$14:AE$87, MATCH($C99, 'Option1 (base case)'!$C$14:$C$87,0))/10^6</f>
        <v>0</v>
      </c>
      <c r="AF99" s="119">
        <f>INDEX('Option1 (base case)'!AF$14:AF$87, MATCH($C99, 'Option1 (base case)'!$C$14:$C$87,0))/10^6</f>
        <v>0</v>
      </c>
      <c r="AG99" s="119">
        <f>INDEX('Option1 (base case)'!AG$14:AG$87, MATCH($C99, 'Option1 (base case)'!$C$14:$C$87,0))/10^6</f>
        <v>0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REFCL TRG compliance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220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192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193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1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152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1902038.9758994735</v>
      </c>
      <c r="AA12" s="31">
        <f>Consol!AB36</f>
        <v>1902038.9758994735</v>
      </c>
      <c r="AB12" s="31">
        <f>Consol!AC36</f>
        <v>1902038.9758994735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141</v>
      </c>
      <c r="B14" s="253" t="s">
        <v>119</v>
      </c>
      <c r="C14" s="253" t="s">
        <v>186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141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141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141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141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141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141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141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141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186</v>
      </c>
      <c r="D28" s="253" t="str">
        <f>A28&amp;B28</f>
        <v>Option 2NPV</v>
      </c>
      <c r="E28" s="254"/>
      <c r="F28" s="31">
        <f>SUMPRODUCT($H28:$AG28, $H$5:$AG$5)</f>
        <v>24985799.906606175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0</v>
      </c>
      <c r="L28" s="31">
        <f>(INDEX(Option2!L$106:L$117, MATCH($D28, Option2!$G$106:$G$117,0)))*conv_2026*L$7</f>
        <v>4119517.4238845427</v>
      </c>
      <c r="M28" s="31">
        <f>(INDEX(Option2!M$106:M$117, MATCH($D28, Option2!$G$106:$G$117,0)))*conv_2026*M$7</f>
        <v>1902038.9758994738</v>
      </c>
      <c r="N28" s="31">
        <f>(INDEX(Option2!N$106:N$117, MATCH($D28, Option2!$G$106:$G$117,0)))*conv_2026*N$7</f>
        <v>1902038.9758994738</v>
      </c>
      <c r="O28" s="31">
        <f>(INDEX(Option2!O$106:O$117, MATCH($D28, Option2!$G$106:$G$117,0)))*conv_2026*O$7</f>
        <v>1902038.9758994738</v>
      </c>
      <c r="P28" s="31">
        <f>(INDEX(Option2!P$106:P$117, MATCH($D28, Option2!$G$106:$G$117,0)))*conv_2026*P$7</f>
        <v>1902038.9758994738</v>
      </c>
      <c r="Q28" s="31">
        <f>(INDEX(Option2!Q$106:Q$117, MATCH($D28, Option2!$G$106:$G$117,0)))*conv_2026*Q$7</f>
        <v>1902038.9758994738</v>
      </c>
      <c r="R28" s="31">
        <f>(INDEX(Option2!R$106:R$117, MATCH($D28, Option2!$G$106:$G$117,0)))*conv_2026*R$7</f>
        <v>1902038.9758994738</v>
      </c>
      <c r="S28" s="31">
        <f>(INDEX(Option2!S$106:S$117, MATCH($D28, Option2!$G$106:$G$117,0)))*conv_2026*S$7</f>
        <v>1902038.9758994738</v>
      </c>
      <c r="T28" s="31">
        <f>(INDEX(Option2!T$106:T$117, MATCH($D28, Option2!$G$106:$G$117,0)))*conv_2026*T$7</f>
        <v>1902038.9758994738</v>
      </c>
      <c r="U28" s="31">
        <f>(INDEX(Option2!U$106:U$117, MATCH($D28, Option2!$G$106:$G$117,0)))*conv_2026*U$7</f>
        <v>1902038.9758994738</v>
      </c>
      <c r="V28" s="31">
        <f>(INDEX(Option2!V$106:V$117, MATCH($D28, Option2!$G$106:$G$117,0)))*conv_2026*V$7</f>
        <v>1902038.9758994738</v>
      </c>
      <c r="W28" s="31">
        <f>(INDEX(Option2!W$106:W$117, MATCH($D28, Option2!$G$106:$G$117,0)))*conv_2026*W$7</f>
        <v>1902038.9758994738</v>
      </c>
      <c r="X28" s="31">
        <f>(INDEX(Option2!X$106:X$117, MATCH($D28, Option2!$G$106:$G$117,0)))*conv_2026*X$7</f>
        <v>1902038.9758994738</v>
      </c>
      <c r="Y28" s="31">
        <f>(INDEX(Option2!Y$106:Y$117, MATCH($D28, Option2!$G$106:$G$117,0)))*conv_2026*Y$7</f>
        <v>1902038.9758994738</v>
      </c>
      <c r="Z28" s="31">
        <f>(INDEX(Option2!Z$106:Z$117, MATCH($D28, Option2!$G$106:$G$117,0)))*conv_2026*Z$7</f>
        <v>1902038.9758994738</v>
      </c>
      <c r="AA28" s="31">
        <f>(INDEX(Option2!AA$106:AA$117, MATCH($D28, Option2!$G$106:$G$117,0)))*conv_2026*AA$7</f>
        <v>1902038.9758994738</v>
      </c>
      <c r="AB28" s="31">
        <f>(INDEX(Option2!AB$106:AB$117, MATCH($D28, Option2!$G$106:$G$117,0)))*conv_2026*AB$7</f>
        <v>1902038.9758994738</v>
      </c>
      <c r="AC28" s="31">
        <f>(INDEX(Option2!AC$106:AC$117, MATCH($D28, Option2!$G$106:$G$117,0)))*conv_2026*AC$7</f>
        <v>1902038.9758994738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24583828.018939778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0</v>
      </c>
      <c r="L30" s="31">
        <f>IF($B30=0,0, (INDEX(Option2!L$106:L$117, MATCH($D30, Option2!$G$106:$G$117,0)))*conv_2026*L$7)</f>
        <v>4086304.1077063582</v>
      </c>
      <c r="M30" s="31">
        <f>IF($B30=0,0, (INDEX(Option2!M$106:M$117, MATCH($D30, Option2!$G$106:$G$117,0)))*conv_2026*M$7)</f>
        <v>1868825.6597212893</v>
      </c>
      <c r="N30" s="31">
        <f>IF($B30=0,0, (INDEX(Option2!N$106:N$117, MATCH($D30, Option2!$G$106:$G$117,0)))*conv_2026*N$7)</f>
        <v>1868825.6597212893</v>
      </c>
      <c r="O30" s="31">
        <f>IF($B30=0,0, (INDEX(Option2!O$106:O$117, MATCH($D30, Option2!$G$106:$G$117,0)))*conv_2026*O$7)</f>
        <v>1868825.6597212893</v>
      </c>
      <c r="P30" s="31">
        <f>IF($B30=0,0, (INDEX(Option2!P$106:P$117, MATCH($D30, Option2!$G$106:$G$117,0)))*conv_2026*P$7)</f>
        <v>1868825.6597212893</v>
      </c>
      <c r="Q30" s="31">
        <f>IF($B30=0,0, (INDEX(Option2!Q$106:Q$117, MATCH($D30, Option2!$G$106:$G$117,0)))*conv_2026*Q$7)</f>
        <v>1868825.6597212893</v>
      </c>
      <c r="R30" s="31">
        <f>IF($B30=0,0, (INDEX(Option2!R$106:R$117, MATCH($D30, Option2!$G$106:$G$117,0)))*conv_2026*R$7)</f>
        <v>1868825.6597212893</v>
      </c>
      <c r="S30" s="31">
        <f>IF($B30=0,0, (INDEX(Option2!S$106:S$117, MATCH($D30, Option2!$G$106:$G$117,0)))*conv_2026*S$7)</f>
        <v>1868825.6597212893</v>
      </c>
      <c r="T30" s="31">
        <f>IF($B30=0,0, (INDEX(Option2!T$106:T$117, MATCH($D30, Option2!$G$106:$G$117,0)))*conv_2026*T$7)</f>
        <v>1868825.6597212893</v>
      </c>
      <c r="U30" s="31">
        <f>IF($B30=0,0, (INDEX(Option2!U$106:U$117, MATCH($D30, Option2!$G$106:$G$117,0)))*conv_2026*U$7)</f>
        <v>1868825.6597212893</v>
      </c>
      <c r="V30" s="31">
        <f>IF($B30=0,0, (INDEX(Option2!V$106:V$117, MATCH($D30, Option2!$G$106:$G$117,0)))*conv_2026*V$7)</f>
        <v>1868825.6597212893</v>
      </c>
      <c r="W30" s="31">
        <f>IF($B30=0,0, (INDEX(Option2!W$106:W$117, MATCH($D30, Option2!$G$106:$G$117,0)))*conv_2026*W$7)</f>
        <v>1868825.6597212893</v>
      </c>
      <c r="X30" s="31">
        <f>IF($B30=0,0, (INDEX(Option2!X$106:X$117, MATCH($D30, Option2!$G$106:$G$117,0)))*conv_2026*X$7)</f>
        <v>1868825.6597212893</v>
      </c>
      <c r="Y30" s="31">
        <f>IF($B30=0,0, (INDEX(Option2!Y$106:Y$117, MATCH($D30, Option2!$G$106:$G$117,0)))*conv_2026*Y$7)</f>
        <v>1868825.6597212893</v>
      </c>
      <c r="Z30" s="31">
        <f>IF($B30=0,0, (INDEX(Option2!Z$106:Z$117, MATCH($D30, Option2!$G$106:$G$117,0)))*conv_2026*Z$7)</f>
        <v>1868825.6597212893</v>
      </c>
      <c r="AA30" s="31">
        <f>IF($B30=0,0, (INDEX(Option2!AA$106:AA$117, MATCH($D30, Option2!$G$106:$G$117,0)))*conv_2026*AA$7)</f>
        <v>1868825.6597212893</v>
      </c>
      <c r="AB30" s="31">
        <f>IF($B30=0,0, (INDEX(Option2!AB$106:AB$117, MATCH($D30, Option2!$G$106:$G$117,0)))*conv_2026*AB$7)</f>
        <v>1868825.6597212893</v>
      </c>
      <c r="AC30" s="31">
        <f>IF($B30=0,0, (INDEX(Option2!AC$106:AC$117, MATCH($D30, Option2!$G$106:$G$117,0)))*conv_2026*AC$7)</f>
        <v>1868825.6597212893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25387771.794272583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0</v>
      </c>
      <c r="L31" s="31">
        <f>IF($B31=0,0, (INDEX(Option2!L$106:L$117, MATCH($D31, Option2!$G$106:$G$117,0)))*conv_2026*L$7)</f>
        <v>4152730.7400627271</v>
      </c>
      <c r="M31" s="31">
        <f>IF($B31=0,0, (INDEX(Option2!M$106:M$117, MATCH($D31, Option2!$G$106:$G$117,0)))*conv_2026*M$7)</f>
        <v>1935252.2920776582</v>
      </c>
      <c r="N31" s="31">
        <f>IF($B31=0,0, (INDEX(Option2!N$106:N$117, MATCH($D31, Option2!$G$106:$G$117,0)))*conv_2026*N$7)</f>
        <v>1935252.2920776582</v>
      </c>
      <c r="O31" s="31">
        <f>IF($B31=0,0, (INDEX(Option2!O$106:O$117, MATCH($D31, Option2!$G$106:$G$117,0)))*conv_2026*O$7)</f>
        <v>1935252.2920776582</v>
      </c>
      <c r="P31" s="31">
        <f>IF($B31=0,0, (INDEX(Option2!P$106:P$117, MATCH($D31, Option2!$G$106:$G$117,0)))*conv_2026*P$7)</f>
        <v>1935252.2920776582</v>
      </c>
      <c r="Q31" s="31">
        <f>IF($B31=0,0, (INDEX(Option2!Q$106:Q$117, MATCH($D31, Option2!$G$106:$G$117,0)))*conv_2026*Q$7)</f>
        <v>1935252.2920776582</v>
      </c>
      <c r="R31" s="31">
        <f>IF($B31=0,0, (INDEX(Option2!R$106:R$117, MATCH($D31, Option2!$G$106:$G$117,0)))*conv_2026*R$7)</f>
        <v>1935252.2920776582</v>
      </c>
      <c r="S31" s="31">
        <f>IF($B31=0,0, (INDEX(Option2!S$106:S$117, MATCH($D31, Option2!$G$106:$G$117,0)))*conv_2026*S$7)</f>
        <v>1935252.2920776582</v>
      </c>
      <c r="T31" s="31">
        <f>IF($B31=0,0, (INDEX(Option2!T$106:T$117, MATCH($D31, Option2!$G$106:$G$117,0)))*conv_2026*T$7)</f>
        <v>1935252.2920776582</v>
      </c>
      <c r="U31" s="31">
        <f>IF($B31=0,0, (INDEX(Option2!U$106:U$117, MATCH($D31, Option2!$G$106:$G$117,0)))*conv_2026*U$7)</f>
        <v>1935252.2920776582</v>
      </c>
      <c r="V31" s="31">
        <f>IF($B31=0,0, (INDEX(Option2!V$106:V$117, MATCH($D31, Option2!$G$106:$G$117,0)))*conv_2026*V$7)</f>
        <v>1935252.2920776582</v>
      </c>
      <c r="W31" s="31">
        <f>IF($B31=0,0, (INDEX(Option2!W$106:W$117, MATCH($D31, Option2!$G$106:$G$117,0)))*conv_2026*W$7)</f>
        <v>1935252.2920776582</v>
      </c>
      <c r="X31" s="31">
        <f>IF($B31=0,0, (INDEX(Option2!X$106:X$117, MATCH($D31, Option2!$G$106:$G$117,0)))*conv_2026*X$7)</f>
        <v>1935252.2920776582</v>
      </c>
      <c r="Y31" s="31">
        <f>IF($B31=0,0, (INDEX(Option2!Y$106:Y$117, MATCH($D31, Option2!$G$106:$G$117,0)))*conv_2026*Y$7)</f>
        <v>1935252.2920776582</v>
      </c>
      <c r="Z31" s="31">
        <f>IF($B31=0,0, (INDEX(Option2!Z$106:Z$117, MATCH($D31, Option2!$G$106:$G$117,0)))*conv_2026*Z$7)</f>
        <v>1935252.2920776582</v>
      </c>
      <c r="AA31" s="31">
        <f>IF($B31=0,0, (INDEX(Option2!AA$106:AA$117, MATCH($D31, Option2!$G$106:$G$117,0)))*conv_2026*AA$7)</f>
        <v>1935252.2920776582</v>
      </c>
      <c r="AB31" s="31">
        <f>IF($B31=0,0, (INDEX(Option2!AB$106:AB$117, MATCH($D31, Option2!$G$106:$G$117,0)))*conv_2026*AB$7)</f>
        <v>1935252.2920776582</v>
      </c>
      <c r="AC31" s="31">
        <f>IF($B31=0,0, (INDEX(Option2!AC$106:AC$117, MATCH($D31, Option2!$G$106:$G$117,0)))*conv_2026*AC$7)</f>
        <v>1935252.2920776582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27886351.784933202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0</v>
      </c>
      <c r="L32" s="31">
        <f>IF($B32=0,0, (INDEX(Option2!L$106:L$117, MATCH($D32, Option2!$G$106:$G$117,0)))*conv_2026*L$7)</f>
        <v>4564682.4824511809</v>
      </c>
      <c r="M32" s="31">
        <f>IF($B32=0,0, (INDEX(Option2!M$106:M$117, MATCH($D32, Option2!$G$106:$G$117,0)))*conv_2026*M$7)</f>
        <v>2125456.1896676058</v>
      </c>
      <c r="N32" s="31">
        <f>IF($B32=0,0, (INDEX(Option2!N$106:N$117, MATCH($D32, Option2!$G$106:$G$117,0)))*conv_2026*N$7)</f>
        <v>2125456.1896676058</v>
      </c>
      <c r="O32" s="31">
        <f>IF($B32=0,0, (INDEX(Option2!O$106:O$117, MATCH($D32, Option2!$G$106:$G$117,0)))*conv_2026*O$7)</f>
        <v>2125456.1896676058</v>
      </c>
      <c r="P32" s="31">
        <f>IF($B32=0,0, (INDEX(Option2!P$106:P$117, MATCH($D32, Option2!$G$106:$G$117,0)))*conv_2026*P$7)</f>
        <v>2125456.1896676058</v>
      </c>
      <c r="Q32" s="31">
        <f>IF($B32=0,0, (INDEX(Option2!Q$106:Q$117, MATCH($D32, Option2!$G$106:$G$117,0)))*conv_2026*Q$7)</f>
        <v>2125456.1896676058</v>
      </c>
      <c r="R32" s="31">
        <f>IF($B32=0,0, (INDEX(Option2!R$106:R$117, MATCH($D32, Option2!$G$106:$G$117,0)))*conv_2026*R$7)</f>
        <v>2125456.1896676058</v>
      </c>
      <c r="S32" s="31">
        <f>IF($B32=0,0, (INDEX(Option2!S$106:S$117, MATCH($D32, Option2!$G$106:$G$117,0)))*conv_2026*S$7)</f>
        <v>2125456.1896676058</v>
      </c>
      <c r="T32" s="31">
        <f>IF($B32=0,0, (INDEX(Option2!T$106:T$117, MATCH($D32, Option2!$G$106:$G$117,0)))*conv_2026*T$7)</f>
        <v>2125456.1896676058</v>
      </c>
      <c r="U32" s="31">
        <f>IF($B32=0,0, (INDEX(Option2!U$106:U$117, MATCH($D32, Option2!$G$106:$G$117,0)))*conv_2026*U$7)</f>
        <v>2125456.1896676058</v>
      </c>
      <c r="V32" s="31">
        <f>IF($B32=0,0, (INDEX(Option2!V$106:V$117, MATCH($D32, Option2!$G$106:$G$117,0)))*conv_2026*V$7)</f>
        <v>2125456.1896676058</v>
      </c>
      <c r="W32" s="31">
        <f>IF($B32=0,0, (INDEX(Option2!W$106:W$117, MATCH($D32, Option2!$G$106:$G$117,0)))*conv_2026*W$7)</f>
        <v>2125456.1896676058</v>
      </c>
      <c r="X32" s="31">
        <f>IF($B32=0,0, (INDEX(Option2!X$106:X$117, MATCH($D32, Option2!$G$106:$G$117,0)))*conv_2026*X$7)</f>
        <v>2125456.1896676058</v>
      </c>
      <c r="Y32" s="31">
        <f>IF($B32=0,0, (INDEX(Option2!Y$106:Y$117, MATCH($D32, Option2!$G$106:$G$117,0)))*conv_2026*Y$7)</f>
        <v>2125456.1896676058</v>
      </c>
      <c r="Z32" s="31">
        <f>IF($B32=0,0, (INDEX(Option2!Z$106:Z$117, MATCH($D32, Option2!$G$106:$G$117,0)))*conv_2026*Z$7)</f>
        <v>2125456.1896676058</v>
      </c>
      <c r="AA32" s="31">
        <f>IF($B32=0,0, (INDEX(Option2!AA$106:AA$117, MATCH($D32, Option2!$G$106:$G$117,0)))*conv_2026*AA$7)</f>
        <v>2125456.1896676058</v>
      </c>
      <c r="AB32" s="31">
        <f>IF($B32=0,0, (INDEX(Option2!AB$106:AB$117, MATCH($D32, Option2!$G$106:$G$117,0)))*conv_2026*AB$7)</f>
        <v>2125456.1896676058</v>
      </c>
      <c r="AC32" s="31">
        <f>IF($B32=0,0, (INDEX(Option2!AC$106:AC$117, MATCH($D32, Option2!$G$106:$G$117,0)))*conv_2026*AC$7)</f>
        <v>2125456.1896676058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22085248.028279159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0</v>
      </c>
      <c r="L33" s="31">
        <f>IF($B33=0,0, (INDEX(Option2!L$106:L$117, MATCH($D33, Option2!$G$106:$G$117,0)))*conv_2026*L$7)</f>
        <v>3674352.3653179039</v>
      </c>
      <c r="M33" s="31">
        <f>IF($B33=0,0, (INDEX(Option2!M$106:M$117, MATCH($D33, Option2!$G$106:$G$117,0)))*conv_2026*M$7)</f>
        <v>1678621.762131342</v>
      </c>
      <c r="N33" s="31">
        <f>IF($B33=0,0, (INDEX(Option2!N$106:N$117, MATCH($D33, Option2!$G$106:$G$117,0)))*conv_2026*N$7)</f>
        <v>1678621.762131342</v>
      </c>
      <c r="O33" s="31">
        <f>IF($B33=0,0, (INDEX(Option2!O$106:O$117, MATCH($D33, Option2!$G$106:$G$117,0)))*conv_2026*O$7)</f>
        <v>1678621.762131342</v>
      </c>
      <c r="P33" s="31">
        <f>IF($B33=0,0, (INDEX(Option2!P$106:P$117, MATCH($D33, Option2!$G$106:$G$117,0)))*conv_2026*P$7)</f>
        <v>1678621.762131342</v>
      </c>
      <c r="Q33" s="31">
        <f>IF($B33=0,0, (INDEX(Option2!Q$106:Q$117, MATCH($D33, Option2!$G$106:$G$117,0)))*conv_2026*Q$7)</f>
        <v>1678621.762131342</v>
      </c>
      <c r="R33" s="31">
        <f>IF($B33=0,0, (INDEX(Option2!R$106:R$117, MATCH($D33, Option2!$G$106:$G$117,0)))*conv_2026*R$7)</f>
        <v>1678621.762131342</v>
      </c>
      <c r="S33" s="31">
        <f>IF($B33=0,0, (INDEX(Option2!S$106:S$117, MATCH($D33, Option2!$G$106:$G$117,0)))*conv_2026*S$7)</f>
        <v>1678621.762131342</v>
      </c>
      <c r="T33" s="31">
        <f>IF($B33=0,0, (INDEX(Option2!T$106:T$117, MATCH($D33, Option2!$G$106:$G$117,0)))*conv_2026*T$7)</f>
        <v>1678621.762131342</v>
      </c>
      <c r="U33" s="31">
        <f>IF($B33=0,0, (INDEX(Option2!U$106:U$117, MATCH($D33, Option2!$G$106:$G$117,0)))*conv_2026*U$7)</f>
        <v>1678621.762131342</v>
      </c>
      <c r="V33" s="31">
        <f>IF($B33=0,0, (INDEX(Option2!V$106:V$117, MATCH($D33, Option2!$G$106:$G$117,0)))*conv_2026*V$7)</f>
        <v>1678621.762131342</v>
      </c>
      <c r="W33" s="31">
        <f>IF($B33=0,0, (INDEX(Option2!W$106:W$117, MATCH($D33, Option2!$G$106:$G$117,0)))*conv_2026*W$7)</f>
        <v>1678621.762131342</v>
      </c>
      <c r="X33" s="31">
        <f>IF($B33=0,0, (INDEX(Option2!X$106:X$117, MATCH($D33, Option2!$G$106:$G$117,0)))*conv_2026*X$7)</f>
        <v>1678621.762131342</v>
      </c>
      <c r="Y33" s="31">
        <f>IF($B33=0,0, (INDEX(Option2!Y$106:Y$117, MATCH($D33, Option2!$G$106:$G$117,0)))*conv_2026*Y$7)</f>
        <v>1678621.762131342</v>
      </c>
      <c r="Z33" s="31">
        <f>IF($B33=0,0, (INDEX(Option2!Z$106:Z$117, MATCH($D33, Option2!$G$106:$G$117,0)))*conv_2026*Z$7)</f>
        <v>1678621.762131342</v>
      </c>
      <c r="AA33" s="31">
        <f>IF($B33=0,0, (INDEX(Option2!AA$106:AA$117, MATCH($D33, Option2!$G$106:$G$117,0)))*conv_2026*AA$7)</f>
        <v>1678621.762131342</v>
      </c>
      <c r="AB33" s="31">
        <f>IF($B33=0,0, (INDEX(Option2!AB$106:AB$117, MATCH($D33, Option2!$G$106:$G$117,0)))*conv_2026*AB$7)</f>
        <v>1678621.762131342</v>
      </c>
      <c r="AC33" s="31">
        <f>IF($B33=0,0, (INDEX(Option2!AC$106:AC$117, MATCH($D33, Option2!$G$106:$G$117,0)))*conv_2026*AC$7)</f>
        <v>1678621.762131342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21683276.140612759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0</v>
      </c>
      <c r="L34" s="31">
        <f>IF($B34=0,0, (INDEX(Option2!L$106:L$117, MATCH($D34, Option2!$G$106:$G$117,0)))*conv_2026*L$7)</f>
        <v>3641139.0491397195</v>
      </c>
      <c r="M34" s="31">
        <f>IF($B34=0,0, (INDEX(Option2!M$106:M$117, MATCH($D34, Option2!$G$106:$G$117,0)))*conv_2026*M$7)</f>
        <v>1645408.4459531575</v>
      </c>
      <c r="N34" s="31">
        <f>IF($B34=0,0, (INDEX(Option2!N$106:N$117, MATCH($D34, Option2!$G$106:$G$117,0)))*conv_2026*N$7)</f>
        <v>1645408.4459531575</v>
      </c>
      <c r="O34" s="31">
        <f>IF($B34=0,0, (INDEX(Option2!O$106:O$117, MATCH($D34, Option2!$G$106:$G$117,0)))*conv_2026*O$7)</f>
        <v>1645408.4459531575</v>
      </c>
      <c r="P34" s="31">
        <f>IF($B34=0,0, (INDEX(Option2!P$106:P$117, MATCH($D34, Option2!$G$106:$G$117,0)))*conv_2026*P$7)</f>
        <v>1645408.4459531575</v>
      </c>
      <c r="Q34" s="31">
        <f>IF($B34=0,0, (INDEX(Option2!Q$106:Q$117, MATCH($D34, Option2!$G$106:$G$117,0)))*conv_2026*Q$7)</f>
        <v>1645408.4459531575</v>
      </c>
      <c r="R34" s="31">
        <f>IF($B34=0,0, (INDEX(Option2!R$106:R$117, MATCH($D34, Option2!$G$106:$G$117,0)))*conv_2026*R$7)</f>
        <v>1645408.4459531575</v>
      </c>
      <c r="S34" s="31">
        <f>IF($B34=0,0, (INDEX(Option2!S$106:S$117, MATCH($D34, Option2!$G$106:$G$117,0)))*conv_2026*S$7)</f>
        <v>1645408.4459531575</v>
      </c>
      <c r="T34" s="31">
        <f>IF($B34=0,0, (INDEX(Option2!T$106:T$117, MATCH($D34, Option2!$G$106:$G$117,0)))*conv_2026*T$7)</f>
        <v>1645408.4459531575</v>
      </c>
      <c r="U34" s="31">
        <f>IF($B34=0,0, (INDEX(Option2!U$106:U$117, MATCH($D34, Option2!$G$106:$G$117,0)))*conv_2026*U$7)</f>
        <v>1645408.4459531575</v>
      </c>
      <c r="V34" s="31">
        <f>IF($B34=0,0, (INDEX(Option2!V$106:V$117, MATCH($D34, Option2!$G$106:$G$117,0)))*conv_2026*V$7)</f>
        <v>1645408.4459531575</v>
      </c>
      <c r="W34" s="31">
        <f>IF($B34=0,0, (INDEX(Option2!W$106:W$117, MATCH($D34, Option2!$G$106:$G$117,0)))*conv_2026*W$7)</f>
        <v>1645408.4459531575</v>
      </c>
      <c r="X34" s="31">
        <f>IF($B34=0,0, (INDEX(Option2!X$106:X$117, MATCH($D34, Option2!$G$106:$G$117,0)))*conv_2026*X$7)</f>
        <v>1645408.4459531575</v>
      </c>
      <c r="Y34" s="31">
        <f>IF($B34=0,0, (INDEX(Option2!Y$106:Y$117, MATCH($D34, Option2!$G$106:$G$117,0)))*conv_2026*Y$7)</f>
        <v>1645408.4459531575</v>
      </c>
      <c r="Z34" s="31">
        <f>IF($B34=0,0, (INDEX(Option2!Z$106:Z$117, MATCH($D34, Option2!$G$106:$G$117,0)))*conv_2026*Z$7)</f>
        <v>1645408.4459531575</v>
      </c>
      <c r="AA34" s="31">
        <f>IF($B34=0,0, (INDEX(Option2!AA$106:AA$117, MATCH($D34, Option2!$G$106:$G$117,0)))*conv_2026*AA$7)</f>
        <v>1645408.4459531575</v>
      </c>
      <c r="AB34" s="31">
        <f>IF($B34=0,0, (INDEX(Option2!AB$106:AB$117, MATCH($D34, Option2!$G$106:$G$117,0)))*conv_2026*AB$7)</f>
        <v>1645408.4459531575</v>
      </c>
      <c r="AC34" s="31">
        <f>IF($B34=0,0, (INDEX(Option2!AC$106:AC$117, MATCH($D34, Option2!$G$106:$G$117,0)))*conv_2026*AC$7)</f>
        <v>1645408.4459531575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24985799.906606175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0</v>
      </c>
      <c r="L35" s="31">
        <f>IF($B35=0,0, (INDEX(Option2!L$106:L$117, MATCH($D35, Option2!$G$106:$G$117,0)))*conv_2026*L$7)</f>
        <v>4119517.4238845427</v>
      </c>
      <c r="M35" s="31">
        <f>IF($B35=0,0, (INDEX(Option2!M$106:M$117, MATCH($D35, Option2!$G$106:$G$117,0)))*conv_2026*M$7)</f>
        <v>1902038.9758994738</v>
      </c>
      <c r="N35" s="31">
        <f>IF($B35=0,0, (INDEX(Option2!N$106:N$117, MATCH($D35, Option2!$G$106:$G$117,0)))*conv_2026*N$7)</f>
        <v>1902038.9758994738</v>
      </c>
      <c r="O35" s="31">
        <f>IF($B35=0,0, (INDEX(Option2!O$106:O$117, MATCH($D35, Option2!$G$106:$G$117,0)))*conv_2026*O$7)</f>
        <v>1902038.9758994738</v>
      </c>
      <c r="P35" s="31">
        <f>IF($B35=0,0, (INDEX(Option2!P$106:P$117, MATCH($D35, Option2!$G$106:$G$117,0)))*conv_2026*P$7)</f>
        <v>1902038.9758994738</v>
      </c>
      <c r="Q35" s="31">
        <f>IF($B35=0,0, (INDEX(Option2!Q$106:Q$117, MATCH($D35, Option2!$G$106:$G$117,0)))*conv_2026*Q$7)</f>
        <v>1902038.9758994738</v>
      </c>
      <c r="R35" s="31">
        <f>IF($B35=0,0, (INDEX(Option2!R$106:R$117, MATCH($D35, Option2!$G$106:$G$117,0)))*conv_2026*R$7)</f>
        <v>1902038.9758994738</v>
      </c>
      <c r="S35" s="31">
        <f>IF($B35=0,0, (INDEX(Option2!S$106:S$117, MATCH($D35, Option2!$G$106:$G$117,0)))*conv_2026*S$7)</f>
        <v>1902038.9758994738</v>
      </c>
      <c r="T35" s="31">
        <f>IF($B35=0,0, (INDEX(Option2!T$106:T$117, MATCH($D35, Option2!$G$106:$G$117,0)))*conv_2026*T$7)</f>
        <v>1902038.9758994738</v>
      </c>
      <c r="U35" s="31">
        <f>IF($B35=0,0, (INDEX(Option2!U$106:U$117, MATCH($D35, Option2!$G$106:$G$117,0)))*conv_2026*U$7)</f>
        <v>1902038.9758994738</v>
      </c>
      <c r="V35" s="31">
        <f>IF($B35=0,0, (INDEX(Option2!V$106:V$117, MATCH($D35, Option2!$G$106:$G$117,0)))*conv_2026*V$7)</f>
        <v>1902038.9758994738</v>
      </c>
      <c r="W35" s="31">
        <f>IF($B35=0,0, (INDEX(Option2!W$106:W$117, MATCH($D35, Option2!$G$106:$G$117,0)))*conv_2026*W$7)</f>
        <v>1902038.9758994738</v>
      </c>
      <c r="X35" s="31">
        <f>IF($B35=0,0, (INDEX(Option2!X$106:X$117, MATCH($D35, Option2!$G$106:$G$117,0)))*conv_2026*X$7)</f>
        <v>1902038.9758994738</v>
      </c>
      <c r="Y35" s="31">
        <f>IF($B35=0,0, (INDEX(Option2!Y$106:Y$117, MATCH($D35, Option2!$G$106:$G$117,0)))*conv_2026*Y$7)</f>
        <v>1902038.9758994738</v>
      </c>
      <c r="Z35" s="31">
        <f>IF($B35=0,0, (INDEX(Option2!Z$106:Z$117, MATCH($D35, Option2!$G$106:$G$117,0)))*conv_2026*Z$7)</f>
        <v>1902038.9758994738</v>
      </c>
      <c r="AA35" s="31">
        <f>IF($B35=0,0, (INDEX(Option2!AA$106:AA$117, MATCH($D35, Option2!$G$106:$G$117,0)))*conv_2026*AA$7)</f>
        <v>1902038.9758994738</v>
      </c>
      <c r="AB35" s="31">
        <f>IF($B35=0,0, (INDEX(Option2!AB$106:AB$117, MATCH($D35, Option2!$G$106:$G$117,0)))*conv_2026*AB$7)</f>
        <v>1902038.9758994738</v>
      </c>
      <c r="AC35" s="31">
        <f>IF($B35=0,0, (INDEX(Option2!AC$106:AC$117, MATCH($D35, Option2!$G$106:$G$117,0)))*conv_2026*AC$7)</f>
        <v>1902038.9758994738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24985799.906606175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0</v>
      </c>
      <c r="L36" s="31">
        <f>IF($B36=0,0, (INDEX(Option2!L$106:L$117, MATCH($D36, Option2!$G$106:$G$117,0)))*conv_2026*L$7)</f>
        <v>4119517.4238845427</v>
      </c>
      <c r="M36" s="31">
        <f>IF($B36=0,0, (INDEX(Option2!M$106:M$117, MATCH($D36, Option2!$G$106:$G$117,0)))*conv_2026*M$7)</f>
        <v>1902038.9758994738</v>
      </c>
      <c r="N36" s="31">
        <f>IF($B36=0,0, (INDEX(Option2!N$106:N$117, MATCH($D36, Option2!$G$106:$G$117,0)))*conv_2026*N$7)</f>
        <v>1902038.9758994738</v>
      </c>
      <c r="O36" s="31">
        <f>IF($B36=0,0, (INDEX(Option2!O$106:O$117, MATCH($D36, Option2!$G$106:$G$117,0)))*conv_2026*O$7)</f>
        <v>1902038.9758994738</v>
      </c>
      <c r="P36" s="31">
        <f>IF($B36=0,0, (INDEX(Option2!P$106:P$117, MATCH($D36, Option2!$G$106:$G$117,0)))*conv_2026*P$7)</f>
        <v>1902038.9758994738</v>
      </c>
      <c r="Q36" s="31">
        <f>IF($B36=0,0, (INDEX(Option2!Q$106:Q$117, MATCH($D36, Option2!$G$106:$G$117,0)))*conv_2026*Q$7)</f>
        <v>1902038.9758994738</v>
      </c>
      <c r="R36" s="31">
        <f>IF($B36=0,0, (INDEX(Option2!R$106:R$117, MATCH($D36, Option2!$G$106:$G$117,0)))*conv_2026*R$7)</f>
        <v>1902038.9758994738</v>
      </c>
      <c r="S36" s="31">
        <f>IF($B36=0,0, (INDEX(Option2!S$106:S$117, MATCH($D36, Option2!$G$106:$G$117,0)))*conv_2026*S$7)</f>
        <v>1902038.9758994738</v>
      </c>
      <c r="T36" s="31">
        <f>IF($B36=0,0, (INDEX(Option2!T$106:T$117, MATCH($D36, Option2!$G$106:$G$117,0)))*conv_2026*T$7)</f>
        <v>1902038.9758994738</v>
      </c>
      <c r="U36" s="31">
        <f>IF($B36=0,0, (INDEX(Option2!U$106:U$117, MATCH($D36, Option2!$G$106:$G$117,0)))*conv_2026*U$7)</f>
        <v>1902038.9758994738</v>
      </c>
      <c r="V36" s="31">
        <f>IF($B36=0,0, (INDEX(Option2!V$106:V$117, MATCH($D36, Option2!$G$106:$G$117,0)))*conv_2026*V$7)</f>
        <v>1902038.9758994738</v>
      </c>
      <c r="W36" s="31">
        <f>IF($B36=0,0, (INDEX(Option2!W$106:W$117, MATCH($D36, Option2!$G$106:$G$117,0)))*conv_2026*W$7)</f>
        <v>1902038.9758994738</v>
      </c>
      <c r="X36" s="31">
        <f>IF($B36=0,0, (INDEX(Option2!X$106:X$117, MATCH($D36, Option2!$G$106:$G$117,0)))*conv_2026*X$7)</f>
        <v>1902038.9758994738</v>
      </c>
      <c r="Y36" s="31">
        <f>IF($B36=0,0, (INDEX(Option2!Y$106:Y$117, MATCH($D36, Option2!$G$106:$G$117,0)))*conv_2026*Y$7)</f>
        <v>1902038.9758994738</v>
      </c>
      <c r="Z36" s="31">
        <f>IF($B36=0,0, (INDEX(Option2!Z$106:Z$117, MATCH($D36, Option2!$G$106:$G$117,0)))*conv_2026*Z$7)</f>
        <v>1902038.9758994738</v>
      </c>
      <c r="AA36" s="31">
        <f>IF($B36=0,0, (INDEX(Option2!AA$106:AA$117, MATCH($D36, Option2!$G$106:$G$117,0)))*conv_2026*AA$7)</f>
        <v>1902038.9758994738</v>
      </c>
      <c r="AB36" s="31">
        <f>IF($B36=0,0, (INDEX(Option2!AB$106:AB$117, MATCH($D36, Option2!$G$106:$G$117,0)))*conv_2026*AB$7)</f>
        <v>1902038.9758994738</v>
      </c>
      <c r="AC36" s="31">
        <f>IF($B36=0,0, (INDEX(Option2!AC$106:AC$117, MATCH($D36, Option2!$G$106:$G$117,0)))*conv_2026*AC$7)</f>
        <v>1902038.9758994738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24985799.906606175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0</v>
      </c>
      <c r="L37" s="31">
        <f>IF($B37=0,0, (INDEX(Option2!L$106:L$117, MATCH($D37, Option2!$G$106:$G$117,0)))*conv_2026*L$7)</f>
        <v>4119517.4238845427</v>
      </c>
      <c r="M37" s="31">
        <f>IF($B37=0,0, (INDEX(Option2!M$106:M$117, MATCH($D37, Option2!$G$106:$G$117,0)))*conv_2026*M$7)</f>
        <v>1902038.9758994738</v>
      </c>
      <c r="N37" s="31">
        <f>IF($B37=0,0, (INDEX(Option2!N$106:N$117, MATCH($D37, Option2!$G$106:$G$117,0)))*conv_2026*N$7)</f>
        <v>1902038.9758994738</v>
      </c>
      <c r="O37" s="31">
        <f>IF($B37=0,0, (INDEX(Option2!O$106:O$117, MATCH($D37, Option2!$G$106:$G$117,0)))*conv_2026*O$7)</f>
        <v>1902038.9758994738</v>
      </c>
      <c r="P37" s="31">
        <f>IF($B37=0,0, (INDEX(Option2!P$106:P$117, MATCH($D37, Option2!$G$106:$G$117,0)))*conv_2026*P$7)</f>
        <v>1902038.9758994738</v>
      </c>
      <c r="Q37" s="31">
        <f>IF($B37=0,0, (INDEX(Option2!Q$106:Q$117, MATCH($D37, Option2!$G$106:$G$117,0)))*conv_2026*Q$7)</f>
        <v>1902038.9758994738</v>
      </c>
      <c r="R37" s="31">
        <f>IF($B37=0,0, (INDEX(Option2!R$106:R$117, MATCH($D37, Option2!$G$106:$G$117,0)))*conv_2026*R$7)</f>
        <v>1902038.9758994738</v>
      </c>
      <c r="S37" s="31">
        <f>IF($B37=0,0, (INDEX(Option2!S$106:S$117, MATCH($D37, Option2!$G$106:$G$117,0)))*conv_2026*S$7)</f>
        <v>1902038.9758994738</v>
      </c>
      <c r="T37" s="31">
        <f>IF($B37=0,0, (INDEX(Option2!T$106:T$117, MATCH($D37, Option2!$G$106:$G$117,0)))*conv_2026*T$7)</f>
        <v>1902038.9758994738</v>
      </c>
      <c r="U37" s="31">
        <f>IF($B37=0,0, (INDEX(Option2!U$106:U$117, MATCH($D37, Option2!$G$106:$G$117,0)))*conv_2026*U$7)</f>
        <v>1902038.9758994738</v>
      </c>
      <c r="V37" s="31">
        <f>IF($B37=0,0, (INDEX(Option2!V$106:V$117, MATCH($D37, Option2!$G$106:$G$117,0)))*conv_2026*V$7)</f>
        <v>1902038.9758994738</v>
      </c>
      <c r="W37" s="31">
        <f>IF($B37=0,0, (INDEX(Option2!W$106:W$117, MATCH($D37, Option2!$G$106:$G$117,0)))*conv_2026*W$7)</f>
        <v>1902038.9758994738</v>
      </c>
      <c r="X37" s="31">
        <f>IF($B37=0,0, (INDEX(Option2!X$106:X$117, MATCH($D37, Option2!$G$106:$G$117,0)))*conv_2026*X$7)</f>
        <v>1902038.9758994738</v>
      </c>
      <c r="Y37" s="31">
        <f>IF($B37=0,0, (INDEX(Option2!Y$106:Y$117, MATCH($D37, Option2!$G$106:$G$117,0)))*conv_2026*Y$7)</f>
        <v>1902038.9758994738</v>
      </c>
      <c r="Z37" s="31">
        <f>IF($B37=0,0, (INDEX(Option2!Z$106:Z$117, MATCH($D37, Option2!$G$106:$G$117,0)))*conv_2026*Z$7)</f>
        <v>1902038.9758994738</v>
      </c>
      <c r="AA37" s="31">
        <f>IF($B37=0,0, (INDEX(Option2!AA$106:AA$117, MATCH($D37, Option2!$G$106:$G$117,0)))*conv_2026*AA$7)</f>
        <v>1902038.9758994738</v>
      </c>
      <c r="AB37" s="31">
        <f>IF($B37=0,0, (INDEX(Option2!AB$106:AB$117, MATCH($D37, Option2!$G$106:$G$117,0)))*conv_2026*AB$7)</f>
        <v>1902038.9758994738</v>
      </c>
      <c r="AC37" s="31">
        <f>IF($B37=0,0, (INDEX(Option2!AC$106:AC$117, MATCH($D37, Option2!$G$106:$G$117,0)))*conv_2026*AC$7)</f>
        <v>1902038.9758994738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4214412.6129650697</v>
      </c>
      <c r="M40" s="31">
        <f>Consol!M50</f>
        <v>1996934.1649800006</v>
      </c>
      <c r="N40" s="31">
        <f>Consol!N50</f>
        <v>1996934.1649800006</v>
      </c>
      <c r="O40" s="31">
        <f>Consol!O50</f>
        <v>1996934.1649800006</v>
      </c>
      <c r="P40" s="31">
        <f>Consol!P50</f>
        <v>1996934.1649800006</v>
      </c>
      <c r="Q40" s="31">
        <f>Consol!Q50</f>
        <v>1996934.1649800006</v>
      </c>
      <c r="R40" s="31">
        <f>Consol!R50</f>
        <v>1996934.1649800006</v>
      </c>
      <c r="S40" s="31">
        <f>Consol!S50</f>
        <v>1996934.1649800006</v>
      </c>
      <c r="T40" s="31">
        <f>Consol!T50</f>
        <v>1996934.1649800006</v>
      </c>
      <c r="U40" s="31">
        <f>Consol!U50</f>
        <v>1996934.1649800006</v>
      </c>
      <c r="V40" s="31">
        <f>Consol!V50</f>
        <v>1996934.1649800006</v>
      </c>
      <c r="W40" s="31">
        <f>Consol!W50</f>
        <v>1996934.1649800006</v>
      </c>
      <c r="X40" s="31">
        <f>Consol!X50</f>
        <v>1996934.1649800006</v>
      </c>
      <c r="Y40" s="31">
        <f>Consol!Y50</f>
        <v>1996934.1649800006</v>
      </c>
      <c r="Z40" s="31">
        <f>Consol!Z50</f>
        <v>1996934.1649800006</v>
      </c>
      <c r="AA40" s="31">
        <f>Consol!AA50</f>
        <v>1996934.1649800006</v>
      </c>
      <c r="AB40" s="31">
        <f>Consol!AB50</f>
        <v>1996934.1649800006</v>
      </c>
      <c r="AC40" s="31">
        <f>Consol!AC50</f>
        <v>1996934.1649800006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186</v>
      </c>
      <c r="D42" s="253" t="str">
        <f>A42&amp;B42</f>
        <v>Option 3NPV</v>
      </c>
      <c r="E42" s="254"/>
      <c r="F42" s="31">
        <f t="shared" ref="F42:F51" si="4">SUMPRODUCT($H42:$AG42, $H$5:$AG$5)</f>
        <v>26134291.014224466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4214412.6129650697</v>
      </c>
      <c r="M42" s="31">
        <f>(INDEX(Option3!M$106:M$117, MATCH($D42, Option3!$G$106:$G$117,0)))*conv_2026*M$7</f>
        <v>1996934.1649800006</v>
      </c>
      <c r="N42" s="31">
        <f>(INDEX(Option3!N$106:N$117, MATCH($D42, Option3!$G$106:$G$117,0)))*conv_2026*N$7</f>
        <v>1996934.1649800006</v>
      </c>
      <c r="O42" s="31">
        <f>(INDEX(Option3!O$106:O$117, MATCH($D42, Option3!$G$106:$G$117,0)))*conv_2026*O$7</f>
        <v>1996934.1649800006</v>
      </c>
      <c r="P42" s="31">
        <f>(INDEX(Option3!P$106:P$117, MATCH($D42, Option3!$G$106:$G$117,0)))*conv_2026*P$7</f>
        <v>1996934.1649800006</v>
      </c>
      <c r="Q42" s="31">
        <f>(INDEX(Option3!Q$106:Q$117, MATCH($D42, Option3!$G$106:$G$117,0)))*conv_2026*Q$7</f>
        <v>1996934.1649800006</v>
      </c>
      <c r="R42" s="31">
        <f>(INDEX(Option3!R$106:R$117, MATCH($D42, Option3!$G$106:$G$117,0)))*conv_2026*R$7</f>
        <v>1996934.1649800006</v>
      </c>
      <c r="S42" s="31">
        <f>(INDEX(Option3!S$106:S$117, MATCH($D42, Option3!$G$106:$G$117,0)))*conv_2026*S$7</f>
        <v>1996934.1649800006</v>
      </c>
      <c r="T42" s="31">
        <f>(INDEX(Option3!T$106:T$117, MATCH($D42, Option3!$G$106:$G$117,0)))*conv_2026*T$7</f>
        <v>1996934.1649800006</v>
      </c>
      <c r="U42" s="31">
        <f>(INDEX(Option3!U$106:U$117, MATCH($D42, Option3!$G$106:$G$117,0)))*conv_2026*U$7</f>
        <v>1996934.1649800006</v>
      </c>
      <c r="V42" s="31">
        <f>(INDEX(Option3!V$106:V$117, MATCH($D42, Option3!$G$106:$G$117,0)))*conv_2026*V$7</f>
        <v>1996934.1649800006</v>
      </c>
      <c r="W42" s="31">
        <f>(INDEX(Option3!W$106:W$117, MATCH($D42, Option3!$G$106:$G$117,0)))*conv_2026*W$7</f>
        <v>1996934.1649800006</v>
      </c>
      <c r="X42" s="31">
        <f>(INDEX(Option3!X$106:X$117, MATCH($D42, Option3!$G$106:$G$117,0)))*conv_2026*X$7</f>
        <v>1996934.1649800006</v>
      </c>
      <c r="Y42" s="31">
        <f>(INDEX(Option3!Y$106:Y$117, MATCH($D42, Option3!$G$106:$G$117,0)))*conv_2026*Y$7</f>
        <v>1996934.1649800006</v>
      </c>
      <c r="Z42" s="31">
        <f>(INDEX(Option3!Z$106:Z$117, MATCH($D42, Option3!$G$106:$G$117,0)))*conv_2026*Z$7</f>
        <v>1996934.1649800006</v>
      </c>
      <c r="AA42" s="31">
        <f>(INDEX(Option3!AA$106:AA$117, MATCH($D42, Option3!$G$106:$G$117,0)))*conv_2026*AA$7</f>
        <v>1996934.1649800006</v>
      </c>
      <c r="AB42" s="31">
        <f>(INDEX(Option3!AB$106:AB$117, MATCH($D42, Option3!$G$106:$G$117,0)))*conv_2026*AB$7</f>
        <v>1996934.1649800006</v>
      </c>
      <c r="AC42" s="31">
        <f>(INDEX(Option3!AC$106:AC$117, MATCH($D42, Option3!$G$106:$G$117,0)))*conv_2026*AC$7</f>
        <v>1996934.1649800006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25847168.237319902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4190688.8156949384</v>
      </c>
      <c r="M44" s="31">
        <f>(INDEX(Option3!M$106:M$117, MATCH($D44, Option3!$G$106:$G$117,0)))*conv_2026*M$7</f>
        <v>1973210.3677098688</v>
      </c>
      <c r="N44" s="31">
        <f>(INDEX(Option3!N$106:N$117, MATCH($D44, Option3!$G$106:$G$117,0)))*conv_2026*N$7</f>
        <v>1973210.3677098688</v>
      </c>
      <c r="O44" s="31">
        <f>(INDEX(Option3!O$106:O$117, MATCH($D44, Option3!$G$106:$G$117,0)))*conv_2026*O$7</f>
        <v>1973210.3677098688</v>
      </c>
      <c r="P44" s="31">
        <f>(INDEX(Option3!P$106:P$117, MATCH($D44, Option3!$G$106:$G$117,0)))*conv_2026*P$7</f>
        <v>1973210.3677098688</v>
      </c>
      <c r="Q44" s="31">
        <f>(INDEX(Option3!Q$106:Q$117, MATCH($D44, Option3!$G$106:$G$117,0)))*conv_2026*Q$7</f>
        <v>1973210.3677098688</v>
      </c>
      <c r="R44" s="31">
        <f>(INDEX(Option3!R$106:R$117, MATCH($D44, Option3!$G$106:$G$117,0)))*conv_2026*R$7</f>
        <v>1973210.3677098688</v>
      </c>
      <c r="S44" s="31">
        <f>(INDEX(Option3!S$106:S$117, MATCH($D44, Option3!$G$106:$G$117,0)))*conv_2026*S$7</f>
        <v>1973210.3677098688</v>
      </c>
      <c r="T44" s="31">
        <f>(INDEX(Option3!T$106:T$117, MATCH($D44, Option3!$G$106:$G$117,0)))*conv_2026*T$7</f>
        <v>1973210.3677098688</v>
      </c>
      <c r="U44" s="31">
        <f>(INDEX(Option3!U$106:U$117, MATCH($D44, Option3!$G$106:$G$117,0)))*conv_2026*U$7</f>
        <v>1973210.3677098688</v>
      </c>
      <c r="V44" s="31">
        <f>(INDEX(Option3!V$106:V$117, MATCH($D44, Option3!$G$106:$G$117,0)))*conv_2026*V$7</f>
        <v>1973210.3677098688</v>
      </c>
      <c r="W44" s="31">
        <f>(INDEX(Option3!W$106:W$117, MATCH($D44, Option3!$G$106:$G$117,0)))*conv_2026*W$7</f>
        <v>1973210.3677098688</v>
      </c>
      <c r="X44" s="31">
        <f>(INDEX(Option3!X$106:X$117, MATCH($D44, Option3!$G$106:$G$117,0)))*conv_2026*X$7</f>
        <v>1973210.3677098688</v>
      </c>
      <c r="Y44" s="31">
        <f>(INDEX(Option3!Y$106:Y$117, MATCH($D44, Option3!$G$106:$G$117,0)))*conv_2026*Y$7</f>
        <v>1973210.3677098688</v>
      </c>
      <c r="Z44" s="31">
        <f>(INDEX(Option3!Z$106:Z$117, MATCH($D44, Option3!$G$106:$G$117,0)))*conv_2026*Z$7</f>
        <v>1973210.3677098688</v>
      </c>
      <c r="AA44" s="31">
        <f>(INDEX(Option3!AA$106:AA$117, MATCH($D44, Option3!$G$106:$G$117,0)))*conv_2026*AA$7</f>
        <v>1973210.3677098688</v>
      </c>
      <c r="AB44" s="31">
        <f>(INDEX(Option3!AB$106:AB$117, MATCH($D44, Option3!$G$106:$G$117,0)))*conv_2026*AB$7</f>
        <v>1973210.3677098688</v>
      </c>
      <c r="AC44" s="31">
        <f>(INDEX(Option3!AC$106:AC$117, MATCH($D44, Option3!$G$106:$G$117,0)))*conv_2026*AC$7</f>
        <v>1973210.3677098688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26421413.791129041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4238136.410235201</v>
      </c>
      <c r="M45" s="31">
        <f>(INDEX(Option3!M$106:M$117, MATCH($D45, Option3!$G$106:$G$117,0)))*conv_2026*M$7</f>
        <v>2020657.9622501323</v>
      </c>
      <c r="N45" s="31">
        <f>(INDEX(Option3!N$106:N$117, MATCH($D45, Option3!$G$106:$G$117,0)))*conv_2026*N$7</f>
        <v>2020657.9622501323</v>
      </c>
      <c r="O45" s="31">
        <f>(INDEX(Option3!O$106:O$117, MATCH($D45, Option3!$G$106:$G$117,0)))*conv_2026*O$7</f>
        <v>2020657.9622501323</v>
      </c>
      <c r="P45" s="31">
        <f>(INDEX(Option3!P$106:P$117, MATCH($D45, Option3!$G$106:$G$117,0)))*conv_2026*P$7</f>
        <v>2020657.9622501323</v>
      </c>
      <c r="Q45" s="31">
        <f>(INDEX(Option3!Q$106:Q$117, MATCH($D45, Option3!$G$106:$G$117,0)))*conv_2026*Q$7</f>
        <v>2020657.9622501323</v>
      </c>
      <c r="R45" s="31">
        <f>(INDEX(Option3!R$106:R$117, MATCH($D45, Option3!$G$106:$G$117,0)))*conv_2026*R$7</f>
        <v>2020657.9622501323</v>
      </c>
      <c r="S45" s="31">
        <f>(INDEX(Option3!S$106:S$117, MATCH($D45, Option3!$G$106:$G$117,0)))*conv_2026*S$7</f>
        <v>2020657.9622501323</v>
      </c>
      <c r="T45" s="31">
        <f>(INDEX(Option3!T$106:T$117, MATCH($D45, Option3!$G$106:$G$117,0)))*conv_2026*T$7</f>
        <v>2020657.9622501323</v>
      </c>
      <c r="U45" s="31">
        <f>(INDEX(Option3!U$106:U$117, MATCH($D45, Option3!$G$106:$G$117,0)))*conv_2026*U$7</f>
        <v>2020657.9622501323</v>
      </c>
      <c r="V45" s="31">
        <f>(INDEX(Option3!V$106:V$117, MATCH($D45, Option3!$G$106:$G$117,0)))*conv_2026*V$7</f>
        <v>2020657.9622501323</v>
      </c>
      <c r="W45" s="31">
        <f>(INDEX(Option3!W$106:W$117, MATCH($D45, Option3!$G$106:$G$117,0)))*conv_2026*W$7</f>
        <v>2020657.9622501323</v>
      </c>
      <c r="X45" s="31">
        <f>(INDEX(Option3!X$106:X$117, MATCH($D45, Option3!$G$106:$G$117,0)))*conv_2026*X$7</f>
        <v>2020657.9622501323</v>
      </c>
      <c r="Y45" s="31">
        <f>(INDEX(Option3!Y$106:Y$117, MATCH($D45, Option3!$G$106:$G$117,0)))*conv_2026*Y$7</f>
        <v>2020657.9622501323</v>
      </c>
      <c r="Z45" s="31">
        <f>(INDEX(Option3!Z$106:Z$117, MATCH($D45, Option3!$G$106:$G$117,0)))*conv_2026*Z$7</f>
        <v>2020657.9622501323</v>
      </c>
      <c r="AA45" s="31">
        <f>(INDEX(Option3!AA$106:AA$117, MATCH($D45, Option3!$G$106:$G$117,0)))*conv_2026*AA$7</f>
        <v>2020657.9622501323</v>
      </c>
      <c r="AB45" s="31">
        <f>(INDEX(Option3!AB$106:AB$117, MATCH($D45, Option3!$G$106:$G$117,0)))*conv_2026*AB$7</f>
        <v>2020657.9622501323</v>
      </c>
      <c r="AC45" s="31">
        <f>(INDEX(Option3!AC$106:AC$117, MATCH($D45, Option3!$G$106:$G$117,0)))*conv_2026*AC$7</f>
        <v>2020657.9622501323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29034842.892551485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4659577.671531708</v>
      </c>
      <c r="M46" s="31">
        <f>(INDEX(Option3!M$106:M$117, MATCH($D46, Option3!$G$106:$G$117,0)))*conv_2026*M$7</f>
        <v>2220351.3787481324</v>
      </c>
      <c r="N46" s="31">
        <f>(INDEX(Option3!N$106:N$117, MATCH($D46, Option3!$G$106:$G$117,0)))*conv_2026*N$7</f>
        <v>2220351.3787481324</v>
      </c>
      <c r="O46" s="31">
        <f>(INDEX(Option3!O$106:O$117, MATCH($D46, Option3!$G$106:$G$117,0)))*conv_2026*O$7</f>
        <v>2220351.3787481324</v>
      </c>
      <c r="P46" s="31">
        <f>(INDEX(Option3!P$106:P$117, MATCH($D46, Option3!$G$106:$G$117,0)))*conv_2026*P$7</f>
        <v>2220351.3787481324</v>
      </c>
      <c r="Q46" s="31">
        <f>(INDEX(Option3!Q$106:Q$117, MATCH($D46, Option3!$G$106:$G$117,0)))*conv_2026*Q$7</f>
        <v>2220351.3787481324</v>
      </c>
      <c r="R46" s="31">
        <f>(INDEX(Option3!R$106:R$117, MATCH($D46, Option3!$G$106:$G$117,0)))*conv_2026*R$7</f>
        <v>2220351.3787481324</v>
      </c>
      <c r="S46" s="31">
        <f>(INDEX(Option3!S$106:S$117, MATCH($D46, Option3!$G$106:$G$117,0)))*conv_2026*S$7</f>
        <v>2220351.3787481324</v>
      </c>
      <c r="T46" s="31">
        <f>(INDEX(Option3!T$106:T$117, MATCH($D46, Option3!$G$106:$G$117,0)))*conv_2026*T$7</f>
        <v>2220351.3787481324</v>
      </c>
      <c r="U46" s="31">
        <f>(INDEX(Option3!U$106:U$117, MATCH($D46, Option3!$G$106:$G$117,0)))*conv_2026*U$7</f>
        <v>2220351.3787481324</v>
      </c>
      <c r="V46" s="31">
        <f>(INDEX(Option3!V$106:V$117, MATCH($D46, Option3!$G$106:$G$117,0)))*conv_2026*V$7</f>
        <v>2220351.3787481324</v>
      </c>
      <c r="W46" s="31">
        <f>(INDEX(Option3!W$106:W$117, MATCH($D46, Option3!$G$106:$G$117,0)))*conv_2026*W$7</f>
        <v>2220351.3787481324</v>
      </c>
      <c r="X46" s="31">
        <f>(INDEX(Option3!X$106:X$117, MATCH($D46, Option3!$G$106:$G$117,0)))*conv_2026*X$7</f>
        <v>2220351.3787481324</v>
      </c>
      <c r="Y46" s="31">
        <f>(INDEX(Option3!Y$106:Y$117, MATCH($D46, Option3!$G$106:$G$117,0)))*conv_2026*Y$7</f>
        <v>2220351.3787481324</v>
      </c>
      <c r="Z46" s="31">
        <f>(INDEX(Option3!Z$106:Z$117, MATCH($D46, Option3!$G$106:$G$117,0)))*conv_2026*Z$7</f>
        <v>2220351.3787481324</v>
      </c>
      <c r="AA46" s="31">
        <f>(INDEX(Option3!AA$106:AA$117, MATCH($D46, Option3!$G$106:$G$117,0)))*conv_2026*AA$7</f>
        <v>2220351.3787481324</v>
      </c>
      <c r="AB46" s="31">
        <f>(INDEX(Option3!AB$106:AB$117, MATCH($D46, Option3!$G$106:$G$117,0)))*conv_2026*AB$7</f>
        <v>2220351.3787481324</v>
      </c>
      <c r="AC46" s="31">
        <f>(INDEX(Option3!AC$106:AC$117, MATCH($D46, Option3!$G$106:$G$117,0)))*conv_2026*AC$7</f>
        <v>2220351.3787481324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23233739.13589745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3769247.554398431</v>
      </c>
      <c r="M47" s="31">
        <f>(INDEX(Option3!M$106:M$117, MATCH($D47, Option3!$G$106:$G$117,0)))*conv_2026*M$7</f>
        <v>1773516.9512118688</v>
      </c>
      <c r="N47" s="31">
        <f>(INDEX(Option3!N$106:N$117, MATCH($D47, Option3!$G$106:$G$117,0)))*conv_2026*N$7</f>
        <v>1773516.9512118688</v>
      </c>
      <c r="O47" s="31">
        <f>(INDEX(Option3!O$106:O$117, MATCH($D47, Option3!$G$106:$G$117,0)))*conv_2026*O$7</f>
        <v>1773516.9512118688</v>
      </c>
      <c r="P47" s="31">
        <f>(INDEX(Option3!P$106:P$117, MATCH($D47, Option3!$G$106:$G$117,0)))*conv_2026*P$7</f>
        <v>1773516.9512118688</v>
      </c>
      <c r="Q47" s="31">
        <f>(INDEX(Option3!Q$106:Q$117, MATCH($D47, Option3!$G$106:$G$117,0)))*conv_2026*Q$7</f>
        <v>1773516.9512118688</v>
      </c>
      <c r="R47" s="31">
        <f>(INDEX(Option3!R$106:R$117, MATCH($D47, Option3!$G$106:$G$117,0)))*conv_2026*R$7</f>
        <v>1773516.9512118688</v>
      </c>
      <c r="S47" s="31">
        <f>(INDEX(Option3!S$106:S$117, MATCH($D47, Option3!$G$106:$G$117,0)))*conv_2026*S$7</f>
        <v>1773516.9512118688</v>
      </c>
      <c r="T47" s="31">
        <f>(INDEX(Option3!T$106:T$117, MATCH($D47, Option3!$G$106:$G$117,0)))*conv_2026*T$7</f>
        <v>1773516.9512118688</v>
      </c>
      <c r="U47" s="31">
        <f>(INDEX(Option3!U$106:U$117, MATCH($D47, Option3!$G$106:$G$117,0)))*conv_2026*U$7</f>
        <v>1773516.9512118688</v>
      </c>
      <c r="V47" s="31">
        <f>(INDEX(Option3!V$106:V$117, MATCH($D47, Option3!$G$106:$G$117,0)))*conv_2026*V$7</f>
        <v>1773516.9512118688</v>
      </c>
      <c r="W47" s="31">
        <f>(INDEX(Option3!W$106:W$117, MATCH($D47, Option3!$G$106:$G$117,0)))*conv_2026*W$7</f>
        <v>1773516.9512118688</v>
      </c>
      <c r="X47" s="31">
        <f>(INDEX(Option3!X$106:X$117, MATCH($D47, Option3!$G$106:$G$117,0)))*conv_2026*X$7</f>
        <v>1773516.9512118688</v>
      </c>
      <c r="Y47" s="31">
        <f>(INDEX(Option3!Y$106:Y$117, MATCH($D47, Option3!$G$106:$G$117,0)))*conv_2026*Y$7</f>
        <v>1773516.9512118688</v>
      </c>
      <c r="Z47" s="31">
        <f>(INDEX(Option3!Z$106:Z$117, MATCH($D47, Option3!$G$106:$G$117,0)))*conv_2026*Z$7</f>
        <v>1773516.9512118688</v>
      </c>
      <c r="AA47" s="31">
        <f>(INDEX(Option3!AA$106:AA$117, MATCH($D47, Option3!$G$106:$G$117,0)))*conv_2026*AA$7</f>
        <v>1773516.9512118688</v>
      </c>
      <c r="AB47" s="31">
        <f>(INDEX(Option3!AB$106:AB$117, MATCH($D47, Option3!$G$106:$G$117,0)))*conv_2026*AB$7</f>
        <v>1773516.9512118688</v>
      </c>
      <c r="AC47" s="31">
        <f>(INDEX(Option3!AC$106:AC$117, MATCH($D47, Option3!$G$106:$G$117,0)))*conv_2026*AC$7</f>
        <v>1773516.9512118688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22946616.358992871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3745523.7571282997</v>
      </c>
      <c r="M48" s="31">
        <f>(INDEX(Option3!M$106:M$117, MATCH($D48, Option3!$G$106:$G$117,0)))*conv_2026*M$7</f>
        <v>1749793.153941737</v>
      </c>
      <c r="N48" s="31">
        <f>(INDEX(Option3!N$106:N$117, MATCH($D48, Option3!$G$106:$G$117,0)))*conv_2026*N$7</f>
        <v>1749793.153941737</v>
      </c>
      <c r="O48" s="31">
        <f>(INDEX(Option3!O$106:O$117, MATCH($D48, Option3!$G$106:$G$117,0)))*conv_2026*O$7</f>
        <v>1749793.153941737</v>
      </c>
      <c r="P48" s="31">
        <f>(INDEX(Option3!P$106:P$117, MATCH($D48, Option3!$G$106:$G$117,0)))*conv_2026*P$7</f>
        <v>1749793.153941737</v>
      </c>
      <c r="Q48" s="31">
        <f>(INDEX(Option3!Q$106:Q$117, MATCH($D48, Option3!$G$106:$G$117,0)))*conv_2026*Q$7</f>
        <v>1749793.153941737</v>
      </c>
      <c r="R48" s="31">
        <f>(INDEX(Option3!R$106:R$117, MATCH($D48, Option3!$G$106:$G$117,0)))*conv_2026*R$7</f>
        <v>1749793.153941737</v>
      </c>
      <c r="S48" s="31">
        <f>(INDEX(Option3!S$106:S$117, MATCH($D48, Option3!$G$106:$G$117,0)))*conv_2026*S$7</f>
        <v>1749793.153941737</v>
      </c>
      <c r="T48" s="31">
        <f>(INDEX(Option3!T$106:T$117, MATCH($D48, Option3!$G$106:$G$117,0)))*conv_2026*T$7</f>
        <v>1749793.153941737</v>
      </c>
      <c r="U48" s="31">
        <f>(INDEX(Option3!U$106:U$117, MATCH($D48, Option3!$G$106:$G$117,0)))*conv_2026*U$7</f>
        <v>1749793.153941737</v>
      </c>
      <c r="V48" s="31">
        <f>(INDEX(Option3!V$106:V$117, MATCH($D48, Option3!$G$106:$G$117,0)))*conv_2026*V$7</f>
        <v>1749793.153941737</v>
      </c>
      <c r="W48" s="31">
        <f>(INDEX(Option3!W$106:W$117, MATCH($D48, Option3!$G$106:$G$117,0)))*conv_2026*W$7</f>
        <v>1749793.153941737</v>
      </c>
      <c r="X48" s="31">
        <f>(INDEX(Option3!X$106:X$117, MATCH($D48, Option3!$G$106:$G$117,0)))*conv_2026*X$7</f>
        <v>1749793.153941737</v>
      </c>
      <c r="Y48" s="31">
        <f>(INDEX(Option3!Y$106:Y$117, MATCH($D48, Option3!$G$106:$G$117,0)))*conv_2026*Y$7</f>
        <v>1749793.153941737</v>
      </c>
      <c r="Z48" s="31">
        <f>(INDEX(Option3!Z$106:Z$117, MATCH($D48, Option3!$G$106:$G$117,0)))*conv_2026*Z$7</f>
        <v>1749793.153941737</v>
      </c>
      <c r="AA48" s="31">
        <f>(INDEX(Option3!AA$106:AA$117, MATCH($D48, Option3!$G$106:$G$117,0)))*conv_2026*AA$7</f>
        <v>1749793.153941737</v>
      </c>
      <c r="AB48" s="31">
        <f>(INDEX(Option3!AB$106:AB$117, MATCH($D48, Option3!$G$106:$G$117,0)))*conv_2026*AB$7</f>
        <v>1749793.153941737</v>
      </c>
      <c r="AC48" s="31">
        <f>(INDEX(Option3!AC$106:AC$117, MATCH($D48, Option3!$G$106:$G$117,0)))*conv_2026*AC$7</f>
        <v>1749793.153941737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26134291.014224466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4214412.6129650697</v>
      </c>
      <c r="M49" s="31">
        <f>(INDEX(Option3!M$106:M$117, MATCH($D49, Option3!$G$106:$G$117,0)))*conv_2026*M$7</f>
        <v>1996934.1649800006</v>
      </c>
      <c r="N49" s="31">
        <f>(INDEX(Option3!N$106:N$117, MATCH($D49, Option3!$G$106:$G$117,0)))*conv_2026*N$7</f>
        <v>1996934.1649800006</v>
      </c>
      <c r="O49" s="31">
        <f>(INDEX(Option3!O$106:O$117, MATCH($D49, Option3!$G$106:$G$117,0)))*conv_2026*O$7</f>
        <v>1996934.1649800006</v>
      </c>
      <c r="P49" s="31">
        <f>(INDEX(Option3!P$106:P$117, MATCH($D49, Option3!$G$106:$G$117,0)))*conv_2026*P$7</f>
        <v>1996934.1649800006</v>
      </c>
      <c r="Q49" s="31">
        <f>(INDEX(Option3!Q$106:Q$117, MATCH($D49, Option3!$G$106:$G$117,0)))*conv_2026*Q$7</f>
        <v>1996934.1649800006</v>
      </c>
      <c r="R49" s="31">
        <f>(INDEX(Option3!R$106:R$117, MATCH($D49, Option3!$G$106:$G$117,0)))*conv_2026*R$7</f>
        <v>1996934.1649800006</v>
      </c>
      <c r="S49" s="31">
        <f>(INDEX(Option3!S$106:S$117, MATCH($D49, Option3!$G$106:$G$117,0)))*conv_2026*S$7</f>
        <v>1996934.1649800006</v>
      </c>
      <c r="T49" s="31">
        <f>(INDEX(Option3!T$106:T$117, MATCH($D49, Option3!$G$106:$G$117,0)))*conv_2026*T$7</f>
        <v>1996934.1649800006</v>
      </c>
      <c r="U49" s="31">
        <f>(INDEX(Option3!U$106:U$117, MATCH($D49, Option3!$G$106:$G$117,0)))*conv_2026*U$7</f>
        <v>1996934.1649800006</v>
      </c>
      <c r="V49" s="31">
        <f>(INDEX(Option3!V$106:V$117, MATCH($D49, Option3!$G$106:$G$117,0)))*conv_2026*V$7</f>
        <v>1996934.1649800006</v>
      </c>
      <c r="W49" s="31">
        <f>(INDEX(Option3!W$106:W$117, MATCH($D49, Option3!$G$106:$G$117,0)))*conv_2026*W$7</f>
        <v>1996934.1649800006</v>
      </c>
      <c r="X49" s="31">
        <f>(INDEX(Option3!X$106:X$117, MATCH($D49, Option3!$G$106:$G$117,0)))*conv_2026*X$7</f>
        <v>1996934.1649800006</v>
      </c>
      <c r="Y49" s="31">
        <f>(INDEX(Option3!Y$106:Y$117, MATCH($D49, Option3!$G$106:$G$117,0)))*conv_2026*Y$7</f>
        <v>1996934.1649800006</v>
      </c>
      <c r="Z49" s="31">
        <f>(INDEX(Option3!Z$106:Z$117, MATCH($D49, Option3!$G$106:$G$117,0)))*conv_2026*Z$7</f>
        <v>1996934.1649800006</v>
      </c>
      <c r="AA49" s="31">
        <f>(INDEX(Option3!AA$106:AA$117, MATCH($D49, Option3!$G$106:$G$117,0)))*conv_2026*AA$7</f>
        <v>1996934.1649800006</v>
      </c>
      <c r="AB49" s="31">
        <f>(INDEX(Option3!AB$106:AB$117, MATCH($D49, Option3!$G$106:$G$117,0)))*conv_2026*AB$7</f>
        <v>1996934.1649800006</v>
      </c>
      <c r="AC49" s="31">
        <f>(INDEX(Option3!AC$106:AC$117, MATCH($D49, Option3!$G$106:$G$117,0)))*conv_2026*AC$7</f>
        <v>1996934.1649800006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26134291.014224466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4214412.6129650697</v>
      </c>
      <c r="M50" s="31">
        <f>(INDEX(Option3!M$106:M$117, MATCH($D50, Option3!$G$106:$G$117,0)))*conv_2026*M$7</f>
        <v>1996934.1649800006</v>
      </c>
      <c r="N50" s="31">
        <f>(INDEX(Option3!N$106:N$117, MATCH($D50, Option3!$G$106:$G$117,0)))*conv_2026*N$7</f>
        <v>1996934.1649800006</v>
      </c>
      <c r="O50" s="31">
        <f>(INDEX(Option3!O$106:O$117, MATCH($D50, Option3!$G$106:$G$117,0)))*conv_2026*O$7</f>
        <v>1996934.1649800006</v>
      </c>
      <c r="P50" s="31">
        <f>(INDEX(Option3!P$106:P$117, MATCH($D50, Option3!$G$106:$G$117,0)))*conv_2026*P$7</f>
        <v>1996934.1649800006</v>
      </c>
      <c r="Q50" s="31">
        <f>(INDEX(Option3!Q$106:Q$117, MATCH($D50, Option3!$G$106:$G$117,0)))*conv_2026*Q$7</f>
        <v>1996934.1649800006</v>
      </c>
      <c r="R50" s="31">
        <f>(INDEX(Option3!R$106:R$117, MATCH($D50, Option3!$G$106:$G$117,0)))*conv_2026*R$7</f>
        <v>1996934.1649800006</v>
      </c>
      <c r="S50" s="31">
        <f>(INDEX(Option3!S$106:S$117, MATCH($D50, Option3!$G$106:$G$117,0)))*conv_2026*S$7</f>
        <v>1996934.1649800006</v>
      </c>
      <c r="T50" s="31">
        <f>(INDEX(Option3!T$106:T$117, MATCH($D50, Option3!$G$106:$G$117,0)))*conv_2026*T$7</f>
        <v>1996934.1649800006</v>
      </c>
      <c r="U50" s="31">
        <f>(INDEX(Option3!U$106:U$117, MATCH($D50, Option3!$G$106:$G$117,0)))*conv_2026*U$7</f>
        <v>1996934.1649800006</v>
      </c>
      <c r="V50" s="31">
        <f>(INDEX(Option3!V$106:V$117, MATCH($D50, Option3!$G$106:$G$117,0)))*conv_2026*V$7</f>
        <v>1996934.1649800006</v>
      </c>
      <c r="W50" s="31">
        <f>(INDEX(Option3!W$106:W$117, MATCH($D50, Option3!$G$106:$G$117,0)))*conv_2026*W$7</f>
        <v>1996934.1649800006</v>
      </c>
      <c r="X50" s="31">
        <f>(INDEX(Option3!X$106:X$117, MATCH($D50, Option3!$G$106:$G$117,0)))*conv_2026*X$7</f>
        <v>1996934.1649800006</v>
      </c>
      <c r="Y50" s="31">
        <f>(INDEX(Option3!Y$106:Y$117, MATCH($D50, Option3!$G$106:$G$117,0)))*conv_2026*Y$7</f>
        <v>1996934.1649800006</v>
      </c>
      <c r="Z50" s="31">
        <f>(INDEX(Option3!Z$106:Z$117, MATCH($D50, Option3!$G$106:$G$117,0)))*conv_2026*Z$7</f>
        <v>1996934.1649800006</v>
      </c>
      <c r="AA50" s="31">
        <f>(INDEX(Option3!AA$106:AA$117, MATCH($D50, Option3!$G$106:$G$117,0)))*conv_2026*AA$7</f>
        <v>1996934.1649800006</v>
      </c>
      <c r="AB50" s="31">
        <f>(INDEX(Option3!AB$106:AB$117, MATCH($D50, Option3!$G$106:$G$117,0)))*conv_2026*AB$7</f>
        <v>1996934.1649800006</v>
      </c>
      <c r="AC50" s="31">
        <f>(INDEX(Option3!AC$106:AC$117, MATCH($D50, Option3!$G$106:$G$117,0)))*conv_2026*AC$7</f>
        <v>1996934.1649800006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26134291.014224466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4214412.6129650697</v>
      </c>
      <c r="M51" s="31">
        <f>(INDEX(Option3!M$106:M$117, MATCH($D51, Option3!$G$106:$G$117,0)))*conv_2026*M$7</f>
        <v>1996934.1649800006</v>
      </c>
      <c r="N51" s="31">
        <f>(INDEX(Option3!N$106:N$117, MATCH($D51, Option3!$G$106:$G$117,0)))*conv_2026*N$7</f>
        <v>1996934.1649800006</v>
      </c>
      <c r="O51" s="31">
        <f>(INDEX(Option3!O$106:O$117, MATCH($D51, Option3!$G$106:$G$117,0)))*conv_2026*O$7</f>
        <v>1996934.1649800006</v>
      </c>
      <c r="P51" s="31">
        <f>(INDEX(Option3!P$106:P$117, MATCH($D51, Option3!$G$106:$G$117,0)))*conv_2026*P$7</f>
        <v>1996934.1649800006</v>
      </c>
      <c r="Q51" s="31">
        <f>(INDEX(Option3!Q$106:Q$117, MATCH($D51, Option3!$G$106:$G$117,0)))*conv_2026*Q$7</f>
        <v>1996934.1649800006</v>
      </c>
      <c r="R51" s="31">
        <f>(INDEX(Option3!R$106:R$117, MATCH($D51, Option3!$G$106:$G$117,0)))*conv_2026*R$7</f>
        <v>1996934.1649800006</v>
      </c>
      <c r="S51" s="31">
        <f>(INDEX(Option3!S$106:S$117, MATCH($D51, Option3!$G$106:$G$117,0)))*conv_2026*S$7</f>
        <v>1996934.1649800006</v>
      </c>
      <c r="T51" s="31">
        <f>(INDEX(Option3!T$106:T$117, MATCH($D51, Option3!$G$106:$G$117,0)))*conv_2026*T$7</f>
        <v>1996934.1649800006</v>
      </c>
      <c r="U51" s="31">
        <f>(INDEX(Option3!U$106:U$117, MATCH($D51, Option3!$G$106:$G$117,0)))*conv_2026*U$7</f>
        <v>1996934.1649800006</v>
      </c>
      <c r="V51" s="31">
        <f>(INDEX(Option3!V$106:V$117, MATCH($D51, Option3!$G$106:$G$117,0)))*conv_2026*V$7</f>
        <v>1996934.1649800006</v>
      </c>
      <c r="W51" s="31">
        <f>(INDEX(Option3!W$106:W$117, MATCH($D51, Option3!$G$106:$G$117,0)))*conv_2026*W$7</f>
        <v>1996934.1649800006</v>
      </c>
      <c r="X51" s="31">
        <f>(INDEX(Option3!X$106:X$117, MATCH($D51, Option3!$G$106:$G$117,0)))*conv_2026*X$7</f>
        <v>1996934.1649800006</v>
      </c>
      <c r="Y51" s="31">
        <f>(INDEX(Option3!Y$106:Y$117, MATCH($D51, Option3!$G$106:$G$117,0)))*conv_2026*Y$7</f>
        <v>1996934.1649800006</v>
      </c>
      <c r="Z51" s="31">
        <f>(INDEX(Option3!Z$106:Z$117, MATCH($D51, Option3!$G$106:$G$117,0)))*conv_2026*Z$7</f>
        <v>1996934.1649800006</v>
      </c>
      <c r="AA51" s="31">
        <f>(INDEX(Option3!AA$106:AA$117, MATCH($D51, Option3!$G$106:$G$117,0)))*conv_2026*AA$7</f>
        <v>1996934.1649800006</v>
      </c>
      <c r="AB51" s="31">
        <f>(INDEX(Option3!AB$106:AB$117, MATCH($D51, Option3!$G$106:$G$117,0)))*conv_2026*AB$7</f>
        <v>1996934.1649800006</v>
      </c>
      <c r="AC51" s="31">
        <f>(INDEX(Option3!AC$106:AC$117, MATCH($D51, Option3!$G$106:$G$117,0)))*conv_2026*AC$7</f>
        <v>1996934.1649800006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186</v>
      </c>
      <c r="D56" s="253" t="str">
        <f>A56&amp;B56</f>
        <v>Option 4NPV</v>
      </c>
      <c r="E56" s="254"/>
      <c r="F56" s="31">
        <f t="shared" ref="F56:F65" si="6">SUMPRODUCT($H56:$AG56, $H$5:$AG$5)</f>
        <v>-3715666.0496777631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-1302436.4701302329</v>
      </c>
      <c r="L56" s="31">
        <f>(INDEX(Option4!L$106:L$117, MATCH($D56, Option4!$G$106:$G$117,0)))*conv_2026*L$7</f>
        <v>1846777.6454059216</v>
      </c>
      <c r="M56" s="31">
        <f>(INDEX(Option4!M$106:M$117, MATCH($D56, Option4!$G$106:$G$117,0)))*conv_2026*M$7</f>
        <v>-370700.80257914757</v>
      </c>
      <c r="N56" s="31">
        <f>(INDEX(Option4!N$106:N$117, MATCH($D56, Option4!$G$106:$G$117,0)))*conv_2026*N$7</f>
        <v>-370700.80257914757</v>
      </c>
      <c r="O56" s="31">
        <f>(INDEX(Option4!O$106:O$117, MATCH($D56, Option4!$G$106:$G$117,0)))*conv_2026*O$7</f>
        <v>-370700.80257914757</v>
      </c>
      <c r="P56" s="31">
        <f>(INDEX(Option4!P$106:P$117, MATCH($D56, Option4!$G$106:$G$117,0)))*conv_2026*P$7</f>
        <v>-370700.80257914757</v>
      </c>
      <c r="Q56" s="31">
        <f>(INDEX(Option4!Q$106:Q$117, MATCH($D56, Option4!$G$106:$G$117,0)))*conv_2026*Q$7</f>
        <v>-370700.80257914757</v>
      </c>
      <c r="R56" s="31">
        <f>(INDEX(Option4!R$106:R$117, MATCH($D56, Option4!$G$106:$G$117,0)))*conv_2026*R$7</f>
        <v>-370700.80257914757</v>
      </c>
      <c r="S56" s="31">
        <f>(INDEX(Option4!S$106:S$117, MATCH($D56, Option4!$G$106:$G$117,0)))*conv_2026*S$7</f>
        <v>-370700.80257914757</v>
      </c>
      <c r="T56" s="31">
        <f>(INDEX(Option4!T$106:T$117, MATCH($D56, Option4!$G$106:$G$117,0)))*conv_2026*T$7</f>
        <v>-370700.80257914757</v>
      </c>
      <c r="U56" s="31">
        <f>(INDEX(Option4!U$106:U$117, MATCH($D56, Option4!$G$106:$G$117,0)))*conv_2026*U$7</f>
        <v>-370700.80257914757</v>
      </c>
      <c r="V56" s="31">
        <f>(INDEX(Option4!V$106:V$117, MATCH($D56, Option4!$G$106:$G$117,0)))*conv_2026*V$7</f>
        <v>-370700.80257914757</v>
      </c>
      <c r="W56" s="31">
        <f>(INDEX(Option4!W$106:W$117, MATCH($D56, Option4!$G$106:$G$117,0)))*conv_2026*W$7</f>
        <v>-370700.80257914757</v>
      </c>
      <c r="X56" s="31">
        <f>(INDEX(Option4!X$106:X$117, MATCH($D56, Option4!$G$106:$G$117,0)))*conv_2026*X$7</f>
        <v>-370700.80257914757</v>
      </c>
      <c r="Y56" s="31">
        <f>(INDEX(Option4!Y$106:Y$117, MATCH($D56, Option4!$G$106:$G$117,0)))*conv_2026*Y$7</f>
        <v>-370700.80257914757</v>
      </c>
      <c r="Z56" s="31">
        <f>(INDEX(Option4!Z$106:Z$117, MATCH($D56, Option4!$G$106:$G$117,0)))*conv_2026*Z$7</f>
        <v>-370700.80257914757</v>
      </c>
      <c r="AA56" s="31">
        <f>(INDEX(Option4!AA$106:AA$117, MATCH($D56, Option4!$G$106:$G$117,0)))*conv_2026*AA$7</f>
        <v>-370700.80257914757</v>
      </c>
      <c r="AB56" s="31">
        <f>(INDEX(Option4!AB$106:AB$117, MATCH($D56, Option4!$G$106:$G$117,0)))*conv_2026*AB$7</f>
        <v>-370700.80257914757</v>
      </c>
      <c r="AC56" s="31">
        <f>(INDEX(Option4!AC$106:AC$117, MATCH($D56, Option4!$G$106:$G$117,0)))*conv_2026*AC$7</f>
        <v>-370700.80257914757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-6987784.5329725593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-1432680.1171432561</v>
      </c>
      <c r="L58" s="31">
        <f>(INDEX(Option4!L$106:L$117, MATCH($D58, Option4!$G$106:$G$117,0)))*conv_2026*L$7</f>
        <v>1586290.3513798749</v>
      </c>
      <c r="M58" s="31">
        <f>(INDEX(Option4!M$106:M$117, MATCH($D58, Option4!$G$106:$G$117,0)))*conv_2026*M$7</f>
        <v>-631188.09660519415</v>
      </c>
      <c r="N58" s="31">
        <f>(INDEX(Option4!N$106:N$117, MATCH($D58, Option4!$G$106:$G$117,0)))*conv_2026*N$7</f>
        <v>-631188.09660519415</v>
      </c>
      <c r="O58" s="31">
        <f>(INDEX(Option4!O$106:O$117, MATCH($D58, Option4!$G$106:$G$117,0)))*conv_2026*O$7</f>
        <v>-631188.09660519415</v>
      </c>
      <c r="P58" s="31">
        <f>(INDEX(Option4!P$106:P$117, MATCH($D58, Option4!$G$106:$G$117,0)))*conv_2026*P$7</f>
        <v>-631188.09660519415</v>
      </c>
      <c r="Q58" s="31">
        <f>(INDEX(Option4!Q$106:Q$117, MATCH($D58, Option4!$G$106:$G$117,0)))*conv_2026*Q$7</f>
        <v>-631188.09660519415</v>
      </c>
      <c r="R58" s="31">
        <f>(INDEX(Option4!R$106:R$117, MATCH($D58, Option4!$G$106:$G$117,0)))*conv_2026*R$7</f>
        <v>-631188.09660519415</v>
      </c>
      <c r="S58" s="31">
        <f>(INDEX(Option4!S$106:S$117, MATCH($D58, Option4!$G$106:$G$117,0)))*conv_2026*S$7</f>
        <v>-631188.09660519415</v>
      </c>
      <c r="T58" s="31">
        <f>(INDEX(Option4!T$106:T$117, MATCH($D58, Option4!$G$106:$G$117,0)))*conv_2026*T$7</f>
        <v>-631188.09660519415</v>
      </c>
      <c r="U58" s="31">
        <f>(INDEX(Option4!U$106:U$117, MATCH($D58, Option4!$G$106:$G$117,0)))*conv_2026*U$7</f>
        <v>-631188.09660519415</v>
      </c>
      <c r="V58" s="31">
        <f>(INDEX(Option4!V$106:V$117, MATCH($D58, Option4!$G$106:$G$117,0)))*conv_2026*V$7</f>
        <v>-631188.09660519415</v>
      </c>
      <c r="W58" s="31">
        <f>(INDEX(Option4!W$106:W$117, MATCH($D58, Option4!$G$106:$G$117,0)))*conv_2026*W$7</f>
        <v>-631188.09660519415</v>
      </c>
      <c r="X58" s="31">
        <f>(INDEX(Option4!X$106:X$117, MATCH($D58, Option4!$G$106:$G$117,0)))*conv_2026*X$7</f>
        <v>-631188.09660519415</v>
      </c>
      <c r="Y58" s="31">
        <f>(INDEX(Option4!Y$106:Y$117, MATCH($D58, Option4!$G$106:$G$117,0)))*conv_2026*Y$7</f>
        <v>-631188.09660519415</v>
      </c>
      <c r="Z58" s="31">
        <f>(INDEX(Option4!Z$106:Z$117, MATCH($D58, Option4!$G$106:$G$117,0)))*conv_2026*Z$7</f>
        <v>-631188.09660519415</v>
      </c>
      <c r="AA58" s="31">
        <f>(INDEX(Option4!AA$106:AA$117, MATCH($D58, Option4!$G$106:$G$117,0)))*conv_2026*AA$7</f>
        <v>-631188.09660519415</v>
      </c>
      <c r="AB58" s="31">
        <f>(INDEX(Option4!AB$106:AB$117, MATCH($D58, Option4!$G$106:$G$117,0)))*conv_2026*AB$7</f>
        <v>-631188.09660519415</v>
      </c>
      <c r="AC58" s="31">
        <f>(INDEX(Option4!AC$106:AC$117, MATCH($D58, Option4!$G$106:$G$117,0)))*conv_2026*AC$7</f>
        <v>-631188.09660519415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-443547.56638296752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-1172192.8231172096</v>
      </c>
      <c r="L59" s="31">
        <f>(INDEX(Option4!L$106:L$117, MATCH($D59, Option4!$G$106:$G$117,0)))*conv_2026*L$7</f>
        <v>2107264.9394319681</v>
      </c>
      <c r="M59" s="31">
        <f>(INDEX(Option4!M$106:M$117, MATCH($D59, Option4!$G$106:$G$117,0)))*conv_2026*M$7</f>
        <v>-110213.50855310098</v>
      </c>
      <c r="N59" s="31">
        <f>(INDEX(Option4!N$106:N$117, MATCH($D59, Option4!$G$106:$G$117,0)))*conv_2026*N$7</f>
        <v>-110213.50855310098</v>
      </c>
      <c r="O59" s="31">
        <f>(INDEX(Option4!O$106:O$117, MATCH($D59, Option4!$G$106:$G$117,0)))*conv_2026*O$7</f>
        <v>-110213.50855310098</v>
      </c>
      <c r="P59" s="31">
        <f>(INDEX(Option4!P$106:P$117, MATCH($D59, Option4!$G$106:$G$117,0)))*conv_2026*P$7</f>
        <v>-110213.50855310098</v>
      </c>
      <c r="Q59" s="31">
        <f>(INDEX(Option4!Q$106:Q$117, MATCH($D59, Option4!$G$106:$G$117,0)))*conv_2026*Q$7</f>
        <v>-110213.50855310098</v>
      </c>
      <c r="R59" s="31">
        <f>(INDEX(Option4!R$106:R$117, MATCH($D59, Option4!$G$106:$G$117,0)))*conv_2026*R$7</f>
        <v>-110213.50855310098</v>
      </c>
      <c r="S59" s="31">
        <f>(INDEX(Option4!S$106:S$117, MATCH($D59, Option4!$G$106:$G$117,0)))*conv_2026*S$7</f>
        <v>-110213.50855310098</v>
      </c>
      <c r="T59" s="31">
        <f>(INDEX(Option4!T$106:T$117, MATCH($D59, Option4!$G$106:$G$117,0)))*conv_2026*T$7</f>
        <v>-110213.50855310098</v>
      </c>
      <c r="U59" s="31">
        <f>(INDEX(Option4!U$106:U$117, MATCH($D59, Option4!$G$106:$G$117,0)))*conv_2026*U$7</f>
        <v>-110213.50855310098</v>
      </c>
      <c r="V59" s="31">
        <f>(INDEX(Option4!V$106:V$117, MATCH($D59, Option4!$G$106:$G$117,0)))*conv_2026*V$7</f>
        <v>-110213.50855310098</v>
      </c>
      <c r="W59" s="31">
        <f>(INDEX(Option4!W$106:W$117, MATCH($D59, Option4!$G$106:$G$117,0)))*conv_2026*W$7</f>
        <v>-110213.50855310098</v>
      </c>
      <c r="X59" s="31">
        <f>(INDEX(Option4!X$106:X$117, MATCH($D59, Option4!$G$106:$G$117,0)))*conv_2026*X$7</f>
        <v>-110213.50855310098</v>
      </c>
      <c r="Y59" s="31">
        <f>(INDEX(Option4!Y$106:Y$117, MATCH($D59, Option4!$G$106:$G$117,0)))*conv_2026*Y$7</f>
        <v>-110213.50855310098</v>
      </c>
      <c r="Z59" s="31">
        <f>(INDEX(Option4!Z$106:Z$117, MATCH($D59, Option4!$G$106:$G$117,0)))*conv_2026*Z$7</f>
        <v>-110213.50855310098</v>
      </c>
      <c r="AA59" s="31">
        <f>(INDEX(Option4!AA$106:AA$117, MATCH($D59, Option4!$G$106:$G$117,0)))*conv_2026*AA$7</f>
        <v>-110213.50855310098</v>
      </c>
      <c r="AB59" s="31">
        <f>(INDEX(Option4!AB$106:AB$117, MATCH($D59, Option4!$G$106:$G$117,0)))*conv_2026*AB$7</f>
        <v>-110213.50855310098</v>
      </c>
      <c r="AC59" s="31">
        <f>(INDEX(Option4!AC$106:AC$117, MATCH($D59, Option4!$G$106:$G$117,0)))*conv_2026*AC$7</f>
        <v>-110213.50855310098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-815114.17135074362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-1302436.4701302329</v>
      </c>
      <c r="L60" s="31">
        <f>(INDEX(Option4!L$106:L$117, MATCH($D60, Option4!$G$106:$G$117,0)))*conv_2026*L$7</f>
        <v>2291942.7039725604</v>
      </c>
      <c r="M60" s="31">
        <f>(INDEX(Option4!M$106:M$117, MATCH($D60, Option4!$G$106:$G$117,0)))*conv_2026*M$7</f>
        <v>-147283.58881101574</v>
      </c>
      <c r="N60" s="31">
        <f>(INDEX(Option4!N$106:N$117, MATCH($D60, Option4!$G$106:$G$117,0)))*conv_2026*N$7</f>
        <v>-147283.58881101574</v>
      </c>
      <c r="O60" s="31">
        <f>(INDEX(Option4!O$106:O$117, MATCH($D60, Option4!$G$106:$G$117,0)))*conv_2026*O$7</f>
        <v>-147283.58881101574</v>
      </c>
      <c r="P60" s="31">
        <f>(INDEX(Option4!P$106:P$117, MATCH($D60, Option4!$G$106:$G$117,0)))*conv_2026*P$7</f>
        <v>-147283.58881101574</v>
      </c>
      <c r="Q60" s="31">
        <f>(INDEX(Option4!Q$106:Q$117, MATCH($D60, Option4!$G$106:$G$117,0)))*conv_2026*Q$7</f>
        <v>-147283.58881101574</v>
      </c>
      <c r="R60" s="31">
        <f>(INDEX(Option4!R$106:R$117, MATCH($D60, Option4!$G$106:$G$117,0)))*conv_2026*R$7</f>
        <v>-147283.58881101574</v>
      </c>
      <c r="S60" s="31">
        <f>(INDEX(Option4!S$106:S$117, MATCH($D60, Option4!$G$106:$G$117,0)))*conv_2026*S$7</f>
        <v>-147283.58881101574</v>
      </c>
      <c r="T60" s="31">
        <f>(INDEX(Option4!T$106:T$117, MATCH($D60, Option4!$G$106:$G$117,0)))*conv_2026*T$7</f>
        <v>-147283.58881101574</v>
      </c>
      <c r="U60" s="31">
        <f>(INDEX(Option4!U$106:U$117, MATCH($D60, Option4!$G$106:$G$117,0)))*conv_2026*U$7</f>
        <v>-147283.58881101574</v>
      </c>
      <c r="V60" s="31">
        <f>(INDEX(Option4!V$106:V$117, MATCH($D60, Option4!$G$106:$G$117,0)))*conv_2026*V$7</f>
        <v>-147283.58881101574</v>
      </c>
      <c r="W60" s="31">
        <f>(INDEX(Option4!W$106:W$117, MATCH($D60, Option4!$G$106:$G$117,0)))*conv_2026*W$7</f>
        <v>-147283.58881101574</v>
      </c>
      <c r="X60" s="31">
        <f>(INDEX(Option4!X$106:X$117, MATCH($D60, Option4!$G$106:$G$117,0)))*conv_2026*X$7</f>
        <v>-147283.58881101574</v>
      </c>
      <c r="Y60" s="31">
        <f>(INDEX(Option4!Y$106:Y$117, MATCH($D60, Option4!$G$106:$G$117,0)))*conv_2026*Y$7</f>
        <v>-147283.58881101574</v>
      </c>
      <c r="Z60" s="31">
        <f>(INDEX(Option4!Z$106:Z$117, MATCH($D60, Option4!$G$106:$G$117,0)))*conv_2026*Z$7</f>
        <v>-147283.58881101574</v>
      </c>
      <c r="AA60" s="31">
        <f>(INDEX(Option4!AA$106:AA$117, MATCH($D60, Option4!$G$106:$G$117,0)))*conv_2026*AA$7</f>
        <v>-147283.58881101574</v>
      </c>
      <c r="AB60" s="31">
        <f>(INDEX(Option4!AB$106:AB$117, MATCH($D60, Option4!$G$106:$G$117,0)))*conv_2026*AB$7</f>
        <v>-147283.58881101574</v>
      </c>
      <c r="AC60" s="31">
        <f>(INDEX(Option4!AC$106:AC$117, MATCH($D60, Option4!$G$106:$G$117,0)))*conv_2026*AC$7</f>
        <v>-147283.58881101574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-6616217.9280047826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-1302436.4701302329</v>
      </c>
      <c r="L61" s="31">
        <f>(INDEX(Option4!L$106:L$117, MATCH($D61, Option4!$G$106:$G$117,0)))*conv_2026*L$7</f>
        <v>1401612.5868392829</v>
      </c>
      <c r="M61" s="31">
        <f>(INDEX(Option4!M$106:M$117, MATCH($D61, Option4!$G$106:$G$117,0)))*conv_2026*M$7</f>
        <v>-594118.01634727931</v>
      </c>
      <c r="N61" s="31">
        <f>(INDEX(Option4!N$106:N$117, MATCH($D61, Option4!$G$106:$G$117,0)))*conv_2026*N$7</f>
        <v>-594118.01634727931</v>
      </c>
      <c r="O61" s="31">
        <f>(INDEX(Option4!O$106:O$117, MATCH($D61, Option4!$G$106:$G$117,0)))*conv_2026*O$7</f>
        <v>-594118.01634727931</v>
      </c>
      <c r="P61" s="31">
        <f>(INDEX(Option4!P$106:P$117, MATCH($D61, Option4!$G$106:$G$117,0)))*conv_2026*P$7</f>
        <v>-594118.01634727931</v>
      </c>
      <c r="Q61" s="31">
        <f>(INDEX(Option4!Q$106:Q$117, MATCH($D61, Option4!$G$106:$G$117,0)))*conv_2026*Q$7</f>
        <v>-594118.01634727931</v>
      </c>
      <c r="R61" s="31">
        <f>(INDEX(Option4!R$106:R$117, MATCH($D61, Option4!$G$106:$G$117,0)))*conv_2026*R$7</f>
        <v>-594118.01634727931</v>
      </c>
      <c r="S61" s="31">
        <f>(INDEX(Option4!S$106:S$117, MATCH($D61, Option4!$G$106:$G$117,0)))*conv_2026*S$7</f>
        <v>-594118.01634727931</v>
      </c>
      <c r="T61" s="31">
        <f>(INDEX(Option4!T$106:T$117, MATCH($D61, Option4!$G$106:$G$117,0)))*conv_2026*T$7</f>
        <v>-594118.01634727931</v>
      </c>
      <c r="U61" s="31">
        <f>(INDEX(Option4!U$106:U$117, MATCH($D61, Option4!$G$106:$G$117,0)))*conv_2026*U$7</f>
        <v>-594118.01634727931</v>
      </c>
      <c r="V61" s="31">
        <f>(INDEX(Option4!V$106:V$117, MATCH($D61, Option4!$G$106:$G$117,0)))*conv_2026*V$7</f>
        <v>-594118.01634727931</v>
      </c>
      <c r="W61" s="31">
        <f>(INDEX(Option4!W$106:W$117, MATCH($D61, Option4!$G$106:$G$117,0)))*conv_2026*W$7</f>
        <v>-594118.01634727931</v>
      </c>
      <c r="X61" s="31">
        <f>(INDEX(Option4!X$106:X$117, MATCH($D61, Option4!$G$106:$G$117,0)))*conv_2026*X$7</f>
        <v>-594118.01634727931</v>
      </c>
      <c r="Y61" s="31">
        <f>(INDEX(Option4!Y$106:Y$117, MATCH($D61, Option4!$G$106:$G$117,0)))*conv_2026*Y$7</f>
        <v>-594118.01634727931</v>
      </c>
      <c r="Z61" s="31">
        <f>(INDEX(Option4!Z$106:Z$117, MATCH($D61, Option4!$G$106:$G$117,0)))*conv_2026*Z$7</f>
        <v>-594118.01634727931</v>
      </c>
      <c r="AA61" s="31">
        <f>(INDEX(Option4!AA$106:AA$117, MATCH($D61, Option4!$G$106:$G$117,0)))*conv_2026*AA$7</f>
        <v>-594118.01634727931</v>
      </c>
      <c r="AB61" s="31">
        <f>(INDEX(Option4!AB$106:AB$117, MATCH($D61, Option4!$G$106:$G$117,0)))*conv_2026*AB$7</f>
        <v>-594118.01634727931</v>
      </c>
      <c r="AC61" s="31">
        <f>(INDEX(Option4!AC$106:AC$117, MATCH($D61, Option4!$G$106:$G$117,0)))*conv_2026*AC$7</f>
        <v>-594118.01634727931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-9888336.4112995788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-1432680.1171432561</v>
      </c>
      <c r="L62" s="31">
        <f>(INDEX(Option4!L$106:L$117, MATCH($D62, Option4!$G$106:$G$117,0)))*conv_2026*L$7</f>
        <v>1141125.2928132364</v>
      </c>
      <c r="M62" s="31">
        <f>(INDEX(Option4!M$106:M$117, MATCH($D62, Option4!$G$106:$G$117,0)))*conv_2026*M$7</f>
        <v>-854605.31037332595</v>
      </c>
      <c r="N62" s="31">
        <f>(INDEX(Option4!N$106:N$117, MATCH($D62, Option4!$G$106:$G$117,0)))*conv_2026*N$7</f>
        <v>-854605.31037332595</v>
      </c>
      <c r="O62" s="31">
        <f>(INDEX(Option4!O$106:O$117, MATCH($D62, Option4!$G$106:$G$117,0)))*conv_2026*O$7</f>
        <v>-854605.31037332595</v>
      </c>
      <c r="P62" s="31">
        <f>(INDEX(Option4!P$106:P$117, MATCH($D62, Option4!$G$106:$G$117,0)))*conv_2026*P$7</f>
        <v>-854605.31037332595</v>
      </c>
      <c r="Q62" s="31">
        <f>(INDEX(Option4!Q$106:Q$117, MATCH($D62, Option4!$G$106:$G$117,0)))*conv_2026*Q$7</f>
        <v>-854605.31037332595</v>
      </c>
      <c r="R62" s="31">
        <f>(INDEX(Option4!R$106:R$117, MATCH($D62, Option4!$G$106:$G$117,0)))*conv_2026*R$7</f>
        <v>-854605.31037332595</v>
      </c>
      <c r="S62" s="31">
        <f>(INDEX(Option4!S$106:S$117, MATCH($D62, Option4!$G$106:$G$117,0)))*conv_2026*S$7</f>
        <v>-854605.31037332595</v>
      </c>
      <c r="T62" s="31">
        <f>(INDEX(Option4!T$106:T$117, MATCH($D62, Option4!$G$106:$G$117,0)))*conv_2026*T$7</f>
        <v>-854605.31037332595</v>
      </c>
      <c r="U62" s="31">
        <f>(INDEX(Option4!U$106:U$117, MATCH($D62, Option4!$G$106:$G$117,0)))*conv_2026*U$7</f>
        <v>-854605.31037332595</v>
      </c>
      <c r="V62" s="31">
        <f>(INDEX(Option4!V$106:V$117, MATCH($D62, Option4!$G$106:$G$117,0)))*conv_2026*V$7</f>
        <v>-854605.31037332595</v>
      </c>
      <c r="W62" s="31">
        <f>(INDEX(Option4!W$106:W$117, MATCH($D62, Option4!$G$106:$G$117,0)))*conv_2026*W$7</f>
        <v>-854605.31037332595</v>
      </c>
      <c r="X62" s="31">
        <f>(INDEX(Option4!X$106:X$117, MATCH($D62, Option4!$G$106:$G$117,0)))*conv_2026*X$7</f>
        <v>-854605.31037332595</v>
      </c>
      <c r="Y62" s="31">
        <f>(INDEX(Option4!Y$106:Y$117, MATCH($D62, Option4!$G$106:$G$117,0)))*conv_2026*Y$7</f>
        <v>-854605.31037332595</v>
      </c>
      <c r="Z62" s="31">
        <f>(INDEX(Option4!Z$106:Z$117, MATCH($D62, Option4!$G$106:$G$117,0)))*conv_2026*Z$7</f>
        <v>-854605.31037332595</v>
      </c>
      <c r="AA62" s="31">
        <f>(INDEX(Option4!AA$106:AA$117, MATCH($D62, Option4!$G$106:$G$117,0)))*conv_2026*AA$7</f>
        <v>-854605.31037332595</v>
      </c>
      <c r="AB62" s="31">
        <f>(INDEX(Option4!AB$106:AB$117, MATCH($D62, Option4!$G$106:$G$117,0)))*conv_2026*AB$7</f>
        <v>-854605.31037332595</v>
      </c>
      <c r="AC62" s="31">
        <f>(INDEX(Option4!AC$106:AC$117, MATCH($D62, Option4!$G$106:$G$117,0)))*conv_2026*AC$7</f>
        <v>-854605.31037332595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-3715666.0496777631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-1302436.4701302329</v>
      </c>
      <c r="L63" s="31">
        <f>(INDEX(Option4!L$106:L$117, MATCH($D63, Option4!$G$106:$G$117,0)))*conv_2026*L$7</f>
        <v>1846777.6454059216</v>
      </c>
      <c r="M63" s="31">
        <f>(INDEX(Option4!M$106:M$117, MATCH($D63, Option4!$G$106:$G$117,0)))*conv_2026*M$7</f>
        <v>-370700.80257914757</v>
      </c>
      <c r="N63" s="31">
        <f>(INDEX(Option4!N$106:N$117, MATCH($D63, Option4!$G$106:$G$117,0)))*conv_2026*N$7</f>
        <v>-370700.80257914757</v>
      </c>
      <c r="O63" s="31">
        <f>(INDEX(Option4!O$106:O$117, MATCH($D63, Option4!$G$106:$G$117,0)))*conv_2026*O$7</f>
        <v>-370700.80257914757</v>
      </c>
      <c r="P63" s="31">
        <f>(INDEX(Option4!P$106:P$117, MATCH($D63, Option4!$G$106:$G$117,0)))*conv_2026*P$7</f>
        <v>-370700.80257914757</v>
      </c>
      <c r="Q63" s="31">
        <f>(INDEX(Option4!Q$106:Q$117, MATCH($D63, Option4!$G$106:$G$117,0)))*conv_2026*Q$7</f>
        <v>-370700.80257914757</v>
      </c>
      <c r="R63" s="31">
        <f>(INDEX(Option4!R$106:R$117, MATCH($D63, Option4!$G$106:$G$117,0)))*conv_2026*R$7</f>
        <v>-370700.80257914757</v>
      </c>
      <c r="S63" s="31">
        <f>(INDEX(Option4!S$106:S$117, MATCH($D63, Option4!$G$106:$G$117,0)))*conv_2026*S$7</f>
        <v>-370700.80257914757</v>
      </c>
      <c r="T63" s="31">
        <f>(INDEX(Option4!T$106:T$117, MATCH($D63, Option4!$G$106:$G$117,0)))*conv_2026*T$7</f>
        <v>-370700.80257914757</v>
      </c>
      <c r="U63" s="31">
        <f>(INDEX(Option4!U$106:U$117, MATCH($D63, Option4!$G$106:$G$117,0)))*conv_2026*U$7</f>
        <v>-370700.80257914757</v>
      </c>
      <c r="V63" s="31">
        <f>(INDEX(Option4!V$106:V$117, MATCH($D63, Option4!$G$106:$G$117,0)))*conv_2026*V$7</f>
        <v>-370700.80257914757</v>
      </c>
      <c r="W63" s="31">
        <f>(INDEX(Option4!W$106:W$117, MATCH($D63, Option4!$G$106:$G$117,0)))*conv_2026*W$7</f>
        <v>-370700.80257914757</v>
      </c>
      <c r="X63" s="31">
        <f>(INDEX(Option4!X$106:X$117, MATCH($D63, Option4!$G$106:$G$117,0)))*conv_2026*X$7</f>
        <v>-370700.80257914757</v>
      </c>
      <c r="Y63" s="31">
        <f>(INDEX(Option4!Y$106:Y$117, MATCH($D63, Option4!$G$106:$G$117,0)))*conv_2026*Y$7</f>
        <v>-370700.80257914757</v>
      </c>
      <c r="Z63" s="31">
        <f>(INDEX(Option4!Z$106:Z$117, MATCH($D63, Option4!$G$106:$G$117,0)))*conv_2026*Z$7</f>
        <v>-370700.80257914757</v>
      </c>
      <c r="AA63" s="31">
        <f>(INDEX(Option4!AA$106:AA$117, MATCH($D63, Option4!$G$106:$G$117,0)))*conv_2026*AA$7</f>
        <v>-370700.80257914757</v>
      </c>
      <c r="AB63" s="31">
        <f>(INDEX(Option4!AB$106:AB$117, MATCH($D63, Option4!$G$106:$G$117,0)))*conv_2026*AB$7</f>
        <v>-370700.80257914757</v>
      </c>
      <c r="AC63" s="31">
        <f>(INDEX(Option4!AC$106:AC$117, MATCH($D63, Option4!$G$106:$G$117,0)))*conv_2026*AC$7</f>
        <v>-370700.80257914757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-3715666.0496777631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-1302436.4701302329</v>
      </c>
      <c r="L64" s="31">
        <f>(INDEX(Option4!L$106:L$117, MATCH($D64, Option4!$G$106:$G$117,0)))*conv_2026*L$7</f>
        <v>1846777.6454059216</v>
      </c>
      <c r="M64" s="31">
        <f>(INDEX(Option4!M$106:M$117, MATCH($D64, Option4!$G$106:$G$117,0)))*conv_2026*M$7</f>
        <v>-370700.80257914757</v>
      </c>
      <c r="N64" s="31">
        <f>(INDEX(Option4!N$106:N$117, MATCH($D64, Option4!$G$106:$G$117,0)))*conv_2026*N$7</f>
        <v>-370700.80257914757</v>
      </c>
      <c r="O64" s="31">
        <f>(INDEX(Option4!O$106:O$117, MATCH($D64, Option4!$G$106:$G$117,0)))*conv_2026*O$7</f>
        <v>-370700.80257914757</v>
      </c>
      <c r="P64" s="31">
        <f>(INDEX(Option4!P$106:P$117, MATCH($D64, Option4!$G$106:$G$117,0)))*conv_2026*P$7</f>
        <v>-370700.80257914757</v>
      </c>
      <c r="Q64" s="31">
        <f>(INDEX(Option4!Q$106:Q$117, MATCH($D64, Option4!$G$106:$G$117,0)))*conv_2026*Q$7</f>
        <v>-370700.80257914757</v>
      </c>
      <c r="R64" s="31">
        <f>(INDEX(Option4!R$106:R$117, MATCH($D64, Option4!$G$106:$G$117,0)))*conv_2026*R$7</f>
        <v>-370700.80257914757</v>
      </c>
      <c r="S64" s="31">
        <f>(INDEX(Option4!S$106:S$117, MATCH($D64, Option4!$G$106:$G$117,0)))*conv_2026*S$7</f>
        <v>-370700.80257914757</v>
      </c>
      <c r="T64" s="31">
        <f>(INDEX(Option4!T$106:T$117, MATCH($D64, Option4!$G$106:$G$117,0)))*conv_2026*T$7</f>
        <v>-370700.80257914757</v>
      </c>
      <c r="U64" s="31">
        <f>(INDEX(Option4!U$106:U$117, MATCH($D64, Option4!$G$106:$G$117,0)))*conv_2026*U$7</f>
        <v>-370700.80257914757</v>
      </c>
      <c r="V64" s="31">
        <f>(INDEX(Option4!V$106:V$117, MATCH($D64, Option4!$G$106:$G$117,0)))*conv_2026*V$7</f>
        <v>-370700.80257914757</v>
      </c>
      <c r="W64" s="31">
        <f>(INDEX(Option4!W$106:W$117, MATCH($D64, Option4!$G$106:$G$117,0)))*conv_2026*W$7</f>
        <v>-370700.80257914757</v>
      </c>
      <c r="X64" s="31">
        <f>(INDEX(Option4!X$106:X$117, MATCH($D64, Option4!$G$106:$G$117,0)))*conv_2026*X$7</f>
        <v>-370700.80257914757</v>
      </c>
      <c r="Y64" s="31">
        <f>(INDEX(Option4!Y$106:Y$117, MATCH($D64, Option4!$G$106:$G$117,0)))*conv_2026*Y$7</f>
        <v>-370700.80257914757</v>
      </c>
      <c r="Z64" s="31">
        <f>(INDEX(Option4!Z$106:Z$117, MATCH($D64, Option4!$G$106:$G$117,0)))*conv_2026*Z$7</f>
        <v>-370700.80257914757</v>
      </c>
      <c r="AA64" s="31">
        <f>(INDEX(Option4!AA$106:AA$117, MATCH($D64, Option4!$G$106:$G$117,0)))*conv_2026*AA$7</f>
        <v>-370700.80257914757</v>
      </c>
      <c r="AB64" s="31">
        <f>(INDEX(Option4!AB$106:AB$117, MATCH($D64, Option4!$G$106:$G$117,0)))*conv_2026*AB$7</f>
        <v>-370700.80257914757</v>
      </c>
      <c r="AC64" s="31">
        <f>(INDEX(Option4!AC$106:AC$117, MATCH($D64, Option4!$G$106:$G$117,0)))*conv_2026*AC$7</f>
        <v>-370700.80257914757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-3715666.0496777631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-1302436.4701302329</v>
      </c>
      <c r="L65" s="31">
        <f>(INDEX(Option4!L$106:L$117, MATCH($D65, Option4!$G$106:$G$117,0)))*conv_2026*L$7</f>
        <v>1846777.6454059216</v>
      </c>
      <c r="M65" s="31">
        <f>(INDEX(Option4!M$106:M$117, MATCH($D65, Option4!$G$106:$G$117,0)))*conv_2026*M$7</f>
        <v>-370700.80257914757</v>
      </c>
      <c r="N65" s="31">
        <f>(INDEX(Option4!N$106:N$117, MATCH($D65, Option4!$G$106:$G$117,0)))*conv_2026*N$7</f>
        <v>-370700.80257914757</v>
      </c>
      <c r="O65" s="31">
        <f>(INDEX(Option4!O$106:O$117, MATCH($D65, Option4!$G$106:$G$117,0)))*conv_2026*O$7</f>
        <v>-370700.80257914757</v>
      </c>
      <c r="P65" s="31">
        <f>(INDEX(Option4!P$106:P$117, MATCH($D65, Option4!$G$106:$G$117,0)))*conv_2026*P$7</f>
        <v>-370700.80257914757</v>
      </c>
      <c r="Q65" s="31">
        <f>(INDEX(Option4!Q$106:Q$117, MATCH($D65, Option4!$G$106:$G$117,0)))*conv_2026*Q$7</f>
        <v>-370700.80257914757</v>
      </c>
      <c r="R65" s="31">
        <f>(INDEX(Option4!R$106:R$117, MATCH($D65, Option4!$G$106:$G$117,0)))*conv_2026*R$7</f>
        <v>-370700.80257914757</v>
      </c>
      <c r="S65" s="31">
        <f>(INDEX(Option4!S$106:S$117, MATCH($D65, Option4!$G$106:$G$117,0)))*conv_2026*S$7</f>
        <v>-370700.80257914757</v>
      </c>
      <c r="T65" s="31">
        <f>(INDEX(Option4!T$106:T$117, MATCH($D65, Option4!$G$106:$G$117,0)))*conv_2026*T$7</f>
        <v>-370700.80257914757</v>
      </c>
      <c r="U65" s="31">
        <f>(INDEX(Option4!U$106:U$117, MATCH($D65, Option4!$G$106:$G$117,0)))*conv_2026*U$7</f>
        <v>-370700.80257914757</v>
      </c>
      <c r="V65" s="31">
        <f>(INDEX(Option4!V$106:V$117, MATCH($D65, Option4!$G$106:$G$117,0)))*conv_2026*V$7</f>
        <v>-370700.80257914757</v>
      </c>
      <c r="W65" s="31">
        <f>(INDEX(Option4!W$106:W$117, MATCH($D65, Option4!$G$106:$G$117,0)))*conv_2026*W$7</f>
        <v>-370700.80257914757</v>
      </c>
      <c r="X65" s="31">
        <f>(INDEX(Option4!X$106:X$117, MATCH($D65, Option4!$G$106:$G$117,0)))*conv_2026*X$7</f>
        <v>-370700.80257914757</v>
      </c>
      <c r="Y65" s="31">
        <f>(INDEX(Option4!Y$106:Y$117, MATCH($D65, Option4!$G$106:$G$117,0)))*conv_2026*Y$7</f>
        <v>-370700.80257914757</v>
      </c>
      <c r="Z65" s="31">
        <f>(INDEX(Option4!Z$106:Z$117, MATCH($D65, Option4!$G$106:$G$117,0)))*conv_2026*Z$7</f>
        <v>-370700.80257914757</v>
      </c>
      <c r="AA65" s="31">
        <f>(INDEX(Option4!AA$106:AA$117, MATCH($D65, Option4!$G$106:$G$117,0)))*conv_2026*AA$7</f>
        <v>-370700.80257914757</v>
      </c>
      <c r="AB65" s="31">
        <f>(INDEX(Option4!AB$106:AB$117, MATCH($D65, Option4!$G$106:$G$117,0)))*conv_2026*AB$7</f>
        <v>-370700.80257914757</v>
      </c>
      <c r="AC65" s="31">
        <f>(INDEX(Option4!AC$106:AC$117, MATCH($D65, Option4!$G$106:$G$117,0)))*conv_2026*AC$7</f>
        <v>-370700.80257914757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153</v>
      </c>
      <c r="B70" s="253" t="s">
        <v>119</v>
      </c>
      <c r="C70" s="253" t="s">
        <v>186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153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153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153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153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153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153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153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153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157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1</v>
      </c>
      <c r="D88" s="275" t="b">
        <v>0</v>
      </c>
      <c r="E88" s="276" t="b">
        <v>0</v>
      </c>
      <c r="F88" s="275" t="b">
        <v>0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226</v>
      </c>
      <c r="K89" s="283" t="s">
        <v>227</v>
      </c>
    </row>
    <row r="90" spans="1:34" s="8" customFormat="1" x14ac:dyDescent="0.2">
      <c r="A90" s="261" t="s">
        <v>119</v>
      </c>
      <c r="B90" s="261" t="s">
        <v>217</v>
      </c>
      <c r="C90" s="105" t="str">
        <f t="shared" ref="C90:G98" si="10">IF(OR($B90=0,C$88),"", INDEX($F$14:$F$81, MATCH(C$89&amp;$A90,$D$14:$D$81,0))/10^6)</f>
        <v/>
      </c>
      <c r="D90" s="105">
        <f t="shared" si="10"/>
        <v>24.985799906606175</v>
      </c>
      <c r="E90" s="105">
        <f t="shared" si="10"/>
        <v>26.134291014224466</v>
      </c>
      <c r="F90" s="105">
        <f t="shared" si="10"/>
        <v>-3.7156660496777629</v>
      </c>
      <c r="G90" s="105" t="str">
        <f t="shared" si="10"/>
        <v/>
      </c>
      <c r="H90" s="186"/>
      <c r="I90" s="105">
        <f t="shared" ref="I90:I98" si="11">_xlfn.MAXIFS(C90:G90,_xlfn.ANCHORARRAY( C$88),FALSE)</f>
        <v>26.134291014224466</v>
      </c>
      <c r="K90" s="8" t="str">
        <f t="shared" ref="K90:K98" si="12">IF(OR(B90=0,$K$88),"", INDEX(_xlfn.ANCHORARRAY($C$89), MATCH(I90, $C90:$G90,0)))</f>
        <v>Option 3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 t="str">
        <f t="shared" si="10"/>
        <v/>
      </c>
      <c r="D91" s="105">
        <f t="shared" si="10"/>
        <v>24.58382801893978</v>
      </c>
      <c r="E91" s="105">
        <f t="shared" si="10"/>
        <v>25.847168237319902</v>
      </c>
      <c r="F91" s="105">
        <f t="shared" si="10"/>
        <v>-6.987784532972559</v>
      </c>
      <c r="G91" s="105" t="str">
        <f t="shared" si="10"/>
        <v/>
      </c>
      <c r="H91" s="186"/>
      <c r="I91" s="105">
        <f t="shared" si="11"/>
        <v>25.847168237319902</v>
      </c>
      <c r="K91" s="8" t="str">
        <f t="shared" si="12"/>
        <v>Option 3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 t="str">
        <f t="shared" si="10"/>
        <v/>
      </c>
      <c r="D92" s="105">
        <f t="shared" si="10"/>
        <v>25.387771794272584</v>
      </c>
      <c r="E92" s="105">
        <f t="shared" si="10"/>
        <v>26.421413791129041</v>
      </c>
      <c r="F92" s="105">
        <f t="shared" si="10"/>
        <v>-0.4435475663829675</v>
      </c>
      <c r="G92" s="105" t="str">
        <f t="shared" si="10"/>
        <v/>
      </c>
      <c r="H92" s="186"/>
      <c r="I92" s="105">
        <f t="shared" si="11"/>
        <v>26.421413791129041</v>
      </c>
      <c r="K92" s="8" t="str">
        <f t="shared" si="12"/>
        <v>Option 3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 t="str">
        <f t="shared" si="10"/>
        <v/>
      </c>
      <c r="D93" s="105">
        <f t="shared" si="10"/>
        <v>27.886351784933201</v>
      </c>
      <c r="E93" s="105">
        <f t="shared" si="10"/>
        <v>29.034842892551485</v>
      </c>
      <c r="F93" s="105">
        <f t="shared" si="10"/>
        <v>-0.8151141713507436</v>
      </c>
      <c r="G93" s="105" t="str">
        <f t="shared" si="10"/>
        <v/>
      </c>
      <c r="H93" s="186"/>
      <c r="I93" s="105">
        <f t="shared" si="11"/>
        <v>29.034842892551485</v>
      </c>
      <c r="K93" s="8" t="str">
        <f t="shared" si="12"/>
        <v>Option 3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 t="str">
        <f t="shared" si="10"/>
        <v/>
      </c>
      <c r="D94" s="105">
        <f t="shared" si="10"/>
        <v>22.08524802827916</v>
      </c>
      <c r="E94" s="105">
        <f t="shared" si="10"/>
        <v>23.233739135897451</v>
      </c>
      <c r="F94" s="105">
        <f t="shared" si="10"/>
        <v>-6.616217928004783</v>
      </c>
      <c r="G94" s="105" t="str">
        <f t="shared" si="10"/>
        <v/>
      </c>
      <c r="H94" s="186"/>
      <c r="I94" s="105">
        <f t="shared" si="11"/>
        <v>23.233739135897451</v>
      </c>
      <c r="K94" s="8" t="str">
        <f t="shared" si="12"/>
        <v>Option 3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 t="str">
        <f t="shared" si="10"/>
        <v/>
      </c>
      <c r="D95" s="105">
        <f t="shared" si="10"/>
        <v>21.683276140612758</v>
      </c>
      <c r="E95" s="105">
        <f t="shared" si="10"/>
        <v>22.94661635899287</v>
      </c>
      <c r="F95" s="105">
        <f t="shared" si="10"/>
        <v>-9.8883364112995782</v>
      </c>
      <c r="G95" s="105" t="str">
        <f t="shared" si="10"/>
        <v/>
      </c>
      <c r="H95" s="186"/>
      <c r="I95" s="105">
        <f t="shared" si="11"/>
        <v>22.94661635899287</v>
      </c>
      <c r="K95" s="8" t="str">
        <f t="shared" si="12"/>
        <v>Option 3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65A3-D361-46BC-9355-B2517EEE0ABD}">
  <sheetPr codeName="Sheet4">
    <tabColor rgb="FFFFFF00"/>
  </sheetPr>
  <dimension ref="A1:AC13"/>
  <sheetViews>
    <sheetView showGridLines="0" zoomScale="90" zoomScaleNormal="90" workbookViewId="0">
      <selection activeCell="E16" sqref="E16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7.625" style="1" customWidth="1"/>
    <col min="5" max="5" width="25" style="1" customWidth="1"/>
    <col min="6" max="6" width="8.875" style="1" customWidth="1"/>
    <col min="7" max="7" width="15.125" style="1" customWidth="1"/>
    <col min="8" max="8" width="14" style="1" customWidth="1"/>
    <col min="9" max="9" width="14.75" style="1" customWidth="1"/>
    <col min="10" max="11" width="8.625" style="1" customWidth="1"/>
    <col min="12" max="12" width="11.375" style="1" customWidth="1"/>
    <col min="13" max="29" width="8.625" style="1" customWidth="1"/>
    <col min="30" max="16384" width="8" style="1"/>
  </cols>
  <sheetData>
    <row r="1" spans="1:29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8.75" x14ac:dyDescent="0.3">
      <c r="A2" s="56" t="str">
        <f>proj</f>
        <v>REFCL TRG compliance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8.75" x14ac:dyDescent="0.3">
      <c r="A3" s="5" t="s">
        <v>245</v>
      </c>
      <c r="B3" s="330"/>
      <c r="C3" s="5"/>
      <c r="D3" s="5"/>
    </row>
    <row r="5" spans="1:29" ht="15" x14ac:dyDescent="0.2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</row>
    <row r="6" spans="1:29" x14ac:dyDescent="0.2">
      <c r="C6" s="3"/>
      <c r="D6" s="3"/>
    </row>
    <row r="7" spans="1:29" x14ac:dyDescent="0.2">
      <c r="E7" s="1" t="s">
        <v>246</v>
      </c>
    </row>
    <row r="8" spans="1:29" x14ac:dyDescent="0.2">
      <c r="E8" s="1" t="s">
        <v>247</v>
      </c>
      <c r="H8" s="332">
        <f>$F$10*F9</f>
        <v>4000000</v>
      </c>
      <c r="I8" s="1" t="s">
        <v>248</v>
      </c>
    </row>
    <row r="9" spans="1:29" x14ac:dyDescent="0.2">
      <c r="E9" s="1" t="s">
        <v>255</v>
      </c>
      <c r="F9" s="334">
        <v>2000000</v>
      </c>
    </row>
    <row r="10" spans="1:29" x14ac:dyDescent="0.2">
      <c r="E10" s="1" t="str">
        <f>MID(proj, 7,3)&amp;" points:"</f>
        <v>TRG points:</v>
      </c>
      <c r="F10" s="333">
        <v>2</v>
      </c>
    </row>
    <row r="12" spans="1:29" x14ac:dyDescent="0.2">
      <c r="E12" s="1" t="s">
        <v>249</v>
      </c>
      <c r="H12" s="332">
        <f>365*5500</f>
        <v>2007500</v>
      </c>
      <c r="I12" s="1" t="s">
        <v>248</v>
      </c>
    </row>
    <row r="13" spans="1:29" x14ac:dyDescent="0.2">
      <c r="E13" s="1" t="s">
        <v>250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REFCL TRG compliance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199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184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185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210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211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212</v>
      </c>
      <c r="D23" s="41">
        <f>D22/D21</f>
        <v>1</v>
      </c>
    </row>
    <row r="25" spans="1:34" x14ac:dyDescent="0.2">
      <c r="B25" s="81" t="s">
        <v>235</v>
      </c>
      <c r="C25" s="8" t="str">
        <f>start</f>
        <v>2026-27</v>
      </c>
    </row>
    <row r="28" spans="1:34" s="1" customFormat="1" ht="15" x14ac:dyDescent="0.2">
      <c r="A28" s="18" t="s">
        <v>208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191</v>
      </c>
      <c r="D31" s="194" t="s">
        <v>198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3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>
        <f>Option3!$G$92</f>
        <v>3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>
        <f>Option4!$G$92</f>
        <v>2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153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191</v>
      </c>
      <c r="C38" s="195" cm="1">
        <f t="array" ref="C38">IF(OR(NOT(Data!$C$10:$C$13)), _xlfn.MINIFS($C$32:$C$35,$D$32:$D$35,TRUE), 0)</f>
        <v>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240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142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153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162</v>
      </c>
      <c r="B70" s="239" t="s">
        <v>209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topLeftCell="A50" zoomScale="80" zoomScaleNormal="80" workbookViewId="0">
      <selection activeCell="A50" sqref="A50"/>
    </sheetView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REFCL TRG compliance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197</v>
      </c>
      <c r="F8" s="8" t="s">
        <v>225</v>
      </c>
      <c r="T8"/>
      <c r="U8"/>
      <c r="V8"/>
    </row>
    <row r="9" spans="1:27" x14ac:dyDescent="0.2">
      <c r="A9" s="27" t="s">
        <v>143</v>
      </c>
      <c r="B9" s="86" t="s">
        <v>142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1</v>
      </c>
      <c r="T9"/>
      <c r="U9"/>
      <c r="V9"/>
      <c r="W9"/>
    </row>
    <row r="10" spans="1:27" x14ac:dyDescent="0.2">
      <c r="A10" s="27" t="s">
        <v>144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145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146</v>
      </c>
      <c r="B12" s="86" t="s">
        <v>133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154</v>
      </c>
      <c r="B13" s="86" t="s">
        <v>153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221</v>
      </c>
      <c r="D16" s="23" t="s">
        <v>223</v>
      </c>
      <c r="E16" s="8" t="b">
        <f>Assumptions!E20=Data!D16</f>
        <v>1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219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139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186</v>
      </c>
      <c r="C35" s="23">
        <v>1</v>
      </c>
      <c r="T35"/>
      <c r="U35"/>
      <c r="V35"/>
      <c r="W35"/>
    </row>
    <row r="36" spans="1:23" x14ac:dyDescent="0.2">
      <c r="B36" s="23" t="s">
        <v>170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158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159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160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162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162</v>
      </c>
      <c r="C75" s="153" t="s">
        <v>161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189</v>
      </c>
      <c r="C78" s="8" t="s">
        <v>190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176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177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156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158</v>
      </c>
      <c r="R106" s="8" t="s">
        <v>27</v>
      </c>
      <c r="T106" s="8" t="s">
        <v>222</v>
      </c>
      <c r="U106"/>
      <c r="V106" s="8" t="s">
        <v>232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228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224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229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223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230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233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2025-01-28T01:59:34Z</dcterms:modified>
</cp:coreProperties>
</file>