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E2CCBDFD-1FFA-47D4-8D0D-B00585EBB061}" xr6:coauthVersionLast="47" xr6:coauthVersionMax="47" xr10:uidLastSave="{00000000-0000-0000-0000-000000000000}"/>
  <bookViews>
    <workbookView xWindow="1605" yWindow="2010" windowWidth="27195" windowHeight="14190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risks" sheetId="87" r:id="rId11"/>
    <sheet name="Misc_calcs" sheetId="62" r:id="rId12"/>
    <sheet name="Data" sheetId="47" r:id="rId13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68" l="1"/>
  <c r="M33" i="68"/>
  <c r="N33" i="68"/>
  <c r="K33" i="68"/>
  <c r="H8" i="87" l="1"/>
  <c r="E10" i="87"/>
  <c r="T33" i="68" l="1"/>
  <c r="U33" i="68"/>
  <c r="V33" i="68"/>
  <c r="H12" i="87"/>
  <c r="Y33" i="68" s="1"/>
  <c r="A2" i="87"/>
  <c r="A1" i="87"/>
  <c r="S33" i="68" l="1"/>
  <c r="R33" i="68"/>
  <c r="Q33" i="68"/>
  <c r="AA33" i="68"/>
  <c r="X33" i="68"/>
  <c r="W33" i="68"/>
  <c r="P33" i="68"/>
  <c r="O33" i="68"/>
  <c r="AG33" i="68"/>
  <c r="AF33" i="68"/>
  <c r="AE33" i="68"/>
  <c r="AD33" i="68"/>
  <c r="AC33" i="68"/>
  <c r="AB33" i="68"/>
  <c r="Z33" i="68"/>
  <c r="A40" i="86"/>
  <c r="I9" i="68" l="1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38" i="33" l="1"/>
  <c r="E16" i="47"/>
  <c r="F9" i="47" l="1"/>
  <c r="C22" i="85"/>
  <c r="C20" i="85"/>
  <c r="C18" i="85"/>
  <c r="C16" i="85"/>
  <c r="D48" i="33"/>
  <c r="C39" i="33"/>
  <c r="C89" i="85" a="1"/>
  <c r="C89" i="85" s="1"/>
  <c r="F38" i="33" s="1"/>
  <c r="C44" i="33"/>
  <c r="C46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46" i="33"/>
  <c r="D47" i="33"/>
  <c r="H38" i="33"/>
  <c r="I38" i="33"/>
  <c r="J38" i="33"/>
  <c r="G38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40" i="33"/>
  <c r="C42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45" i="33"/>
  <c r="A6" i="85"/>
  <c r="A2" i="85"/>
  <c r="A1" i="85"/>
  <c r="C43" i="33" l="1"/>
  <c r="C41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J77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J77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46" i="33" s="1"/>
  <c r="F96" i="85"/>
  <c r="D98" i="85"/>
  <c r="F98" i="85"/>
  <c r="I47" i="33" s="1"/>
  <c r="E98" i="85"/>
  <c r="D96" i="85"/>
  <c r="E97" i="85"/>
  <c r="G98" i="85"/>
  <c r="J47" i="33" s="1"/>
  <c r="G96" i="85"/>
  <c r="E96" i="85"/>
  <c r="G97" i="85"/>
  <c r="J46" i="33" s="1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46" i="33" s="1"/>
  <c r="C98" i="85"/>
  <c r="F47" i="33" s="1"/>
  <c r="C97" i="85"/>
  <c r="F46" i="33" s="1"/>
  <c r="C96" i="85"/>
  <c r="F45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K77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K77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L77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K80" i="82" l="1"/>
  <c r="K82" i="82" s="1"/>
  <c r="K107" i="82" s="1"/>
  <c r="L77" i="82"/>
  <c r="J82" i="73"/>
  <c r="J107" i="73" s="1"/>
  <c r="J82" i="81"/>
  <c r="J107" i="81" s="1"/>
  <c r="L74" i="82" a="1"/>
  <c r="L74" i="82" s="1"/>
  <c r="L72" i="82" a="1"/>
  <c r="L72" i="82" s="1"/>
  <c r="M77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M77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N77" i="82" s="1"/>
  <c r="M73" i="82" a="1"/>
  <c r="M73" i="82" s="1"/>
  <c r="M72" i="73" a="1"/>
  <c r="M72" i="73" s="1"/>
  <c r="N77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O77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O77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P77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P77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Q77" i="73" s="1"/>
  <c r="P74" i="82" a="1"/>
  <c r="P74" i="82" s="1"/>
  <c r="P73" i="82" a="1"/>
  <c r="P73" i="82" s="1"/>
  <c r="P72" i="82" a="1"/>
  <c r="P72" i="82" s="1"/>
  <c r="Q77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R77" i="73" s="1"/>
  <c r="Q74" i="73" a="1"/>
  <c r="Q74" i="73" s="1"/>
  <c r="Q73" i="73" a="1"/>
  <c r="Q73" i="73" s="1"/>
  <c r="Q73" i="82" a="1"/>
  <c r="Q73" i="82" s="1"/>
  <c r="Q72" i="82" a="1"/>
  <c r="Q72" i="82" s="1"/>
  <c r="R77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S77" i="82" s="1"/>
  <c r="R73" i="82" a="1"/>
  <c r="R73" i="82" s="1"/>
  <c r="R74" i="82" a="1"/>
  <c r="R74" i="82" s="1"/>
  <c r="R72" i="73" a="1"/>
  <c r="R72" i="73" s="1"/>
  <c r="S77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T77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T77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U77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U77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V77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V77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W77" i="82" s="1"/>
  <c r="V73" i="82" a="1"/>
  <c r="V73" i="82" s="1"/>
  <c r="V74" i="82" a="1"/>
  <c r="V74" i="82" s="1"/>
  <c r="V73" i="73" a="1"/>
  <c r="V73" i="73" s="1"/>
  <c r="V72" i="73" a="1"/>
  <c r="V72" i="73" s="1"/>
  <c r="W77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X77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X77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Y77" i="82" s="1"/>
  <c r="X73" i="82" a="1"/>
  <c r="X73" i="82" s="1"/>
  <c r="X74" i="73" a="1"/>
  <c r="X74" i="73" s="1"/>
  <c r="X73" i="73" a="1"/>
  <c r="X73" i="73" s="1"/>
  <c r="X72" i="73" a="1"/>
  <c r="X72" i="73" s="1"/>
  <c r="Y77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Z77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Z77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AA77" i="82" s="1"/>
  <c r="Z73" i="82" a="1"/>
  <c r="Z73" i="82" s="1"/>
  <c r="Z74" i="82" a="1"/>
  <c r="Z74" i="82" s="1"/>
  <c r="Z74" i="73" a="1"/>
  <c r="Z74" i="73" s="1"/>
  <c r="Z72" i="73" a="1"/>
  <c r="Z72" i="73" s="1"/>
  <c r="AA77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B77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AB77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7" i="82" s="1"/>
  <c r="AC72" i="82" a="1"/>
  <c r="AC72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C77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80" i="82" l="1"/>
  <c r="AC82" i="82" s="1"/>
  <c r="AC107" i="82" s="1"/>
  <c r="AD77" i="82"/>
  <c r="AC80" i="73"/>
  <c r="AD77" i="73"/>
  <c r="AC7" i="75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D80" i="73" l="1"/>
  <c r="AD82" i="73" s="1"/>
  <c r="AD107" i="73" s="1"/>
  <c r="AE77" i="73"/>
  <c r="AE80" i="68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E74" i="82" a="1"/>
  <c r="AE74" i="82" s="1"/>
  <c r="AE72" i="82" a="1"/>
  <c r="AE72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AF77" i="82" l="1"/>
  <c r="AD80" i="82"/>
  <c r="AD82" i="82" s="1"/>
  <c r="AD107" i="82" s="1"/>
  <c r="AE77" i="82"/>
  <c r="AE80" i="82" s="1"/>
  <c r="AE82" i="82" s="1"/>
  <c r="AE107" i="82" s="1"/>
  <c r="AE80" i="73"/>
  <c r="AF77" i="73"/>
  <c r="K9" i="85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AF80" i="82" l="1"/>
  <c r="AF82" i="82" s="1"/>
  <c r="AF107" i="82" s="1"/>
  <c r="AG77" i="82"/>
  <c r="AF80" i="73"/>
  <c r="AG77" i="73"/>
  <c r="L9" i="85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F80" i="81"/>
  <c r="K88" i="75"/>
  <c r="K97" i="75" s="1"/>
  <c r="L9" i="75"/>
  <c r="L5" i="75" s="1"/>
  <c r="L9" i="82"/>
  <c r="L9" i="81"/>
  <c r="M9" i="68"/>
  <c r="L9" i="73"/>
  <c r="L9" i="72"/>
  <c r="AG80" i="73" l="1"/>
  <c r="AG82" i="73" s="1"/>
  <c r="AG107" i="73" s="1"/>
  <c r="M9" i="85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G94" i="43" a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G94" i="4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39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5" i="81" l="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H12" i="33" s="1"/>
  <c r="F76" i="75"/>
  <c r="F81" i="75" s="1"/>
  <c r="H13" i="33" s="1"/>
  <c r="Q106" i="81"/>
  <c r="F66" i="75"/>
  <c r="G12" i="33" s="1"/>
  <c r="F38" i="75"/>
  <c r="G10" i="33" s="1"/>
  <c r="F51" i="75" l="1" a="1"/>
  <c r="F51" i="75" s="1"/>
  <c r="I11" i="33" s="1"/>
  <c r="F70" i="85"/>
  <c r="G90" i="85" s="1"/>
  <c r="F76" i="85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F94" i="85" s="1"/>
  <c r="I110" i="73" a="1"/>
  <c r="I110" i="73" s="1"/>
  <c r="I58" i="85" s="1"/>
  <c r="F58" i="85" s="1"/>
  <c r="F91" i="85" s="1"/>
  <c r="I112" i="73" a="1"/>
  <c r="I112" i="73" s="1"/>
  <c r="I60" i="85" s="1"/>
  <c r="F60" i="85" s="1"/>
  <c r="F93" i="85" s="1"/>
  <c r="I114" i="73" a="1"/>
  <c r="I114" i="73" s="1"/>
  <c r="I62" i="85" s="1"/>
  <c r="F62" i="85" s="1"/>
  <c r="I117" i="73" a="1"/>
  <c r="I117" i="73" s="1"/>
  <c r="I115" i="73" a="1"/>
  <c r="I115" i="73" s="1"/>
  <c r="I111" i="73" a="1"/>
  <c r="I111" i="73" s="1"/>
  <c r="I59" i="85" s="1"/>
  <c r="F59" i="85" s="1"/>
  <c r="F92" i="85" s="1"/>
  <c r="I56" i="85"/>
  <c r="F56" i="85" s="1"/>
  <c r="F90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2" i="33"/>
  <c r="F16" i="75" a="1"/>
  <c r="F16" i="75" s="1"/>
  <c r="I13" i="33"/>
  <c r="F23" i="75" a="1"/>
  <c r="F23" i="75" s="1"/>
  <c r="I9" i="33" s="1"/>
  <c r="G95" i="85" l="1"/>
  <c r="J44" i="33" s="1"/>
  <c r="F95" i="85"/>
  <c r="I44" i="33" s="1"/>
  <c r="F77" i="85"/>
  <c r="J45" i="33" s="1"/>
  <c r="I63" i="85"/>
  <c r="F63" i="85" s="1"/>
  <c r="I45" i="33" s="1"/>
  <c r="I64" i="85"/>
  <c r="F64" i="85" s="1"/>
  <c r="I65" i="85"/>
  <c r="F65" i="85" s="1"/>
  <c r="F79" i="85"/>
  <c r="F78" i="85"/>
  <c r="F73" i="85"/>
  <c r="G92" i="85" s="1"/>
  <c r="F72" i="85"/>
  <c r="G91" i="85" s="1"/>
  <c r="F75" i="85"/>
  <c r="G94" i="85" s="1"/>
  <c r="F74" i="85"/>
  <c r="G93" i="85" s="1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39" i="33" l="1"/>
  <c r="I39" i="33"/>
  <c r="J43" i="33"/>
  <c r="J41" i="33"/>
  <c r="J42" i="33"/>
  <c r="I41" i="33"/>
  <c r="I42" i="33"/>
  <c r="J40" i="33"/>
  <c r="I43" i="33"/>
  <c r="I40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44" i="33" s="1"/>
  <c r="U36" i="85"/>
  <c r="F22" i="85"/>
  <c r="J31" i="85"/>
  <c r="Q36" i="85"/>
  <c r="F51" i="85"/>
  <c r="F47" i="85"/>
  <c r="U32" i="85"/>
  <c r="F16" i="85"/>
  <c r="C91" i="85" s="1"/>
  <c r="F40" i="33" s="1"/>
  <c r="F49" i="85"/>
  <c r="J32" i="85"/>
  <c r="F46" i="85"/>
  <c r="F17" i="85"/>
  <c r="C92" i="85" s="1"/>
  <c r="F41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46" i="33"/>
  <c r="H45" i="33"/>
  <c r="H47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40" i="33" s="1"/>
  <c r="F45" i="85"/>
  <c r="E92" i="85" s="1"/>
  <c r="H41" i="33" s="1"/>
  <c r="F50" i="85"/>
  <c r="F48" i="85"/>
  <c r="E95" i="85" s="1"/>
  <c r="H44" i="33" s="1"/>
  <c r="E90" i="85"/>
  <c r="H39" i="33" s="1"/>
  <c r="E94" i="85"/>
  <c r="H43" i="33" s="1"/>
  <c r="E93" i="85"/>
  <c r="H42" i="33" s="1"/>
  <c r="C94" i="85"/>
  <c r="F43" i="33" s="1"/>
  <c r="C93" i="85"/>
  <c r="F42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39" i="33" s="1"/>
  <c r="G44" i="33"/>
  <c r="I95" i="85"/>
  <c r="K95" i="85" s="1"/>
  <c r="L44" i="33" s="1"/>
  <c r="I92" i="85"/>
  <c r="K92" i="85" s="1"/>
  <c r="L41" i="33" s="1"/>
  <c r="G41" i="33"/>
  <c r="G43" i="33"/>
  <c r="I94" i="85"/>
  <c r="K94" i="85" s="1"/>
  <c r="L43" i="33" s="1"/>
  <c r="G42" i="33"/>
  <c r="I93" i="85"/>
  <c r="K93" i="85" s="1"/>
  <c r="L42" i="33" s="1"/>
  <c r="F30" i="85"/>
  <c r="D91" i="85" s="1"/>
  <c r="I90" i="85" l="1"/>
  <c r="K90" i="85" s="1"/>
  <c r="L39" i="33" s="1"/>
  <c r="G40" i="33"/>
  <c r="I91" i="85"/>
  <c r="K91" i="85" s="1"/>
  <c r="L40" i="33" s="1"/>
  <c r="G47" i="33"/>
  <c r="I98" i="85"/>
  <c r="K98" i="85" s="1"/>
  <c r="L47" i="33" s="1"/>
  <c r="G45" i="33"/>
  <c r="I96" i="85"/>
  <c r="K96" i="85" s="1"/>
  <c r="L45" i="33" s="1"/>
  <c r="G46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<sst xmlns="http://schemas.openxmlformats.org/spreadsheetml/2006/main" count="750" uniqueCount="260">
  <si>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</si>
  <si>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</si>
  <si>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</si>
  <si>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</si>
  <si>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</si>
  <si>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</si>
  <si>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</si>
  <si>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</si>
  <si>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</si>
  <si>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</si>
  <si>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</si>
  <si>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</si>
  <si>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</si>
  <si>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</si>
  <si>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</si>
  <si>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</si>
  <si>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</si>
  <si>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</si>
  <si>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</si>
  <si>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</si>
  <si>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</si>
  <si>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</si>
  <si>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</si>
  <si>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</si>
  <si>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</si>
  <si>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</si>
  <si>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</si>
  <si>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</si>
  <si>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</si>
  <si>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</si>
  <si>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</si>
  <si>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</si>
  <si>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</si>
  <si>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</si>
  <si>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</si>
  <si>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</si>
  <si>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</si>
  <si>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</si>
  <si>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</si>
  <si>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</si>
  <si>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</si>
  <si>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</si>
  <si>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</si>
  <si>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</si>
  <si>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</si>
  <si>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</si>
  <si>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</si>
  <si>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</si>
  <si>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</si>
  <si>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</si>
  <si>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</si>
  <si>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</si>
  <si>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</si>
  <si>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</si>
  <si>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</si>
  <si>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</si>
  <si>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</si>
  <si>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</si>
  <si>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</si>
  <si>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</si>
  <si>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</si>
  <si>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</si>
  <si>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</si>
  <si>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</si>
  <si>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</si>
  <si>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</si>
  <si>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</si>
  <si>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</si>
  <si>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</si>
  <si>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</si>
  <si>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</si>
  <si>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</si>
  <si>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</si>
  <si>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</si>
  <si>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</si>
  <si>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</si>
  <si>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</si>
  <si>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</si>
  <si>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</si>
  <si>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</si>
  <si>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</si>
  <si>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</si>
  <si>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</si>
  <si>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</si>
  <si>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</si>
  <si>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</si>
  <si>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</si>
  <si>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</si>
  <si>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</si>
  <si>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</si>
  <si>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</si>
  <si>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</si>
  <si>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</si>
  <si>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</si>
  <si>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</si>
  <si>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</si>
  <si>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</si>
  <si>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</si>
  <si>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</si>
  <si>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</si>
  <si>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</si>
  <si>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</si>
  <si>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</si>
  <si>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</si>
  <si>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</si>
  <si>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</si>
  <si>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</si>
  <si>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</si>
  <si>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</si>
  <si>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</si>
  <si>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</si>
  <si>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</si>
  <si>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</si>
  <si>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</si>
  <si>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</si>
  <si>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</si>
  <si>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</si>
  <si>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</si>
  <si>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</si>
  <si>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</si>
  <si>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</si>
  <si>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</si>
  <si>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</si>
  <si>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</si>
  <si>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</si>
  <si>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</si>
  <si>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</si>
  <si>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</si>
  <si>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</si>
  <si>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</si>
  <si>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</si>
  <si>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</si>
  <si>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</si>
  <si>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</si>
  <si>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</si>
  <si>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</si>
  <si>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</si>
  <si>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</si>
  <si>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</si>
  <si>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</si>
  <si>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</si>
  <si>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</si>
  <si>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</si>
  <si>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</si>
  <si>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</si>
  <si>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</si>
  <si>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</si>
  <si>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</si>
  <si>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</si>
  <si>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</si>
  <si>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</si>
  <si>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</si>
  <si>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</si>
  <si>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</si>
  <si>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</si>
  <si>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</si>
  <si>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</si>
  <si>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</si>
  <si>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</si>
  <si>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</si>
  <si>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</si>
  <si>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</si>
  <si>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</si>
  <si>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</si>
  <si>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</si>
  <si>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</si>
  <si>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</si>
  <si>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</si>
  <si>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</si>
  <si>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</si>
  <si>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</si>
  <si>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</si>
  <si>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</si>
  <si>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</si>
  <si>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</si>
  <si>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</si>
  <si>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</si>
  <si>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</si>
  <si>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</si>
  <si>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</si>
  <si>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</si>
  <si>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</si>
  <si>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</si>
  <si>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</si>
  <si>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</si>
  <si>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</si>
  <si>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</si>
  <si>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</si>
  <si>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</si>
  <si>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</si>
  <si>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</si>
  <si>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</si>
  <si>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</si>
  <si>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</si>
  <si>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</si>
  <si>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</si>
  <si>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</si>
  <si>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</si>
  <si>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</si>
  <si>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</si>
  <si>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</si>
  <si>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</si>
  <si>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</si>
  <si>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</si>
  <si>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</si>
  <si>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</si>
  <si>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</si>
  <si>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</si>
  <si>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</si>
  <si>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</si>
  <si>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</si>
  <si>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</si>
  <si>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</si>
  <si>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</si>
  <si>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</si>
  <si>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</si>
  <si>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</si>
  <si>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</si>
  <si>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</si>
  <si>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</si>
  <si>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</si>
  <si>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</si>
  <si>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</si>
  <si>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</si>
  <si>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</si>
  <si>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</si>
  <si>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</si>
  <si>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</si>
  <si>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</si>
  <si>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</si>
  <si>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</si>
  <si>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Energy at risk</t>
  </si>
  <si>
    <t>Capex first year</t>
  </si>
  <si>
    <t>2024-25</t>
  </si>
  <si>
    <t>Expenditure starts</t>
  </si>
  <si>
    <t>Start_year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</si>
  <si>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</si>
  <si>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</si>
  <si>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</si>
  <si>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</si>
  <si>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</si>
  <si>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</si>
  <si>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</si>
  <si>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Isolating substations</t>
  </si>
  <si>
    <t>REFCL mini grids</t>
  </si>
  <si>
    <t>New zone substation</t>
  </si>
  <si>
    <t>WORKINGS - RISKS</t>
  </si>
  <si>
    <t>REFCL civil penalty benefits</t>
  </si>
  <si>
    <t>Original penalty for non-compliance</t>
  </si>
  <si>
    <t>per year</t>
  </si>
  <si>
    <t>Ongoing compliance penalty</t>
  </si>
  <si>
    <t>$5,500 per day</t>
  </si>
  <si>
    <t>REFCL civil penalties</t>
  </si>
  <si>
    <t>REFCL mini grid</t>
  </si>
  <si>
    <t>Penalty per point:</t>
  </si>
  <si>
    <t>REFCL WIN compliance</t>
  </si>
  <si>
    <t>Mini zone substation</t>
  </si>
  <si>
    <t>Isolating substations x 3</t>
  </si>
  <si>
    <t>WIN</t>
  </si>
  <si>
    <t>Winchelsea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</si>
</sst>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</numFmts>
  <fonts count="94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C3300"/>
        <bgColor indexed="64"/>
      </patternFill>
    </fill>
  </fills>
  <borders count="1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5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92" fillId="17" borderId="16" applyNumberFormat="0" applyProtection="0">
      <alignment horizontal="left" vertical="center" indent="1"/>
    </xf>
    <xf numFmtId="4" fontId="92" fillId="17" borderId="16" applyNumberFormat="0" applyProtection="0">
      <alignment horizontal="left" vertical="center" indent="1"/>
    </xf>
    <xf numFmtId="4" fontId="92" fillId="0" borderId="16" applyNumberFormat="0" applyProtection="0">
      <alignment horizontal="right" vertical="center"/>
    </xf>
    <xf numFmtId="44" fontId="77" fillId="0" borderId="0" applyFont="0" applyFill="0" applyBorder="0" applyAlignment="0" applyProtection="0"/>
  </cellStyleXfs>
  <cellXfs count="348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27" fillId="2" borderId="0" xfId="18" applyFont="1" applyFill="1" applyAlignment="1">
      <alignment horizontal="left" vertical="top"/>
    </xf>
    <xf numFmtId="0" fontId="17" fillId="0" borderId="0" xfId="18" applyFont="1" applyAlignment="1">
      <alignment horizontal="right"/>
    </xf>
    <xf numFmtId="0" fontId="93" fillId="0" borderId="0" xfId="18" applyFont="1"/>
    <xf numFmtId="0" fontId="24" fillId="18" borderId="0" xfId="18" applyFont="1" applyFill="1" applyAlignment="1">
      <alignment vertical="center"/>
    </xf>
    <xf numFmtId="44" fontId="27" fillId="2" borderId="0" xfId="23" applyNumberFormat="1"/>
    <xf numFmtId="0" fontId="27" fillId="2" borderId="0" xfId="23" applyNumberFormat="1"/>
    <xf numFmtId="6" fontId="27" fillId="2" borderId="0" xfId="23" applyNumberFormat="1"/>
    <xf numFmtId="2" fontId="86" fillId="0" borderId="0" xfId="20" applyNumberFormat="1" applyFont="1" applyAlignment="1">
      <alignment horizontal="left"/>
    </xf>
    <xf numFmtId="167" fontId="27" fillId="2" borderId="8" xfId="18" applyNumberFormat="1" applyFont="1" applyFill="1" applyBorder="1" applyAlignment="1">
      <alignment horizontal="right" vertical="center"/>
    </xf>
    <xf numFmtId="180" fontId="21" fillId="0" borderId="8" xfId="22" applyNumberFormat="1">
      <alignment horizontal="right"/>
    </xf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5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" xfId="34" xr:uid="{0FD58938-F0DA-448B-91A2-626923637FF0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9525</xdr:rowOff>
    </xdr:from>
    <xdr:to>
      <xdr:col>10</xdr:col>
      <xdr:colOff>209550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00B7E8-C7B1-45B4-A573-63C215CA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000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34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34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/>
  </sheetViews>
  <sheetFormatPr defaultColWidth="0" defaultRowHeight="15" customHeight="1" zeroHeight="1" x14ac:dyDescent="0.25"/>
  <cols>
    <col min="1" max="1" width="8" style="129" customWidth="1"/>
    <col min="2" max="2" width="1.875" style="129" customWidth="1"/>
    <col min="3" max="3" width="14" style="129" customWidth="1"/>
    <col min="4" max="4" width="8" style="129" customWidth="1"/>
    <col min="5" max="5" width="9.37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x14ac:dyDescent="0.25">
      <c r="A1" s="309"/>
    </row>
    <row r="2" spans="1:19" ht="23.25" x14ac:dyDescent="0.35">
      <c r="A2" s="309"/>
      <c r="C2" s="310" t="s">
        <v>3</v>
      </c>
      <c r="D2" s="311"/>
      <c r="E2" s="311"/>
    </row>
    <row r="3" spans="1:19" ht="15.75" x14ac:dyDescent="0.25">
      <c r="A3" s="309"/>
      <c r="C3" s="312" t="s">
        <v>238</v>
      </c>
      <c r="D3" s="311"/>
      <c r="E3" s="311"/>
    </row>
    <row r="4" spans="1:19" x14ac:dyDescent="0.25">
      <c r="A4" s="309"/>
      <c r="D4" s="311"/>
      <c r="E4" s="311"/>
    </row>
    <row r="5" spans="1:19" x14ac:dyDescent="0.25">
      <c r="A5" s="309"/>
      <c r="C5" s="313" t="s">
        <v>255</v>
      </c>
    </row>
    <row r="6" spans="1:19" x14ac:dyDescent="0.25">
      <c r="A6" s="309"/>
      <c r="C6" s="314" t="s">
        <v>239</v>
      </c>
      <c r="D6" s="334">
        <v>3.16</v>
      </c>
      <c r="E6" s="314"/>
    </row>
    <row r="7" spans="1:19" x14ac:dyDescent="0.25">
      <c r="A7" s="309"/>
      <c r="F7" s="315"/>
      <c r="G7" s="315"/>
      <c r="H7" s="315"/>
      <c r="J7" s="315"/>
      <c r="K7" s="315"/>
      <c r="L7" s="315"/>
      <c r="M7" s="315"/>
      <c r="N7" s="315"/>
      <c r="O7" s="315"/>
      <c r="P7" s="315"/>
      <c r="Q7" s="315"/>
      <c r="R7" s="315"/>
      <c r="S7" s="315"/>
    </row>
    <row r="8" spans="1:19" x14ac:dyDescent="0.25">
      <c r="A8" s="309"/>
      <c r="C8" s="316">
        <v>45688</v>
      </c>
      <c r="F8" s="315"/>
      <c r="G8" s="315"/>
      <c r="H8" s="315"/>
      <c r="J8" s="315"/>
      <c r="K8" s="315"/>
      <c r="L8" s="315"/>
      <c r="M8" s="315"/>
      <c r="N8" s="315"/>
      <c r="O8" s="315"/>
      <c r="P8" s="315"/>
      <c r="Q8" s="315"/>
      <c r="R8" s="315"/>
      <c r="S8" s="315"/>
    </row>
    <row r="9" spans="1:19" x14ac:dyDescent="0.25">
      <c r="A9" s="309"/>
      <c r="C9" s="317"/>
      <c r="D9" s="317"/>
      <c r="F9" s="315"/>
      <c r="G9" s="315"/>
      <c r="H9" s="315"/>
      <c r="I9" s="315"/>
      <c r="J9" s="315"/>
      <c r="K9" s="315"/>
      <c r="L9" s="315"/>
      <c r="M9" s="315"/>
      <c r="N9" s="315"/>
      <c r="O9" s="315"/>
      <c r="P9" s="315"/>
      <c r="Q9" s="315"/>
      <c r="R9" s="315"/>
      <c r="S9" s="315"/>
    </row>
    <row r="10" spans="1:19" x14ac:dyDescent="0.25">
      <c r="A10" s="309"/>
      <c r="C10" s="317"/>
      <c r="D10" s="317"/>
      <c r="F10" s="315"/>
      <c r="G10" s="315"/>
      <c r="H10" s="315"/>
      <c r="I10" s="315"/>
      <c r="J10" s="315"/>
      <c r="K10" s="315"/>
      <c r="L10" s="315"/>
      <c r="M10" s="315"/>
      <c r="N10" s="315"/>
      <c r="O10" s="315"/>
      <c r="P10" s="315"/>
      <c r="Q10" s="315"/>
      <c r="R10" s="315"/>
      <c r="S10" s="315"/>
    </row>
    <row r="11" spans="1:19" x14ac:dyDescent="0.25">
      <c r="A11" s="309"/>
      <c r="C11" s="317"/>
      <c r="D11" s="317"/>
      <c r="F11" s="315"/>
      <c r="G11" s="315"/>
      <c r="H11" s="315"/>
      <c r="I11" s="315"/>
      <c r="J11" s="315"/>
      <c r="K11" s="315"/>
      <c r="L11" s="315"/>
      <c r="M11" s="315"/>
      <c r="N11" s="315"/>
      <c r="O11" s="315"/>
      <c r="P11" s="315"/>
      <c r="Q11" s="315"/>
      <c r="R11" s="315"/>
      <c r="S11" s="315"/>
    </row>
    <row r="12" spans="1:19" x14ac:dyDescent="0.25">
      <c r="A12" s="309"/>
      <c r="C12" s="317"/>
      <c r="D12" s="317"/>
      <c r="F12" s="315"/>
      <c r="G12" s="315"/>
      <c r="H12" s="315"/>
      <c r="I12" s="315"/>
      <c r="J12" s="315"/>
      <c r="K12" s="315"/>
      <c r="L12" s="315"/>
      <c r="M12" s="315"/>
      <c r="N12" s="315"/>
      <c r="O12" s="315"/>
      <c r="P12" s="315"/>
      <c r="Q12" s="315"/>
      <c r="R12" s="315"/>
      <c r="S12" s="315"/>
    </row>
    <row r="13" spans="1:19" x14ac:dyDescent="0.25">
      <c r="A13" s="309"/>
      <c r="C13" s="317"/>
      <c r="D13" s="317"/>
      <c r="F13" s="315"/>
      <c r="G13" s="315"/>
      <c r="H13" s="315"/>
      <c r="I13" s="315"/>
      <c r="J13" s="315"/>
      <c r="K13" s="315"/>
      <c r="L13" s="315"/>
      <c r="M13" s="315"/>
      <c r="N13" s="315"/>
      <c r="O13" s="315"/>
      <c r="P13" s="315"/>
      <c r="Q13" s="315"/>
      <c r="R13" s="315"/>
      <c r="S13" s="315"/>
    </row>
    <row r="14" spans="1:19" x14ac:dyDescent="0.25">
      <c r="A14" s="309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</row>
    <row r="15" spans="1:19" x14ac:dyDescent="0.25">
      <c r="A15" s="309"/>
      <c r="C15" s="313"/>
      <c r="D15" s="315"/>
      <c r="E15" s="315"/>
      <c r="F15" s="315"/>
      <c r="G15" s="315"/>
      <c r="H15" s="315"/>
      <c r="I15" s="315"/>
      <c r="J15" s="315"/>
      <c r="K15" s="315"/>
      <c r="L15" s="315"/>
      <c r="M15" s="315"/>
      <c r="N15" s="315"/>
      <c r="O15" s="315"/>
      <c r="P15" s="315"/>
      <c r="Q15" s="315"/>
      <c r="R15" s="315"/>
      <c r="S15" s="315"/>
    </row>
    <row r="16" spans="1:19" x14ac:dyDescent="0.25">
      <c r="A16" s="309"/>
      <c r="C16" s="313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</row>
    <row r="17" spans="1:19" x14ac:dyDescent="0.25">
      <c r="A17" s="309"/>
      <c r="C17" s="315"/>
      <c r="D17" s="315"/>
      <c r="E17" s="315"/>
      <c r="F17" s="315"/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</row>
    <row r="18" spans="1:19" x14ac:dyDescent="0.25">
      <c r="A18" s="309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</row>
    <row r="19" spans="1:19" x14ac:dyDescent="0.25">
      <c r="A19" s="309"/>
      <c r="C19" s="315"/>
      <c r="D19" s="315"/>
      <c r="E19" s="315"/>
      <c r="F19" s="315"/>
      <c r="G19"/>
      <c r="H19" s="315"/>
      <c r="I19" s="315"/>
      <c r="J19" s="315"/>
      <c r="K19" s="315"/>
      <c r="L19" s="315"/>
      <c r="M19" s="315"/>
      <c r="N19" s="315"/>
      <c r="O19" s="315"/>
      <c r="P19" s="315"/>
      <c r="Q19" s="315"/>
      <c r="R19" s="315"/>
      <c r="S19" s="315"/>
    </row>
    <row r="20" spans="1:19" x14ac:dyDescent="0.25">
      <c r="A20" s="309"/>
      <c r="C20" s="315"/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</row>
    <row r="21" spans="1:19" ht="16.5" customHeight="1" x14ac:dyDescent="0.25">
      <c r="A21" s="309"/>
      <c r="C21" s="315"/>
      <c r="D21" s="315"/>
      <c r="E21" s="315"/>
      <c r="F21" s="315"/>
      <c r="G21" s="315"/>
      <c r="H21" s="315"/>
      <c r="I21" s="315"/>
      <c r="J21" s="315"/>
      <c r="K21" s="315"/>
      <c r="L21" s="315"/>
      <c r="M21" s="315"/>
      <c r="N21" s="315"/>
      <c r="O21" s="315"/>
      <c r="P21" s="315"/>
      <c r="Q21" s="315"/>
      <c r="R21" s="315"/>
      <c r="S21" s="315"/>
    </row>
    <row r="22" spans="1:19" x14ac:dyDescent="0.25">
      <c r="A22" s="309"/>
      <c r="C22" s="315"/>
      <c r="D22" s="315"/>
      <c r="E22" s="315"/>
      <c r="F22" s="315"/>
      <c r="G22" s="315"/>
      <c r="H22" s="315"/>
      <c r="I22" s="315"/>
      <c r="J22" s="315"/>
      <c r="K22" s="315"/>
      <c r="L22" s="315"/>
      <c r="M22" s="315"/>
      <c r="N22" s="315"/>
      <c r="O22" s="315"/>
      <c r="P22" s="315"/>
      <c r="Q22" s="315"/>
      <c r="R22" s="315"/>
      <c r="S22" s="315"/>
    </row>
    <row r="23" spans="1:19" x14ac:dyDescent="0.25">
      <c r="A23" s="309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  <c r="P23" s="315"/>
      <c r="Q23" s="315"/>
      <c r="R23" s="315"/>
      <c r="S23" s="315"/>
    </row>
    <row r="24" spans="1:19" x14ac:dyDescent="0.25">
      <c r="A24" s="309"/>
      <c r="C24" s="315"/>
      <c r="D24" s="315"/>
      <c r="E24" s="315"/>
      <c r="F24" s="315"/>
      <c r="G24" s="315"/>
      <c r="H24" s="315"/>
      <c r="I24" s="315"/>
      <c r="J24" s="315"/>
      <c r="K24" s="315"/>
      <c r="L24" s="315"/>
      <c r="M24" s="315"/>
      <c r="N24" s="315"/>
      <c r="O24" s="315"/>
      <c r="P24" s="315"/>
      <c r="Q24" s="315"/>
      <c r="R24" s="315"/>
      <c r="S24" s="315"/>
    </row>
    <row r="25" spans="1:19" x14ac:dyDescent="0.25">
      <c r="A25" s="309"/>
      <c r="C25" s="315"/>
      <c r="D25" s="315"/>
      <c r="E25" s="315"/>
      <c r="F25" s="315"/>
      <c r="G25" s="315"/>
      <c r="H25" s="315"/>
      <c r="I25" s="315"/>
      <c r="J25" s="315"/>
      <c r="K25" s="315"/>
      <c r="L25" s="315"/>
      <c r="M25" s="315"/>
      <c r="N25" s="315"/>
      <c r="O25" s="315"/>
      <c r="P25" s="315"/>
      <c r="Q25" s="315"/>
      <c r="R25" s="315"/>
      <c r="S25" s="315"/>
    </row>
    <row r="26" spans="1:19" x14ac:dyDescent="0.25">
      <c r="A26" s="309"/>
      <c r="C26" s="315"/>
      <c r="D26" s="315"/>
      <c r="E26" s="315"/>
      <c r="F26" s="315"/>
      <c r="G26" s="315"/>
      <c r="H26" s="315"/>
      <c r="I26" s="315"/>
      <c r="J26" s="315"/>
      <c r="K26" s="315"/>
      <c r="L26" s="315"/>
      <c r="M26" s="315"/>
      <c r="N26" s="315"/>
      <c r="O26" s="315"/>
      <c r="P26" s="315"/>
      <c r="Q26" s="315"/>
      <c r="R26" s="315"/>
      <c r="S26" s="315"/>
    </row>
    <row r="27" spans="1:19" x14ac:dyDescent="0.25">
      <c r="A27" s="309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  <c r="N27" s="315"/>
      <c r="O27" s="315"/>
      <c r="P27" s="315"/>
      <c r="Q27" s="315"/>
      <c r="R27" s="315"/>
      <c r="S27" s="315"/>
    </row>
    <row r="28" spans="1:19" x14ac:dyDescent="0.25">
      <c r="A28" s="309"/>
      <c r="C28" s="315"/>
      <c r="D28" s="315"/>
      <c r="E28" s="315"/>
      <c r="F28" s="315"/>
      <c r="G28" s="315"/>
      <c r="H28" s="315"/>
      <c r="I28" s="315"/>
      <c r="J28" s="315"/>
      <c r="K28" s="315"/>
      <c r="L28" s="315"/>
      <c r="M28" s="315"/>
      <c r="N28" s="315"/>
      <c r="O28" s="315"/>
      <c r="P28" s="315"/>
      <c r="Q28" s="315"/>
      <c r="R28" s="315"/>
      <c r="S28" s="315"/>
    </row>
    <row r="29" spans="1:19" x14ac:dyDescent="0.25">
      <c r="A29" s="309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5"/>
    </row>
    <row r="30" spans="1:19" x14ac:dyDescent="0.25">
      <c r="A30" s="309"/>
      <c r="C30" s="315"/>
      <c r="E30" s="315"/>
      <c r="F30" s="315"/>
      <c r="G30" s="315"/>
      <c r="H30" s="315"/>
      <c r="I30" s="315"/>
      <c r="J30" s="315"/>
      <c r="K30" s="315"/>
      <c r="L30" s="315"/>
      <c r="M30" s="315"/>
      <c r="N30" s="315"/>
      <c r="O30" s="315"/>
      <c r="P30" s="315"/>
      <c r="Q30" s="315"/>
      <c r="R30" s="315"/>
      <c r="S30" s="315"/>
    </row>
    <row r="31" spans="1:19" x14ac:dyDescent="0.25">
      <c r="A31" s="309"/>
      <c r="C31" s="315"/>
      <c r="D31" s="315"/>
      <c r="E31" s="315"/>
      <c r="F31" s="315"/>
      <c r="G31" s="315"/>
      <c r="H31" s="315"/>
      <c r="I31" s="315"/>
      <c r="J31" s="315"/>
      <c r="K31" s="315"/>
      <c r="L31" s="315"/>
      <c r="M31" s="315"/>
      <c r="N31" s="315"/>
      <c r="O31" s="315"/>
      <c r="P31" s="315"/>
      <c r="Q31" s="315"/>
      <c r="R31" s="315"/>
      <c r="S31" s="315"/>
    </row>
    <row r="32" spans="1:19" x14ac:dyDescent="0.25">
      <c r="A32" s="309"/>
      <c r="C32" s="315"/>
      <c r="D32" s="315"/>
      <c r="E32" s="315"/>
      <c r="F32" s="315"/>
      <c r="G32" s="315"/>
      <c r="H32" s="315"/>
      <c r="I32" s="315"/>
      <c r="J32" s="315"/>
      <c r="K32" s="315"/>
      <c r="L32" s="315"/>
      <c r="M32" s="315"/>
      <c r="N32" s="315"/>
      <c r="O32" s="315"/>
      <c r="P32" s="315"/>
      <c r="Q32" s="315"/>
      <c r="R32" s="315"/>
      <c r="S32" s="315"/>
    </row>
    <row r="33" spans="1:19" x14ac:dyDescent="0.25">
      <c r="A33" s="309"/>
      <c r="E33" s="315"/>
      <c r="F33" s="315"/>
      <c r="G33" s="315"/>
      <c r="H33" s="315"/>
      <c r="I33" s="315"/>
      <c r="J33" s="315"/>
      <c r="K33" s="315"/>
      <c r="L33" s="315"/>
      <c r="M33" s="315"/>
      <c r="N33" s="315"/>
      <c r="O33" s="315"/>
      <c r="P33" s="315"/>
      <c r="Q33" s="315"/>
      <c r="R33" s="315"/>
      <c r="S33" s="315"/>
    </row>
    <row r="34" spans="1:19" x14ac:dyDescent="0.25">
      <c r="A34" s="309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5"/>
      <c r="P34" s="315"/>
      <c r="Q34" s="315"/>
      <c r="R34" s="315"/>
      <c r="S34" s="315"/>
    </row>
    <row r="35" spans="1:19" x14ac:dyDescent="0.25">
      <c r="A35" s="309"/>
      <c r="C35" s="315"/>
      <c r="D35" s="315"/>
      <c r="E35" s="315"/>
      <c r="F35" s="315"/>
      <c r="G35" s="315"/>
      <c r="H35" s="315"/>
      <c r="I35" s="315"/>
      <c r="J35" s="315"/>
      <c r="K35" s="315"/>
      <c r="L35" s="315"/>
      <c r="M35" s="315"/>
      <c r="N35" s="315"/>
      <c r="O35" s="315"/>
      <c r="P35" s="315"/>
      <c r="Q35" s="315"/>
      <c r="R35" s="315"/>
      <c r="S35" s="315"/>
    </row>
    <row r="36" spans="1:19" x14ac:dyDescent="0.25">
      <c r="A36" s="309"/>
    </row>
    <row r="37" spans="1:19" x14ac:dyDescent="0.25">
      <c r="A37" s="309"/>
    </row>
    <row r="38" spans="1:19" x14ac:dyDescent="0.25">
      <c r="A38" s="309"/>
    </row>
    <row r="39" spans="1:19" x14ac:dyDescent="0.25">
      <c r="A39" s="309"/>
    </row>
    <row r="40" spans="1:19" x14ac:dyDescent="0.25">
      <c r="A40" s="309">
        <f ca="1">_xlfn.SHEETS()</f>
        <v>13</v>
      </c>
    </row>
    <row r="41" spans="1:19" x14ac:dyDescent="0.25">
      <c r="A41" s="309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A3" sqref="A3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REFCL WIN compliance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2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157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1" t="s">
        <v>187</v>
      </c>
      <c r="H7" s="151" t="s">
        <v>188</v>
      </c>
      <c r="I7" s="151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3">
        <f>output_dollars</f>
        <v>46203</v>
      </c>
      <c r="H8" s="183">
        <f>output_dollars</f>
        <v>46203</v>
      </c>
      <c r="I8" s="183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38" t="str">
        <f>INDEX(Assumptions!$E$14:$E$18, MATCH(C9, Assumptions!$C$14:$C$18,0))</f>
        <v>No change to existing practices</v>
      </c>
      <c r="E9" s="339"/>
      <c r="F9" s="339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40" t="str">
        <f>INDEX(Assumptions!$E$14:$E$18, MATCH(C10, Assumptions!$C$14:$C$18,0))</f>
        <v>Isolating substations</v>
      </c>
      <c r="E10" s="341"/>
      <c r="F10" s="341"/>
      <c r="G10" s="103">
        <f>IF(Data!$C10, "", INDEX(Consol!$F$15:$F$82, MATCH($C10&amp;G$7, Consol!$D$15:$D$82,0))/mill_conv)</f>
        <v>-2.9393695990237529</v>
      </c>
      <c r="H10" s="103">
        <f>IF(Data!$C10, "", INDEX(Consol!$F$15:$F$82, MATCH($C10&amp;H$7, Consol!$D$15:$D$82,0))/mill_conv)</f>
        <v>36.147903431442849</v>
      </c>
      <c r="I10" s="103">
        <f>IF(Data!$C10, "", INDEX(Consol!$F$15:$F$82, MATCH($C10&amp;I$7, Consol!$D$15:$D$82,0))/mill_conv)</f>
        <v>33.208533832419093</v>
      </c>
    </row>
    <row r="11" spans="1:13" s="7" customFormat="1" ht="12.75" x14ac:dyDescent="0.2">
      <c r="C11" s="91" t="str">
        <v>Option 3</v>
      </c>
      <c r="D11" s="340" t="str">
        <f>INDEX(Assumptions!$E$14:$E$18, MATCH(C11, Assumptions!$C$14:$C$18,0))</f>
        <v>REFCL mini grids</v>
      </c>
      <c r="E11" s="341"/>
      <c r="F11" s="341"/>
      <c r="G11" s="103">
        <f>IF(Data!$C11, "", INDEX(Consol!$F$15:$F$82, MATCH($C11&amp;G$7, Consol!$D$15:$D$82,0))/mill_conv)</f>
        <v>-4.1998376710646657</v>
      </c>
      <c r="H11" s="103">
        <f>IF(Data!$C11, "", INDEX(Consol!$F$15:$F$82, MATCH($C11&amp;H$7, Consol!$D$15:$D$82,0))/mill_conv)</f>
        <v>36.147903431442849</v>
      </c>
      <c r="I11" s="103">
        <f>IF(Data!$C11, "", INDEX(Consol!$F$15:$F$82, MATCH($C11&amp;I$7, Consol!$D$15:$D$82,0))/mill_conv)</f>
        <v>31.948065760378189</v>
      </c>
    </row>
    <row r="12" spans="1:13" s="7" customFormat="1" ht="12.75" x14ac:dyDescent="0.2">
      <c r="C12" s="91" t="str">
        <v>Option 4</v>
      </c>
      <c r="D12" s="340" t="str">
        <f>INDEX(Assumptions!$E$14:$E$18, MATCH(C12, Assumptions!$C$14:$C$18,0))</f>
        <v>Mini zone substation</v>
      </c>
      <c r="E12" s="341"/>
      <c r="F12" s="341"/>
      <c r="G12" s="103">
        <f>IF(Data!$C12, "", INDEX(Consol!$F$15:$F$82, MATCH($C12&amp;G$7, Consol!$D$15:$D$82,0))/mill_conv)</f>
        <v>-9.3150635606620362</v>
      </c>
      <c r="H12" s="103">
        <f>IF(Data!$C12, "", INDEX(Consol!$F$15:$F$82, MATCH($C12&amp;H$7, Consol!$D$15:$D$82,0))/mill_conv)</f>
        <v>36.147903431442849</v>
      </c>
      <c r="I12" s="103">
        <f>IF(Data!$C12, "", INDEX(Consol!$F$15:$F$82, MATCH($C12&amp;I$7, Consol!$D$15:$D$82,0))/mill_conv)</f>
        <v>26.832839870780823</v>
      </c>
    </row>
    <row r="13" spans="1:13" s="7" customFormat="1" ht="12.75" x14ac:dyDescent="0.2">
      <c r="C13" s="91" t="str">
        <v>Option 5</v>
      </c>
      <c r="D13" s="340" t="str">
        <f>INDEX(Assumptions!$E$14:$E$18, MATCH(C13, Assumptions!$C$14:$C$18,0))</f>
        <v>New zone substation</v>
      </c>
      <c r="E13" s="341"/>
      <c r="F13" s="341"/>
      <c r="G13" s="103">
        <f>IF(Data!$C13, "", INDEX(Consol!$F$15:$F$82, MATCH($C13&amp;G$7, Consol!$D$15:$D$82,0))/mill_conv)</f>
        <v>-26.778792843726553</v>
      </c>
      <c r="H13" s="103">
        <f>IF(Data!$C13, "", INDEX(Consol!$F$15:$F$82, MATCH($C13&amp;H$7, Consol!$D$15:$D$82,0))/mill_conv)</f>
        <v>36.147903431442849</v>
      </c>
      <c r="I13" s="103">
        <f>IF(Data!$C13, "", INDEX(Consol!$F$15:$F$82, MATCH($C13&amp;I$7, Consol!$D$15:$D$82,0))/mill_conv)</f>
        <v>9.3691105877162961</v>
      </c>
    </row>
    <row r="14" spans="1:13" s="7" customFormat="1" ht="12.75" x14ac:dyDescent="0.2">
      <c r="C14" s="91"/>
      <c r="D14" s="246"/>
      <c r="E14" s="246"/>
      <c r="F14" s="240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1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3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37" t="str">
        <f>INDEX($D$9:$D$13,MATCH(G18, $I$9:$I$13,0))</f>
        <v>Isolating substations</v>
      </c>
      <c r="E18" s="337"/>
      <c r="F18" s="337"/>
      <c r="G18" s="104">
        <f>_xlfn.MAXIFS(I9:I13, IF(compliance, Data!$F$9:$F$13, Data!$C$9:$C$13),FALSE)</f>
        <v>33.208533832419093</v>
      </c>
      <c r="H18"/>
      <c r="I18" s="328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8">
        <f>output_dollars</f>
        <v>46203</v>
      </c>
      <c r="E29" s="184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140</v>
      </c>
    </row>
    <row r="30" spans="1:13" s="8" customFormat="1" ht="12.75" x14ac:dyDescent="0.2">
      <c r="C30" s="4" t="s">
        <v>30</v>
      </c>
      <c r="F30" s="105">
        <f>-INDEX(Consol!$I$15:$Q$82,MATCH($C$26&amp;$C30,Consol!$D$15:$D$82,0), MATCH(F$29, Consol!$I$9:$Q$9,0))/mill_conv</f>
        <v>2.1367922811198659</v>
      </c>
      <c r="G30" s="105">
        <f>-INDEX(Consol!$I$15:$Q$82,MATCH($C$26&amp;$C30,Consol!$D$15:$D$82,0), MATCH(G$29, Consol!$I$9:$Q$9,0))/mill_conv</f>
        <v>3.2051884216797988</v>
      </c>
      <c r="H30" s="105">
        <f>-INDEX(Consol!$I$15:$Q$82,MATCH($C$26&amp;$C30,Consol!$D$15:$D$82,0), MATCH(H$29, Consol!$I$9:$Q$9,0))/mill_conv</f>
        <v>0</v>
      </c>
      <c r="I30" s="105">
        <f>-INDEX(Consol!$I$15:$Q$82,MATCH($C$26&amp;$C30,Consol!$D$15:$D$82,0), MATCH(I$29, Consol!$I$9:$Q$9,0))/mill_conv</f>
        <v>0</v>
      </c>
      <c r="J30" s="105">
        <f>-INDEX(Consol!$I$15:$Q$82,MATCH($C$26&amp;$C30,Consol!$D$15:$D$82,0), MATCH(J$29, Consol!$I$9:$Q$9,0))/mill_conv</f>
        <v>0</v>
      </c>
      <c r="K30" s="185"/>
      <c r="L30" s="185">
        <f>SUM(F30:J30)</f>
        <v>5.3419807027996651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5"/>
      <c r="L31" s="185">
        <f>SUM(F31:J31)</f>
        <v>0</v>
      </c>
    </row>
    <row r="32" spans="1:13" s="8" customFormat="1" ht="12.75" x14ac:dyDescent="0.2"/>
    <row r="33" spans="1:13" s="8" customFormat="1" ht="12.75" x14ac:dyDescent="0.2"/>
    <row r="34" spans="1:13" s="8" customFormat="1" ht="12.75" x14ac:dyDescent="0.2"/>
    <row r="35" spans="1:13" s="8" customFormat="1" ht="15" x14ac:dyDescent="0.25">
      <c r="A35" s="19" t="s">
        <v>214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3" s="8" customFormat="1" ht="12.75" x14ac:dyDescent="0.2"/>
    <row r="37" spans="1:13" s="8" customFormat="1" ht="12.75" x14ac:dyDescent="0.2">
      <c r="C37" s="255"/>
      <c r="D37" s="255"/>
      <c r="E37" s="255"/>
      <c r="F37" s="255"/>
      <c r="G37" s="255"/>
      <c r="H37" s="255"/>
      <c r="I37" s="255"/>
      <c r="J37" s="255"/>
      <c r="K37" s="255"/>
      <c r="L37" s="255"/>
      <c r="M37" s="255"/>
    </row>
    <row r="38" spans="1:13" s="8" customFormat="1" ht="12.75" x14ac:dyDescent="0.2">
      <c r="C38" s="256" t="s">
        <v>218</v>
      </c>
      <c r="D38" s="184">
        <f>output_dollars</f>
        <v>46203</v>
      </c>
      <c r="E38" s="184"/>
      <c r="F38" s="257" t="str">
        <f>Sensitivity_calcs!C89</f>
        <v>Option 1 (base case)</v>
      </c>
      <c r="G38" s="257" t="str">
        <f>Sensitivity_calcs!D89</f>
        <v>Option 2</v>
      </c>
      <c r="H38" s="257" t="str">
        <f>Sensitivity_calcs!E89</f>
        <v>Option 3</v>
      </c>
      <c r="I38" s="257" t="str">
        <f>Sensitivity_calcs!F89</f>
        <v>Option 4</v>
      </c>
      <c r="J38" s="257" t="str">
        <f>Sensitivity_calcs!G89</f>
        <v>Option 5</v>
      </c>
      <c r="K38" s="261"/>
      <c r="L38" s="286" t="s">
        <v>216</v>
      </c>
      <c r="M38" s="261"/>
    </row>
    <row r="39" spans="1:13" s="8" customFormat="1" ht="12.75" x14ac:dyDescent="0.2">
      <c r="C39" s="284" t="str">
        <f>Sensitivity_calcs!B90</f>
        <v>None</v>
      </c>
      <c r="D39" s="264"/>
      <c r="E39" s="264"/>
      <c r="F39" s="285" t="str">
        <f>Sensitivity_calcs!C90</f>
        <v/>
      </c>
      <c r="G39" s="285">
        <f>Sensitivity_calcs!D90</f>
        <v>33.208533832419093</v>
      </c>
      <c r="H39" s="285">
        <f>Sensitivity_calcs!E90</f>
        <v>31.948065760378189</v>
      </c>
      <c r="I39" s="285">
        <f>Sensitivity_calcs!F90</f>
        <v>26.83283987078082</v>
      </c>
      <c r="J39" s="285">
        <f>Sensitivity_calcs!G90</f>
        <v>9.3691105877162979</v>
      </c>
      <c r="K39" s="255"/>
      <c r="L39" s="287" t="str">
        <f>Sensitivity_calcs!K90</f>
        <v>Option 2</v>
      </c>
      <c r="M39" s="255"/>
    </row>
    <row r="40" spans="1:13" s="8" customFormat="1" ht="12.75" x14ac:dyDescent="0.2">
      <c r="C40" s="263" t="str">
        <f>Sensitivity_calcs!B91</f>
        <v>Capex 10% higher</v>
      </c>
      <c r="D40" s="263"/>
      <c r="E40" s="263"/>
      <c r="F40" s="277" t="str">
        <f>Sensitivity_calcs!C91</f>
        <v/>
      </c>
      <c r="G40" s="272">
        <f>Sensitivity_calcs!D91</f>
        <v>32.914596872516725</v>
      </c>
      <c r="H40" s="272">
        <f>Sensitivity_calcs!E91</f>
        <v>31.528081993271719</v>
      </c>
      <c r="I40" s="272">
        <f>Sensitivity_calcs!F91</f>
        <v>25.901333514714604</v>
      </c>
      <c r="J40" s="272">
        <f>Sensitivity_calcs!G91</f>
        <v>6.6912313033436428</v>
      </c>
      <c r="K40" s="255"/>
      <c r="L40" s="280" t="str">
        <f>Sensitivity_calcs!K91</f>
        <v>Option 2</v>
      </c>
      <c r="M40" s="255"/>
    </row>
    <row r="41" spans="1:13" s="8" customFormat="1" ht="12.75" x14ac:dyDescent="0.2">
      <c r="C41" s="263" t="str">
        <f>Sensitivity_calcs!B92</f>
        <v>Capex 10% lower</v>
      </c>
      <c r="D41" s="263"/>
      <c r="E41" s="263"/>
      <c r="F41" s="278" t="str">
        <f>Sensitivity_calcs!C92</f>
        <v/>
      </c>
      <c r="G41" s="273">
        <f>Sensitivity_calcs!D92</f>
        <v>33.502470792321475</v>
      </c>
      <c r="H41" s="273">
        <f>Sensitivity_calcs!E92</f>
        <v>32.368049527484658</v>
      </c>
      <c r="I41" s="273">
        <f>Sensitivity_calcs!F92</f>
        <v>27.764346226847014</v>
      </c>
      <c r="J41" s="273">
        <f>Sensitivity_calcs!G92</f>
        <v>12.046989872088954</v>
      </c>
      <c r="K41" s="255"/>
      <c r="L41" s="280" t="str">
        <f>Sensitivity_calcs!K92</f>
        <v>Option 2</v>
      </c>
      <c r="M41" s="255"/>
    </row>
    <row r="42" spans="1:13" s="8" customFormat="1" ht="12.75" x14ac:dyDescent="0.2">
      <c r="C42" s="263" t="str">
        <f>Sensitivity_calcs!B93</f>
        <v>Total benefits 10% higher</v>
      </c>
      <c r="D42" s="263"/>
      <c r="E42" s="263"/>
      <c r="F42" s="278" t="str">
        <f>Sensitivity_calcs!C93</f>
        <v/>
      </c>
      <c r="G42" s="273">
        <f>Sensitivity_calcs!D93</f>
        <v>36.823324175563378</v>
      </c>
      <c r="H42" s="273">
        <f>Sensitivity_calcs!E93</f>
        <v>35.562856103522471</v>
      </c>
      <c r="I42" s="273">
        <f>Sensitivity_calcs!F93</f>
        <v>30.447630213925095</v>
      </c>
      <c r="J42" s="273">
        <f>Sensitivity_calcs!G93</f>
        <v>12.983900930860585</v>
      </c>
      <c r="K42" s="255"/>
      <c r="L42" s="280" t="str">
        <f>Sensitivity_calcs!K93</f>
        <v>Option 2</v>
      </c>
      <c r="M42" s="255"/>
    </row>
    <row r="43" spans="1:13" s="8" customFormat="1" ht="12.75" x14ac:dyDescent="0.2">
      <c r="C43" s="263" t="str">
        <f>Sensitivity_calcs!B94</f>
        <v>Total benefits 10% lower</v>
      </c>
      <c r="D43" s="263"/>
      <c r="E43" s="263"/>
      <c r="F43" s="278" t="str">
        <f>Sensitivity_calcs!C94</f>
        <v/>
      </c>
      <c r="G43" s="273">
        <f>Sensitivity_calcs!D94</f>
        <v>29.593743489274818</v>
      </c>
      <c r="H43" s="273">
        <f>Sensitivity_calcs!E94</f>
        <v>28.333275417233899</v>
      </c>
      <c r="I43" s="273">
        <f>Sensitivity_calcs!F94</f>
        <v>23.218049527636531</v>
      </c>
      <c r="J43" s="273">
        <f>Sensitivity_calcs!G94</f>
        <v>5.7543202445720123</v>
      </c>
      <c r="K43" s="255"/>
      <c r="L43" s="280" t="str">
        <f>Sensitivity_calcs!K94</f>
        <v>Option 2</v>
      </c>
      <c r="M43" s="255"/>
    </row>
    <row r="44" spans="1:13" s="8" customFormat="1" ht="12.75" x14ac:dyDescent="0.2">
      <c r="C44" s="263" t="str">
        <f>Sensitivity_calcs!B95</f>
        <v>Capex 10% higher &amp; Total benefits 10% lower</v>
      </c>
      <c r="D44" s="263"/>
      <c r="E44" s="263"/>
      <c r="F44" s="278" t="str">
        <f>Sensitivity_calcs!C95</f>
        <v/>
      </c>
      <c r="G44" s="273">
        <f>Sensitivity_calcs!D95</f>
        <v>29.299806529372443</v>
      </c>
      <c r="H44" s="273">
        <f>Sensitivity_calcs!E95</f>
        <v>27.91329165012743</v>
      </c>
      <c r="I44" s="273">
        <f>Sensitivity_calcs!F95</f>
        <v>22.286543171570322</v>
      </c>
      <c r="J44" s="273">
        <f>Sensitivity_calcs!G95</f>
        <v>3.0764409601993568</v>
      </c>
      <c r="K44" s="255"/>
      <c r="L44" s="280" t="str">
        <f>Sensitivity_calcs!K95</f>
        <v>Option 2</v>
      </c>
      <c r="M44" s="255"/>
    </row>
    <row r="45" spans="1:13" s="8" customFormat="1" ht="12.75" x14ac:dyDescent="0.2">
      <c r="C45" s="263">
        <f>Sensitivity_calcs!B96</f>
        <v>0</v>
      </c>
      <c r="D45" s="263"/>
      <c r="E45" s="263"/>
      <c r="F45" s="278" t="str">
        <f>Sensitivity_calcs!C96</f>
        <v/>
      </c>
      <c r="G45" s="273" t="str">
        <f>Sensitivity_calcs!D96</f>
        <v/>
      </c>
      <c r="H45" s="273" t="str">
        <f>Sensitivity_calcs!E96</f>
        <v/>
      </c>
      <c r="I45" s="273" t="str">
        <f>Sensitivity_calcs!F96</f>
        <v/>
      </c>
      <c r="J45" s="273" t="str">
        <f>Sensitivity_calcs!G96</f>
        <v/>
      </c>
      <c r="K45" s="255"/>
      <c r="L45" s="280" t="str">
        <f>Sensitivity_calcs!K96</f>
        <v/>
      </c>
      <c r="M45" s="255"/>
    </row>
    <row r="46" spans="1:13" s="8" customFormat="1" ht="12.75" x14ac:dyDescent="0.2">
      <c r="C46" s="263">
        <f>Sensitivity_calcs!B97</f>
        <v>0</v>
      </c>
      <c r="D46" s="258"/>
      <c r="E46" s="258"/>
      <c r="F46" s="278" t="str">
        <f>Sensitivity_calcs!C97</f>
        <v/>
      </c>
      <c r="G46" s="273" t="str">
        <f>Sensitivity_calcs!D97</f>
        <v/>
      </c>
      <c r="H46" s="273" t="str">
        <f>Sensitivity_calcs!E97</f>
        <v/>
      </c>
      <c r="I46" s="273" t="str">
        <f>Sensitivity_calcs!F97</f>
        <v/>
      </c>
      <c r="J46" s="273" t="str">
        <f>Sensitivity_calcs!G97</f>
        <v/>
      </c>
      <c r="K46" s="265">
        <f>IF(C46=0,0, INDEX($F$38:$J$38, MATCH(MAX($F46:$I46),$F46:$I46,0)))</f>
        <v>0</v>
      </c>
      <c r="L46" s="280" t="str">
        <f>Sensitivity_calcs!K97</f>
        <v/>
      </c>
    </row>
    <row r="47" spans="1:13" s="8" customFormat="1" ht="12.75" x14ac:dyDescent="0.2">
      <c r="D47" s="263">
        <f>Sensitivity_calcs!B98</f>
        <v>0</v>
      </c>
      <c r="E47" s="263"/>
      <c r="F47" s="278" t="str">
        <f>Sensitivity_calcs!C98</f>
        <v/>
      </c>
      <c r="G47" s="273" t="str">
        <f>Sensitivity_calcs!D98</f>
        <v/>
      </c>
      <c r="H47" s="273" t="str">
        <f>Sensitivity_calcs!E98</f>
        <v/>
      </c>
      <c r="I47" s="273" t="str">
        <f>Sensitivity_calcs!F98</f>
        <v/>
      </c>
      <c r="J47" s="273" t="str">
        <f>Sensitivity_calcs!G98</f>
        <v/>
      </c>
      <c r="K47" s="255"/>
      <c r="L47" s="280" t="str">
        <f>Sensitivity_calcs!K98</f>
        <v/>
      </c>
      <c r="M47" s="255"/>
    </row>
    <row r="48" spans="1:13" s="8" customFormat="1" ht="12.75" x14ac:dyDescent="0.2">
      <c r="D48" s="263">
        <f>Sensitivity_calcs!B99</f>
        <v>0</v>
      </c>
      <c r="E48" s="263"/>
      <c r="F48" s="279"/>
      <c r="G48" s="105"/>
      <c r="H48" s="105"/>
      <c r="I48" s="105"/>
      <c r="J48" s="105"/>
      <c r="K48" s="255"/>
      <c r="L48" s="255"/>
    </row>
    <row r="49" spans="4:10" s="8" customFormat="1" ht="12.75" x14ac:dyDescent="0.2">
      <c r="F49" s="262"/>
      <c r="G49" s="105"/>
      <c r="H49" s="105"/>
      <c r="I49" s="105"/>
      <c r="J49" s="105"/>
    </row>
    <row r="50" spans="4:10" s="8" customFormat="1" ht="12.75" x14ac:dyDescent="0.2">
      <c r="F50" s="262"/>
      <c r="G50" s="262"/>
      <c r="H50" s="262"/>
      <c r="I50" s="262"/>
    </row>
    <row r="51" spans="4:10" s="8" customFormat="1" ht="12.75" x14ac:dyDescent="0.2"/>
    <row r="52" spans="4:10" s="8" customFormat="1" ht="12.75" x14ac:dyDescent="0.2"/>
    <row r="53" spans="4:10" s="8" customFormat="1" ht="12.75" x14ac:dyDescent="0.2">
      <c r="D53" s="243"/>
      <c r="E53" s="243"/>
      <c r="F53" s="243"/>
    </row>
    <row r="54" spans="4:10" s="8" customFormat="1" ht="12.75" x14ac:dyDescent="0.2">
      <c r="D54" s="243"/>
      <c r="E54" s="243"/>
      <c r="F54" s="243"/>
    </row>
    <row r="55" spans="4:10" s="8" customFormat="1" ht="12.75" hidden="1" x14ac:dyDescent="0.2">
      <c r="D55" s="243"/>
      <c r="E55" s="243"/>
      <c r="F55" s="243"/>
    </row>
    <row r="56" spans="4:10" s="8" customFormat="1" ht="12.75" hidden="1" x14ac:dyDescent="0.2"/>
    <row r="57" spans="4:10" s="8" customFormat="1" ht="12.75" hidden="1" x14ac:dyDescent="0.2"/>
    <row r="58" spans="4:10" s="8" customFormat="1" ht="12.75" hidden="1" x14ac:dyDescent="0.2"/>
    <row r="59" spans="4:10" s="8" customFormat="1" ht="12.75" hidden="1" x14ac:dyDescent="0.2"/>
    <row r="60" spans="4:10" s="8" customFormat="1" ht="12.75" hidden="1" x14ac:dyDescent="0.2"/>
    <row r="61" spans="4:10" s="8" customFormat="1" ht="12.75" hidden="1" x14ac:dyDescent="0.2"/>
    <row r="62" spans="4:10" s="8" customFormat="1" ht="12.75" hidden="1" x14ac:dyDescent="0.2"/>
    <row r="63" spans="4:10" s="8" customFormat="1" ht="12.75" hidden="1" x14ac:dyDescent="0.2"/>
    <row r="64" spans="4:10" s="8" customFormat="1" ht="12.75" hidden="1" x14ac:dyDescent="0.2"/>
    <row r="65" s="8" customFormat="1" ht="12.75" hidden="1" x14ac:dyDescent="0.2"/>
    <row r="66" s="8" customFormat="1" ht="12.75" hidden="1" x14ac:dyDescent="0.2"/>
    <row r="67" s="8" customFormat="1" ht="12.75" hidden="1" x14ac:dyDescent="0.2"/>
    <row r="68" s="8" customFormat="1" ht="12.75" hidden="1" x14ac:dyDescent="0.2"/>
    <row r="69" s="8" customFormat="1" ht="12.75" hidden="1" x14ac:dyDescent="0.2"/>
    <row r="70" s="8" customFormat="1" ht="12.75" hidden="1" x14ac:dyDescent="0.2"/>
    <row r="71" s="8" customFormat="1" ht="12.75" hidden="1" x14ac:dyDescent="0.2"/>
    <row r="72" s="8" customFormat="1" ht="12.75" hidden="1" x14ac:dyDescent="0.2"/>
    <row r="73" s="8" customFormat="1" ht="12.75" hidden="1" x14ac:dyDescent="0.2"/>
    <row r="74" s="8" customFormat="1" ht="12.75" hidden="1" x14ac:dyDescent="0.2"/>
    <row r="75" s="8" customFormat="1" ht="12.75" hidden="1" x14ac:dyDescent="0.2"/>
    <row r="76" s="8" customFormat="1" ht="12.75" hidden="1" x14ac:dyDescent="0.2"/>
    <row r="77" s="8" customFormat="1" ht="12.75" hidden="1" x14ac:dyDescent="0.2"/>
    <row r="78" s="8" customFormat="1" ht="12.75" hidden="1" x14ac:dyDescent="0.2"/>
    <row r="79" s="8" customFormat="1" ht="12.75" hidden="1" x14ac:dyDescent="0.2"/>
    <row r="80" s="8" customFormat="1" ht="12.75" hidden="1" x14ac:dyDescent="0.2"/>
    <row r="81" s="8" customFormat="1" ht="12.75" hidden="1" x14ac:dyDescent="0.2"/>
    <row r="82" s="8" customFormat="1" ht="12.75" hidden="1" x14ac:dyDescent="0.2"/>
    <row r="83" s="8" customFormat="1" ht="12.75" hidden="1" x14ac:dyDescent="0.2"/>
    <row r="84" s="8" customFormat="1" ht="12.75" hidden="1" x14ac:dyDescent="0.2"/>
    <row r="85" s="8" customFormat="1" ht="12.75" hidden="1" x14ac:dyDescent="0.2"/>
    <row r="86" s="8" customFormat="1" ht="12.75" hidden="1" x14ac:dyDescent="0.2"/>
    <row r="87" s="8" customFormat="1" ht="12.75" hidden="1" x14ac:dyDescent="0.2"/>
    <row r="88" s="8" customFormat="1" ht="12.75" hidden="1" x14ac:dyDescent="0.2"/>
    <row r="89" s="8" customFormat="1" ht="12.75" hidden="1" x14ac:dyDescent="0.2"/>
    <row r="90" s="8" customFormat="1" ht="12.75" hidden="1" x14ac:dyDescent="0.2"/>
    <row r="91" s="8" customFormat="1" ht="12.75" hidden="1" x14ac:dyDescent="0.2"/>
    <row r="92" s="8" customFormat="1" ht="12.75" hidden="1" x14ac:dyDescent="0.2"/>
    <row r="93" s="8" customFormat="1" ht="12.75" hidden="1" x14ac:dyDescent="0.2"/>
    <row r="94" s="8" customFormat="1" ht="12.75" hidden="1" x14ac:dyDescent="0.2"/>
    <row r="95" s="8" customFormat="1" ht="12.75" hidden="1" x14ac:dyDescent="0.2"/>
    <row r="9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MATCH(F$38,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F38:J38</xm:sqref>
        </x14:conditionalFormatting>
        <x14:conditionalFormatting xmlns:xm="http://schemas.microsoft.com/office/excel/2006/main">
          <x14:cfRule type="expression" priority="22" id="{6B3CD12B-2C7F-467C-B21A-8374D0C11F7F}">
            <xm:f>AND($C39&lt;&gt;0, F$38=$L39, Sensitivity_calcs!C$88=FALSE)</xm:f>
            <x14:dxf>
              <fill>
                <patternFill>
                  <bgColor rgb="FFCCFFFF"/>
                </patternFill>
              </fill>
            </x14:dxf>
          </x14:cfRule>
          <xm:sqref>F39 G39:J47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A3" sqref="A3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REFCL WIN compliance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45" t="s">
        <v>255</v>
      </c>
      <c r="F8" s="345"/>
      <c r="G8" s="345"/>
      <c r="H8" s="345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46" t="s">
        <v>58</v>
      </c>
      <c r="F14" s="346"/>
      <c r="G14" s="346"/>
      <c r="H14" s="346"/>
      <c r="I14" s="346"/>
      <c r="J14" s="346"/>
      <c r="K14" s="346"/>
      <c r="L14"/>
    </row>
    <row r="15" spans="1:16" s="1" customFormat="1" ht="12.75" customHeight="1" x14ac:dyDescent="0.2">
      <c r="C15" s="61" t="str">
        <v>Option 2</v>
      </c>
      <c r="D15" s="61"/>
      <c r="E15" s="347" t="s">
        <v>243</v>
      </c>
      <c r="F15" s="347"/>
      <c r="G15" s="347"/>
      <c r="H15" s="347"/>
      <c r="I15" s="347"/>
      <c r="J15" s="347"/>
      <c r="K15" s="347"/>
      <c r="L15"/>
    </row>
    <row r="16" spans="1:16" s="1" customFormat="1" ht="12.75" customHeight="1" x14ac:dyDescent="0.2">
      <c r="C16" s="61" t="str">
        <v>Option 3</v>
      </c>
      <c r="D16" s="61"/>
      <c r="E16" s="347" t="s">
        <v>244</v>
      </c>
      <c r="F16" s="347"/>
      <c r="G16" s="347"/>
      <c r="H16" s="347"/>
      <c r="I16" s="347"/>
      <c r="J16" s="347"/>
      <c r="K16" s="347"/>
      <c r="L16"/>
    </row>
    <row r="17" spans="1:16" s="1" customFormat="1" ht="12.75" customHeight="1" x14ac:dyDescent="0.2">
      <c r="C17" s="61" t="str">
        <v>Option 4</v>
      </c>
      <c r="D17" s="61"/>
      <c r="E17" s="347" t="s">
        <v>256</v>
      </c>
      <c r="F17" s="347"/>
      <c r="G17" s="347"/>
      <c r="H17" s="347"/>
      <c r="I17" s="347"/>
      <c r="J17" s="347"/>
      <c r="K17" s="347"/>
      <c r="L17"/>
    </row>
    <row r="18" spans="1:16" s="1" customFormat="1" ht="12.75" customHeight="1" x14ac:dyDescent="0.2">
      <c r="C18" s="61" t="str">
        <v>Option 5</v>
      </c>
      <c r="D18" s="61"/>
      <c r="E18" s="347" t="s">
        <v>245</v>
      </c>
      <c r="F18" s="347"/>
      <c r="G18" s="347"/>
      <c r="H18" s="347"/>
      <c r="I18" s="347"/>
      <c r="J18" s="347"/>
      <c r="K18" s="347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89" t="s">
        <v>221</v>
      </c>
      <c r="D20"/>
      <c r="E20" s="290" t="s">
        <v>223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234</v>
      </c>
      <c r="E22" s="295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180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181</v>
      </c>
      <c r="G28" s="301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2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194</v>
      </c>
      <c r="G31" s="303">
        <v>20</v>
      </c>
      <c r="H31" s="68" t="s">
        <v>195</v>
      </c>
    </row>
    <row r="32" spans="1:16" s="1" customFormat="1" x14ac:dyDescent="0.2"/>
    <row r="33" spans="1:20" s="1" customFormat="1" x14ac:dyDescent="0.2">
      <c r="C33" s="1" t="s">
        <v>32</v>
      </c>
      <c r="G33" s="304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0">
        <v>45291</v>
      </c>
      <c r="H34" s="68" t="s">
        <v>72</v>
      </c>
      <c r="J34" s="68"/>
    </row>
    <row r="35" spans="1:20" s="1" customFormat="1" ht="13.5" x14ac:dyDescent="0.25">
      <c r="C35" s="1" t="s">
        <v>236</v>
      </c>
      <c r="G35" s="302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241</v>
      </c>
      <c r="D41" s="239" t="s">
        <v>242</v>
      </c>
      <c r="E41" s="323" t="s">
        <v>258</v>
      </c>
      <c r="F41" s="324"/>
      <c r="G41" s="325" t="s">
        <v>259</v>
      </c>
      <c r="H41" s="336">
        <v>36385.072710298162</v>
      </c>
      <c r="I41" s="326" t="s">
        <v>213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148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172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147</v>
      </c>
      <c r="G50" s="305">
        <v>5400000</v>
      </c>
      <c r="H50" s="69">
        <v>45107</v>
      </c>
    </row>
    <row r="52" spans="3:8" x14ac:dyDescent="0.2">
      <c r="C52" s="8" t="s">
        <v>163</v>
      </c>
      <c r="G52" s="163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3">
        <f>Data!F85</f>
        <v>1</v>
      </c>
    </row>
    <row r="56" spans="3:8" x14ac:dyDescent="0.2">
      <c r="C56" s="8" t="str">
        <f>Data!B86</f>
        <v>Harm to property from bushfire</v>
      </c>
      <c r="G56" s="303">
        <f>Data!F86</f>
        <v>1</v>
      </c>
    </row>
    <row r="57" spans="3:8" x14ac:dyDescent="0.2">
      <c r="C57" s="8" t="str">
        <f>Data!B87</f>
        <v>Harm to environment</v>
      </c>
      <c r="G57" s="303">
        <f>Data!F87</f>
        <v>1</v>
      </c>
    </row>
    <row r="58" spans="3:8" x14ac:dyDescent="0.2">
      <c r="C58" s="8" t="str">
        <f>Data!B88</f>
        <v>Safety - Public trespass</v>
      </c>
      <c r="G58" s="303">
        <f>Data!F88</f>
        <v>1</v>
      </c>
    </row>
    <row r="59" spans="3:8" x14ac:dyDescent="0.2">
      <c r="C59" s="8" t="str">
        <f>Data!B89</f>
        <v>Safety - Single fatality or serious injury ^</v>
      </c>
      <c r="G59" s="303">
        <f>Data!F89</f>
        <v>3</v>
      </c>
    </row>
    <row r="60" spans="3:8" x14ac:dyDescent="0.2">
      <c r="C60" s="8" t="str">
        <f>Data!B90</f>
        <v>Safety from bushfire in HBRA</v>
      </c>
      <c r="G60" s="303">
        <f>Data!F90</f>
        <v>3</v>
      </c>
    </row>
    <row r="61" spans="3:8" x14ac:dyDescent="0.2">
      <c r="C61" s="8" t="str">
        <f>Data!B91</f>
        <v>Safety - Multiple fatality or serious injury ^</v>
      </c>
      <c r="G61" s="303">
        <f>Data!F91</f>
        <v>6</v>
      </c>
    </row>
    <row r="62" spans="3:8" x14ac:dyDescent="0.2">
      <c r="C62" s="8" t="str">
        <f>Data!B92</f>
        <v>Safety from bushfire (REFCL declared areas)</v>
      </c>
      <c r="G62" s="303">
        <f>Data!F92</f>
        <v>6</v>
      </c>
    </row>
    <row r="63" spans="3:8" x14ac:dyDescent="0.2">
      <c r="C63" s="8" t="str">
        <f>Data!B93</f>
        <v>Safety from bushfire (electric line construction areas)</v>
      </c>
      <c r="G63" s="303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179</v>
      </c>
      <c r="D69" s="59"/>
      <c r="E69" s="59"/>
      <c r="F69" s="59"/>
      <c r="G69" s="156" t="s">
        <v>68</v>
      </c>
      <c r="H69" s="156" t="s">
        <v>164</v>
      </c>
      <c r="I69" s="156" t="s">
        <v>178</v>
      </c>
      <c r="J69" s="155" t="s">
        <v>182</v>
      </c>
      <c r="K69" s="156"/>
      <c r="L69" s="156"/>
      <c r="M69" s="156"/>
    </row>
    <row r="70" spans="2:16" x14ac:dyDescent="0.2">
      <c r="C70" s="8" t="s">
        <v>165</v>
      </c>
      <c r="G70" s="157">
        <f>G50*INDEX(hy_escalation, MATCH(input_dollars,hy_dates,0))/INDEX(hy_escalation, MATCH(H50,hy_dates,0))</f>
        <v>5607473.5197347086</v>
      </c>
      <c r="H70" s="162">
        <v>0</v>
      </c>
      <c r="I70" s="164">
        <v>0</v>
      </c>
      <c r="J70" s="342">
        <v>0</v>
      </c>
      <c r="K70" s="343"/>
      <c r="L70" s="343"/>
      <c r="M70" s="344"/>
    </row>
    <row r="71" spans="2:16" x14ac:dyDescent="0.2">
      <c r="C71" s="8" t="s">
        <v>166</v>
      </c>
      <c r="G71" s="157">
        <f>G52*INDEX(hy_escalation, MATCH(input_dollars,hy_dates,0))/INDEX(hy_escalation, MATCH(H52,hy_dates,0))</f>
        <v>0</v>
      </c>
      <c r="H71" s="161">
        <v>0</v>
      </c>
      <c r="I71" s="164">
        <v>0</v>
      </c>
      <c r="J71" s="342">
        <v>0</v>
      </c>
      <c r="K71" s="343"/>
      <c r="L71" s="343"/>
      <c r="M71" s="344"/>
    </row>
    <row r="72" spans="2:16" x14ac:dyDescent="0.2">
      <c r="I72" s="160"/>
      <c r="M72"/>
    </row>
    <row r="73" spans="2:16" x14ac:dyDescent="0.2">
      <c r="G73" s="165"/>
    </row>
    <row r="74" spans="2:16" x14ac:dyDescent="0.2">
      <c r="C74" s="82"/>
    </row>
    <row r="77" spans="2:16" x14ac:dyDescent="0.2">
      <c r="B77" s="30" t="s">
        <v>173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167</v>
      </c>
      <c r="G78" s="153">
        <v>0</v>
      </c>
      <c r="H78" s="69">
        <f>input_dollars</f>
        <v>45291</v>
      </c>
    </row>
    <row r="79" spans="2:16" x14ac:dyDescent="0.2">
      <c r="C79" s="8" t="s">
        <v>168</v>
      </c>
      <c r="G79" s="153">
        <v>0</v>
      </c>
      <c r="H79" s="69">
        <f>input_dollars</f>
        <v>45291</v>
      </c>
    </row>
    <row r="81" spans="1:16" x14ac:dyDescent="0.2">
      <c r="C81" s="8" t="s">
        <v>169</v>
      </c>
      <c r="G81" s="158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174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6">
        <v>2.4730486797759084E-2</v>
      </c>
      <c r="L90" s="306">
        <v>2.2340740091772258E-2</v>
      </c>
      <c r="M90" s="306">
        <v>2.0196329122153123E-2</v>
      </c>
      <c r="N90" s="306">
        <v>1.806294207659629E-2</v>
      </c>
      <c r="O90" s="306">
        <v>1.5913397615084226E-2</v>
      </c>
      <c r="P90" s="306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175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5" cm="1">
        <f t="array" ref="G94:G101">INDEX(Data!$D$60:$F$67,,MATCH(bus,Data!$D$59:$F$59,0))</f>
        <v>151432.81740793545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5">
        <v>24590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5">
        <v>88.357719508603083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6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6">
        <v>0.35181336539087127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6">
        <v>0.35181336539087127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6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6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215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0"/>
      <c r="C110" s="297"/>
      <c r="D110" s="59"/>
      <c r="E110" s="298"/>
      <c r="F110" s="297"/>
      <c r="G110" s="297" t="s">
        <v>17</v>
      </c>
      <c r="H110" s="297" t="s">
        <v>237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6"/>
      <c r="G111" s="307">
        <v>0.1</v>
      </c>
      <c r="H111" s="307">
        <v>0</v>
      </c>
      <c r="I111" s="260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6"/>
      <c r="G112" s="307">
        <v>-0.1</v>
      </c>
      <c r="H112" s="307">
        <v>0</v>
      </c>
      <c r="I112" s="260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6"/>
      <c r="G113" s="308">
        <v>0</v>
      </c>
      <c r="H113" s="307">
        <v>0.1</v>
      </c>
      <c r="I113" s="260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6"/>
      <c r="G114" s="308">
        <v>0</v>
      </c>
      <c r="H114" s="307">
        <v>-0.1</v>
      </c>
      <c r="I114" s="260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6"/>
      <c r="G115" s="307">
        <v>0.1</v>
      </c>
      <c r="H115" s="307">
        <v>-0.1</v>
      </c>
      <c r="I115" s="260"/>
      <c r="J115"/>
      <c r="K115"/>
      <c r="L115"/>
      <c r="M115"/>
      <c r="N115"/>
      <c r="O115"/>
      <c r="P115"/>
    </row>
    <row r="116" spans="2:16" x14ac:dyDescent="0.2">
      <c r="E116" s="266"/>
      <c r="H116"/>
      <c r="I116"/>
      <c r="J116"/>
      <c r="K116"/>
      <c r="L116"/>
      <c r="M116"/>
      <c r="N116"/>
      <c r="O116"/>
      <c r="P116"/>
    </row>
    <row r="117" spans="2:16" x14ac:dyDescent="0.2">
      <c r="E117" s="259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WIN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141</v>
      </c>
      <c r="B3" s="5"/>
      <c r="C3" s="133"/>
      <c r="D3" s="94"/>
    </row>
    <row r="4" spans="1:43" x14ac:dyDescent="0.2">
      <c r="A4" s="166"/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0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59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0"/>
      <c r="B9" s="180"/>
      <c r="C9" s="180"/>
      <c r="D9" s="180"/>
      <c r="E9" s="180"/>
      <c r="F9" s="181"/>
      <c r="G9" s="180" t="s">
        <v>25</v>
      </c>
      <c r="H9" s="319">
        <f>DATE(LEFT(I9,4), 6,30)</f>
        <v>46203</v>
      </c>
      <c r="I9" s="182" t="str">
        <f>start</f>
        <v>2026-27</v>
      </c>
      <c r="J9" s="182" t="str">
        <f t="shared" ref="J9:AG9" si="1">LEFT(I9,4)+1&amp;"-"&amp;RIGHT(I9,2)+1</f>
        <v>2027-28</v>
      </c>
      <c r="K9" s="182" t="str">
        <f t="shared" si="1"/>
        <v>2028-29</v>
      </c>
      <c r="L9" s="182" t="str">
        <f t="shared" si="1"/>
        <v>2029-30</v>
      </c>
      <c r="M9" s="182" t="str">
        <f t="shared" si="1"/>
        <v>2030-31</v>
      </c>
      <c r="N9" s="182" t="str">
        <f t="shared" si="1"/>
        <v>2031-32</v>
      </c>
      <c r="O9" s="182" t="str">
        <f t="shared" si="1"/>
        <v>2032-33</v>
      </c>
      <c r="P9" s="182" t="str">
        <f t="shared" si="1"/>
        <v>2033-34</v>
      </c>
      <c r="Q9" s="182" t="str">
        <f t="shared" si="1"/>
        <v>2034-35</v>
      </c>
      <c r="R9" s="182" t="str">
        <f t="shared" si="1"/>
        <v>2035-36</v>
      </c>
      <c r="S9" s="182" t="str">
        <f t="shared" si="1"/>
        <v>2036-37</v>
      </c>
      <c r="T9" s="182" t="str">
        <f t="shared" si="1"/>
        <v>2037-38</v>
      </c>
      <c r="U9" s="182" t="str">
        <f t="shared" si="1"/>
        <v>2038-39</v>
      </c>
      <c r="V9" s="182" t="str">
        <f t="shared" si="1"/>
        <v>2039-40</v>
      </c>
      <c r="W9" s="182" t="str">
        <f t="shared" si="1"/>
        <v>2040-41</v>
      </c>
      <c r="X9" s="182" t="str">
        <f t="shared" si="1"/>
        <v>2041-42</v>
      </c>
      <c r="Y9" s="182" t="str">
        <f t="shared" si="1"/>
        <v>2042-43</v>
      </c>
      <c r="Z9" s="182" t="str">
        <f t="shared" si="1"/>
        <v>2043-44</v>
      </c>
      <c r="AA9" s="182" t="str">
        <f t="shared" si="1"/>
        <v>2044-45</v>
      </c>
      <c r="AB9" s="182" t="str">
        <f t="shared" si="1"/>
        <v>2045-46</v>
      </c>
      <c r="AC9" s="182" t="str">
        <f t="shared" si="1"/>
        <v>2046-47</v>
      </c>
      <c r="AD9" s="182" t="str">
        <f t="shared" si="1"/>
        <v>2047-48</v>
      </c>
      <c r="AE9" s="182" t="str">
        <f t="shared" si="1"/>
        <v>2048-49</v>
      </c>
      <c r="AF9" s="182" t="str">
        <f t="shared" si="1"/>
        <v>2049-50</v>
      </c>
      <c r="AG9" s="182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</row>
    <row r="13" spans="1:43" x14ac:dyDescent="0.2">
      <c r="C13" s="3" t="s">
        <v>17</v>
      </c>
      <c r="D13"/>
      <c r="E13" s="126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7">
        <v>0</v>
      </c>
      <c r="G14" s="206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6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4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7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7"/>
      <c r="H24" s="111"/>
      <c r="I24" s="135">
        <v>0</v>
      </c>
      <c r="J24" s="135">
        <v>0</v>
      </c>
      <c r="K24" s="135">
        <v>0</v>
      </c>
      <c r="L24" s="135">
        <v>0</v>
      </c>
      <c r="M24" s="135">
        <v>0</v>
      </c>
      <c r="N24" s="135">
        <v>0</v>
      </c>
      <c r="O24" s="135">
        <v>0</v>
      </c>
      <c r="P24" s="135">
        <v>0</v>
      </c>
      <c r="Q24" s="135">
        <v>0</v>
      </c>
      <c r="R24" s="135">
        <v>0</v>
      </c>
      <c r="S24" s="135">
        <v>0</v>
      </c>
      <c r="T24" s="135">
        <v>0</v>
      </c>
      <c r="U24" s="135">
        <v>0</v>
      </c>
      <c r="V24" s="135">
        <v>0</v>
      </c>
      <c r="W24" s="135">
        <v>0</v>
      </c>
      <c r="X24" s="135">
        <v>0</v>
      </c>
      <c r="Y24" s="135">
        <v>0</v>
      </c>
      <c r="Z24" s="135">
        <v>0</v>
      </c>
      <c r="AA24" s="135">
        <v>0</v>
      </c>
      <c r="AB24" s="135">
        <v>0</v>
      </c>
      <c r="AC24" s="135">
        <v>0</v>
      </c>
      <c r="AD24" s="135">
        <v>0</v>
      </c>
      <c r="AE24" s="135">
        <v>0</v>
      </c>
      <c r="AF24" s="135">
        <v>0</v>
      </c>
      <c r="AG24" s="135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7"/>
      <c r="E25" s="111"/>
      <c r="F25" s="111"/>
      <c r="G25" s="207"/>
      <c r="H25" s="111"/>
      <c r="I25" s="135">
        <v>0</v>
      </c>
      <c r="J25" s="135">
        <v>0</v>
      </c>
      <c r="K25" s="135">
        <v>0</v>
      </c>
      <c r="L25" s="135">
        <v>0</v>
      </c>
      <c r="M25" s="135">
        <v>0</v>
      </c>
      <c r="N25" s="135">
        <v>0</v>
      </c>
      <c r="O25" s="135">
        <v>0</v>
      </c>
      <c r="P25" s="135">
        <v>0</v>
      </c>
      <c r="Q25" s="135">
        <v>0</v>
      </c>
      <c r="R25" s="135">
        <v>0</v>
      </c>
      <c r="S25" s="135">
        <v>0</v>
      </c>
      <c r="T25" s="135">
        <v>0</v>
      </c>
      <c r="U25" s="135">
        <v>0</v>
      </c>
      <c r="V25" s="135">
        <v>0</v>
      </c>
      <c r="W25" s="135">
        <v>0</v>
      </c>
      <c r="X25" s="135">
        <v>0</v>
      </c>
      <c r="Y25" s="135">
        <v>0</v>
      </c>
      <c r="Z25" s="135">
        <v>0</v>
      </c>
      <c r="AA25" s="135">
        <v>0</v>
      </c>
      <c r="AB25" s="135">
        <v>0</v>
      </c>
      <c r="AC25" s="135">
        <v>0</v>
      </c>
      <c r="AD25" s="135">
        <v>0</v>
      </c>
      <c r="AE25" s="135">
        <v>0</v>
      </c>
      <c r="AF25" s="135">
        <v>0</v>
      </c>
      <c r="AG25" s="135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7"/>
      <c r="E26" s="111"/>
      <c r="F26" s="111"/>
      <c r="G26" s="207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3">
        <f>Assumptions!H41*vcr_esc</f>
        <v>36385.072710298162</v>
      </c>
      <c r="F28" s="237" t="str">
        <f>IF(AND(SUM(I27:AG27)&lt;&gt;0, E28=0), "!", "")</f>
        <v/>
      </c>
      <c r="G28" s="206">
        <f>input_dollars</f>
        <v>45291</v>
      </c>
      <c r="H28"/>
      <c r="I28" s="119">
        <f>I27*$E$28</f>
        <v>0</v>
      </c>
      <c r="J28" s="119">
        <f t="shared" ref="J28:AG28" si="3">J27*$E$28</f>
        <v>0</v>
      </c>
      <c r="K28" s="119">
        <f t="shared" si="3"/>
        <v>0</v>
      </c>
      <c r="L28" s="119">
        <f t="shared" si="3"/>
        <v>0</v>
      </c>
      <c r="M28" s="119">
        <f t="shared" si="3"/>
        <v>0</v>
      </c>
      <c r="N28" s="119">
        <f t="shared" si="3"/>
        <v>0</v>
      </c>
      <c r="O28" s="119">
        <f t="shared" si="3"/>
        <v>0</v>
      </c>
      <c r="P28" s="119">
        <f t="shared" si="3"/>
        <v>0</v>
      </c>
      <c r="Q28" s="119">
        <f t="shared" si="3"/>
        <v>0</v>
      </c>
      <c r="R28" s="119">
        <f t="shared" si="3"/>
        <v>0</v>
      </c>
      <c r="S28" s="119">
        <f t="shared" si="3"/>
        <v>0</v>
      </c>
      <c r="T28" s="119">
        <f t="shared" si="3"/>
        <v>0</v>
      </c>
      <c r="U28" s="119">
        <f t="shared" si="3"/>
        <v>0</v>
      </c>
      <c r="V28" s="119">
        <f t="shared" si="3"/>
        <v>0</v>
      </c>
      <c r="W28" s="119">
        <f t="shared" si="3"/>
        <v>0</v>
      </c>
      <c r="X28" s="119">
        <f t="shared" si="3"/>
        <v>0</v>
      </c>
      <c r="Y28" s="119">
        <f t="shared" si="3"/>
        <v>0</v>
      </c>
      <c r="Z28" s="119">
        <f t="shared" si="3"/>
        <v>0</v>
      </c>
      <c r="AA28" s="119">
        <f t="shared" si="3"/>
        <v>0</v>
      </c>
      <c r="AB28" s="119">
        <f t="shared" si="3"/>
        <v>0</v>
      </c>
      <c r="AC28" s="119">
        <f t="shared" si="3"/>
        <v>0</v>
      </c>
      <c r="AD28" s="119">
        <f t="shared" si="3"/>
        <v>0</v>
      </c>
      <c r="AE28" s="119">
        <f t="shared" si="3"/>
        <v>0</v>
      </c>
      <c r="AF28" s="119">
        <f t="shared" si="3"/>
        <v>0</v>
      </c>
      <c r="AG28" s="119">
        <f t="shared" si="3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4" t="s">
        <v>206</v>
      </c>
      <c r="G30" s="206">
        <f>input_dollars</f>
        <v>45291</v>
      </c>
      <c r="H30" s="148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5"/>
      <c r="E31"/>
      <c r="G31" s="206">
        <f>input_dollars</f>
        <v>45291</v>
      </c>
      <c r="H31" s="148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4" t="s">
        <v>206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3" t="s">
        <v>252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35">
        <f>Workings_risks!$H$8</f>
        <v>10000000</v>
      </c>
      <c r="L33" s="335">
        <f>Workings_risks!$H$12</f>
        <v>2007500</v>
      </c>
      <c r="M33" s="335">
        <f>Workings_risks!$H$12</f>
        <v>2007500</v>
      </c>
      <c r="N33" s="335">
        <f>Workings_risks!$H$12</f>
        <v>2007500</v>
      </c>
      <c r="O33" s="32">
        <f>Workings_risks!$H$12</f>
        <v>2007500</v>
      </c>
      <c r="P33" s="32">
        <f>Workings_risks!$H$12</f>
        <v>2007500</v>
      </c>
      <c r="Q33" s="32">
        <f>Workings_risks!$H$12</f>
        <v>2007500</v>
      </c>
      <c r="R33" s="32">
        <f>Workings_risks!$H$12</f>
        <v>2007500</v>
      </c>
      <c r="S33" s="32">
        <f>Workings_risks!$H$12</f>
        <v>2007500</v>
      </c>
      <c r="T33" s="32">
        <f>Workings_risks!$H$12</f>
        <v>2007500</v>
      </c>
      <c r="U33" s="32">
        <f>Workings_risks!$H$12</f>
        <v>2007500</v>
      </c>
      <c r="V33" s="32">
        <f>Workings_risks!$H$12</f>
        <v>2007500</v>
      </c>
      <c r="W33" s="32">
        <f>Workings_risks!$H$12</f>
        <v>2007500</v>
      </c>
      <c r="X33" s="32">
        <f>Workings_risks!$H$12</f>
        <v>2007500</v>
      </c>
      <c r="Y33" s="32">
        <f>Workings_risks!$H$12</f>
        <v>2007500</v>
      </c>
      <c r="Z33" s="32">
        <f>Workings_risks!$H$12</f>
        <v>2007500</v>
      </c>
      <c r="AA33" s="32">
        <f>Workings_risks!$H$12</f>
        <v>2007500</v>
      </c>
      <c r="AB33" s="32">
        <f>Workings_risks!$H$12</f>
        <v>2007500</v>
      </c>
      <c r="AC33" s="32">
        <f>Workings_risks!$H$12</f>
        <v>2007500</v>
      </c>
      <c r="AD33" s="32">
        <f>Workings_risks!$H$12</f>
        <v>2007500</v>
      </c>
      <c r="AE33" s="32">
        <f>Workings_risks!$H$12</f>
        <v>2007500</v>
      </c>
      <c r="AF33" s="32">
        <f>Workings_risks!$H$12</f>
        <v>2007500</v>
      </c>
      <c r="AG33" s="32">
        <f>Workings_risks!$H$12</f>
        <v>2007500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171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7"/>
      <c r="E36" s="107"/>
      <c r="F36" s="3"/>
      <c r="G36" s="208"/>
      <c r="H36" s="107"/>
      <c r="I36" s="106">
        <f>SUM(I28:I34)</f>
        <v>0</v>
      </c>
      <c r="J36" s="106">
        <f t="shared" ref="J36:AB36" si="4">SUM(J28:J34)</f>
        <v>0</v>
      </c>
      <c r="K36" s="106">
        <f t="shared" si="4"/>
        <v>10000000</v>
      </c>
      <c r="L36" s="106">
        <f t="shared" si="4"/>
        <v>2007500</v>
      </c>
      <c r="M36" s="106">
        <f t="shared" si="4"/>
        <v>2007500</v>
      </c>
      <c r="N36" s="106">
        <f t="shared" si="4"/>
        <v>2007500</v>
      </c>
      <c r="O36" s="106">
        <f t="shared" si="4"/>
        <v>2007500</v>
      </c>
      <c r="P36" s="106">
        <f t="shared" si="4"/>
        <v>2007500</v>
      </c>
      <c r="Q36" s="106">
        <f t="shared" si="4"/>
        <v>2007500</v>
      </c>
      <c r="R36" s="106">
        <f t="shared" si="4"/>
        <v>2007500</v>
      </c>
      <c r="S36" s="106">
        <f t="shared" si="4"/>
        <v>2007500</v>
      </c>
      <c r="T36" s="106">
        <f t="shared" si="4"/>
        <v>2007500</v>
      </c>
      <c r="U36" s="106">
        <f t="shared" si="4"/>
        <v>2007500</v>
      </c>
      <c r="V36" s="106">
        <f t="shared" si="4"/>
        <v>2007500</v>
      </c>
      <c r="W36" s="106">
        <f t="shared" si="4"/>
        <v>2007500</v>
      </c>
      <c r="X36" s="106">
        <f t="shared" si="4"/>
        <v>2007500</v>
      </c>
      <c r="Y36" s="106">
        <f t="shared" si="4"/>
        <v>2007500</v>
      </c>
      <c r="Z36" s="106">
        <f t="shared" si="4"/>
        <v>2007500</v>
      </c>
      <c r="AA36" s="106">
        <f t="shared" si="4"/>
        <v>2007500</v>
      </c>
      <c r="AB36" s="106">
        <f t="shared" si="4"/>
        <v>2007500</v>
      </c>
      <c r="AC36" s="106">
        <f>SUM(AC28:AC34)</f>
        <v>2007500</v>
      </c>
      <c r="AD36" s="106">
        <f>SUM(AD28:AD34)</f>
        <v>2007500</v>
      </c>
      <c r="AE36" s="106">
        <f>SUM(AE28:AE34)</f>
        <v>2007500</v>
      </c>
      <c r="AF36" s="106">
        <f>SUM(AF28:AF34)</f>
        <v>2007500</v>
      </c>
      <c r="AG36" s="106">
        <f>SUM(AG28:AG34)</f>
        <v>2007500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4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3">
        <f>Assumptions!G94</f>
        <v>151432.81740793545</v>
      </c>
      <c r="G45" s="206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4" t="s">
        <v>63</v>
      </c>
      <c r="E46" s="113">
        <f>Assumptions!G95</f>
        <v>24590</v>
      </c>
      <c r="G46" s="206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4" t="s">
        <v>63</v>
      </c>
      <c r="E47" s="112">
        <f>Assumptions!G96</f>
        <v>88.357719508603083</v>
      </c>
      <c r="G47" s="206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4" t="s">
        <v>126</v>
      </c>
      <c r="E48" s="112">
        <f>Assumptions!G97</f>
        <v>0</v>
      </c>
      <c r="G48" s="206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201</v>
      </c>
      <c r="D49" s="204" t="s">
        <v>204</v>
      </c>
      <c r="E49" s="112">
        <f>Assumptions!G98</f>
        <v>0.35181336539087127</v>
      </c>
      <c r="G49" s="206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202</v>
      </c>
      <c r="D50" s="204" t="s">
        <v>204</v>
      </c>
      <c r="E50" s="112">
        <f>Assumptions!G99</f>
        <v>0.35181336539087127</v>
      </c>
      <c r="G50" s="206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4" t="s">
        <v>126</v>
      </c>
      <c r="E51" s="112">
        <f>Assumptions!G100</f>
        <v>0</v>
      </c>
      <c r="G51" s="206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4" t="s">
        <v>126</v>
      </c>
      <c r="E52" s="112">
        <f>Assumptions!G101</f>
        <v>0</v>
      </c>
      <c r="G52" s="206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7"/>
      <c r="F57" s="3"/>
      <c r="G57" s="209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7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1"/>
    </row>
    <row r="64" spans="1:43" x14ac:dyDescent="0.2">
      <c r="C64" s="4" t="s">
        <v>121</v>
      </c>
      <c r="G64" s="209">
        <f>input_dollars</f>
        <v>45291</v>
      </c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8"/>
      <c r="F66" s="97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09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09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09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3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6" t="s">
        <v>155</v>
      </c>
      <c r="D71" s="38"/>
      <c r="F71" s="97"/>
      <c r="G71" s="212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09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09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09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3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6" t="s">
        <v>91</v>
      </c>
      <c r="D76" s="38"/>
      <c r="F76" s="97"/>
      <c r="G76" s="212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09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09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09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1" t="s">
        <v>156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2">SUM(J77:J79)</f>
        <v>0</v>
      </c>
      <c r="K80" s="175">
        <f t="shared" si="12"/>
        <v>0</v>
      </c>
      <c r="L80" s="175">
        <f t="shared" si="12"/>
        <v>0</v>
      </c>
      <c r="M80" s="175">
        <f t="shared" si="12"/>
        <v>0</v>
      </c>
      <c r="N80" s="175">
        <f t="shared" si="12"/>
        <v>0</v>
      </c>
      <c r="O80" s="175">
        <f t="shared" si="12"/>
        <v>0</v>
      </c>
      <c r="P80" s="175">
        <f t="shared" si="12"/>
        <v>0</v>
      </c>
      <c r="Q80" s="175">
        <f t="shared" si="12"/>
        <v>0</v>
      </c>
      <c r="R80" s="175">
        <f t="shared" si="12"/>
        <v>0</v>
      </c>
      <c r="S80" s="175">
        <f t="shared" si="12"/>
        <v>0</v>
      </c>
      <c r="T80" s="175">
        <f t="shared" si="12"/>
        <v>0</v>
      </c>
      <c r="U80" s="175">
        <f t="shared" si="12"/>
        <v>0</v>
      </c>
      <c r="V80" s="175">
        <f t="shared" si="12"/>
        <v>0</v>
      </c>
      <c r="W80" s="175">
        <f t="shared" si="12"/>
        <v>0</v>
      </c>
      <c r="X80" s="175">
        <f t="shared" si="12"/>
        <v>0</v>
      </c>
      <c r="Y80" s="175">
        <f t="shared" si="12"/>
        <v>0</v>
      </c>
      <c r="Z80" s="175">
        <f t="shared" si="12"/>
        <v>0</v>
      </c>
      <c r="AA80" s="175">
        <f t="shared" si="12"/>
        <v>0</v>
      </c>
      <c r="AB80" s="175">
        <f t="shared" si="12"/>
        <v>0</v>
      </c>
      <c r="AC80" s="175">
        <f>SUM(AC77:AC79)</f>
        <v>0</v>
      </c>
      <c r="AD80" s="175">
        <f>SUM(AD77:AD79)</f>
        <v>0</v>
      </c>
      <c r="AE80" s="175">
        <f>SUM(AE77:AE79)</f>
        <v>0</v>
      </c>
      <c r="AF80" s="175">
        <f>SUM(AF77:AF79)</f>
        <v>0</v>
      </c>
      <c r="AG80" s="175">
        <f>SUM(AG77:AG79)</f>
        <v>0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09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09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139</v>
      </c>
      <c r="D84" s="38"/>
      <c r="F84" s="97"/>
      <c r="G84" s="209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09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9" t="s">
        <v>186</v>
      </c>
      <c r="D87" s="177"/>
      <c r="E87" s="172"/>
      <c r="F87" s="178"/>
      <c r="G87" s="214">
        <f t="shared" si="13"/>
        <v>45291</v>
      </c>
      <c r="H87" s="178"/>
      <c r="I87" s="178">
        <f t="shared" ref="I87:AB87" si="18">SUM(I82:I86)</f>
        <v>0</v>
      </c>
      <c r="J87" s="178">
        <f t="shared" si="18"/>
        <v>0</v>
      </c>
      <c r="K87" s="178">
        <f t="shared" si="18"/>
        <v>0</v>
      </c>
      <c r="L87" s="178">
        <f t="shared" si="18"/>
        <v>0</v>
      </c>
      <c r="M87" s="178">
        <f t="shared" si="18"/>
        <v>0</v>
      </c>
      <c r="N87" s="178">
        <f t="shared" si="18"/>
        <v>0</v>
      </c>
      <c r="O87" s="178">
        <f t="shared" si="18"/>
        <v>0</v>
      </c>
      <c r="P87" s="178">
        <f t="shared" si="18"/>
        <v>0</v>
      </c>
      <c r="Q87" s="178">
        <f t="shared" si="18"/>
        <v>0</v>
      </c>
      <c r="R87" s="178">
        <f t="shared" si="18"/>
        <v>0</v>
      </c>
      <c r="S87" s="178">
        <f t="shared" si="18"/>
        <v>0</v>
      </c>
      <c r="T87" s="178">
        <f t="shared" si="18"/>
        <v>0</v>
      </c>
      <c r="U87" s="178">
        <f t="shared" si="18"/>
        <v>0</v>
      </c>
      <c r="V87" s="178">
        <f t="shared" si="18"/>
        <v>0</v>
      </c>
      <c r="W87" s="178">
        <f t="shared" si="18"/>
        <v>0</v>
      </c>
      <c r="X87" s="178">
        <f t="shared" si="18"/>
        <v>0</v>
      </c>
      <c r="Y87" s="178">
        <f t="shared" si="18"/>
        <v>0</v>
      </c>
      <c r="Z87" s="178">
        <f t="shared" si="18"/>
        <v>0</v>
      </c>
      <c r="AA87" s="178">
        <f t="shared" si="18"/>
        <v>0</v>
      </c>
      <c r="AB87" s="178">
        <f t="shared" si="18"/>
        <v>0</v>
      </c>
      <c r="AC87" s="178">
        <f>SUM(AC82:AC86)</f>
        <v>0</v>
      </c>
      <c r="AD87" s="178">
        <f>SUM(AD82:AD86)</f>
        <v>0</v>
      </c>
      <c r="AE87" s="178">
        <f>SUM(AE82:AE86)</f>
        <v>0</v>
      </c>
      <c r="AF87" s="178">
        <f>SUM(AF82:AF86)</f>
        <v>0</v>
      </c>
      <c r="AG87" s="178">
        <f>SUM(AG82:AG86)</f>
        <v>0</v>
      </c>
    </row>
    <row r="88" spans="1:33" x14ac:dyDescent="0.2">
      <c r="A88" s="8"/>
      <c r="B88" s="8"/>
      <c r="C88" s="75"/>
      <c r="D88" s="137"/>
      <c r="E88" s="64"/>
      <c r="F88" s="139"/>
      <c r="G88" s="216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7"/>
      <c r="E89" s="64"/>
      <c r="F89" s="139"/>
      <c r="G89" s="216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29"/>
      <c r="D90" s="82"/>
      <c r="E90" s="230"/>
      <c r="F90" s="231"/>
      <c r="G90" s="230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0"/>
      <c r="D91" s="230"/>
      <c r="E91" s="230"/>
      <c r="F91" s="230"/>
      <c r="G91" s="230"/>
    </row>
    <row r="92" spans="1:33" x14ac:dyDescent="0.2">
      <c r="C92" s="230"/>
      <c r="D92" s="230"/>
      <c r="E92" s="230"/>
      <c r="F92" s="230"/>
      <c r="G92" s="230"/>
    </row>
    <row r="94" spans="1:33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E105"/>
      <c r="F105"/>
      <c r="G105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237</v>
      </c>
      <c r="D108" s="251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WIN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130</v>
      </c>
      <c r="B3" s="5"/>
      <c r="C3" s="199" t="str">
        <f>INDEX(Assumptions!$E$14:$E$18, MATCH(A3,_xlfn.ANCHORARRAY( Assumptions!$C$14),0))</f>
        <v>Isolating substations</v>
      </c>
    </row>
    <row r="4" spans="1:43" x14ac:dyDescent="0.2">
      <c r="A4" s="200" t="str">
        <f>(INDEX(Data!$D$9:$D$13, MATCH(A3, options,0)))</f>
        <v/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59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</row>
    <row r="13" spans="1:43" x14ac:dyDescent="0.2">
      <c r="C13" s="3" t="s">
        <v>17</v>
      </c>
      <c r="D13"/>
      <c r="E13" s="126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257</v>
      </c>
      <c r="D14"/>
      <c r="E14" s="147">
        <v>50</v>
      </c>
      <c r="G14" s="206">
        <f>input_dollars</f>
        <v>45291</v>
      </c>
      <c r="H14" s="148"/>
      <c r="I14" s="32">
        <v>1920000</v>
      </c>
      <c r="J14" s="32">
        <v>2880000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6">
        <f>input_dollars</f>
        <v>45291</v>
      </c>
      <c r="H17" s="107"/>
      <c r="I17" s="106">
        <f t="shared" ref="I17:Q17" si="0">SUM(I14:I16)</f>
        <v>1920000</v>
      </c>
      <c r="J17" s="106">
        <f t="shared" si="0"/>
        <v>2880000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6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4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7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7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7"/>
      <c r="E25" s="111"/>
      <c r="F25" s="111"/>
      <c r="G25" s="207"/>
      <c r="H25" s="111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7"/>
      <c r="E26" s="111"/>
      <c r="F26" s="111"/>
      <c r="G26" s="207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3">
        <f>Assumptions!H41*vcr_esc</f>
        <v>36385.072710298162</v>
      </c>
      <c r="F28" s="237" t="str">
        <f>IF(AND(SUM(I27:AG27)&lt;&gt;0, E28=0), "!", "")</f>
        <v/>
      </c>
      <c r="G28" s="206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4" t="s">
        <v>206</v>
      </c>
      <c r="G30" s="206">
        <f>input_dollars</f>
        <v>45291</v>
      </c>
      <c r="H30" s="148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5"/>
      <c r="E31"/>
      <c r="G31" s="206">
        <f>input_dollars</f>
        <v>45291</v>
      </c>
      <c r="H31" s="148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4" t="s">
        <v>206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171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171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7"/>
      <c r="E36" s="107"/>
      <c r="F36" s="3"/>
      <c r="G36" s="208"/>
      <c r="H36" s="107"/>
      <c r="I36" s="169">
        <f>SUM(I28:I34)</f>
        <v>0</v>
      </c>
      <c r="J36" s="169">
        <f t="shared" ref="J36:AG36" si="3">SUM(J28:J34)</f>
        <v>0</v>
      </c>
      <c r="K36" s="169">
        <f t="shared" si="3"/>
        <v>0</v>
      </c>
      <c r="L36" s="169">
        <f t="shared" si="3"/>
        <v>0</v>
      </c>
      <c r="M36" s="169">
        <f t="shared" si="3"/>
        <v>0</v>
      </c>
      <c r="N36" s="169">
        <f t="shared" si="3"/>
        <v>0</v>
      </c>
      <c r="O36" s="169">
        <f t="shared" si="3"/>
        <v>0</v>
      </c>
      <c r="P36" s="169">
        <f t="shared" si="3"/>
        <v>0</v>
      </c>
      <c r="Q36" s="169">
        <f t="shared" si="3"/>
        <v>0</v>
      </c>
      <c r="R36" s="169">
        <f t="shared" si="3"/>
        <v>0</v>
      </c>
      <c r="S36" s="169">
        <f t="shared" si="3"/>
        <v>0</v>
      </c>
      <c r="T36" s="169">
        <f t="shared" si="3"/>
        <v>0</v>
      </c>
      <c r="U36" s="169">
        <f t="shared" si="3"/>
        <v>0</v>
      </c>
      <c r="V36" s="169">
        <f t="shared" si="3"/>
        <v>0</v>
      </c>
      <c r="W36" s="169">
        <f t="shared" si="3"/>
        <v>0</v>
      </c>
      <c r="X36" s="169">
        <f t="shared" si="3"/>
        <v>0</v>
      </c>
      <c r="Y36" s="169">
        <f t="shared" si="3"/>
        <v>0</v>
      </c>
      <c r="Z36" s="169">
        <f t="shared" si="3"/>
        <v>0</v>
      </c>
      <c r="AA36" s="169">
        <f t="shared" si="3"/>
        <v>0</v>
      </c>
      <c r="AB36" s="169">
        <f t="shared" si="3"/>
        <v>0</v>
      </c>
      <c r="AC36" s="169">
        <f t="shared" si="3"/>
        <v>0</v>
      </c>
      <c r="AD36" s="169">
        <f t="shared" si="3"/>
        <v>0</v>
      </c>
      <c r="AE36" s="169">
        <f t="shared" si="3"/>
        <v>0</v>
      </c>
      <c r="AF36" s="169">
        <f t="shared" si="3"/>
        <v>0</v>
      </c>
      <c r="AG36" s="169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4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3">
        <f>Assumptions!G94</f>
        <v>151432.81740793545</v>
      </c>
      <c r="G45" s="206" t="s">
        <v>40</v>
      </c>
      <c r="I45" s="321">
        <v>0</v>
      </c>
      <c r="J45" s="321">
        <v>0</v>
      </c>
      <c r="K45" s="321">
        <v>0</v>
      </c>
      <c r="L45" s="321">
        <v>0</v>
      </c>
      <c r="M45" s="321">
        <v>0</v>
      </c>
      <c r="N45" s="321">
        <v>0</v>
      </c>
      <c r="O45" s="321">
        <v>0</v>
      </c>
      <c r="P45" s="321">
        <v>0</v>
      </c>
      <c r="Q45" s="321">
        <v>0</v>
      </c>
      <c r="R45" s="321">
        <v>0</v>
      </c>
      <c r="S45" s="321">
        <v>0</v>
      </c>
      <c r="T45" s="321">
        <v>0</v>
      </c>
      <c r="U45" s="321">
        <v>0</v>
      </c>
      <c r="V45" s="321">
        <v>0</v>
      </c>
      <c r="W45" s="321">
        <v>0</v>
      </c>
      <c r="X45" s="321">
        <v>0</v>
      </c>
      <c r="Y45" s="321">
        <v>0</v>
      </c>
      <c r="Z45" s="321">
        <v>0</v>
      </c>
      <c r="AA45" s="321">
        <v>0</v>
      </c>
      <c r="AB45" s="321">
        <v>0</v>
      </c>
      <c r="AC45" s="321">
        <v>0</v>
      </c>
      <c r="AD45" s="321">
        <v>0</v>
      </c>
      <c r="AE45" s="321">
        <v>0</v>
      </c>
      <c r="AF45" s="321">
        <v>0</v>
      </c>
      <c r="AG45" s="321">
        <v>0</v>
      </c>
    </row>
    <row r="46" spans="1:16372" x14ac:dyDescent="0.2">
      <c r="C46" s="1" t="s">
        <v>4</v>
      </c>
      <c r="D46" s="204" t="s">
        <v>63</v>
      </c>
      <c r="E46" s="113">
        <f>Assumptions!G95</f>
        <v>24590</v>
      </c>
      <c r="G46" s="206" t="s">
        <v>40</v>
      </c>
      <c r="I46" s="321">
        <v>0</v>
      </c>
      <c r="J46" s="321">
        <v>0</v>
      </c>
      <c r="K46" s="321">
        <v>0</v>
      </c>
      <c r="L46" s="321">
        <v>0</v>
      </c>
      <c r="M46" s="321">
        <v>0</v>
      </c>
      <c r="N46" s="321">
        <v>0</v>
      </c>
      <c r="O46" s="321">
        <v>0</v>
      </c>
      <c r="P46" s="321">
        <v>0</v>
      </c>
      <c r="Q46" s="321">
        <v>0</v>
      </c>
      <c r="R46" s="321">
        <v>0</v>
      </c>
      <c r="S46" s="321">
        <v>0</v>
      </c>
      <c r="T46" s="321">
        <v>0</v>
      </c>
      <c r="U46" s="321">
        <v>0</v>
      </c>
      <c r="V46" s="321">
        <v>0</v>
      </c>
      <c r="W46" s="321">
        <v>0</v>
      </c>
      <c r="X46" s="321">
        <v>0</v>
      </c>
      <c r="Y46" s="321">
        <v>0</v>
      </c>
      <c r="Z46" s="321">
        <v>0</v>
      </c>
      <c r="AA46" s="321">
        <v>0</v>
      </c>
      <c r="AB46" s="321">
        <v>0</v>
      </c>
      <c r="AC46" s="321">
        <v>0</v>
      </c>
      <c r="AD46" s="321">
        <v>0</v>
      </c>
      <c r="AE46" s="321">
        <v>0</v>
      </c>
      <c r="AF46" s="321">
        <v>0</v>
      </c>
      <c r="AG46" s="321">
        <v>0</v>
      </c>
    </row>
    <row r="47" spans="1:16372" x14ac:dyDescent="0.2">
      <c r="C47" s="1" t="s">
        <v>5</v>
      </c>
      <c r="D47" s="204" t="s">
        <v>63</v>
      </c>
      <c r="E47" s="113">
        <f>Assumptions!G96</f>
        <v>88.357719508603083</v>
      </c>
      <c r="G47" s="206" t="s">
        <v>40</v>
      </c>
      <c r="I47" s="321">
        <v>0</v>
      </c>
      <c r="J47" s="321">
        <v>0</v>
      </c>
      <c r="K47" s="321">
        <v>0</v>
      </c>
      <c r="L47" s="321">
        <v>0</v>
      </c>
      <c r="M47" s="321">
        <v>0</v>
      </c>
      <c r="N47" s="321">
        <v>0</v>
      </c>
      <c r="O47" s="321">
        <v>0</v>
      </c>
      <c r="P47" s="321">
        <v>0</v>
      </c>
      <c r="Q47" s="321">
        <v>0</v>
      </c>
      <c r="R47" s="321">
        <v>0</v>
      </c>
      <c r="S47" s="321">
        <v>0</v>
      </c>
      <c r="T47" s="321">
        <v>0</v>
      </c>
      <c r="U47" s="321">
        <v>0</v>
      </c>
      <c r="V47" s="321">
        <v>0</v>
      </c>
      <c r="W47" s="321">
        <v>0</v>
      </c>
      <c r="X47" s="321">
        <v>0</v>
      </c>
      <c r="Y47" s="321">
        <v>0</v>
      </c>
      <c r="Z47" s="321">
        <v>0</v>
      </c>
      <c r="AA47" s="321">
        <v>0</v>
      </c>
      <c r="AB47" s="321">
        <v>0</v>
      </c>
      <c r="AC47" s="321">
        <v>0</v>
      </c>
      <c r="AD47" s="321">
        <v>0</v>
      </c>
      <c r="AE47" s="321">
        <v>0</v>
      </c>
      <c r="AF47" s="321">
        <v>0</v>
      </c>
      <c r="AG47" s="321">
        <v>0</v>
      </c>
    </row>
    <row r="48" spans="1:16372" x14ac:dyDescent="0.2">
      <c r="C48" s="1" t="s">
        <v>15</v>
      </c>
      <c r="D48" s="204" t="s">
        <v>126</v>
      </c>
      <c r="E48" s="112">
        <f>Assumptions!G97</f>
        <v>0</v>
      </c>
      <c r="G48" s="206" t="s">
        <v>203</v>
      </c>
      <c r="I48" s="321">
        <v>0</v>
      </c>
      <c r="J48" s="321">
        <v>0</v>
      </c>
      <c r="K48" s="321">
        <v>0</v>
      </c>
      <c r="L48" s="321">
        <v>0</v>
      </c>
      <c r="M48" s="321">
        <v>0</v>
      </c>
      <c r="N48" s="321">
        <v>0</v>
      </c>
      <c r="O48" s="321">
        <v>0</v>
      </c>
      <c r="P48" s="321">
        <v>0</v>
      </c>
      <c r="Q48" s="321">
        <v>0</v>
      </c>
      <c r="R48" s="321">
        <v>0</v>
      </c>
      <c r="S48" s="321">
        <v>0</v>
      </c>
      <c r="T48" s="321">
        <v>0</v>
      </c>
      <c r="U48" s="321">
        <v>0</v>
      </c>
      <c r="V48" s="321">
        <v>0</v>
      </c>
      <c r="W48" s="321">
        <v>0</v>
      </c>
      <c r="X48" s="321">
        <v>0</v>
      </c>
      <c r="Y48" s="321">
        <v>0</v>
      </c>
      <c r="Z48" s="321">
        <v>0</v>
      </c>
      <c r="AA48" s="321">
        <v>0</v>
      </c>
      <c r="AB48" s="321">
        <v>0</v>
      </c>
      <c r="AC48" s="321">
        <v>0</v>
      </c>
      <c r="AD48" s="321">
        <v>0</v>
      </c>
      <c r="AE48" s="321">
        <v>0</v>
      </c>
      <c r="AF48" s="321">
        <v>0</v>
      </c>
      <c r="AG48" s="321">
        <v>0</v>
      </c>
    </row>
    <row r="49" spans="1:43" x14ac:dyDescent="0.2">
      <c r="C49" s="1" t="s">
        <v>9</v>
      </c>
      <c r="D49" s="204" t="s">
        <v>204</v>
      </c>
      <c r="E49" s="112">
        <f>Assumptions!G98</f>
        <v>0.35181336539087127</v>
      </c>
      <c r="G49" s="206" t="s">
        <v>205</v>
      </c>
      <c r="I49" s="321">
        <v>0</v>
      </c>
      <c r="J49" s="321">
        <v>0</v>
      </c>
      <c r="K49" s="321">
        <v>0</v>
      </c>
      <c r="L49" s="321">
        <v>0</v>
      </c>
      <c r="M49" s="321">
        <v>0</v>
      </c>
      <c r="N49" s="321">
        <v>0</v>
      </c>
      <c r="O49" s="321">
        <v>0</v>
      </c>
      <c r="P49" s="321">
        <v>0</v>
      </c>
      <c r="Q49" s="321">
        <v>0</v>
      </c>
      <c r="R49" s="321">
        <v>0</v>
      </c>
      <c r="S49" s="321">
        <v>0</v>
      </c>
      <c r="T49" s="321">
        <v>0</v>
      </c>
      <c r="U49" s="321">
        <v>0</v>
      </c>
      <c r="V49" s="321">
        <v>0</v>
      </c>
      <c r="W49" s="321">
        <v>0</v>
      </c>
      <c r="X49" s="321">
        <v>0</v>
      </c>
      <c r="Y49" s="321">
        <v>0</v>
      </c>
      <c r="Z49" s="321">
        <v>0</v>
      </c>
      <c r="AA49" s="321">
        <v>0</v>
      </c>
      <c r="AB49" s="321">
        <v>0</v>
      </c>
      <c r="AC49" s="321">
        <v>0</v>
      </c>
      <c r="AD49" s="321">
        <v>0</v>
      </c>
      <c r="AE49" s="321">
        <v>0</v>
      </c>
      <c r="AF49" s="321">
        <v>0</v>
      </c>
      <c r="AG49" s="321">
        <v>0</v>
      </c>
    </row>
    <row r="50" spans="1:43" x14ac:dyDescent="0.2">
      <c r="C50" s="1" t="s">
        <v>10</v>
      </c>
      <c r="D50" s="204" t="s">
        <v>204</v>
      </c>
      <c r="E50" s="112">
        <f>Assumptions!G99</f>
        <v>0.35181336539087127</v>
      </c>
      <c r="G50" s="206" t="s">
        <v>205</v>
      </c>
      <c r="I50" s="321">
        <v>0</v>
      </c>
      <c r="J50" s="321">
        <v>0</v>
      </c>
      <c r="K50" s="321">
        <v>0</v>
      </c>
      <c r="L50" s="321">
        <v>0</v>
      </c>
      <c r="M50" s="321">
        <v>0</v>
      </c>
      <c r="N50" s="321">
        <v>0</v>
      </c>
      <c r="O50" s="321">
        <v>0</v>
      </c>
      <c r="P50" s="321">
        <v>0</v>
      </c>
      <c r="Q50" s="321">
        <v>0</v>
      </c>
      <c r="R50" s="321">
        <v>0</v>
      </c>
      <c r="S50" s="321">
        <v>0</v>
      </c>
      <c r="T50" s="321">
        <v>0</v>
      </c>
      <c r="U50" s="321">
        <v>0</v>
      </c>
      <c r="V50" s="321">
        <v>0</v>
      </c>
      <c r="W50" s="321">
        <v>0</v>
      </c>
      <c r="X50" s="321">
        <v>0</v>
      </c>
      <c r="Y50" s="321">
        <v>0</v>
      </c>
      <c r="Z50" s="321">
        <v>0</v>
      </c>
      <c r="AA50" s="321">
        <v>0</v>
      </c>
      <c r="AB50" s="321">
        <v>0</v>
      </c>
      <c r="AC50" s="321">
        <v>0</v>
      </c>
      <c r="AD50" s="321">
        <v>0</v>
      </c>
      <c r="AE50" s="321">
        <v>0</v>
      </c>
      <c r="AF50" s="321">
        <v>0</v>
      </c>
      <c r="AG50" s="321">
        <v>0</v>
      </c>
    </row>
    <row r="51" spans="1:43" x14ac:dyDescent="0.2">
      <c r="C51" s="1" t="s">
        <v>6</v>
      </c>
      <c r="D51" s="204" t="s">
        <v>126</v>
      </c>
      <c r="E51" s="112">
        <f>Assumptions!G100</f>
        <v>0</v>
      </c>
      <c r="G51" s="206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4" t="s">
        <v>126</v>
      </c>
      <c r="E52" s="112">
        <f>Assumptions!G101</f>
        <v>0</v>
      </c>
      <c r="G52" s="206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32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7"/>
      <c r="F57" s="3"/>
      <c r="G57" s="209">
        <f>input_dollars</f>
        <v>45291</v>
      </c>
      <c r="H57" s="107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7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1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10000000</v>
      </c>
      <c r="L64" s="131">
        <f>(1-INDEX(Data!$C$9:$C$13, MATCH($A$3, options,0)))*('Option1 (base case)'!L36-L36)</f>
        <v>2007500</v>
      </c>
      <c r="M64" s="131">
        <f>(1-INDEX(Data!$C$9:$C$13, MATCH($A$3, options,0)))*('Option1 (base case)'!M36-M36)</f>
        <v>2007500</v>
      </c>
      <c r="N64" s="131">
        <f>(1-INDEX(Data!$C$9:$C$13, MATCH($A$3, options,0)))*('Option1 (base case)'!N36-N36)</f>
        <v>2007500</v>
      </c>
      <c r="O64" s="131">
        <f>(1-INDEX(Data!$C$9:$C$13, MATCH($A$3, options,0)))*('Option1 (base case)'!O36-O36)</f>
        <v>2007500</v>
      </c>
      <c r="P64" s="131">
        <f>(1-INDEX(Data!$C$9:$C$13, MATCH($A$3, options,0)))*('Option1 (base case)'!P36-P36)</f>
        <v>2007500</v>
      </c>
      <c r="Q64" s="131">
        <f>(1-INDEX(Data!$C$9:$C$13, MATCH($A$3, options,0)))*('Option1 (base case)'!Q36-Q36)</f>
        <v>2007500</v>
      </c>
      <c r="R64" s="131">
        <f>(1-INDEX(Data!$C$9:$C$13, MATCH($A$3, options,0)))*('Option1 (base case)'!R36-R36)</f>
        <v>2007500</v>
      </c>
      <c r="S64" s="131">
        <f>(1-INDEX(Data!$C$9:$C$13, MATCH($A$3, options,0)))*('Option1 (base case)'!S36-S36)</f>
        <v>2007500</v>
      </c>
      <c r="T64" s="131">
        <f>(1-INDEX(Data!$C$9:$C$13, MATCH($A$3, options,0)))*('Option1 (base case)'!T36-T36)</f>
        <v>2007500</v>
      </c>
      <c r="U64" s="131">
        <f>(1-INDEX(Data!$C$9:$C$13, MATCH($A$3, options,0)))*('Option1 (base case)'!U36-U36)</f>
        <v>2007500</v>
      </c>
      <c r="V64" s="131">
        <f>(1-INDEX(Data!$C$9:$C$13, MATCH($A$3, options,0)))*('Option1 (base case)'!V36-V36)</f>
        <v>2007500</v>
      </c>
      <c r="W64" s="131">
        <f>(1-INDEX(Data!$C$9:$C$13, MATCH($A$3, options,0)))*('Option1 (base case)'!W36-W36)</f>
        <v>2007500</v>
      </c>
      <c r="X64" s="131">
        <f>(1-INDEX(Data!$C$9:$C$13, MATCH($A$3, options,0)))*('Option1 (base case)'!X36-X36)</f>
        <v>2007500</v>
      </c>
      <c r="Y64" s="131">
        <f>(1-INDEX(Data!$C$9:$C$13, MATCH($A$3, options,0)))*('Option1 (base case)'!Y36-Y36)</f>
        <v>2007500</v>
      </c>
      <c r="Z64" s="131">
        <f>(1-INDEX(Data!$C$9:$C$13, MATCH($A$3, options,0)))*('Option1 (base case)'!Z36-Z36)</f>
        <v>2007500</v>
      </c>
      <c r="AA64" s="131">
        <f>(1-INDEX(Data!$C$9:$C$13, MATCH($A$3, options,0)))*('Option1 (base case)'!AA36-AA36)</f>
        <v>2007500</v>
      </c>
      <c r="AB64" s="131">
        <f>(1-INDEX(Data!$C$9:$C$13, MATCH($A$3, options,0)))*('Option1 (base case)'!AB36-AB36)</f>
        <v>2007500</v>
      </c>
      <c r="AC64" s="131">
        <f>(1-INDEX(Data!$C$9:$C$13, MATCH($A$3, options,0)))*('Option1 (base case)'!AC36-AC36)</f>
        <v>2007500</v>
      </c>
      <c r="AD64" s="131">
        <f>(1-INDEX(Data!$C$9:$C$13, MATCH($A$3, options,0)))*('Option1 (base case)'!AD36-AD36)</f>
        <v>2007500</v>
      </c>
      <c r="AE64" s="131">
        <f>(1-INDEX(Data!$C$9:$C$13, MATCH($A$3, options,0)))*('Option1 (base case)'!AE36-AE36)</f>
        <v>2007500</v>
      </c>
      <c r="AF64" s="131">
        <f>(1-INDEX(Data!$C$9:$C$13, MATCH($A$3, options,0)))*('Option1 (base case)'!AF36-AF36)</f>
        <v>2007500</v>
      </c>
      <c r="AG64" s="131">
        <f>(1-INDEX(Data!$C$9:$C$13, MATCH($A$3, options,0)))*('Option1 (base case)'!AG36-AG36)</f>
        <v>2007500</v>
      </c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8"/>
      <c r="F66" s="97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Isolating substations x 3</v>
      </c>
      <c r="D67" s="38"/>
      <c r="F67" s="97"/>
      <c r="G67" s="209">
        <f>input_dollars</f>
        <v>45291</v>
      </c>
      <c r="H67" s="31"/>
      <c r="I67" s="119">
        <f t="shared" ref="I67:AG67" si="5">-I14</f>
        <v>-1920000</v>
      </c>
      <c r="J67" s="119">
        <f t="shared" si="5"/>
        <v>-2880000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09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09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3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6" t="s">
        <v>155</v>
      </c>
      <c r="D71" s="38"/>
      <c r="F71" s="97"/>
      <c r="G71" s="212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Isolating substations x 3</v>
      </c>
      <c r="D72" s="38"/>
      <c r="F72" s="97"/>
      <c r="G72" s="209">
        <f>input_dollars</f>
        <v>45291</v>
      </c>
      <c r="H72" s="31"/>
      <c r="I72" s="119" cm="1">
        <f t="array" ref="I72">SUMPRODUCT(($I67:I67))-SUMPRODUCT(($I67:I67)*($I$6:I$6&lt;=(I$6-$E14)))</f>
        <v>-1920000</v>
      </c>
      <c r="J72" s="119" cm="1">
        <f t="array" ref="J72">SUMPRODUCT(($I67:J67))-SUMPRODUCT(($I67:J67)*($I$6:J$6&lt;=(J$6-$E14)))</f>
        <v>-4800000</v>
      </c>
      <c r="K72" s="119" cm="1">
        <f t="array" ref="K72">SUMPRODUCT(($I67:K67))-SUMPRODUCT(($I67:K67)*($I$6:K$6&lt;=(K$6-$E14)))</f>
        <v>-4800000</v>
      </c>
      <c r="L72" s="119" cm="1">
        <f t="array" ref="L72">SUMPRODUCT(($I67:L67))-SUMPRODUCT(($I67:L67)*($I$6:L$6&lt;=(L$6-$E14)))</f>
        <v>-4800000</v>
      </c>
      <c r="M72" s="119" cm="1">
        <f t="array" ref="M72">SUMPRODUCT(($I67:M67))-SUMPRODUCT(($I67:M67)*($I$6:M$6&lt;=(M$6-$E14)))</f>
        <v>-4800000</v>
      </c>
      <c r="N72" s="119" cm="1">
        <f t="array" ref="N72">SUMPRODUCT(($I67:N67))-SUMPRODUCT(($I67:N67)*($I$6:N$6&lt;=(N$6-$E14)))</f>
        <v>-4800000</v>
      </c>
      <c r="O72" s="119" cm="1">
        <f t="array" ref="O72">SUMPRODUCT(($I67:O67))-SUMPRODUCT(($I67:O67)*($I$6:O$6&lt;=(O$6-$E14)))</f>
        <v>-4800000</v>
      </c>
      <c r="P72" s="119" cm="1">
        <f t="array" ref="P72">SUMPRODUCT(($I67:P67))-SUMPRODUCT(($I67:P67)*($I$6:P$6&lt;=(P$6-$E14)))</f>
        <v>-4800000</v>
      </c>
      <c r="Q72" s="119" cm="1">
        <f t="array" ref="Q72">SUMPRODUCT(($I67:Q67))-SUMPRODUCT(($I67:Q67)*($I$6:Q$6&lt;=(Q$6-$E14)))</f>
        <v>-4800000</v>
      </c>
      <c r="R72" s="119" cm="1">
        <f t="array" ref="R72">SUMPRODUCT(($I67:R67))-SUMPRODUCT(($I67:R67)*($I$6:R$6&lt;=(R$6-$E14)))</f>
        <v>-4800000</v>
      </c>
      <c r="S72" s="119" cm="1">
        <f t="array" ref="S72">SUMPRODUCT(($I67:S67))-SUMPRODUCT(($I67:S67)*($I$6:S$6&lt;=(S$6-$E14)))</f>
        <v>-4800000</v>
      </c>
      <c r="T72" s="119" cm="1">
        <f t="array" ref="T72">SUMPRODUCT(($I67:T67))-SUMPRODUCT(($I67:T67)*($I$6:T$6&lt;=(T$6-$E14)))</f>
        <v>-4800000</v>
      </c>
      <c r="U72" s="119" cm="1">
        <f t="array" ref="U72">SUMPRODUCT(($I67:U67))-SUMPRODUCT(($I67:U67)*($I$6:U$6&lt;=(U$6-$E14)))</f>
        <v>-4800000</v>
      </c>
      <c r="V72" s="119" cm="1">
        <f t="array" ref="V72">SUMPRODUCT(($I67:V67))-SUMPRODUCT(($I67:V67)*($I$6:V$6&lt;=(V$6-$E14)))</f>
        <v>-4800000</v>
      </c>
      <c r="W72" s="119" cm="1">
        <f t="array" ref="W72">SUMPRODUCT(($I67:W67))-SUMPRODUCT(($I67:W67)*($I$6:W$6&lt;=(W$6-$E14)))</f>
        <v>-4800000</v>
      </c>
      <c r="X72" s="119" cm="1">
        <f t="array" ref="X72">SUMPRODUCT(($I67:X67))-SUMPRODUCT(($I67:X67)*($I$6:X$6&lt;=(X$6-$E14)))</f>
        <v>-4800000</v>
      </c>
      <c r="Y72" s="119" cm="1">
        <f t="array" ref="Y72">SUMPRODUCT(($I67:Y67))-SUMPRODUCT(($I67:Y67)*($I$6:Y$6&lt;=(Y$6-$E14)))</f>
        <v>-4800000</v>
      </c>
      <c r="Z72" s="119" cm="1">
        <f t="array" ref="Z72">SUMPRODUCT(($I67:Z67))-SUMPRODUCT(($I67:Z67)*($I$6:Z$6&lt;=(Z$6-$E14)))</f>
        <v>-4800000</v>
      </c>
      <c r="AA72" s="119" cm="1">
        <f t="array" ref="AA72">SUMPRODUCT(($I67:AA67))-SUMPRODUCT(($I67:AA67)*($I$6:AA$6&lt;=(AA$6-$E14)))</f>
        <v>-4800000</v>
      </c>
      <c r="AB72" s="119" cm="1">
        <f t="array" ref="AB72">SUMPRODUCT(($I67:AB67))-SUMPRODUCT(($I67:AB67)*($I$6:AB$6&lt;=(AB$6-$E14)))</f>
        <v>-4800000</v>
      </c>
      <c r="AC72" s="119" cm="1">
        <f t="array" ref="AC72">SUMPRODUCT(($I67:AC67))-SUMPRODUCT(($I67:AC67)*($I$6:AC$6&lt;=(AC$6-$E14)))</f>
        <v>-4800000</v>
      </c>
      <c r="AD72" s="119" cm="1">
        <f t="array" ref="AD72">SUMPRODUCT(($I67:AD67))-SUMPRODUCT(($I67:AD67)*($I$6:AD$6&lt;=(AD$6-$E14)))</f>
        <v>-4800000</v>
      </c>
      <c r="AE72" s="119" cm="1">
        <f t="array" ref="AE72">SUMPRODUCT(($I67:AE67))-SUMPRODUCT(($I67:AE67)*($I$6:AE$6&lt;=(AE$6-$E14)))</f>
        <v>-4800000</v>
      </c>
      <c r="AF72" s="119" cm="1">
        <f t="array" ref="AF72">SUMPRODUCT(($I67:AF67))-SUMPRODUCT(($I67:AF67)*($I$6:AF$6&lt;=(AF$6-$E14)))</f>
        <v>-4800000</v>
      </c>
      <c r="AG72" s="119" cm="1">
        <f t="array" ref="AG72">SUMPRODUCT(($I67:AG67))-SUMPRODUCT(($I67:AG67)*($I$6:AG$6&lt;=(AG$6-$E14)))</f>
        <v>-4800000</v>
      </c>
    </row>
    <row r="73" spans="1:33" x14ac:dyDescent="0.2">
      <c r="A73" s="8"/>
      <c r="B73" s="8"/>
      <c r="C73" s="4">
        <f>C15</f>
        <v>0</v>
      </c>
      <c r="D73" s="38"/>
      <c r="F73" s="97"/>
      <c r="G73" s="209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09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3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6" t="s">
        <v>91</v>
      </c>
      <c r="D76" s="38"/>
      <c r="F76" s="97"/>
      <c r="G76" s="212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Isolating substations x 3</v>
      </c>
      <c r="D77" s="38"/>
      <c r="F77" s="97"/>
      <c r="G77" s="209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-81856.722367772134</v>
      </c>
      <c r="K77" s="119">
        <f t="shared" si="8"/>
        <v>-204641.80591943031</v>
      </c>
      <c r="L77" s="119">
        <f t="shared" si="8"/>
        <v>-204641.80591943031</v>
      </c>
      <c r="M77" s="119">
        <f t="shared" si="8"/>
        <v>-204641.80591943031</v>
      </c>
      <c r="N77" s="119">
        <f t="shared" si="8"/>
        <v>-204641.80591943031</v>
      </c>
      <c r="O77" s="119">
        <f t="shared" si="8"/>
        <v>-204641.80591943031</v>
      </c>
      <c r="P77" s="119">
        <f t="shared" si="8"/>
        <v>-204641.80591943031</v>
      </c>
      <c r="Q77" s="119">
        <f t="shared" si="8"/>
        <v>-204641.80591943031</v>
      </c>
      <c r="R77" s="119">
        <f t="shared" si="8"/>
        <v>-204641.80591943031</v>
      </c>
      <c r="S77" s="119">
        <f t="shared" si="8"/>
        <v>-204641.80591943031</v>
      </c>
      <c r="T77" s="119">
        <f t="shared" si="8"/>
        <v>-204641.80591943031</v>
      </c>
      <c r="U77" s="119">
        <f t="shared" si="8"/>
        <v>-204641.80591943031</v>
      </c>
      <c r="V77" s="119">
        <f t="shared" si="8"/>
        <v>-204641.80591943031</v>
      </c>
      <c r="W77" s="119">
        <f t="shared" si="8"/>
        <v>-204641.80591943031</v>
      </c>
      <c r="X77" s="119">
        <f t="shared" si="8"/>
        <v>-204641.80591943031</v>
      </c>
      <c r="Y77" s="119">
        <f t="shared" si="8"/>
        <v>-204641.80591943031</v>
      </c>
      <c r="Z77" s="119">
        <f t="shared" si="8"/>
        <v>-204641.80591943031</v>
      </c>
      <c r="AA77" s="119">
        <f t="shared" si="8"/>
        <v>-204641.80591943031</v>
      </c>
      <c r="AB77" s="119">
        <f t="shared" si="8"/>
        <v>-204641.80591943031</v>
      </c>
      <c r="AC77" s="119">
        <f t="shared" si="8"/>
        <v>-204641.80591943031</v>
      </c>
      <c r="AD77" s="119">
        <f t="shared" si="8"/>
        <v>-204641.80591943031</v>
      </c>
      <c r="AE77" s="119">
        <f t="shared" si="8"/>
        <v>-204641.80591943031</v>
      </c>
      <c r="AF77" s="119">
        <f t="shared" si="8"/>
        <v>-204641.80591943031</v>
      </c>
      <c r="AG77" s="119">
        <f t="shared" si="8"/>
        <v>-204641.80591943031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09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09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1" t="s">
        <v>156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1">SUM(J77:J79)</f>
        <v>-81856.722367772134</v>
      </c>
      <c r="K80" s="175">
        <f t="shared" si="11"/>
        <v>-204641.80591943031</v>
      </c>
      <c r="L80" s="175">
        <f t="shared" si="11"/>
        <v>-204641.80591943031</v>
      </c>
      <c r="M80" s="175">
        <f t="shared" si="11"/>
        <v>-204641.80591943031</v>
      </c>
      <c r="N80" s="175">
        <f t="shared" si="11"/>
        <v>-204641.80591943031</v>
      </c>
      <c r="O80" s="175">
        <f t="shared" si="11"/>
        <v>-204641.80591943031</v>
      </c>
      <c r="P80" s="175">
        <f t="shared" si="11"/>
        <v>-204641.80591943031</v>
      </c>
      <c r="Q80" s="175">
        <f t="shared" si="11"/>
        <v>-204641.80591943031</v>
      </c>
      <c r="R80" s="175">
        <f t="shared" si="11"/>
        <v>-204641.80591943031</v>
      </c>
      <c r="S80" s="175">
        <f t="shared" si="11"/>
        <v>-204641.80591943031</v>
      </c>
      <c r="T80" s="175">
        <f t="shared" si="11"/>
        <v>-204641.80591943031</v>
      </c>
      <c r="U80" s="175">
        <f t="shared" si="11"/>
        <v>-204641.80591943031</v>
      </c>
      <c r="V80" s="175">
        <f t="shared" si="11"/>
        <v>-204641.80591943031</v>
      </c>
      <c r="W80" s="175">
        <f t="shared" si="11"/>
        <v>-204641.80591943031</v>
      </c>
      <c r="X80" s="175">
        <f t="shared" si="11"/>
        <v>-204641.80591943031</v>
      </c>
      <c r="Y80" s="175">
        <f t="shared" si="11"/>
        <v>-204641.80591943031</v>
      </c>
      <c r="Z80" s="175">
        <f t="shared" si="11"/>
        <v>-204641.80591943031</v>
      </c>
      <c r="AA80" s="175">
        <f t="shared" si="11"/>
        <v>-204641.80591943031</v>
      </c>
      <c r="AB80" s="175">
        <f t="shared" si="11"/>
        <v>-204641.80591943031</v>
      </c>
      <c r="AC80" s="175">
        <f>SUM(AC77:AC79)</f>
        <v>-204641.80591943031</v>
      </c>
      <c r="AD80" s="175">
        <f>SUM(AD77:AD79)</f>
        <v>-204641.80591943031</v>
      </c>
      <c r="AE80" s="175">
        <f>SUM(AE77:AE79)</f>
        <v>-204641.80591943031</v>
      </c>
      <c r="AF80" s="175">
        <f>SUM(AF77:AF79)</f>
        <v>-204641.80591943031</v>
      </c>
      <c r="AG80" s="175">
        <f>SUM(AG77:AG79)</f>
        <v>-204641.80591943031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09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-81856.722367772134</v>
      </c>
      <c r="K82" s="119">
        <f t="shared" si="13"/>
        <v>-204641.80591943031</v>
      </c>
      <c r="L82" s="119">
        <f t="shared" si="13"/>
        <v>-204641.80591943031</v>
      </c>
      <c r="M82" s="119">
        <f t="shared" si="13"/>
        <v>-204641.80591943031</v>
      </c>
      <c r="N82" s="119">
        <f t="shared" si="13"/>
        <v>-204641.80591943031</v>
      </c>
      <c r="O82" s="119">
        <f t="shared" si="13"/>
        <v>-204641.80591943031</v>
      </c>
      <c r="P82" s="119">
        <f t="shared" si="13"/>
        <v>-204641.80591943031</v>
      </c>
      <c r="Q82" s="119">
        <f t="shared" si="13"/>
        <v>-204641.80591943031</v>
      </c>
      <c r="R82" s="119">
        <f t="shared" si="13"/>
        <v>-204641.80591943031</v>
      </c>
      <c r="S82" s="119">
        <f t="shared" si="13"/>
        <v>-204641.80591943031</v>
      </c>
      <c r="T82" s="119">
        <f t="shared" si="13"/>
        <v>-204641.80591943031</v>
      </c>
      <c r="U82" s="119">
        <f t="shared" si="13"/>
        <v>-204641.80591943031</v>
      </c>
      <c r="V82" s="119">
        <f t="shared" si="13"/>
        <v>-204641.80591943031</v>
      </c>
      <c r="W82" s="119">
        <f t="shared" si="13"/>
        <v>-204641.80591943031</v>
      </c>
      <c r="X82" s="119">
        <f t="shared" si="13"/>
        <v>-204641.80591943031</v>
      </c>
      <c r="Y82" s="119">
        <f t="shared" si="13"/>
        <v>-204641.80591943031</v>
      </c>
      <c r="Z82" s="119">
        <f t="shared" si="13"/>
        <v>-204641.80591943031</v>
      </c>
      <c r="AA82" s="119">
        <f t="shared" si="13"/>
        <v>-204641.80591943031</v>
      </c>
      <c r="AB82" s="119">
        <f t="shared" si="13"/>
        <v>-204641.80591943031</v>
      </c>
      <c r="AC82" s="119">
        <f>AC80</f>
        <v>-204641.80591943031</v>
      </c>
      <c r="AD82" s="119">
        <f>AD80</f>
        <v>-204641.80591943031</v>
      </c>
      <c r="AE82" s="119">
        <f>AE80</f>
        <v>-204641.80591943031</v>
      </c>
      <c r="AF82" s="119">
        <f>AF80</f>
        <v>-204641.80591943031</v>
      </c>
      <c r="AG82" s="119">
        <f>AG80</f>
        <v>-204641.80591943031</v>
      </c>
    </row>
    <row r="83" spans="1:33" x14ac:dyDescent="0.2">
      <c r="A83" s="8"/>
      <c r="B83" s="8"/>
      <c r="C83" s="4" t="s">
        <v>31</v>
      </c>
      <c r="D83" s="38"/>
      <c r="F83" s="97"/>
      <c r="G83" s="209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09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10000000</v>
      </c>
      <c r="L84" s="31">
        <f t="shared" si="15"/>
        <v>2007500</v>
      </c>
      <c r="M84" s="31">
        <f t="shared" si="15"/>
        <v>2007500</v>
      </c>
      <c r="N84" s="31">
        <f t="shared" si="15"/>
        <v>2007500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>AC64</f>
        <v>2007500</v>
      </c>
      <c r="AD84" s="31">
        <f>AD64</f>
        <v>2007500</v>
      </c>
      <c r="AE84" s="31">
        <f>AE64</f>
        <v>2007500</v>
      </c>
      <c r="AF84" s="31">
        <f>AF64</f>
        <v>2007500</v>
      </c>
      <c r="AG84" s="31">
        <f>AG64</f>
        <v>2007500</v>
      </c>
    </row>
    <row r="85" spans="1:33" x14ac:dyDescent="0.2">
      <c r="A85" s="8"/>
      <c r="B85" s="8"/>
      <c r="C85" s="4" t="s">
        <v>122</v>
      </c>
      <c r="D85" s="38"/>
      <c r="F85" s="97"/>
      <c r="G85" s="209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6" t="s">
        <v>186</v>
      </c>
      <c r="D87" s="177"/>
      <c r="E87" s="172"/>
      <c r="F87" s="178"/>
      <c r="G87" s="214">
        <f t="shared" si="12"/>
        <v>45291</v>
      </c>
      <c r="H87" s="178"/>
      <c r="I87" s="178">
        <f t="shared" ref="I87:AB87" si="17">SUM(I82:I86)</f>
        <v>0</v>
      </c>
      <c r="J87" s="178">
        <f t="shared" si="17"/>
        <v>-81856.722367772134</v>
      </c>
      <c r="K87" s="178">
        <f t="shared" si="17"/>
        <v>9795358.1940805689</v>
      </c>
      <c r="L87" s="178">
        <f t="shared" si="17"/>
        <v>1802858.1940805698</v>
      </c>
      <c r="M87" s="178">
        <f t="shared" si="17"/>
        <v>1802858.1940805698</v>
      </c>
      <c r="N87" s="178">
        <f t="shared" si="17"/>
        <v>1802858.1940805698</v>
      </c>
      <c r="O87" s="178">
        <f t="shared" si="17"/>
        <v>1802858.1940805698</v>
      </c>
      <c r="P87" s="178">
        <f t="shared" si="17"/>
        <v>1802858.1940805698</v>
      </c>
      <c r="Q87" s="178">
        <f t="shared" si="17"/>
        <v>1802858.1940805698</v>
      </c>
      <c r="R87" s="178">
        <f t="shared" si="17"/>
        <v>1802858.1940805698</v>
      </c>
      <c r="S87" s="178">
        <f t="shared" si="17"/>
        <v>1802858.1940805698</v>
      </c>
      <c r="T87" s="178">
        <f t="shared" si="17"/>
        <v>1802858.1940805698</v>
      </c>
      <c r="U87" s="178">
        <f t="shared" si="17"/>
        <v>1802858.1940805698</v>
      </c>
      <c r="V87" s="178">
        <f t="shared" si="17"/>
        <v>1802858.1940805698</v>
      </c>
      <c r="W87" s="178">
        <f t="shared" si="17"/>
        <v>1802858.1940805698</v>
      </c>
      <c r="X87" s="178">
        <f t="shared" si="17"/>
        <v>1802858.1940805698</v>
      </c>
      <c r="Y87" s="178">
        <f t="shared" si="17"/>
        <v>1802858.1940805698</v>
      </c>
      <c r="Z87" s="178">
        <f t="shared" si="17"/>
        <v>1802858.1940805698</v>
      </c>
      <c r="AA87" s="178">
        <f t="shared" si="17"/>
        <v>1802858.1940805698</v>
      </c>
      <c r="AB87" s="178">
        <f t="shared" si="17"/>
        <v>1802858.1940805698</v>
      </c>
      <c r="AC87" s="178">
        <f>SUM(AC82:AC86)</f>
        <v>1802858.1940805698</v>
      </c>
      <c r="AD87" s="178">
        <f>SUM(AD82:AD86)</f>
        <v>1802858.1940805698</v>
      </c>
      <c r="AE87" s="178">
        <f>SUM(AE82:AE86)</f>
        <v>1802858.1940805698</v>
      </c>
      <c r="AF87" s="178">
        <f>SUM(AF82:AF86)</f>
        <v>1802858.1940805698</v>
      </c>
      <c r="AG87" s="178">
        <f>SUM(AG82:AG86)</f>
        <v>1802858.1940805698</v>
      </c>
    </row>
    <row r="88" spans="1:33" x14ac:dyDescent="0.2">
      <c r="A88" s="8"/>
      <c r="B88" s="8"/>
      <c r="C88" s="75"/>
      <c r="D88" s="137"/>
      <c r="F88" s="140"/>
      <c r="G88" s="216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7"/>
      <c r="F89" s="140"/>
      <c r="G89" s="216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29" t="s">
        <v>196</v>
      </c>
      <c r="D90" s="82"/>
      <c r="E90" s="230"/>
      <c r="F90" s="231"/>
      <c r="G90" s="232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3"/>
      <c r="E91" s="230"/>
      <c r="F91" s="231"/>
      <c r="G91" s="232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4" t="s">
        <v>191</v>
      </c>
      <c r="D92" s="235"/>
      <c r="E92" s="235"/>
      <c r="F92" s="235"/>
      <c r="G92" s="236">
        <f>IF(_xlfn.MINIFS($G$90:$G$91, $G$90:$G$91, "&gt;"&amp;0)=0, $A$4, _xlfn.MINIFS($G$90:$G$91, $G$90:$G$91, "&gt;"&amp;0))</f>
        <v>1</v>
      </c>
    </row>
    <row r="94" spans="1:33" x14ac:dyDescent="0.2">
      <c r="G94" s="12"/>
      <c r="I94" s="247"/>
      <c r="J94" s="247"/>
      <c r="K94" s="247"/>
      <c r="L94" s="247"/>
      <c r="M94" s="247"/>
      <c r="N94" s="247"/>
      <c r="O94" s="247"/>
      <c r="P94" s="247"/>
      <c r="Q94" s="247"/>
      <c r="R94" s="247"/>
      <c r="S94" s="247"/>
      <c r="T94" s="247"/>
      <c r="U94" s="247"/>
      <c r="V94" s="247"/>
      <c r="W94" s="247"/>
      <c r="X94" s="247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</row>
    <row r="96" spans="1:33" x14ac:dyDescent="0.2"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</row>
    <row r="97" spans="1:43" x14ac:dyDescent="0.2"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</row>
    <row r="98" spans="1:43" x14ac:dyDescent="0.2"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</row>
    <row r="99" spans="1:43" x14ac:dyDescent="0.2"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</row>
    <row r="100" spans="1:43" x14ac:dyDescent="0.2"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</row>
    <row r="101" spans="1:43" x14ac:dyDescent="0.2"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D105"/>
      <c r="E105"/>
      <c r="F105"/>
      <c r="G105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-81856.722367772134</v>
      </c>
      <c r="K106" s="31">
        <f t="shared" si="18"/>
        <v>9795358.1940805689</v>
      </c>
      <c r="L106" s="31">
        <f t="shared" si="18"/>
        <v>1802858.1940805698</v>
      </c>
      <c r="M106" s="31">
        <f t="shared" si="18"/>
        <v>1802858.1940805698</v>
      </c>
      <c r="N106" s="31">
        <f t="shared" si="18"/>
        <v>1802858.1940805698</v>
      </c>
      <c r="O106" s="31">
        <f t="shared" si="18"/>
        <v>1802858.1940805698</v>
      </c>
      <c r="P106" s="31">
        <f t="shared" si="18"/>
        <v>1802858.1940805698</v>
      </c>
      <c r="Q106" s="31">
        <f t="shared" si="18"/>
        <v>1802858.1940805698</v>
      </c>
      <c r="R106" s="31">
        <f t="shared" si="18"/>
        <v>1802858.1940805698</v>
      </c>
      <c r="S106" s="31">
        <f t="shared" si="18"/>
        <v>1802858.1940805698</v>
      </c>
      <c r="T106" s="31">
        <f t="shared" si="18"/>
        <v>1802858.1940805698</v>
      </c>
      <c r="U106" s="31">
        <f t="shared" si="18"/>
        <v>1802858.1940805698</v>
      </c>
      <c r="V106" s="31">
        <f t="shared" si="18"/>
        <v>1802858.1940805698</v>
      </c>
      <c r="W106" s="31">
        <f t="shared" si="18"/>
        <v>1802858.1940805698</v>
      </c>
      <c r="X106" s="31">
        <f t="shared" si="18"/>
        <v>1802858.1940805698</v>
      </c>
      <c r="Y106" s="31">
        <f t="shared" si="18"/>
        <v>1802858.1940805698</v>
      </c>
      <c r="Z106" s="31">
        <f t="shared" si="18"/>
        <v>1802858.1940805698</v>
      </c>
      <c r="AA106" s="31">
        <f t="shared" si="18"/>
        <v>1802858.1940805698</v>
      </c>
      <c r="AB106" s="31">
        <f t="shared" si="18"/>
        <v>1802858.1940805698</v>
      </c>
      <c r="AC106" s="31">
        <f t="shared" si="18"/>
        <v>1802858.1940805698</v>
      </c>
      <c r="AD106" s="31">
        <f t="shared" si="18"/>
        <v>1802858.1940805698</v>
      </c>
      <c r="AE106" s="31">
        <f t="shared" si="18"/>
        <v>1802858.1940805698</v>
      </c>
      <c r="AF106" s="31">
        <f t="shared" si="18"/>
        <v>1802858.1940805698</v>
      </c>
      <c r="AG106" s="31">
        <f t="shared" si="18"/>
        <v>1802858.1940805698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-81856.722367772134</v>
      </c>
      <c r="K107" s="31">
        <f t="shared" si="19"/>
        <v>-204641.80591943031</v>
      </c>
      <c r="L107" s="31">
        <f t="shared" si="19"/>
        <v>-204641.80591943031</v>
      </c>
      <c r="M107" s="31">
        <f t="shared" si="19"/>
        <v>-204641.80591943031</v>
      </c>
      <c r="N107" s="31">
        <f t="shared" si="19"/>
        <v>-204641.80591943031</v>
      </c>
      <c r="O107" s="31">
        <f t="shared" si="19"/>
        <v>-204641.80591943031</v>
      </c>
      <c r="P107" s="31">
        <f t="shared" si="19"/>
        <v>-204641.80591943031</v>
      </c>
      <c r="Q107" s="31">
        <f t="shared" si="19"/>
        <v>-204641.80591943031</v>
      </c>
      <c r="R107" s="31">
        <f t="shared" si="19"/>
        <v>-204641.80591943031</v>
      </c>
      <c r="S107" s="31">
        <f t="shared" si="19"/>
        <v>-204641.80591943031</v>
      </c>
      <c r="T107" s="31">
        <f t="shared" si="19"/>
        <v>-204641.80591943031</v>
      </c>
      <c r="U107" s="31">
        <f t="shared" si="19"/>
        <v>-204641.80591943031</v>
      </c>
      <c r="V107" s="31">
        <f t="shared" si="19"/>
        <v>-204641.80591943031</v>
      </c>
      <c r="W107" s="31">
        <f t="shared" si="19"/>
        <v>-204641.80591943031</v>
      </c>
      <c r="X107" s="31">
        <f t="shared" si="19"/>
        <v>-204641.80591943031</v>
      </c>
      <c r="Y107" s="31">
        <f t="shared" si="19"/>
        <v>-204641.80591943031</v>
      </c>
      <c r="Z107" s="31">
        <f t="shared" si="19"/>
        <v>-204641.80591943031</v>
      </c>
      <c r="AA107" s="31">
        <f t="shared" si="19"/>
        <v>-204641.80591943031</v>
      </c>
      <c r="AB107" s="31">
        <f t="shared" si="19"/>
        <v>-204641.80591943031</v>
      </c>
      <c r="AC107" s="31">
        <f t="shared" si="19"/>
        <v>-204641.80591943031</v>
      </c>
      <c r="AD107" s="31">
        <f t="shared" si="19"/>
        <v>-204641.80591943031</v>
      </c>
      <c r="AE107" s="31">
        <f t="shared" si="19"/>
        <v>-204641.80591943031</v>
      </c>
      <c r="AF107" s="31">
        <f t="shared" si="19"/>
        <v>-204641.80591943031</v>
      </c>
      <c r="AG107" s="31">
        <f t="shared" si="19"/>
        <v>-204641.80591943031</v>
      </c>
    </row>
    <row r="108" spans="1:43" x14ac:dyDescent="0.2">
      <c r="C108" s="1" t="s">
        <v>237</v>
      </c>
      <c r="D108" s="251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10000000</v>
      </c>
      <c r="L108" s="31">
        <f t="shared" si="20"/>
        <v>2007500</v>
      </c>
      <c r="M108" s="31">
        <f t="shared" si="20"/>
        <v>2007500</v>
      </c>
      <c r="N108" s="31">
        <f t="shared" si="20"/>
        <v>2007500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-90042.39460454935</v>
      </c>
      <c r="K110" s="31" cm="1">
        <f t="array" ref="K110">K$106+IF($C110&lt;&gt;0,SUMPRODUCT((K$107:K$108)*TRANSPOSE(($D110:$E110))),0)</f>
        <v>9774894.0134886261</v>
      </c>
      <c r="L110" s="31" cm="1">
        <f t="array" ref="L110">L$106+IF($C110&lt;&gt;0,SUMPRODUCT((L$107:L$108)*TRANSPOSE(($D110:$E110))),0)</f>
        <v>1782394.0134886268</v>
      </c>
      <c r="M110" s="31" cm="1">
        <f t="array" ref="M110">M$106+IF($C110&lt;&gt;0,SUMPRODUCT((M$107:M$108)*TRANSPOSE(($D110:$E110))),0)</f>
        <v>1782394.0134886268</v>
      </c>
      <c r="N110" s="31" cm="1">
        <f t="array" ref="N110">N$106+IF($C110&lt;&gt;0,SUMPRODUCT((N$107:N$108)*TRANSPOSE(($D110:$E110))),0)</f>
        <v>1782394.0134886268</v>
      </c>
      <c r="O110" s="31" cm="1">
        <f t="array" ref="O110">O$106+IF($C110&lt;&gt;0,SUMPRODUCT((O$107:O$108)*TRANSPOSE(($D110:$E110))),0)</f>
        <v>1782394.0134886268</v>
      </c>
      <c r="P110" s="31" cm="1">
        <f t="array" ref="P110">P$106+IF($C110&lt;&gt;0,SUMPRODUCT((P$107:P$108)*TRANSPOSE(($D110:$E110))),0)</f>
        <v>1782394.0134886268</v>
      </c>
      <c r="Q110" s="31" cm="1">
        <f t="array" ref="Q110">Q$106+IF($C110&lt;&gt;0,SUMPRODUCT((Q$107:Q$108)*TRANSPOSE(($D110:$E110))),0)</f>
        <v>1782394.0134886268</v>
      </c>
      <c r="R110" s="31" cm="1">
        <f t="array" ref="R110">R$106+IF($C110&lt;&gt;0,SUMPRODUCT((R$107:R$108)*TRANSPOSE(($D110:$E110))),0)</f>
        <v>1782394.0134886268</v>
      </c>
      <c r="S110" s="31" cm="1">
        <f t="array" ref="S110">S$106+IF($C110&lt;&gt;0,SUMPRODUCT((S$107:S$108)*TRANSPOSE(($D110:$E110))),0)</f>
        <v>1782394.0134886268</v>
      </c>
      <c r="T110" s="31" cm="1">
        <f t="array" ref="T110">T$106+IF($C110&lt;&gt;0,SUMPRODUCT((T$107:T$108)*TRANSPOSE(($D110:$E110))),0)</f>
        <v>1782394.0134886268</v>
      </c>
      <c r="U110" s="31" cm="1">
        <f t="array" ref="U110">U$106+IF($C110&lt;&gt;0,SUMPRODUCT((U$107:U$108)*TRANSPOSE(($D110:$E110))),0)</f>
        <v>1782394.0134886268</v>
      </c>
      <c r="V110" s="31" cm="1">
        <f t="array" ref="V110">V$106+IF($C110&lt;&gt;0,SUMPRODUCT((V$107:V$108)*TRANSPOSE(($D110:$E110))),0)</f>
        <v>1782394.0134886268</v>
      </c>
      <c r="W110" s="31" cm="1">
        <f t="array" ref="W110">W$106+IF($C110&lt;&gt;0,SUMPRODUCT((W$107:W$108)*TRANSPOSE(($D110:$E110))),0)</f>
        <v>1782394.0134886268</v>
      </c>
      <c r="X110" s="31" cm="1">
        <f t="array" ref="X110">X$106+IF($C110&lt;&gt;0,SUMPRODUCT((X$107:X$108)*TRANSPOSE(($D110:$E110))),0)</f>
        <v>1782394.0134886268</v>
      </c>
      <c r="Y110" s="31" cm="1">
        <f t="array" ref="Y110">Y$106+IF($C110&lt;&gt;0,SUMPRODUCT((Y$107:Y$108)*TRANSPOSE(($D110:$E110))),0)</f>
        <v>1782394.0134886268</v>
      </c>
      <c r="Z110" s="31" cm="1">
        <f t="array" ref="Z110">Z$106+IF($C110&lt;&gt;0,SUMPRODUCT((Z$107:Z$108)*TRANSPOSE(($D110:$E110))),0)</f>
        <v>1782394.0134886268</v>
      </c>
      <c r="AA110" s="31" cm="1">
        <f t="array" ref="AA110">AA$106+IF($C110&lt;&gt;0,SUMPRODUCT((AA$107:AA$108)*TRANSPOSE(($D110:$E110))),0)</f>
        <v>1782394.0134886268</v>
      </c>
      <c r="AB110" s="31" cm="1">
        <f t="array" ref="AB110">AB$106+IF($C110&lt;&gt;0,SUMPRODUCT((AB$107:AB$108)*TRANSPOSE(($D110:$E110))),0)</f>
        <v>1782394.0134886268</v>
      </c>
      <c r="AC110" s="31" cm="1">
        <f t="array" ref="AC110">AC$106+IF($C110&lt;&gt;0,SUMPRODUCT((AC$107:AC$108)*TRANSPOSE(($D110:$E110))),0)</f>
        <v>1782394.0134886268</v>
      </c>
      <c r="AD110" s="31" cm="1">
        <f t="array" ref="AD110">AD$106+IF($C110&lt;&gt;0,SUMPRODUCT((AD$107:AD$108)*TRANSPOSE(($D110:$E110))),0)</f>
        <v>1782394.0134886268</v>
      </c>
      <c r="AE110" s="31" cm="1">
        <f t="array" ref="AE110">AE$106+IF($C110&lt;&gt;0,SUMPRODUCT((AE$107:AE$108)*TRANSPOSE(($D110:$E110))),0)</f>
        <v>1782394.0134886268</v>
      </c>
      <c r="AF110" s="31" cm="1">
        <f t="array" ref="AF110">AF$106+IF($C110&lt;&gt;0,SUMPRODUCT((AF$107:AF$108)*TRANSPOSE(($D110:$E110))),0)</f>
        <v>1782394.0134886268</v>
      </c>
      <c r="AG110" s="31" cm="1">
        <f t="array" ref="AG110">AG$106+IF($C110&lt;&gt;0,SUMPRODUCT((AG$107:AG$108)*TRANSPOSE(($D110:$E110))),0)</f>
        <v>1782394.0134886268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-73671.050130994918</v>
      </c>
      <c r="K111" s="31" cm="1">
        <f t="array" ref="K111">K$106+IF($C111&lt;&gt;0,SUMPRODUCT((K$107:K$108)*TRANSPOSE(($D111:$E111))),0)</f>
        <v>9815822.3746725116</v>
      </c>
      <c r="L111" s="31" cm="1">
        <f t="array" ref="L111">L$106+IF($C111&lt;&gt;0,SUMPRODUCT((L$107:L$108)*TRANSPOSE(($D111:$E111))),0)</f>
        <v>1823322.3746725128</v>
      </c>
      <c r="M111" s="31" cm="1">
        <f t="array" ref="M111">M$106+IF($C111&lt;&gt;0,SUMPRODUCT((M$107:M$108)*TRANSPOSE(($D111:$E111))),0)</f>
        <v>1823322.3746725128</v>
      </c>
      <c r="N111" s="31" cm="1">
        <f t="array" ref="N111">N$106+IF($C111&lt;&gt;0,SUMPRODUCT((N$107:N$108)*TRANSPOSE(($D111:$E111))),0)</f>
        <v>1823322.3746725128</v>
      </c>
      <c r="O111" s="31" cm="1">
        <f t="array" ref="O111">O$106+IF($C111&lt;&gt;0,SUMPRODUCT((O$107:O$108)*TRANSPOSE(($D111:$E111))),0)</f>
        <v>1823322.3746725128</v>
      </c>
      <c r="P111" s="31" cm="1">
        <f t="array" ref="P111">P$106+IF($C111&lt;&gt;0,SUMPRODUCT((P$107:P$108)*TRANSPOSE(($D111:$E111))),0)</f>
        <v>1823322.3746725128</v>
      </c>
      <c r="Q111" s="31" cm="1">
        <f t="array" ref="Q111">Q$106+IF($C111&lt;&gt;0,SUMPRODUCT((Q$107:Q$108)*TRANSPOSE(($D111:$E111))),0)</f>
        <v>1823322.3746725128</v>
      </c>
      <c r="R111" s="31" cm="1">
        <f t="array" ref="R111">R$106+IF($C111&lt;&gt;0,SUMPRODUCT((R$107:R$108)*TRANSPOSE(($D111:$E111))),0)</f>
        <v>1823322.3746725128</v>
      </c>
      <c r="S111" s="31" cm="1">
        <f t="array" ref="S111">S$106+IF($C111&lt;&gt;0,SUMPRODUCT((S$107:S$108)*TRANSPOSE(($D111:$E111))),0)</f>
        <v>1823322.3746725128</v>
      </c>
      <c r="T111" s="31" cm="1">
        <f t="array" ref="T111">T$106+IF($C111&lt;&gt;0,SUMPRODUCT((T$107:T$108)*TRANSPOSE(($D111:$E111))),0)</f>
        <v>1823322.3746725128</v>
      </c>
      <c r="U111" s="31" cm="1">
        <f t="array" ref="U111">U$106+IF($C111&lt;&gt;0,SUMPRODUCT((U$107:U$108)*TRANSPOSE(($D111:$E111))),0)</f>
        <v>1823322.3746725128</v>
      </c>
      <c r="V111" s="31" cm="1">
        <f t="array" ref="V111">V$106+IF($C111&lt;&gt;0,SUMPRODUCT((V$107:V$108)*TRANSPOSE(($D111:$E111))),0)</f>
        <v>1823322.3746725128</v>
      </c>
      <c r="W111" s="31" cm="1">
        <f t="array" ref="W111">W$106+IF($C111&lt;&gt;0,SUMPRODUCT((W$107:W$108)*TRANSPOSE(($D111:$E111))),0)</f>
        <v>1823322.3746725128</v>
      </c>
      <c r="X111" s="31" cm="1">
        <f t="array" ref="X111">X$106+IF($C111&lt;&gt;0,SUMPRODUCT((X$107:X$108)*TRANSPOSE(($D111:$E111))),0)</f>
        <v>1823322.3746725128</v>
      </c>
      <c r="Y111" s="31" cm="1">
        <f t="array" ref="Y111">Y$106+IF($C111&lt;&gt;0,SUMPRODUCT((Y$107:Y$108)*TRANSPOSE(($D111:$E111))),0)</f>
        <v>1823322.3746725128</v>
      </c>
      <c r="Z111" s="31" cm="1">
        <f t="array" ref="Z111">Z$106+IF($C111&lt;&gt;0,SUMPRODUCT((Z$107:Z$108)*TRANSPOSE(($D111:$E111))),0)</f>
        <v>1823322.3746725128</v>
      </c>
      <c r="AA111" s="31" cm="1">
        <f t="array" ref="AA111">AA$106+IF($C111&lt;&gt;0,SUMPRODUCT((AA$107:AA$108)*TRANSPOSE(($D111:$E111))),0)</f>
        <v>1823322.3746725128</v>
      </c>
      <c r="AB111" s="31" cm="1">
        <f t="array" ref="AB111">AB$106+IF($C111&lt;&gt;0,SUMPRODUCT((AB$107:AB$108)*TRANSPOSE(($D111:$E111))),0)</f>
        <v>1823322.3746725128</v>
      </c>
      <c r="AC111" s="31" cm="1">
        <f t="array" ref="AC111">AC$106+IF($C111&lt;&gt;0,SUMPRODUCT((AC$107:AC$108)*TRANSPOSE(($D111:$E111))),0)</f>
        <v>1823322.3746725128</v>
      </c>
      <c r="AD111" s="31" cm="1">
        <f t="array" ref="AD111">AD$106+IF($C111&lt;&gt;0,SUMPRODUCT((AD$107:AD$108)*TRANSPOSE(($D111:$E111))),0)</f>
        <v>1823322.3746725128</v>
      </c>
      <c r="AE111" s="31" cm="1">
        <f t="array" ref="AE111">AE$106+IF($C111&lt;&gt;0,SUMPRODUCT((AE$107:AE$108)*TRANSPOSE(($D111:$E111))),0)</f>
        <v>1823322.3746725128</v>
      </c>
      <c r="AF111" s="31" cm="1">
        <f t="array" ref="AF111">AF$106+IF($C111&lt;&gt;0,SUMPRODUCT((AF$107:AF$108)*TRANSPOSE(($D111:$E111))),0)</f>
        <v>1823322.3746725128</v>
      </c>
      <c r="AG111" s="31" cm="1">
        <f t="array" ref="AG111">AG$106+IF($C111&lt;&gt;0,SUMPRODUCT((AG$107:AG$108)*TRANSPOSE(($D111:$E111))),0)</f>
        <v>1823322.3746725128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-81856.722367772134</v>
      </c>
      <c r="K112" s="31" cm="1">
        <f t="array" ref="K112">K$106+IF($C112&lt;&gt;0,SUMPRODUCT((K$107:K$108)*TRANSPOSE(($D112:$E112))),0)</f>
        <v>10795358.194080569</v>
      </c>
      <c r="L112" s="31" cm="1">
        <f t="array" ref="L112">L$106+IF($C112&lt;&gt;0,SUMPRODUCT((L$107:L$108)*TRANSPOSE(($D112:$E112))),0)</f>
        <v>2003608.1940805698</v>
      </c>
      <c r="M112" s="31" cm="1">
        <f t="array" ref="M112">M$106+IF($C112&lt;&gt;0,SUMPRODUCT((M$107:M$108)*TRANSPOSE(($D112:$E112))),0)</f>
        <v>2003608.1940805698</v>
      </c>
      <c r="N112" s="31" cm="1">
        <f t="array" ref="N112">N$106+IF($C112&lt;&gt;0,SUMPRODUCT((N$107:N$108)*TRANSPOSE(($D112:$E112))),0)</f>
        <v>2003608.1940805698</v>
      </c>
      <c r="O112" s="31" cm="1">
        <f t="array" ref="O112">O$106+IF($C112&lt;&gt;0,SUMPRODUCT((O$107:O$108)*TRANSPOSE(($D112:$E112))),0)</f>
        <v>2003608.1940805698</v>
      </c>
      <c r="P112" s="31" cm="1">
        <f t="array" ref="P112">P$106+IF($C112&lt;&gt;0,SUMPRODUCT((P$107:P$108)*TRANSPOSE(($D112:$E112))),0)</f>
        <v>2003608.1940805698</v>
      </c>
      <c r="Q112" s="31" cm="1">
        <f t="array" ref="Q112">Q$106+IF($C112&lt;&gt;0,SUMPRODUCT((Q$107:Q$108)*TRANSPOSE(($D112:$E112))),0)</f>
        <v>2003608.1940805698</v>
      </c>
      <c r="R112" s="31" cm="1">
        <f t="array" ref="R112">R$106+IF($C112&lt;&gt;0,SUMPRODUCT((R$107:R$108)*TRANSPOSE(($D112:$E112))),0)</f>
        <v>2003608.1940805698</v>
      </c>
      <c r="S112" s="31" cm="1">
        <f t="array" ref="S112">S$106+IF($C112&lt;&gt;0,SUMPRODUCT((S$107:S$108)*TRANSPOSE(($D112:$E112))),0)</f>
        <v>2003608.1940805698</v>
      </c>
      <c r="T112" s="31" cm="1">
        <f t="array" ref="T112">T$106+IF($C112&lt;&gt;0,SUMPRODUCT((T$107:T$108)*TRANSPOSE(($D112:$E112))),0)</f>
        <v>2003608.1940805698</v>
      </c>
      <c r="U112" s="31" cm="1">
        <f t="array" ref="U112">U$106+IF($C112&lt;&gt;0,SUMPRODUCT((U$107:U$108)*TRANSPOSE(($D112:$E112))),0)</f>
        <v>2003608.1940805698</v>
      </c>
      <c r="V112" s="31" cm="1">
        <f t="array" ref="V112">V$106+IF($C112&lt;&gt;0,SUMPRODUCT((V$107:V$108)*TRANSPOSE(($D112:$E112))),0)</f>
        <v>2003608.1940805698</v>
      </c>
      <c r="W112" s="31" cm="1">
        <f t="array" ref="W112">W$106+IF($C112&lt;&gt;0,SUMPRODUCT((W$107:W$108)*TRANSPOSE(($D112:$E112))),0)</f>
        <v>2003608.1940805698</v>
      </c>
      <c r="X112" s="31" cm="1">
        <f t="array" ref="X112">X$106+IF($C112&lt;&gt;0,SUMPRODUCT((X$107:X$108)*TRANSPOSE(($D112:$E112))),0)</f>
        <v>2003608.1940805698</v>
      </c>
      <c r="Y112" s="31" cm="1">
        <f t="array" ref="Y112">Y$106+IF($C112&lt;&gt;0,SUMPRODUCT((Y$107:Y$108)*TRANSPOSE(($D112:$E112))),0)</f>
        <v>2003608.1940805698</v>
      </c>
      <c r="Z112" s="31" cm="1">
        <f t="array" ref="Z112">Z$106+IF($C112&lt;&gt;0,SUMPRODUCT((Z$107:Z$108)*TRANSPOSE(($D112:$E112))),0)</f>
        <v>2003608.1940805698</v>
      </c>
      <c r="AA112" s="31" cm="1">
        <f t="array" ref="AA112">AA$106+IF($C112&lt;&gt;0,SUMPRODUCT((AA$107:AA$108)*TRANSPOSE(($D112:$E112))),0)</f>
        <v>2003608.1940805698</v>
      </c>
      <c r="AB112" s="31" cm="1">
        <f t="array" ref="AB112">AB$106+IF($C112&lt;&gt;0,SUMPRODUCT((AB$107:AB$108)*TRANSPOSE(($D112:$E112))),0)</f>
        <v>2003608.1940805698</v>
      </c>
      <c r="AC112" s="31" cm="1">
        <f t="array" ref="AC112">AC$106+IF($C112&lt;&gt;0,SUMPRODUCT((AC$107:AC$108)*TRANSPOSE(($D112:$E112))),0)</f>
        <v>2003608.1940805698</v>
      </c>
      <c r="AD112" s="31" cm="1">
        <f t="array" ref="AD112">AD$106+IF($C112&lt;&gt;0,SUMPRODUCT((AD$107:AD$108)*TRANSPOSE(($D112:$E112))),0)</f>
        <v>2003608.1940805698</v>
      </c>
      <c r="AE112" s="31" cm="1">
        <f t="array" ref="AE112">AE$106+IF($C112&lt;&gt;0,SUMPRODUCT((AE$107:AE$108)*TRANSPOSE(($D112:$E112))),0)</f>
        <v>2003608.1940805698</v>
      </c>
      <c r="AF112" s="31" cm="1">
        <f t="array" ref="AF112">AF$106+IF($C112&lt;&gt;0,SUMPRODUCT((AF$107:AF$108)*TRANSPOSE(($D112:$E112))),0)</f>
        <v>2003608.1940805698</v>
      </c>
      <c r="AG112" s="31" cm="1">
        <f t="array" ref="AG112">AG$106+IF($C112&lt;&gt;0,SUMPRODUCT((AG$107:AG$108)*TRANSPOSE(($D112:$E112))),0)</f>
        <v>2003608.1940805698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-81856.722367772134</v>
      </c>
      <c r="K113" s="31" cm="1">
        <f t="array" ref="K113">K$106+IF($C113&lt;&gt;0,SUMPRODUCT((K$107:K$108)*TRANSPOSE(($D113:$E113))),0)</f>
        <v>8795358.1940805689</v>
      </c>
      <c r="L113" s="31" cm="1">
        <f t="array" ref="L113">L$106+IF($C113&lt;&gt;0,SUMPRODUCT((L$107:L$108)*TRANSPOSE(($D113:$E113))),0)</f>
        <v>1602108.1940805698</v>
      </c>
      <c r="M113" s="31" cm="1">
        <f t="array" ref="M113">M$106+IF($C113&lt;&gt;0,SUMPRODUCT((M$107:M$108)*TRANSPOSE(($D113:$E113))),0)</f>
        <v>1602108.1940805698</v>
      </c>
      <c r="N113" s="31" cm="1">
        <f t="array" ref="N113">N$106+IF($C113&lt;&gt;0,SUMPRODUCT((N$107:N$108)*TRANSPOSE(($D113:$E113))),0)</f>
        <v>1602108.1940805698</v>
      </c>
      <c r="O113" s="31" cm="1">
        <f t="array" ref="O113">O$106+IF($C113&lt;&gt;0,SUMPRODUCT((O$107:O$108)*TRANSPOSE(($D113:$E113))),0)</f>
        <v>1602108.1940805698</v>
      </c>
      <c r="P113" s="31" cm="1">
        <f t="array" ref="P113">P$106+IF($C113&lt;&gt;0,SUMPRODUCT((P$107:P$108)*TRANSPOSE(($D113:$E113))),0)</f>
        <v>1602108.1940805698</v>
      </c>
      <c r="Q113" s="31" cm="1">
        <f t="array" ref="Q113">Q$106+IF($C113&lt;&gt;0,SUMPRODUCT((Q$107:Q$108)*TRANSPOSE(($D113:$E113))),0)</f>
        <v>1602108.1940805698</v>
      </c>
      <c r="R113" s="31" cm="1">
        <f t="array" ref="R113">R$106+IF($C113&lt;&gt;0,SUMPRODUCT((R$107:R$108)*TRANSPOSE(($D113:$E113))),0)</f>
        <v>1602108.1940805698</v>
      </c>
      <c r="S113" s="31" cm="1">
        <f t="array" ref="S113">S$106+IF($C113&lt;&gt;0,SUMPRODUCT((S$107:S$108)*TRANSPOSE(($D113:$E113))),0)</f>
        <v>1602108.1940805698</v>
      </c>
      <c r="T113" s="31" cm="1">
        <f t="array" ref="T113">T$106+IF($C113&lt;&gt;0,SUMPRODUCT((T$107:T$108)*TRANSPOSE(($D113:$E113))),0)</f>
        <v>1602108.1940805698</v>
      </c>
      <c r="U113" s="31" cm="1">
        <f t="array" ref="U113">U$106+IF($C113&lt;&gt;0,SUMPRODUCT((U$107:U$108)*TRANSPOSE(($D113:$E113))),0)</f>
        <v>1602108.1940805698</v>
      </c>
      <c r="V113" s="31" cm="1">
        <f t="array" ref="V113">V$106+IF($C113&lt;&gt;0,SUMPRODUCT((V$107:V$108)*TRANSPOSE(($D113:$E113))),0)</f>
        <v>1602108.1940805698</v>
      </c>
      <c r="W113" s="31" cm="1">
        <f t="array" ref="W113">W$106+IF($C113&lt;&gt;0,SUMPRODUCT((W$107:W$108)*TRANSPOSE(($D113:$E113))),0)</f>
        <v>1602108.1940805698</v>
      </c>
      <c r="X113" s="31" cm="1">
        <f t="array" ref="X113">X$106+IF($C113&lt;&gt;0,SUMPRODUCT((X$107:X$108)*TRANSPOSE(($D113:$E113))),0)</f>
        <v>1602108.1940805698</v>
      </c>
      <c r="Y113" s="31" cm="1">
        <f t="array" ref="Y113">Y$106+IF($C113&lt;&gt;0,SUMPRODUCT((Y$107:Y$108)*TRANSPOSE(($D113:$E113))),0)</f>
        <v>1602108.1940805698</v>
      </c>
      <c r="Z113" s="31" cm="1">
        <f t="array" ref="Z113">Z$106+IF($C113&lt;&gt;0,SUMPRODUCT((Z$107:Z$108)*TRANSPOSE(($D113:$E113))),0)</f>
        <v>1602108.1940805698</v>
      </c>
      <c r="AA113" s="31" cm="1">
        <f t="array" ref="AA113">AA$106+IF($C113&lt;&gt;0,SUMPRODUCT((AA$107:AA$108)*TRANSPOSE(($D113:$E113))),0)</f>
        <v>1602108.1940805698</v>
      </c>
      <c r="AB113" s="31" cm="1">
        <f t="array" ref="AB113">AB$106+IF($C113&lt;&gt;0,SUMPRODUCT((AB$107:AB$108)*TRANSPOSE(($D113:$E113))),0)</f>
        <v>1602108.1940805698</v>
      </c>
      <c r="AC113" s="31" cm="1">
        <f t="array" ref="AC113">AC$106+IF($C113&lt;&gt;0,SUMPRODUCT((AC$107:AC$108)*TRANSPOSE(($D113:$E113))),0)</f>
        <v>1602108.1940805698</v>
      </c>
      <c r="AD113" s="31" cm="1">
        <f t="array" ref="AD113">AD$106+IF($C113&lt;&gt;0,SUMPRODUCT((AD$107:AD$108)*TRANSPOSE(($D113:$E113))),0)</f>
        <v>1602108.1940805698</v>
      </c>
      <c r="AE113" s="31" cm="1">
        <f t="array" ref="AE113">AE$106+IF($C113&lt;&gt;0,SUMPRODUCT((AE$107:AE$108)*TRANSPOSE(($D113:$E113))),0)</f>
        <v>1602108.1940805698</v>
      </c>
      <c r="AF113" s="31" cm="1">
        <f t="array" ref="AF113">AF$106+IF($C113&lt;&gt;0,SUMPRODUCT((AF$107:AF$108)*TRANSPOSE(($D113:$E113))),0)</f>
        <v>1602108.1940805698</v>
      </c>
      <c r="AG113" s="31" cm="1">
        <f t="array" ref="AG113">AG$106+IF($C113&lt;&gt;0,SUMPRODUCT((AG$107:AG$108)*TRANSPOSE(($D113:$E113))),0)</f>
        <v>1602108.1940805698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-90042.39460454935</v>
      </c>
      <c r="K114" s="31" cm="1">
        <f t="array" ref="K114">K$106+IF($C114&lt;&gt;0,SUMPRODUCT((K$107:K$108)*TRANSPOSE(($D114:$E114))),0)</f>
        <v>8774894.0134886261</v>
      </c>
      <c r="L114" s="31" cm="1">
        <f t="array" ref="L114">L$106+IF($C114&lt;&gt;0,SUMPRODUCT((L$107:L$108)*TRANSPOSE(($D114:$E114))),0)</f>
        <v>1581644.0134886268</v>
      </c>
      <c r="M114" s="31" cm="1">
        <f t="array" ref="M114">M$106+IF($C114&lt;&gt;0,SUMPRODUCT((M$107:M$108)*TRANSPOSE(($D114:$E114))),0)</f>
        <v>1581644.0134886268</v>
      </c>
      <c r="N114" s="31" cm="1">
        <f t="array" ref="N114">N$106+IF($C114&lt;&gt;0,SUMPRODUCT((N$107:N$108)*TRANSPOSE(($D114:$E114))),0)</f>
        <v>1581644.0134886268</v>
      </c>
      <c r="O114" s="31" cm="1">
        <f t="array" ref="O114">O$106+IF($C114&lt;&gt;0,SUMPRODUCT((O$107:O$108)*TRANSPOSE(($D114:$E114))),0)</f>
        <v>1581644.0134886268</v>
      </c>
      <c r="P114" s="31" cm="1">
        <f t="array" ref="P114">P$106+IF($C114&lt;&gt;0,SUMPRODUCT((P$107:P$108)*TRANSPOSE(($D114:$E114))),0)</f>
        <v>1581644.0134886268</v>
      </c>
      <c r="Q114" s="31" cm="1">
        <f t="array" ref="Q114">Q$106+IF($C114&lt;&gt;0,SUMPRODUCT((Q$107:Q$108)*TRANSPOSE(($D114:$E114))),0)</f>
        <v>1581644.0134886268</v>
      </c>
      <c r="R114" s="31" cm="1">
        <f t="array" ref="R114">R$106+IF($C114&lt;&gt;0,SUMPRODUCT((R$107:R$108)*TRANSPOSE(($D114:$E114))),0)</f>
        <v>1581644.0134886268</v>
      </c>
      <c r="S114" s="31" cm="1">
        <f t="array" ref="S114">S$106+IF($C114&lt;&gt;0,SUMPRODUCT((S$107:S$108)*TRANSPOSE(($D114:$E114))),0)</f>
        <v>1581644.0134886268</v>
      </c>
      <c r="T114" s="31" cm="1">
        <f t="array" ref="T114">T$106+IF($C114&lt;&gt;0,SUMPRODUCT((T$107:T$108)*TRANSPOSE(($D114:$E114))),0)</f>
        <v>1581644.0134886268</v>
      </c>
      <c r="U114" s="31" cm="1">
        <f t="array" ref="U114">U$106+IF($C114&lt;&gt;0,SUMPRODUCT((U$107:U$108)*TRANSPOSE(($D114:$E114))),0)</f>
        <v>1581644.0134886268</v>
      </c>
      <c r="V114" s="31" cm="1">
        <f t="array" ref="V114">V$106+IF($C114&lt;&gt;0,SUMPRODUCT((V$107:V$108)*TRANSPOSE(($D114:$E114))),0)</f>
        <v>1581644.0134886268</v>
      </c>
      <c r="W114" s="31" cm="1">
        <f t="array" ref="W114">W$106+IF($C114&lt;&gt;0,SUMPRODUCT((W$107:W$108)*TRANSPOSE(($D114:$E114))),0)</f>
        <v>1581644.0134886268</v>
      </c>
      <c r="X114" s="31" cm="1">
        <f t="array" ref="X114">X$106+IF($C114&lt;&gt;0,SUMPRODUCT((X$107:X$108)*TRANSPOSE(($D114:$E114))),0)</f>
        <v>1581644.0134886268</v>
      </c>
      <c r="Y114" s="31" cm="1">
        <f t="array" ref="Y114">Y$106+IF($C114&lt;&gt;0,SUMPRODUCT((Y$107:Y$108)*TRANSPOSE(($D114:$E114))),0)</f>
        <v>1581644.0134886268</v>
      </c>
      <c r="Z114" s="31" cm="1">
        <f t="array" ref="Z114">Z$106+IF($C114&lt;&gt;0,SUMPRODUCT((Z$107:Z$108)*TRANSPOSE(($D114:$E114))),0)</f>
        <v>1581644.0134886268</v>
      </c>
      <c r="AA114" s="31" cm="1">
        <f t="array" ref="AA114">AA$106+IF($C114&lt;&gt;0,SUMPRODUCT((AA$107:AA$108)*TRANSPOSE(($D114:$E114))),0)</f>
        <v>1581644.0134886268</v>
      </c>
      <c r="AB114" s="31" cm="1">
        <f t="array" ref="AB114">AB$106+IF($C114&lt;&gt;0,SUMPRODUCT((AB$107:AB$108)*TRANSPOSE(($D114:$E114))),0)</f>
        <v>1581644.0134886268</v>
      </c>
      <c r="AC114" s="31" cm="1">
        <f t="array" ref="AC114">AC$106+IF($C114&lt;&gt;0,SUMPRODUCT((AC$107:AC$108)*TRANSPOSE(($D114:$E114))),0)</f>
        <v>1581644.0134886268</v>
      </c>
      <c r="AD114" s="31" cm="1">
        <f t="array" ref="AD114">AD$106+IF($C114&lt;&gt;0,SUMPRODUCT((AD$107:AD$108)*TRANSPOSE(($D114:$E114))),0)</f>
        <v>1581644.0134886268</v>
      </c>
      <c r="AE114" s="31" cm="1">
        <f t="array" ref="AE114">AE$106+IF($C114&lt;&gt;0,SUMPRODUCT((AE$107:AE$108)*TRANSPOSE(($D114:$E114))),0)</f>
        <v>1581644.0134886268</v>
      </c>
      <c r="AF114" s="31" cm="1">
        <f t="array" ref="AF114">AF$106+IF($C114&lt;&gt;0,SUMPRODUCT((AF$107:AF$108)*TRANSPOSE(($D114:$E114))),0)</f>
        <v>1581644.0134886268</v>
      </c>
      <c r="AG114" s="31" cm="1">
        <f t="array" ref="AG114">AG$106+IF($C114&lt;&gt;0,SUMPRODUCT((AG$107:AG$108)*TRANSPOSE(($D114:$E114))),0)</f>
        <v>1581644.0134886268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-81856.722367772134</v>
      </c>
      <c r="K115" s="31" cm="1">
        <f t="array" ref="K115">K$106+IF($C115&lt;&gt;0,SUMPRODUCT((K$107:K$108)*TRANSPOSE(($D115:$E115))),0)</f>
        <v>9795358.1940805689</v>
      </c>
      <c r="L115" s="31" cm="1">
        <f t="array" ref="L115">L$106+IF($C115&lt;&gt;0,SUMPRODUCT((L$107:L$108)*TRANSPOSE(($D115:$E115))),0)</f>
        <v>1802858.1940805698</v>
      </c>
      <c r="M115" s="31" cm="1">
        <f t="array" ref="M115">M$106+IF($C115&lt;&gt;0,SUMPRODUCT((M$107:M$108)*TRANSPOSE(($D115:$E115))),0)</f>
        <v>1802858.1940805698</v>
      </c>
      <c r="N115" s="31" cm="1">
        <f t="array" ref="N115">N$106+IF($C115&lt;&gt;0,SUMPRODUCT((N$107:N$108)*TRANSPOSE(($D115:$E115))),0)</f>
        <v>1802858.1940805698</v>
      </c>
      <c r="O115" s="31" cm="1">
        <f t="array" ref="O115">O$106+IF($C115&lt;&gt;0,SUMPRODUCT((O$107:O$108)*TRANSPOSE(($D115:$E115))),0)</f>
        <v>1802858.1940805698</v>
      </c>
      <c r="P115" s="31" cm="1">
        <f t="array" ref="P115">P$106+IF($C115&lt;&gt;0,SUMPRODUCT((P$107:P$108)*TRANSPOSE(($D115:$E115))),0)</f>
        <v>1802858.1940805698</v>
      </c>
      <c r="Q115" s="31" cm="1">
        <f t="array" ref="Q115">Q$106+IF($C115&lt;&gt;0,SUMPRODUCT((Q$107:Q$108)*TRANSPOSE(($D115:$E115))),0)</f>
        <v>1802858.1940805698</v>
      </c>
      <c r="R115" s="31" cm="1">
        <f t="array" ref="R115">R$106+IF($C115&lt;&gt;0,SUMPRODUCT((R$107:R$108)*TRANSPOSE(($D115:$E115))),0)</f>
        <v>1802858.1940805698</v>
      </c>
      <c r="S115" s="31" cm="1">
        <f t="array" ref="S115">S$106+IF($C115&lt;&gt;0,SUMPRODUCT((S$107:S$108)*TRANSPOSE(($D115:$E115))),0)</f>
        <v>1802858.1940805698</v>
      </c>
      <c r="T115" s="31" cm="1">
        <f t="array" ref="T115">T$106+IF($C115&lt;&gt;0,SUMPRODUCT((T$107:T$108)*TRANSPOSE(($D115:$E115))),0)</f>
        <v>1802858.1940805698</v>
      </c>
      <c r="U115" s="31" cm="1">
        <f t="array" ref="U115">U$106+IF($C115&lt;&gt;0,SUMPRODUCT((U$107:U$108)*TRANSPOSE(($D115:$E115))),0)</f>
        <v>1802858.1940805698</v>
      </c>
      <c r="V115" s="31" cm="1">
        <f t="array" ref="V115">V$106+IF($C115&lt;&gt;0,SUMPRODUCT((V$107:V$108)*TRANSPOSE(($D115:$E115))),0)</f>
        <v>1802858.1940805698</v>
      </c>
      <c r="W115" s="31" cm="1">
        <f t="array" ref="W115">W$106+IF($C115&lt;&gt;0,SUMPRODUCT((W$107:W$108)*TRANSPOSE(($D115:$E115))),0)</f>
        <v>1802858.1940805698</v>
      </c>
      <c r="X115" s="31" cm="1">
        <f t="array" ref="X115">X$106+IF($C115&lt;&gt;0,SUMPRODUCT((X$107:X$108)*TRANSPOSE(($D115:$E115))),0)</f>
        <v>1802858.1940805698</v>
      </c>
      <c r="Y115" s="31" cm="1">
        <f t="array" ref="Y115">Y$106+IF($C115&lt;&gt;0,SUMPRODUCT((Y$107:Y$108)*TRANSPOSE(($D115:$E115))),0)</f>
        <v>1802858.1940805698</v>
      </c>
      <c r="Z115" s="31" cm="1">
        <f t="array" ref="Z115">Z$106+IF($C115&lt;&gt;0,SUMPRODUCT((Z$107:Z$108)*TRANSPOSE(($D115:$E115))),0)</f>
        <v>1802858.1940805698</v>
      </c>
      <c r="AA115" s="31" cm="1">
        <f t="array" ref="AA115">AA$106+IF($C115&lt;&gt;0,SUMPRODUCT((AA$107:AA$108)*TRANSPOSE(($D115:$E115))),0)</f>
        <v>1802858.1940805698</v>
      </c>
      <c r="AB115" s="31" cm="1">
        <f t="array" ref="AB115">AB$106+IF($C115&lt;&gt;0,SUMPRODUCT((AB$107:AB$108)*TRANSPOSE(($D115:$E115))),0)</f>
        <v>1802858.1940805698</v>
      </c>
      <c r="AC115" s="31" cm="1">
        <f t="array" ref="AC115">AC$106+IF($C115&lt;&gt;0,SUMPRODUCT((AC$107:AC$108)*TRANSPOSE(($D115:$E115))),0)</f>
        <v>1802858.1940805698</v>
      </c>
      <c r="AD115" s="31" cm="1">
        <f t="array" ref="AD115">AD$106+IF($C115&lt;&gt;0,SUMPRODUCT((AD$107:AD$108)*TRANSPOSE(($D115:$E115))),0)</f>
        <v>1802858.1940805698</v>
      </c>
      <c r="AE115" s="31" cm="1">
        <f t="array" ref="AE115">AE$106+IF($C115&lt;&gt;0,SUMPRODUCT((AE$107:AE$108)*TRANSPOSE(($D115:$E115))),0)</f>
        <v>1802858.1940805698</v>
      </c>
      <c r="AF115" s="31" cm="1">
        <f t="array" ref="AF115">AF$106+IF($C115&lt;&gt;0,SUMPRODUCT((AF$107:AF$108)*TRANSPOSE(($D115:$E115))),0)</f>
        <v>1802858.1940805698</v>
      </c>
      <c r="AG115" s="31" cm="1">
        <f t="array" ref="AG115">AG$106+IF($C115&lt;&gt;0,SUMPRODUCT((AG$107:AG$108)*TRANSPOSE(($D115:$E115))),0)</f>
        <v>1802858.1940805698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-81856.722367772134</v>
      </c>
      <c r="K116" s="31" cm="1">
        <f t="array" ref="K116">K$106+IF($C116&lt;&gt;0,SUMPRODUCT((K$107:K$108)*TRANSPOSE(($D116:$E116))),0)</f>
        <v>9795358.1940805689</v>
      </c>
      <c r="L116" s="31" cm="1">
        <f t="array" ref="L116">L$106+IF($C116&lt;&gt;0,SUMPRODUCT((L$107:L$108)*TRANSPOSE(($D116:$E116))),0)</f>
        <v>1802858.1940805698</v>
      </c>
      <c r="M116" s="31" cm="1">
        <f t="array" ref="M116">M$106+IF($C116&lt;&gt;0,SUMPRODUCT((M$107:M$108)*TRANSPOSE(($D116:$E116))),0)</f>
        <v>1802858.1940805698</v>
      </c>
      <c r="N116" s="31" cm="1">
        <f t="array" ref="N116">N$106+IF($C116&lt;&gt;0,SUMPRODUCT((N$107:N$108)*TRANSPOSE(($D116:$E116))),0)</f>
        <v>1802858.1940805698</v>
      </c>
      <c r="O116" s="31" cm="1">
        <f t="array" ref="O116">O$106+IF($C116&lt;&gt;0,SUMPRODUCT((O$107:O$108)*TRANSPOSE(($D116:$E116))),0)</f>
        <v>1802858.1940805698</v>
      </c>
      <c r="P116" s="31" cm="1">
        <f t="array" ref="P116">P$106+IF($C116&lt;&gt;0,SUMPRODUCT((P$107:P$108)*TRANSPOSE(($D116:$E116))),0)</f>
        <v>1802858.1940805698</v>
      </c>
      <c r="Q116" s="31" cm="1">
        <f t="array" ref="Q116">Q$106+IF($C116&lt;&gt;0,SUMPRODUCT((Q$107:Q$108)*TRANSPOSE(($D116:$E116))),0)</f>
        <v>1802858.1940805698</v>
      </c>
      <c r="R116" s="31" cm="1">
        <f t="array" ref="R116">R$106+IF($C116&lt;&gt;0,SUMPRODUCT((R$107:R$108)*TRANSPOSE(($D116:$E116))),0)</f>
        <v>1802858.1940805698</v>
      </c>
      <c r="S116" s="31" cm="1">
        <f t="array" ref="S116">S$106+IF($C116&lt;&gt;0,SUMPRODUCT((S$107:S$108)*TRANSPOSE(($D116:$E116))),0)</f>
        <v>1802858.1940805698</v>
      </c>
      <c r="T116" s="31" cm="1">
        <f t="array" ref="T116">T$106+IF($C116&lt;&gt;0,SUMPRODUCT((T$107:T$108)*TRANSPOSE(($D116:$E116))),0)</f>
        <v>1802858.1940805698</v>
      </c>
      <c r="U116" s="31" cm="1">
        <f t="array" ref="U116">U$106+IF($C116&lt;&gt;0,SUMPRODUCT((U$107:U$108)*TRANSPOSE(($D116:$E116))),0)</f>
        <v>1802858.1940805698</v>
      </c>
      <c r="V116" s="31" cm="1">
        <f t="array" ref="V116">V$106+IF($C116&lt;&gt;0,SUMPRODUCT((V$107:V$108)*TRANSPOSE(($D116:$E116))),0)</f>
        <v>1802858.1940805698</v>
      </c>
      <c r="W116" s="31" cm="1">
        <f t="array" ref="W116">W$106+IF($C116&lt;&gt;0,SUMPRODUCT((W$107:W$108)*TRANSPOSE(($D116:$E116))),0)</f>
        <v>1802858.1940805698</v>
      </c>
      <c r="X116" s="31" cm="1">
        <f t="array" ref="X116">X$106+IF($C116&lt;&gt;0,SUMPRODUCT((X$107:X$108)*TRANSPOSE(($D116:$E116))),0)</f>
        <v>1802858.1940805698</v>
      </c>
      <c r="Y116" s="31" cm="1">
        <f t="array" ref="Y116">Y$106+IF($C116&lt;&gt;0,SUMPRODUCT((Y$107:Y$108)*TRANSPOSE(($D116:$E116))),0)</f>
        <v>1802858.1940805698</v>
      </c>
      <c r="Z116" s="31" cm="1">
        <f t="array" ref="Z116">Z$106+IF($C116&lt;&gt;0,SUMPRODUCT((Z$107:Z$108)*TRANSPOSE(($D116:$E116))),0)</f>
        <v>1802858.1940805698</v>
      </c>
      <c r="AA116" s="31" cm="1">
        <f t="array" ref="AA116">AA$106+IF($C116&lt;&gt;0,SUMPRODUCT((AA$107:AA$108)*TRANSPOSE(($D116:$E116))),0)</f>
        <v>1802858.1940805698</v>
      </c>
      <c r="AB116" s="31" cm="1">
        <f t="array" ref="AB116">AB$106+IF($C116&lt;&gt;0,SUMPRODUCT((AB$107:AB$108)*TRANSPOSE(($D116:$E116))),0)</f>
        <v>1802858.1940805698</v>
      </c>
      <c r="AC116" s="31" cm="1">
        <f t="array" ref="AC116">AC$106+IF($C116&lt;&gt;0,SUMPRODUCT((AC$107:AC$108)*TRANSPOSE(($D116:$E116))),0)</f>
        <v>1802858.1940805698</v>
      </c>
      <c r="AD116" s="31" cm="1">
        <f t="array" ref="AD116">AD$106+IF($C116&lt;&gt;0,SUMPRODUCT((AD$107:AD$108)*TRANSPOSE(($D116:$E116))),0)</f>
        <v>1802858.1940805698</v>
      </c>
      <c r="AE116" s="31" cm="1">
        <f t="array" ref="AE116">AE$106+IF($C116&lt;&gt;0,SUMPRODUCT((AE$107:AE$108)*TRANSPOSE(($D116:$E116))),0)</f>
        <v>1802858.1940805698</v>
      </c>
      <c r="AF116" s="31" cm="1">
        <f t="array" ref="AF116">AF$106+IF($C116&lt;&gt;0,SUMPRODUCT((AF$107:AF$108)*TRANSPOSE(($D116:$E116))),0)</f>
        <v>1802858.1940805698</v>
      </c>
      <c r="AG116" s="31" cm="1">
        <f t="array" ref="AG116">AG$106+IF($C116&lt;&gt;0,SUMPRODUCT((AG$107:AG$108)*TRANSPOSE(($D116:$E116))),0)</f>
        <v>1802858.1940805698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-81856.722367772134</v>
      </c>
      <c r="K117" s="31" cm="1">
        <f t="array" ref="K117">K$106+IF($C117&lt;&gt;0,SUMPRODUCT((K$107:K$108)*TRANSPOSE(($D117:$E117))),0)</f>
        <v>9795358.1940805689</v>
      </c>
      <c r="L117" s="31" cm="1">
        <f t="array" ref="L117">L$106+IF($C117&lt;&gt;0,SUMPRODUCT((L$107:L$108)*TRANSPOSE(($D117:$E117))),0)</f>
        <v>1802858.1940805698</v>
      </c>
      <c r="M117" s="31" cm="1">
        <f t="array" ref="M117">M$106+IF($C117&lt;&gt;0,SUMPRODUCT((M$107:M$108)*TRANSPOSE(($D117:$E117))),0)</f>
        <v>1802858.1940805698</v>
      </c>
      <c r="N117" s="31" cm="1">
        <f t="array" ref="N117">N$106+IF($C117&lt;&gt;0,SUMPRODUCT((N$107:N$108)*TRANSPOSE(($D117:$E117))),0)</f>
        <v>1802858.1940805698</v>
      </c>
      <c r="O117" s="31" cm="1">
        <f t="array" ref="O117">O$106+IF($C117&lt;&gt;0,SUMPRODUCT((O$107:O$108)*TRANSPOSE(($D117:$E117))),0)</f>
        <v>1802858.1940805698</v>
      </c>
      <c r="P117" s="31" cm="1">
        <f t="array" ref="P117">P$106+IF($C117&lt;&gt;0,SUMPRODUCT((P$107:P$108)*TRANSPOSE(($D117:$E117))),0)</f>
        <v>1802858.1940805698</v>
      </c>
      <c r="Q117" s="31" cm="1">
        <f t="array" ref="Q117">Q$106+IF($C117&lt;&gt;0,SUMPRODUCT((Q$107:Q$108)*TRANSPOSE(($D117:$E117))),0)</f>
        <v>1802858.1940805698</v>
      </c>
      <c r="R117" s="31" cm="1">
        <f t="array" ref="R117">R$106+IF($C117&lt;&gt;0,SUMPRODUCT((R$107:R$108)*TRANSPOSE(($D117:$E117))),0)</f>
        <v>1802858.1940805698</v>
      </c>
      <c r="S117" s="31" cm="1">
        <f t="array" ref="S117">S$106+IF($C117&lt;&gt;0,SUMPRODUCT((S$107:S$108)*TRANSPOSE(($D117:$E117))),0)</f>
        <v>1802858.1940805698</v>
      </c>
      <c r="T117" s="31" cm="1">
        <f t="array" ref="T117">T$106+IF($C117&lt;&gt;0,SUMPRODUCT((T$107:T$108)*TRANSPOSE(($D117:$E117))),0)</f>
        <v>1802858.1940805698</v>
      </c>
      <c r="U117" s="31" cm="1">
        <f t="array" ref="U117">U$106+IF($C117&lt;&gt;0,SUMPRODUCT((U$107:U$108)*TRANSPOSE(($D117:$E117))),0)</f>
        <v>1802858.1940805698</v>
      </c>
      <c r="V117" s="31" cm="1">
        <f t="array" ref="V117">V$106+IF($C117&lt;&gt;0,SUMPRODUCT((V$107:V$108)*TRANSPOSE(($D117:$E117))),0)</f>
        <v>1802858.1940805698</v>
      </c>
      <c r="W117" s="31" cm="1">
        <f t="array" ref="W117">W$106+IF($C117&lt;&gt;0,SUMPRODUCT((W$107:W$108)*TRANSPOSE(($D117:$E117))),0)</f>
        <v>1802858.1940805698</v>
      </c>
      <c r="X117" s="31" cm="1">
        <f t="array" ref="X117">X$106+IF($C117&lt;&gt;0,SUMPRODUCT((X$107:X$108)*TRANSPOSE(($D117:$E117))),0)</f>
        <v>1802858.1940805698</v>
      </c>
      <c r="Y117" s="31" cm="1">
        <f t="array" ref="Y117">Y$106+IF($C117&lt;&gt;0,SUMPRODUCT((Y$107:Y$108)*TRANSPOSE(($D117:$E117))),0)</f>
        <v>1802858.1940805698</v>
      </c>
      <c r="Z117" s="31" cm="1">
        <f t="array" ref="Z117">Z$106+IF($C117&lt;&gt;0,SUMPRODUCT((Z$107:Z$108)*TRANSPOSE(($D117:$E117))),0)</f>
        <v>1802858.1940805698</v>
      </c>
      <c r="AA117" s="31" cm="1">
        <f t="array" ref="AA117">AA$106+IF($C117&lt;&gt;0,SUMPRODUCT((AA$107:AA$108)*TRANSPOSE(($D117:$E117))),0)</f>
        <v>1802858.1940805698</v>
      </c>
      <c r="AB117" s="31" cm="1">
        <f t="array" ref="AB117">AB$106+IF($C117&lt;&gt;0,SUMPRODUCT((AB$107:AB$108)*TRANSPOSE(($D117:$E117))),0)</f>
        <v>1802858.1940805698</v>
      </c>
      <c r="AC117" s="31" cm="1">
        <f t="array" ref="AC117">AC$106+IF($C117&lt;&gt;0,SUMPRODUCT((AC$107:AC$108)*TRANSPOSE(($D117:$E117))),0)</f>
        <v>1802858.1940805698</v>
      </c>
      <c r="AD117" s="31" cm="1">
        <f t="array" ref="AD117">AD$106+IF($C117&lt;&gt;0,SUMPRODUCT((AD$107:AD$108)*TRANSPOSE(($D117:$E117))),0)</f>
        <v>1802858.1940805698</v>
      </c>
      <c r="AE117" s="31" cm="1">
        <f t="array" ref="AE117">AE$106+IF($C117&lt;&gt;0,SUMPRODUCT((AE$107:AE$108)*TRANSPOSE(($D117:$E117))),0)</f>
        <v>1802858.1940805698</v>
      </c>
      <c r="AF117" s="31" cm="1">
        <f t="array" ref="AF117">AF$106+IF($C117&lt;&gt;0,SUMPRODUCT((AF$107:AF$108)*TRANSPOSE(($D117:$E117))),0)</f>
        <v>1802858.1940805698</v>
      </c>
      <c r="AG117" s="31" cm="1">
        <f t="array" ref="AG117">AG$106+IF($C117&lt;&gt;0,SUMPRODUCT((AG$107:AG$108)*TRANSPOSE(($D117:$E117))),0)</f>
        <v>1802858.1940805698</v>
      </c>
    </row>
    <row r="118" spans="1:33" x14ac:dyDescent="0.2">
      <c r="E118" s="242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7"/>
      <c r="J129" s="247"/>
      <c r="K129" s="247"/>
      <c r="L129" s="247"/>
    </row>
    <row r="130" spans="9:12" x14ac:dyDescent="0.2">
      <c r="I130" s="247"/>
      <c r="J130" s="247"/>
      <c r="K130" s="247"/>
      <c r="L130" s="247"/>
    </row>
    <row r="131" spans="9:12" x14ac:dyDescent="0.2">
      <c r="I131" s="247"/>
      <c r="J131" s="247"/>
      <c r="K131" s="247"/>
      <c r="L131" s="247"/>
    </row>
    <row r="132" spans="9:12" x14ac:dyDescent="0.2">
      <c r="I132" s="247"/>
      <c r="J132" s="247"/>
      <c r="K132" s="247"/>
      <c r="L132" s="247"/>
    </row>
    <row r="133" spans="9:12" x14ac:dyDescent="0.2">
      <c r="I133" s="247"/>
      <c r="J133" s="247"/>
      <c r="K133" s="247"/>
      <c r="L133" s="247"/>
    </row>
    <row r="134" spans="9:12" x14ac:dyDescent="0.2">
      <c r="I134" s="247"/>
      <c r="J134" s="247"/>
      <c r="K134" s="247"/>
      <c r="L134" s="247"/>
    </row>
    <row r="135" spans="9:12" x14ac:dyDescent="0.2">
      <c r="I135" s="247"/>
      <c r="J135" s="247"/>
      <c r="K135" s="247"/>
      <c r="L135" s="247"/>
    </row>
    <row r="136" spans="9:12" x14ac:dyDescent="0.2">
      <c r="I136" s="247"/>
      <c r="J136" s="247"/>
      <c r="K136" s="247"/>
      <c r="L136" s="247"/>
    </row>
  </sheetData>
  <conditionalFormatting sqref="E28">
    <cfRule type="expression" dxfId="11" priority="236">
      <formula>AND(SUM($I$27:$AG$27)&gt;0, $E$28=0)</formula>
    </cfRule>
  </conditionalFormatting>
  <conditionalFormatting sqref="E14:E16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WIN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135</v>
      </c>
      <c r="B3" s="5"/>
      <c r="C3" s="199" t="str">
        <f>INDEX(Assumptions!$E$14:$E$18, MATCH(A3,_xlfn.ANCHORARRAY( Assumptions!$C$14),0))</f>
        <v>REFCL mini grids</v>
      </c>
    </row>
    <row r="4" spans="1:43" x14ac:dyDescent="0.2">
      <c r="A4" s="200" t="str">
        <f>(INDEX(Data!$D$9:$D$13, MATCH(A3, options,0)))</f>
        <v/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59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  <c r="AH12"/>
    </row>
    <row r="13" spans="1:43" x14ac:dyDescent="0.2">
      <c r="C13" s="3" t="s">
        <v>17</v>
      </c>
      <c r="D13"/>
      <c r="E13" s="126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253</v>
      </c>
      <c r="D14"/>
      <c r="E14" s="147">
        <v>50</v>
      </c>
      <c r="G14" s="206">
        <f>input_dollars</f>
        <v>45291</v>
      </c>
      <c r="H14" s="148"/>
      <c r="I14" s="32">
        <v>875000</v>
      </c>
      <c r="J14" s="32">
        <v>6125000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7"/>
      <c r="I17" s="106">
        <f t="shared" ref="I17:Q17" si="0">SUM(I14:I16)</f>
        <v>875000</v>
      </c>
      <c r="J17" s="106">
        <f t="shared" si="0"/>
        <v>6125000</v>
      </c>
      <c r="K17" s="106">
        <f t="shared" si="0"/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6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4"/>
      <c r="AH20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7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7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7"/>
      <c r="E25" s="111"/>
      <c r="F25" s="111"/>
      <c r="G25" s="207"/>
      <c r="H25" s="111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7"/>
      <c r="E26" s="111"/>
      <c r="F26" s="111"/>
      <c r="G26" s="207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3">
        <f>Assumptions!H41*vcr_esc</f>
        <v>36385.072710298162</v>
      </c>
      <c r="F28" s="237" t="str">
        <f>IF(AND(SUM(I27:AG27)&lt;&gt;0, E28=0), "!", "")</f>
        <v/>
      </c>
      <c r="G28" s="206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4" t="s">
        <v>206</v>
      </c>
      <c r="G30" s="206">
        <f>input_dollars</f>
        <v>45291</v>
      </c>
      <c r="H30" s="148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5"/>
      <c r="E31"/>
      <c r="G31" s="206">
        <f>input_dollars</f>
        <v>45291</v>
      </c>
      <c r="H31" s="148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4" t="s">
        <v>206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3" t="s">
        <v>171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171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7"/>
      <c r="E36" s="107"/>
      <c r="F36" s="3"/>
      <c r="G36" s="208"/>
      <c r="H36" s="107"/>
      <c r="I36" s="169">
        <f>SUM(I28:I34)</f>
        <v>0</v>
      </c>
      <c r="J36" s="169">
        <f t="shared" ref="J36:AB36" si="3">SUM(J28:J34)</f>
        <v>0</v>
      </c>
      <c r="K36" s="169">
        <f t="shared" si="3"/>
        <v>0</v>
      </c>
      <c r="L36" s="169">
        <f t="shared" si="3"/>
        <v>0</v>
      </c>
      <c r="M36" s="169">
        <f t="shared" si="3"/>
        <v>0</v>
      </c>
      <c r="N36" s="169">
        <f t="shared" si="3"/>
        <v>0</v>
      </c>
      <c r="O36" s="169">
        <f t="shared" si="3"/>
        <v>0</v>
      </c>
      <c r="P36" s="169">
        <f t="shared" si="3"/>
        <v>0</v>
      </c>
      <c r="Q36" s="169">
        <f t="shared" si="3"/>
        <v>0</v>
      </c>
      <c r="R36" s="169">
        <f t="shared" si="3"/>
        <v>0</v>
      </c>
      <c r="S36" s="169">
        <f t="shared" si="3"/>
        <v>0</v>
      </c>
      <c r="T36" s="169">
        <f t="shared" si="3"/>
        <v>0</v>
      </c>
      <c r="U36" s="169">
        <f t="shared" si="3"/>
        <v>0</v>
      </c>
      <c r="V36" s="169">
        <f t="shared" si="3"/>
        <v>0</v>
      </c>
      <c r="W36" s="169">
        <f t="shared" si="3"/>
        <v>0</v>
      </c>
      <c r="X36" s="169">
        <f t="shared" si="3"/>
        <v>0</v>
      </c>
      <c r="Y36" s="169">
        <f t="shared" si="3"/>
        <v>0</v>
      </c>
      <c r="Z36" s="169">
        <f t="shared" si="3"/>
        <v>0</v>
      </c>
      <c r="AA36" s="169">
        <f t="shared" si="3"/>
        <v>0</v>
      </c>
      <c r="AB36" s="169">
        <f t="shared" si="3"/>
        <v>0</v>
      </c>
      <c r="AC36" s="169">
        <f>SUM(AC28:AC34)</f>
        <v>0</v>
      </c>
      <c r="AD36" s="169">
        <f>SUM(AD28:AD34)</f>
        <v>0</v>
      </c>
      <c r="AE36" s="169">
        <f>SUM(AE28:AE34)</f>
        <v>0</v>
      </c>
      <c r="AF36" s="169">
        <f>SUM(AF28:AF34)</f>
        <v>0</v>
      </c>
      <c r="AG36" s="169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4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3">
        <f>Assumptions!G94</f>
        <v>151432.81740793545</v>
      </c>
      <c r="G45" s="206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4" t="s">
        <v>63</v>
      </c>
      <c r="E46" s="113">
        <f>Assumptions!G95</f>
        <v>24590</v>
      </c>
      <c r="G46" s="206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4" t="s">
        <v>63</v>
      </c>
      <c r="E47" s="112">
        <f>Assumptions!G96</f>
        <v>88.357719508603083</v>
      </c>
      <c r="G47" s="206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4" t="s">
        <v>126</v>
      </c>
      <c r="E48" s="112">
        <f>Assumptions!G97</f>
        <v>0</v>
      </c>
      <c r="G48" s="206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201</v>
      </c>
      <c r="D49" s="204" t="s">
        <v>204</v>
      </c>
      <c r="E49" s="112">
        <f>Assumptions!G98</f>
        <v>0.35181336539087127</v>
      </c>
      <c r="G49" s="206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202</v>
      </c>
      <c r="D50" s="204" t="s">
        <v>204</v>
      </c>
      <c r="E50" s="112">
        <f>Assumptions!G99</f>
        <v>0.35181336539087127</v>
      </c>
      <c r="G50" s="206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4" t="s">
        <v>126</v>
      </c>
      <c r="E51" s="112">
        <f>Assumptions!G100</f>
        <v>0</v>
      </c>
      <c r="G51" s="206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4" t="s">
        <v>126</v>
      </c>
      <c r="E52" s="112">
        <f>Assumptions!G101</f>
        <v>0</v>
      </c>
      <c r="G52" s="206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4"/>
      <c r="G56" s="204"/>
      <c r="AH56"/>
    </row>
    <row r="57" spans="1:43" x14ac:dyDescent="0.2">
      <c r="C57" s="3" t="s">
        <v>125</v>
      </c>
      <c r="D57" s="217"/>
      <c r="E57" s="107"/>
      <c r="F57" s="3"/>
      <c r="G57" s="209">
        <f>input_dollars</f>
        <v>45291</v>
      </c>
      <c r="H57" s="107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  <c r="AH57"/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7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1"/>
      <c r="I63" s="136"/>
      <c r="J63" s="136"/>
      <c r="K63" s="136"/>
      <c r="L63" s="136"/>
      <c r="M63" s="136"/>
      <c r="N63" s="136"/>
      <c r="O63" s="136"/>
      <c r="P63" s="136"/>
      <c r="Q63" s="136"/>
      <c r="R63" s="136"/>
      <c r="S63" s="136"/>
      <c r="T63" s="136"/>
      <c r="U63" s="136"/>
      <c r="V63" s="136"/>
      <c r="W63" s="136"/>
      <c r="X63" s="136"/>
      <c r="Y63" s="136"/>
      <c r="Z63" s="136"/>
      <c r="AA63" s="136"/>
      <c r="AB63" s="136"/>
      <c r="AC63" s="136"/>
      <c r="AD63" s="136"/>
      <c r="AE63" s="136"/>
      <c r="AF63" s="136"/>
      <c r="AG63" s="136"/>
      <c r="AH63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10000000</v>
      </c>
      <c r="L64" s="131">
        <f>(1-INDEX(Data!$C$9:$C$13, MATCH($A$3, options,0)))*('Option1 (base case)'!L36-L36)</f>
        <v>2007500</v>
      </c>
      <c r="M64" s="131">
        <f>(1-INDEX(Data!$C$9:$C$13, MATCH($A$3, options,0)))*('Option1 (base case)'!M36-M36)</f>
        <v>2007500</v>
      </c>
      <c r="N64" s="131">
        <f>(1-INDEX(Data!$C$9:$C$13, MATCH($A$3, options,0)))*('Option1 (base case)'!N36-N36)</f>
        <v>2007500</v>
      </c>
      <c r="O64" s="131">
        <f>(1-INDEX(Data!$C$9:$C$13, MATCH($A$3, options,0)))*('Option1 (base case)'!O36-O36)</f>
        <v>2007500</v>
      </c>
      <c r="P64" s="131">
        <f>(1-INDEX(Data!$C$9:$C$13, MATCH($A$3, options,0)))*('Option1 (base case)'!P36-P36)</f>
        <v>2007500</v>
      </c>
      <c r="Q64" s="131">
        <f>(1-INDEX(Data!$C$9:$C$13, MATCH($A$3, options,0)))*('Option1 (base case)'!Q36-Q36)</f>
        <v>2007500</v>
      </c>
      <c r="R64" s="131">
        <f>(1-INDEX(Data!$C$9:$C$13, MATCH($A$3, options,0)))*('Option1 (base case)'!R36-R36)</f>
        <v>2007500</v>
      </c>
      <c r="S64" s="131">
        <f>(1-INDEX(Data!$C$9:$C$13, MATCH($A$3, options,0)))*('Option1 (base case)'!S36-S36)</f>
        <v>2007500</v>
      </c>
      <c r="T64" s="131">
        <f>(1-INDEX(Data!$C$9:$C$13, MATCH($A$3, options,0)))*('Option1 (base case)'!T36-T36)</f>
        <v>2007500</v>
      </c>
      <c r="U64" s="131">
        <f>(1-INDEX(Data!$C$9:$C$13, MATCH($A$3, options,0)))*('Option1 (base case)'!U36-U36)</f>
        <v>2007500</v>
      </c>
      <c r="V64" s="131">
        <f>(1-INDEX(Data!$C$9:$C$13, MATCH($A$3, options,0)))*('Option1 (base case)'!V36-V36)</f>
        <v>2007500</v>
      </c>
      <c r="W64" s="131">
        <f>(1-INDEX(Data!$C$9:$C$13, MATCH($A$3, options,0)))*('Option1 (base case)'!W36-W36)</f>
        <v>2007500</v>
      </c>
      <c r="X64" s="131">
        <f>(1-INDEX(Data!$C$9:$C$13, MATCH($A$3, options,0)))*('Option1 (base case)'!X36-X36)</f>
        <v>2007500</v>
      </c>
      <c r="Y64" s="131">
        <f>(1-INDEX(Data!$C$9:$C$13, MATCH($A$3, options,0)))*('Option1 (base case)'!Y36-Y36)</f>
        <v>2007500</v>
      </c>
      <c r="Z64" s="131">
        <f>(1-INDEX(Data!$C$9:$C$13, MATCH($A$3, options,0)))*('Option1 (base case)'!Z36-Z36)</f>
        <v>2007500</v>
      </c>
      <c r="AA64" s="131">
        <f>(1-INDEX(Data!$C$9:$C$13, MATCH($A$3, options,0)))*('Option1 (base case)'!AA36-AA36)</f>
        <v>2007500</v>
      </c>
      <c r="AB64" s="131">
        <f>(1-INDEX(Data!$C$9:$C$13, MATCH($A$3, options,0)))*('Option1 (base case)'!AB36-AB36)</f>
        <v>2007500</v>
      </c>
      <c r="AC64" s="131">
        <f>(1-INDEX(Data!$C$9:$C$13, MATCH($A$3, options,0)))*('Option1 (base case)'!AC36-AC36)</f>
        <v>2007500</v>
      </c>
      <c r="AD64" s="131">
        <f>(1-INDEX(Data!$C$9:$C$13, MATCH($A$3, options,0)))*('Option1 (base case)'!AD36-AD36)</f>
        <v>2007500</v>
      </c>
      <c r="AE64" s="131">
        <f>(1-INDEX(Data!$C$9:$C$13, MATCH($A$3, options,0)))*('Option1 (base case)'!AE36-AE36)</f>
        <v>2007500</v>
      </c>
      <c r="AF64" s="131">
        <f>(1-INDEX(Data!$C$9:$C$13, MATCH($A$3, options,0)))*('Option1 (base case)'!AF36-AF36)</f>
        <v>2007500</v>
      </c>
      <c r="AG64" s="131">
        <f>(1-INDEX(Data!$C$9:$C$13, MATCH($A$3, options,0)))*('Option1 (base case)'!AG36-AG36)</f>
        <v>2007500</v>
      </c>
      <c r="AH64"/>
    </row>
    <row r="65" spans="1:34" x14ac:dyDescent="0.2">
      <c r="G65" s="211"/>
      <c r="AH65"/>
    </row>
    <row r="66" spans="1:34" x14ac:dyDescent="0.2">
      <c r="A66" s="8"/>
      <c r="B66" s="8"/>
      <c r="C66" s="146" t="s">
        <v>30</v>
      </c>
      <c r="D66" s="38"/>
      <c r="F66" s="97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REFCL mini grid</v>
      </c>
      <c r="D67" s="38"/>
      <c r="F67" s="97"/>
      <c r="G67" s="209">
        <f>input_dollars</f>
        <v>45291</v>
      </c>
      <c r="H67" s="31"/>
      <c r="I67" s="119">
        <f t="shared" ref="I67:AG67" si="5">-I14</f>
        <v>-875000</v>
      </c>
      <c r="J67" s="119">
        <f t="shared" si="5"/>
        <v>-6125000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>
        <f>C15</f>
        <v>0</v>
      </c>
      <c r="D68" s="38"/>
      <c r="F68" s="97"/>
      <c r="G68" s="209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7"/>
      <c r="G69" s="209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3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6" t="s">
        <v>155</v>
      </c>
      <c r="D71" s="38"/>
      <c r="F71" s="97"/>
      <c r="G71" s="212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REFCL mini grid</v>
      </c>
      <c r="D72" s="38"/>
      <c r="F72" s="97"/>
      <c r="G72" s="209">
        <f>input_dollars</f>
        <v>45291</v>
      </c>
      <c r="H72" s="31"/>
      <c r="I72" s="119" cm="1">
        <f t="array" ref="I72">SUMPRODUCT(($I67:I67))-SUMPRODUCT(($I67:I67)*($I$6:I$6&lt;=(I$6-$E14)))</f>
        <v>-875000</v>
      </c>
      <c r="J72" s="119" cm="1">
        <f t="array" ref="J72">SUMPRODUCT(($I67:J67))-SUMPRODUCT(($I67:J67)*($I$6:J$6&lt;=(J$6-$E14)))</f>
        <v>-7000000</v>
      </c>
      <c r="K72" s="119" cm="1">
        <f t="array" ref="K72">SUMPRODUCT(($I67:K67))-SUMPRODUCT(($I67:K67)*($I$6:K$6&lt;=(K$6-$E14)))</f>
        <v>-7000000</v>
      </c>
      <c r="L72" s="119" cm="1">
        <f t="array" ref="L72">SUMPRODUCT(($I67:L67))-SUMPRODUCT(($I67:L67)*($I$6:L$6&lt;=(L$6-$E14)))</f>
        <v>-7000000</v>
      </c>
      <c r="M72" s="119" cm="1">
        <f t="array" ref="M72">SUMPRODUCT(($I67:M67))-SUMPRODUCT(($I67:M67)*($I$6:M$6&lt;=(M$6-$E14)))</f>
        <v>-7000000</v>
      </c>
      <c r="N72" s="119" cm="1">
        <f t="array" ref="N72">SUMPRODUCT(($I67:N67))-SUMPRODUCT(($I67:N67)*($I$6:N$6&lt;=(N$6-$E14)))</f>
        <v>-7000000</v>
      </c>
      <c r="O72" s="119" cm="1">
        <f t="array" ref="O72">SUMPRODUCT(($I67:O67))-SUMPRODUCT(($I67:O67)*($I$6:O$6&lt;=(O$6-$E14)))</f>
        <v>-7000000</v>
      </c>
      <c r="P72" s="119" cm="1">
        <f t="array" ref="P72">SUMPRODUCT(($I67:P67))-SUMPRODUCT(($I67:P67)*($I$6:P$6&lt;=(P$6-$E14)))</f>
        <v>-7000000</v>
      </c>
      <c r="Q72" s="119" cm="1">
        <f t="array" ref="Q72">SUMPRODUCT(($I67:Q67))-SUMPRODUCT(($I67:Q67)*($I$6:Q$6&lt;=(Q$6-$E14)))</f>
        <v>-7000000</v>
      </c>
      <c r="R72" s="119" cm="1">
        <f t="array" ref="R72">SUMPRODUCT(($I67:R67))-SUMPRODUCT(($I67:R67)*($I$6:R$6&lt;=(R$6-$E14)))</f>
        <v>-7000000</v>
      </c>
      <c r="S72" s="119" cm="1">
        <f t="array" ref="S72">SUMPRODUCT(($I67:S67))-SUMPRODUCT(($I67:S67)*($I$6:S$6&lt;=(S$6-$E14)))</f>
        <v>-7000000</v>
      </c>
      <c r="T72" s="119" cm="1">
        <f t="array" ref="T72">SUMPRODUCT(($I67:T67))-SUMPRODUCT(($I67:T67)*($I$6:T$6&lt;=(T$6-$E14)))</f>
        <v>-7000000</v>
      </c>
      <c r="U72" s="119" cm="1">
        <f t="array" ref="U72">SUMPRODUCT(($I67:U67))-SUMPRODUCT(($I67:U67)*($I$6:U$6&lt;=(U$6-$E14)))</f>
        <v>-7000000</v>
      </c>
      <c r="V72" s="119" cm="1">
        <f t="array" ref="V72">SUMPRODUCT(($I67:V67))-SUMPRODUCT(($I67:V67)*($I$6:V$6&lt;=(V$6-$E14)))</f>
        <v>-7000000</v>
      </c>
      <c r="W72" s="119" cm="1">
        <f t="array" ref="W72">SUMPRODUCT(($I67:W67))-SUMPRODUCT(($I67:W67)*($I$6:W$6&lt;=(W$6-$E14)))</f>
        <v>-7000000</v>
      </c>
      <c r="X72" s="119" cm="1">
        <f t="array" ref="X72">SUMPRODUCT(($I67:X67))-SUMPRODUCT(($I67:X67)*($I$6:X$6&lt;=(X$6-$E14)))</f>
        <v>-7000000</v>
      </c>
      <c r="Y72" s="119" cm="1">
        <f t="array" ref="Y72">SUMPRODUCT(($I67:Y67))-SUMPRODUCT(($I67:Y67)*($I$6:Y$6&lt;=(Y$6-$E14)))</f>
        <v>-7000000</v>
      </c>
      <c r="Z72" s="119" cm="1">
        <f t="array" ref="Z72">SUMPRODUCT(($I67:Z67))-SUMPRODUCT(($I67:Z67)*($I$6:Z$6&lt;=(Z$6-$E14)))</f>
        <v>-7000000</v>
      </c>
      <c r="AA72" s="119" cm="1">
        <f t="array" ref="AA72">SUMPRODUCT(($I67:AA67))-SUMPRODUCT(($I67:AA67)*($I$6:AA$6&lt;=(AA$6-$E14)))</f>
        <v>-7000000</v>
      </c>
      <c r="AB72" s="119" cm="1">
        <f t="array" ref="AB72">SUMPRODUCT(($I67:AB67))-SUMPRODUCT(($I67:AB67)*($I$6:AB$6&lt;=(AB$6-$E14)))</f>
        <v>-7000000</v>
      </c>
      <c r="AC72" s="119" cm="1">
        <f t="array" ref="AC72">SUMPRODUCT(($I67:AC67))-SUMPRODUCT(($I67:AC67)*($I$6:AC$6&lt;=(AC$6-$E14)))</f>
        <v>-7000000</v>
      </c>
      <c r="AD72" s="119" cm="1">
        <f t="array" ref="AD72">SUMPRODUCT(($I67:AD67))-SUMPRODUCT(($I67:AD67)*($I$6:AD$6&lt;=(AD$6-$E14)))</f>
        <v>-7000000</v>
      </c>
      <c r="AE72" s="119" cm="1">
        <f t="array" ref="AE72">SUMPRODUCT(($I67:AE67))-SUMPRODUCT(($I67:AE67)*($I$6:AE$6&lt;=(AE$6-$E14)))</f>
        <v>-7000000</v>
      </c>
      <c r="AF72" s="119" cm="1">
        <f t="array" ref="AF72">SUMPRODUCT(($I67:AF67))-SUMPRODUCT(($I67:AF67)*($I$6:AF$6&lt;=(AF$6-$E14)))</f>
        <v>-7000000</v>
      </c>
      <c r="AG72" s="119" cm="1">
        <f t="array" ref="AG72">SUMPRODUCT(($I67:AG67))-SUMPRODUCT(($I67:AG67)*($I$6:AG$6&lt;=(AG$6-$E14)))</f>
        <v>-7000000</v>
      </c>
      <c r="AH72"/>
    </row>
    <row r="73" spans="1:34" x14ac:dyDescent="0.2">
      <c r="A73" s="8"/>
      <c r="B73" s="8"/>
      <c r="C73" s="4">
        <f>C15</f>
        <v>0</v>
      </c>
      <c r="D73" s="38"/>
      <c r="F73" s="97"/>
      <c r="G73" s="209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8"/>
      <c r="F74" s="97"/>
      <c r="G74" s="209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3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6" t="s">
        <v>91</v>
      </c>
      <c r="D76" s="38"/>
      <c r="G76" s="212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REFCL mini grid</v>
      </c>
      <c r="D77" s="38"/>
      <c r="G77" s="209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-37304.495870729479</v>
      </c>
      <c r="K77" s="119">
        <f t="shared" si="8"/>
        <v>-298435.96696583583</v>
      </c>
      <c r="L77" s="119">
        <f t="shared" si="8"/>
        <v>-298435.96696583583</v>
      </c>
      <c r="M77" s="119">
        <f t="shared" si="8"/>
        <v>-298435.96696583583</v>
      </c>
      <c r="N77" s="119">
        <f t="shared" si="8"/>
        <v>-298435.96696583583</v>
      </c>
      <c r="O77" s="119">
        <f t="shared" si="8"/>
        <v>-298435.96696583583</v>
      </c>
      <c r="P77" s="119">
        <f t="shared" si="8"/>
        <v>-298435.96696583583</v>
      </c>
      <c r="Q77" s="119">
        <f t="shared" si="8"/>
        <v>-298435.96696583583</v>
      </c>
      <c r="R77" s="119">
        <f t="shared" si="8"/>
        <v>-298435.96696583583</v>
      </c>
      <c r="S77" s="119">
        <f t="shared" si="8"/>
        <v>-298435.96696583583</v>
      </c>
      <c r="T77" s="119">
        <f t="shared" si="8"/>
        <v>-298435.96696583583</v>
      </c>
      <c r="U77" s="119">
        <f t="shared" si="8"/>
        <v>-298435.96696583583</v>
      </c>
      <c r="V77" s="119">
        <f t="shared" si="8"/>
        <v>-298435.96696583583</v>
      </c>
      <c r="W77" s="119">
        <f t="shared" si="8"/>
        <v>-298435.96696583583</v>
      </c>
      <c r="X77" s="119">
        <f t="shared" si="8"/>
        <v>-298435.96696583583</v>
      </c>
      <c r="Y77" s="119">
        <f t="shared" si="8"/>
        <v>-298435.96696583583</v>
      </c>
      <c r="Z77" s="119">
        <f t="shared" si="8"/>
        <v>-298435.96696583583</v>
      </c>
      <c r="AA77" s="119">
        <f t="shared" si="8"/>
        <v>-298435.96696583583</v>
      </c>
      <c r="AB77" s="119">
        <f t="shared" si="8"/>
        <v>-298435.96696583583</v>
      </c>
      <c r="AC77" s="119">
        <f t="shared" si="8"/>
        <v>-298435.96696583583</v>
      </c>
      <c r="AD77" s="119">
        <f t="shared" si="8"/>
        <v>-298435.96696583583</v>
      </c>
      <c r="AE77" s="119">
        <f t="shared" si="8"/>
        <v>-298435.96696583583</v>
      </c>
      <c r="AF77" s="119">
        <f t="shared" si="8"/>
        <v>-298435.96696583583</v>
      </c>
      <c r="AG77" s="119">
        <f t="shared" si="8"/>
        <v>-298435.96696583583</v>
      </c>
      <c r="AH77"/>
    </row>
    <row r="78" spans="1:34" x14ac:dyDescent="0.2">
      <c r="A78" s="8"/>
      <c r="B78" s="8"/>
      <c r="C78" s="4" t="str">
        <f>$C$76&amp;" - "&amp;C15</f>
        <v xml:space="preserve">Annualised capex - </v>
      </c>
      <c r="D78" s="38"/>
      <c r="G78" s="209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09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x14ac:dyDescent="0.2">
      <c r="A80" s="8"/>
      <c r="B80" s="8"/>
      <c r="C80" s="171" t="s">
        <v>156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1">SUM(J77:J79)</f>
        <v>-37304.495870729479</v>
      </c>
      <c r="K80" s="175">
        <f t="shared" si="11"/>
        <v>-298435.96696583583</v>
      </c>
      <c r="L80" s="175">
        <f t="shared" si="11"/>
        <v>-298435.96696583583</v>
      </c>
      <c r="M80" s="175">
        <f t="shared" si="11"/>
        <v>-298435.96696583583</v>
      </c>
      <c r="N80" s="175">
        <f t="shared" si="11"/>
        <v>-298435.96696583583</v>
      </c>
      <c r="O80" s="175">
        <f t="shared" si="11"/>
        <v>-298435.96696583583</v>
      </c>
      <c r="P80" s="175">
        <f t="shared" si="11"/>
        <v>-298435.96696583583</v>
      </c>
      <c r="Q80" s="175">
        <f t="shared" si="11"/>
        <v>-298435.96696583583</v>
      </c>
      <c r="R80" s="175">
        <f t="shared" si="11"/>
        <v>-298435.96696583583</v>
      </c>
      <c r="S80" s="175">
        <f t="shared" si="11"/>
        <v>-298435.96696583583</v>
      </c>
      <c r="T80" s="175">
        <f t="shared" si="11"/>
        <v>-298435.96696583583</v>
      </c>
      <c r="U80" s="175">
        <f t="shared" si="11"/>
        <v>-298435.96696583583</v>
      </c>
      <c r="V80" s="175">
        <f t="shared" si="11"/>
        <v>-298435.96696583583</v>
      </c>
      <c r="W80" s="175">
        <f t="shared" si="11"/>
        <v>-298435.96696583583</v>
      </c>
      <c r="X80" s="175">
        <f t="shared" si="11"/>
        <v>-298435.96696583583</v>
      </c>
      <c r="Y80" s="175">
        <f t="shared" si="11"/>
        <v>-298435.96696583583</v>
      </c>
      <c r="Z80" s="175">
        <f t="shared" si="11"/>
        <v>-298435.96696583583</v>
      </c>
      <c r="AA80" s="175">
        <f t="shared" si="11"/>
        <v>-298435.96696583583</v>
      </c>
      <c r="AB80" s="175">
        <f t="shared" si="11"/>
        <v>-298435.96696583583</v>
      </c>
      <c r="AC80" s="175">
        <f>SUM(AC77:AC79)</f>
        <v>-298435.96696583583</v>
      </c>
      <c r="AD80" s="175">
        <f>SUM(AD77:AD79)</f>
        <v>-298435.96696583583</v>
      </c>
      <c r="AE80" s="175">
        <f>SUM(AE77:AE79)</f>
        <v>-298435.96696583583</v>
      </c>
      <c r="AF80" s="175">
        <f>SUM(AF77:AF79)</f>
        <v>-298435.96696583583</v>
      </c>
      <c r="AG80" s="175">
        <f>SUM(AG77:AG79)</f>
        <v>-298435.96696583583</v>
      </c>
      <c r="AH80"/>
    </row>
    <row r="81" spans="1:34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09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-37304.495870729479</v>
      </c>
      <c r="K82" s="119">
        <f t="shared" si="13"/>
        <v>-298435.96696583583</v>
      </c>
      <c r="L82" s="119">
        <f t="shared" si="13"/>
        <v>-298435.96696583583</v>
      </c>
      <c r="M82" s="119">
        <f t="shared" si="13"/>
        <v>-298435.96696583583</v>
      </c>
      <c r="N82" s="119">
        <f t="shared" si="13"/>
        <v>-298435.96696583583</v>
      </c>
      <c r="O82" s="119">
        <f t="shared" si="13"/>
        <v>-298435.96696583583</v>
      </c>
      <c r="P82" s="119">
        <f t="shared" si="13"/>
        <v>-298435.96696583583</v>
      </c>
      <c r="Q82" s="119">
        <f t="shared" si="13"/>
        <v>-298435.96696583583</v>
      </c>
      <c r="R82" s="119">
        <f t="shared" si="13"/>
        <v>-298435.96696583583</v>
      </c>
      <c r="S82" s="119">
        <f t="shared" si="13"/>
        <v>-298435.96696583583</v>
      </c>
      <c r="T82" s="119">
        <f t="shared" si="13"/>
        <v>-298435.96696583583</v>
      </c>
      <c r="U82" s="119">
        <f t="shared" si="13"/>
        <v>-298435.96696583583</v>
      </c>
      <c r="V82" s="119">
        <f t="shared" si="13"/>
        <v>-298435.96696583583</v>
      </c>
      <c r="W82" s="119">
        <f t="shared" si="13"/>
        <v>-298435.96696583583</v>
      </c>
      <c r="X82" s="119">
        <f t="shared" si="13"/>
        <v>-298435.96696583583</v>
      </c>
      <c r="Y82" s="119">
        <f t="shared" si="13"/>
        <v>-298435.96696583583</v>
      </c>
      <c r="Z82" s="119">
        <f t="shared" si="13"/>
        <v>-298435.96696583583</v>
      </c>
      <c r="AA82" s="119">
        <f t="shared" si="13"/>
        <v>-298435.96696583583</v>
      </c>
      <c r="AB82" s="119">
        <f t="shared" si="13"/>
        <v>-298435.96696583583</v>
      </c>
      <c r="AC82" s="119">
        <f>AC80</f>
        <v>-298435.96696583583</v>
      </c>
      <c r="AD82" s="119">
        <f>AD80</f>
        <v>-298435.96696583583</v>
      </c>
      <c r="AE82" s="119">
        <f>AE80</f>
        <v>-298435.96696583583</v>
      </c>
      <c r="AF82" s="119">
        <f>AF80</f>
        <v>-298435.96696583583</v>
      </c>
      <c r="AG82" s="119">
        <f>AG80</f>
        <v>-298435.96696583583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09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2">
      <c r="A84" s="8"/>
      <c r="B84" s="8"/>
      <c r="C84" s="4" t="s">
        <v>139</v>
      </c>
      <c r="D84" s="38"/>
      <c r="F84" s="97"/>
      <c r="G84" s="209">
        <f t="shared" si="12"/>
        <v>45291</v>
      </c>
      <c r="H84" s="31"/>
      <c r="I84" s="31">
        <f t="shared" ref="I84:AG84" si="15">I64</f>
        <v>0</v>
      </c>
      <c r="J84" s="31">
        <f t="shared" si="15"/>
        <v>0</v>
      </c>
      <c r="K84" s="31">
        <f t="shared" si="15"/>
        <v>10000000</v>
      </c>
      <c r="L84" s="31">
        <f t="shared" si="15"/>
        <v>2007500</v>
      </c>
      <c r="M84" s="31">
        <f t="shared" si="15"/>
        <v>2007500</v>
      </c>
      <c r="N84" s="31">
        <f t="shared" si="15"/>
        <v>2007500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 t="shared" si="15"/>
        <v>2007500</v>
      </c>
      <c r="AD84" s="31">
        <f t="shared" si="15"/>
        <v>2007500</v>
      </c>
      <c r="AE84" s="31">
        <f t="shared" si="15"/>
        <v>2007500</v>
      </c>
      <c r="AF84" s="31">
        <f t="shared" si="15"/>
        <v>2007500</v>
      </c>
      <c r="AG84" s="31">
        <f t="shared" si="15"/>
        <v>2007500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09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6" t="s">
        <v>186</v>
      </c>
      <c r="D87" s="177"/>
      <c r="E87" s="172"/>
      <c r="F87" s="178"/>
      <c r="G87" s="214">
        <f t="shared" si="12"/>
        <v>45291</v>
      </c>
      <c r="H87" s="178"/>
      <c r="I87" s="178">
        <f t="shared" ref="I87:AB87" si="17">SUM(I82:I86)</f>
        <v>0</v>
      </c>
      <c r="J87" s="178">
        <f t="shared" si="17"/>
        <v>-37304.495870729479</v>
      </c>
      <c r="K87" s="178">
        <f t="shared" si="17"/>
        <v>9701564.0330341645</v>
      </c>
      <c r="L87" s="178">
        <f t="shared" si="17"/>
        <v>1709064.0330341642</v>
      </c>
      <c r="M87" s="178">
        <f t="shared" si="17"/>
        <v>1709064.0330341642</v>
      </c>
      <c r="N87" s="178">
        <f t="shared" si="17"/>
        <v>1709064.0330341642</v>
      </c>
      <c r="O87" s="178">
        <f t="shared" si="17"/>
        <v>1709064.0330341642</v>
      </c>
      <c r="P87" s="178">
        <f t="shared" si="17"/>
        <v>1709064.0330341642</v>
      </c>
      <c r="Q87" s="178">
        <f t="shared" si="17"/>
        <v>1709064.0330341642</v>
      </c>
      <c r="R87" s="178">
        <f t="shared" si="17"/>
        <v>1709064.0330341642</v>
      </c>
      <c r="S87" s="178">
        <f t="shared" si="17"/>
        <v>1709064.0330341642</v>
      </c>
      <c r="T87" s="178">
        <f t="shared" si="17"/>
        <v>1709064.0330341642</v>
      </c>
      <c r="U87" s="178">
        <f t="shared" si="17"/>
        <v>1709064.0330341642</v>
      </c>
      <c r="V87" s="178">
        <f t="shared" si="17"/>
        <v>1709064.0330341642</v>
      </c>
      <c r="W87" s="178">
        <f t="shared" si="17"/>
        <v>1709064.0330341642</v>
      </c>
      <c r="X87" s="178">
        <f t="shared" si="17"/>
        <v>1709064.0330341642</v>
      </c>
      <c r="Y87" s="178">
        <f t="shared" si="17"/>
        <v>1709064.0330341642</v>
      </c>
      <c r="Z87" s="178">
        <f t="shared" si="17"/>
        <v>1709064.0330341642</v>
      </c>
      <c r="AA87" s="178">
        <f t="shared" si="17"/>
        <v>1709064.0330341642</v>
      </c>
      <c r="AB87" s="178">
        <f t="shared" si="17"/>
        <v>1709064.0330341642</v>
      </c>
      <c r="AC87" s="178">
        <f>SUM(AC82:AC86)</f>
        <v>1709064.0330341642</v>
      </c>
      <c r="AD87" s="178">
        <f>SUM(AD82:AD86)</f>
        <v>1709064.0330341642</v>
      </c>
      <c r="AE87" s="178">
        <f>SUM(AE82:AE86)</f>
        <v>1709064.0330341642</v>
      </c>
      <c r="AF87" s="178">
        <f>SUM(AF82:AF86)</f>
        <v>1709064.0330341642</v>
      </c>
      <c r="AG87" s="178">
        <f>SUM(AG82:AG86)</f>
        <v>1709064.0330341642</v>
      </c>
      <c r="AH87"/>
    </row>
    <row r="88" spans="1:34" x14ac:dyDescent="0.2">
      <c r="A88" s="8"/>
      <c r="B88" s="8"/>
      <c r="C88" s="75"/>
      <c r="D88" s="137"/>
      <c r="E88" s="64"/>
      <c r="F88" s="140"/>
      <c r="G88" s="216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7"/>
      <c r="E89" s="64"/>
      <c r="F89" s="140"/>
      <c r="G89" s="216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29" t="s">
        <v>196</v>
      </c>
      <c r="D90" s="82"/>
      <c r="E90" s="230"/>
      <c r="F90" s="231"/>
      <c r="G90" s="232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3"/>
      <c r="E91" s="230"/>
      <c r="F91" s="230"/>
      <c r="G91" s="232"/>
    </row>
    <row r="92" spans="1:34" x14ac:dyDescent="0.2">
      <c r="C92" s="234" t="s">
        <v>191</v>
      </c>
      <c r="D92" s="235"/>
      <c r="E92" s="235"/>
      <c r="F92" s="235"/>
      <c r="G92" s="236">
        <f>IF(_xlfn.MINIFS($G$90:$G$91, $G$90:$G$91, "&gt;"&amp;0)=0, $A$4, _xlfn.MINIFS($G$90:$G$91, $G$90:$G$91, "&gt;"&amp;0))</f>
        <v>1</v>
      </c>
    </row>
    <row r="94" spans="1:34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8">J87</f>
        <v>-37304.495870729479</v>
      </c>
      <c r="K106" s="31">
        <f t="shared" si="18"/>
        <v>9701564.0330341645</v>
      </c>
      <c r="L106" s="31">
        <f t="shared" si="18"/>
        <v>1709064.0330341642</v>
      </c>
      <c r="M106" s="31">
        <f t="shared" si="18"/>
        <v>1709064.0330341642</v>
      </c>
      <c r="N106" s="31">
        <f t="shared" si="18"/>
        <v>1709064.0330341642</v>
      </c>
      <c r="O106" s="31">
        <f t="shared" si="18"/>
        <v>1709064.0330341642</v>
      </c>
      <c r="P106" s="31">
        <f t="shared" si="18"/>
        <v>1709064.0330341642</v>
      </c>
      <c r="Q106" s="31">
        <f t="shared" si="18"/>
        <v>1709064.0330341642</v>
      </c>
      <c r="R106" s="31">
        <f t="shared" si="18"/>
        <v>1709064.0330341642</v>
      </c>
      <c r="S106" s="31">
        <f t="shared" si="18"/>
        <v>1709064.0330341642</v>
      </c>
      <c r="T106" s="31">
        <f t="shared" si="18"/>
        <v>1709064.0330341642</v>
      </c>
      <c r="U106" s="31">
        <f t="shared" si="18"/>
        <v>1709064.0330341642</v>
      </c>
      <c r="V106" s="31">
        <f t="shared" si="18"/>
        <v>1709064.0330341642</v>
      </c>
      <c r="W106" s="31">
        <f t="shared" si="18"/>
        <v>1709064.0330341642</v>
      </c>
      <c r="X106" s="31">
        <f t="shared" si="18"/>
        <v>1709064.0330341642</v>
      </c>
      <c r="Y106" s="31">
        <f t="shared" si="18"/>
        <v>1709064.0330341642</v>
      </c>
      <c r="Z106" s="31">
        <f t="shared" si="18"/>
        <v>1709064.0330341642</v>
      </c>
      <c r="AA106" s="31">
        <f t="shared" si="18"/>
        <v>1709064.0330341642</v>
      </c>
      <c r="AB106" s="31">
        <f t="shared" si="18"/>
        <v>1709064.0330341642</v>
      </c>
      <c r="AC106" s="31">
        <f t="shared" si="18"/>
        <v>1709064.0330341642</v>
      </c>
      <c r="AD106" s="31">
        <f t="shared" si="18"/>
        <v>1709064.0330341642</v>
      </c>
      <c r="AE106" s="31">
        <f t="shared" si="18"/>
        <v>1709064.0330341642</v>
      </c>
      <c r="AF106" s="31">
        <f t="shared" si="18"/>
        <v>1709064.0330341642</v>
      </c>
      <c r="AG106" s="31">
        <f t="shared" si="18"/>
        <v>1709064.0330341642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-37304.495870729479</v>
      </c>
      <c r="K107" s="31">
        <f t="shared" si="19"/>
        <v>-298435.96696583583</v>
      </c>
      <c r="L107" s="31">
        <f t="shared" si="19"/>
        <v>-298435.96696583583</v>
      </c>
      <c r="M107" s="31">
        <f t="shared" si="19"/>
        <v>-298435.96696583583</v>
      </c>
      <c r="N107" s="31">
        <f t="shared" si="19"/>
        <v>-298435.96696583583</v>
      </c>
      <c r="O107" s="31">
        <f t="shared" si="19"/>
        <v>-298435.96696583583</v>
      </c>
      <c r="P107" s="31">
        <f t="shared" si="19"/>
        <v>-298435.96696583583</v>
      </c>
      <c r="Q107" s="31">
        <f t="shared" si="19"/>
        <v>-298435.96696583583</v>
      </c>
      <c r="R107" s="31">
        <f t="shared" si="19"/>
        <v>-298435.96696583583</v>
      </c>
      <c r="S107" s="31">
        <f t="shared" si="19"/>
        <v>-298435.96696583583</v>
      </c>
      <c r="T107" s="31">
        <f t="shared" si="19"/>
        <v>-298435.96696583583</v>
      </c>
      <c r="U107" s="31">
        <f t="shared" si="19"/>
        <v>-298435.96696583583</v>
      </c>
      <c r="V107" s="31">
        <f t="shared" si="19"/>
        <v>-298435.96696583583</v>
      </c>
      <c r="W107" s="31">
        <f t="shared" si="19"/>
        <v>-298435.96696583583</v>
      </c>
      <c r="X107" s="31">
        <f t="shared" si="19"/>
        <v>-298435.96696583583</v>
      </c>
      <c r="Y107" s="31">
        <f t="shared" si="19"/>
        <v>-298435.96696583583</v>
      </c>
      <c r="Z107" s="31">
        <f t="shared" si="19"/>
        <v>-298435.96696583583</v>
      </c>
      <c r="AA107" s="31">
        <f t="shared" si="19"/>
        <v>-298435.96696583583</v>
      </c>
      <c r="AB107" s="31">
        <f t="shared" si="19"/>
        <v>-298435.96696583583</v>
      </c>
      <c r="AC107" s="31">
        <f t="shared" si="19"/>
        <v>-298435.96696583583</v>
      </c>
      <c r="AD107" s="31">
        <f t="shared" si="19"/>
        <v>-298435.96696583583</v>
      </c>
      <c r="AE107" s="31">
        <f t="shared" si="19"/>
        <v>-298435.96696583583</v>
      </c>
      <c r="AF107" s="31">
        <f t="shared" si="19"/>
        <v>-298435.96696583583</v>
      </c>
      <c r="AG107" s="31">
        <f t="shared" si="19"/>
        <v>-298435.96696583583</v>
      </c>
    </row>
    <row r="108" spans="1:43" x14ac:dyDescent="0.2">
      <c r="C108" s="1" t="s">
        <v>237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10000000</v>
      </c>
      <c r="L108" s="31">
        <f t="shared" si="20"/>
        <v>2007500</v>
      </c>
      <c r="M108" s="31">
        <f t="shared" si="20"/>
        <v>2007500</v>
      </c>
      <c r="N108" s="31">
        <f t="shared" si="20"/>
        <v>2007500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-41034.945457802431</v>
      </c>
      <c r="K110" s="31" cm="1">
        <f t="array" ref="K110">K$106+IF($C110&lt;&gt;0,SUMPRODUCT((K$107:K$108)*TRANSPOSE(($D110:$E110))),0)</f>
        <v>9671720.4363375809</v>
      </c>
      <c r="L110" s="31" cm="1">
        <f t="array" ref="L110">L$106+IF($C110&lt;&gt;0,SUMPRODUCT((L$107:L$108)*TRANSPOSE(($D110:$E110))),0)</f>
        <v>1679220.4363375807</v>
      </c>
      <c r="M110" s="31" cm="1">
        <f t="array" ref="M110">M$106+IF($C110&lt;&gt;0,SUMPRODUCT((M$107:M$108)*TRANSPOSE(($D110:$E110))),0)</f>
        <v>1679220.4363375807</v>
      </c>
      <c r="N110" s="31" cm="1">
        <f t="array" ref="N110">N$106+IF($C110&lt;&gt;0,SUMPRODUCT((N$107:N$108)*TRANSPOSE(($D110:$E110))),0)</f>
        <v>1679220.4363375807</v>
      </c>
      <c r="O110" s="31" cm="1">
        <f t="array" ref="O110">O$106+IF($C110&lt;&gt;0,SUMPRODUCT((O$107:O$108)*TRANSPOSE(($D110:$E110))),0)</f>
        <v>1679220.4363375807</v>
      </c>
      <c r="P110" s="31" cm="1">
        <f t="array" ref="P110">P$106+IF($C110&lt;&gt;0,SUMPRODUCT((P$107:P$108)*TRANSPOSE(($D110:$E110))),0)</f>
        <v>1679220.4363375807</v>
      </c>
      <c r="Q110" s="31" cm="1">
        <f t="array" ref="Q110">Q$106+IF($C110&lt;&gt;0,SUMPRODUCT((Q$107:Q$108)*TRANSPOSE(($D110:$E110))),0)</f>
        <v>1679220.4363375807</v>
      </c>
      <c r="R110" s="31" cm="1">
        <f t="array" ref="R110">R$106+IF($C110&lt;&gt;0,SUMPRODUCT((R$107:R$108)*TRANSPOSE(($D110:$E110))),0)</f>
        <v>1679220.4363375807</v>
      </c>
      <c r="S110" s="31" cm="1">
        <f t="array" ref="S110">S$106+IF($C110&lt;&gt;0,SUMPRODUCT((S$107:S$108)*TRANSPOSE(($D110:$E110))),0)</f>
        <v>1679220.4363375807</v>
      </c>
      <c r="T110" s="31" cm="1">
        <f t="array" ref="T110">T$106+IF($C110&lt;&gt;0,SUMPRODUCT((T$107:T$108)*TRANSPOSE(($D110:$E110))),0)</f>
        <v>1679220.4363375807</v>
      </c>
      <c r="U110" s="31" cm="1">
        <f t="array" ref="U110">U$106+IF($C110&lt;&gt;0,SUMPRODUCT((U$107:U$108)*TRANSPOSE(($D110:$E110))),0)</f>
        <v>1679220.4363375807</v>
      </c>
      <c r="V110" s="31" cm="1">
        <f t="array" ref="V110">V$106+IF($C110&lt;&gt;0,SUMPRODUCT((V$107:V$108)*TRANSPOSE(($D110:$E110))),0)</f>
        <v>1679220.4363375807</v>
      </c>
      <c r="W110" s="31" cm="1">
        <f t="array" ref="W110">W$106+IF($C110&lt;&gt;0,SUMPRODUCT((W$107:W$108)*TRANSPOSE(($D110:$E110))),0)</f>
        <v>1679220.4363375807</v>
      </c>
      <c r="X110" s="31" cm="1">
        <f t="array" ref="X110">X$106+IF($C110&lt;&gt;0,SUMPRODUCT((X$107:X$108)*TRANSPOSE(($D110:$E110))),0)</f>
        <v>1679220.4363375807</v>
      </c>
      <c r="Y110" s="31" cm="1">
        <f t="array" ref="Y110">Y$106+IF($C110&lt;&gt;0,SUMPRODUCT((Y$107:Y$108)*TRANSPOSE(($D110:$E110))),0)</f>
        <v>1679220.4363375807</v>
      </c>
      <c r="Z110" s="31" cm="1">
        <f t="array" ref="Z110">Z$106+IF($C110&lt;&gt;0,SUMPRODUCT((Z$107:Z$108)*TRANSPOSE(($D110:$E110))),0)</f>
        <v>1679220.4363375807</v>
      </c>
      <c r="AA110" s="31" cm="1">
        <f t="array" ref="AA110">AA$106+IF($C110&lt;&gt;0,SUMPRODUCT((AA$107:AA$108)*TRANSPOSE(($D110:$E110))),0)</f>
        <v>1679220.4363375807</v>
      </c>
      <c r="AB110" s="31" cm="1">
        <f t="array" ref="AB110">AB$106+IF($C110&lt;&gt;0,SUMPRODUCT((AB$107:AB$108)*TRANSPOSE(($D110:$E110))),0)</f>
        <v>1679220.4363375807</v>
      </c>
      <c r="AC110" s="31" cm="1">
        <f t="array" ref="AC110">AC$106+IF($C110&lt;&gt;0,SUMPRODUCT((AC$107:AC$108)*TRANSPOSE(($D110:$E110))),0)</f>
        <v>1679220.4363375807</v>
      </c>
      <c r="AD110" s="31" cm="1">
        <f t="array" ref="AD110">AD$106+IF($C110&lt;&gt;0,SUMPRODUCT((AD$107:AD$108)*TRANSPOSE(($D110:$E110))),0)</f>
        <v>1679220.4363375807</v>
      </c>
      <c r="AE110" s="31" cm="1">
        <f t="array" ref="AE110">AE$106+IF($C110&lt;&gt;0,SUMPRODUCT((AE$107:AE$108)*TRANSPOSE(($D110:$E110))),0)</f>
        <v>1679220.4363375807</v>
      </c>
      <c r="AF110" s="31" cm="1">
        <f t="array" ref="AF110">AF$106+IF($C110&lt;&gt;0,SUMPRODUCT((AF$107:AF$108)*TRANSPOSE(($D110:$E110))),0)</f>
        <v>1679220.4363375807</v>
      </c>
      <c r="AG110" s="31" cm="1">
        <f t="array" ref="AG110">AG$106+IF($C110&lt;&gt;0,SUMPRODUCT((AG$107:AG$108)*TRANSPOSE(($D110:$E110))),0)</f>
        <v>1679220.4363375807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-33574.046283656528</v>
      </c>
      <c r="K111" s="31" cm="1">
        <f t="array" ref="K111">K$106+IF($C111&lt;&gt;0,SUMPRODUCT((K$107:K$108)*TRANSPOSE(($D111:$E111))),0)</f>
        <v>9731407.629730748</v>
      </c>
      <c r="L111" s="31" cm="1">
        <f t="array" ref="L111">L$106+IF($C111&lt;&gt;0,SUMPRODUCT((L$107:L$108)*TRANSPOSE(($D111:$E111))),0)</f>
        <v>1738907.6297307478</v>
      </c>
      <c r="M111" s="31" cm="1">
        <f t="array" ref="M111">M$106+IF($C111&lt;&gt;0,SUMPRODUCT((M$107:M$108)*TRANSPOSE(($D111:$E111))),0)</f>
        <v>1738907.6297307478</v>
      </c>
      <c r="N111" s="31" cm="1">
        <f t="array" ref="N111">N$106+IF($C111&lt;&gt;0,SUMPRODUCT((N$107:N$108)*TRANSPOSE(($D111:$E111))),0)</f>
        <v>1738907.6297307478</v>
      </c>
      <c r="O111" s="31" cm="1">
        <f t="array" ref="O111">O$106+IF($C111&lt;&gt;0,SUMPRODUCT((O$107:O$108)*TRANSPOSE(($D111:$E111))),0)</f>
        <v>1738907.6297307478</v>
      </c>
      <c r="P111" s="31" cm="1">
        <f t="array" ref="P111">P$106+IF($C111&lt;&gt;0,SUMPRODUCT((P$107:P$108)*TRANSPOSE(($D111:$E111))),0)</f>
        <v>1738907.6297307478</v>
      </c>
      <c r="Q111" s="31" cm="1">
        <f t="array" ref="Q111">Q$106+IF($C111&lt;&gt;0,SUMPRODUCT((Q$107:Q$108)*TRANSPOSE(($D111:$E111))),0)</f>
        <v>1738907.6297307478</v>
      </c>
      <c r="R111" s="31" cm="1">
        <f t="array" ref="R111">R$106+IF($C111&lt;&gt;0,SUMPRODUCT((R$107:R$108)*TRANSPOSE(($D111:$E111))),0)</f>
        <v>1738907.6297307478</v>
      </c>
      <c r="S111" s="31" cm="1">
        <f t="array" ref="S111">S$106+IF($C111&lt;&gt;0,SUMPRODUCT((S$107:S$108)*TRANSPOSE(($D111:$E111))),0)</f>
        <v>1738907.6297307478</v>
      </c>
      <c r="T111" s="31" cm="1">
        <f t="array" ref="T111">T$106+IF($C111&lt;&gt;0,SUMPRODUCT((T$107:T$108)*TRANSPOSE(($D111:$E111))),0)</f>
        <v>1738907.6297307478</v>
      </c>
      <c r="U111" s="31" cm="1">
        <f t="array" ref="U111">U$106+IF($C111&lt;&gt;0,SUMPRODUCT((U$107:U$108)*TRANSPOSE(($D111:$E111))),0)</f>
        <v>1738907.6297307478</v>
      </c>
      <c r="V111" s="31" cm="1">
        <f t="array" ref="V111">V$106+IF($C111&lt;&gt;0,SUMPRODUCT((V$107:V$108)*TRANSPOSE(($D111:$E111))),0)</f>
        <v>1738907.6297307478</v>
      </c>
      <c r="W111" s="31" cm="1">
        <f t="array" ref="W111">W$106+IF($C111&lt;&gt;0,SUMPRODUCT((W$107:W$108)*TRANSPOSE(($D111:$E111))),0)</f>
        <v>1738907.6297307478</v>
      </c>
      <c r="X111" s="31" cm="1">
        <f t="array" ref="X111">X$106+IF($C111&lt;&gt;0,SUMPRODUCT((X$107:X$108)*TRANSPOSE(($D111:$E111))),0)</f>
        <v>1738907.6297307478</v>
      </c>
      <c r="Y111" s="31" cm="1">
        <f t="array" ref="Y111">Y$106+IF($C111&lt;&gt;0,SUMPRODUCT((Y$107:Y$108)*TRANSPOSE(($D111:$E111))),0)</f>
        <v>1738907.6297307478</v>
      </c>
      <c r="Z111" s="31" cm="1">
        <f t="array" ref="Z111">Z$106+IF($C111&lt;&gt;0,SUMPRODUCT((Z$107:Z$108)*TRANSPOSE(($D111:$E111))),0)</f>
        <v>1738907.6297307478</v>
      </c>
      <c r="AA111" s="31" cm="1">
        <f t="array" ref="AA111">AA$106+IF($C111&lt;&gt;0,SUMPRODUCT((AA$107:AA$108)*TRANSPOSE(($D111:$E111))),0)</f>
        <v>1738907.6297307478</v>
      </c>
      <c r="AB111" s="31" cm="1">
        <f t="array" ref="AB111">AB$106+IF($C111&lt;&gt;0,SUMPRODUCT((AB$107:AB$108)*TRANSPOSE(($D111:$E111))),0)</f>
        <v>1738907.6297307478</v>
      </c>
      <c r="AC111" s="31" cm="1">
        <f t="array" ref="AC111">AC$106+IF($C111&lt;&gt;0,SUMPRODUCT((AC$107:AC$108)*TRANSPOSE(($D111:$E111))),0)</f>
        <v>1738907.6297307478</v>
      </c>
      <c r="AD111" s="31" cm="1">
        <f t="array" ref="AD111">AD$106+IF($C111&lt;&gt;0,SUMPRODUCT((AD$107:AD$108)*TRANSPOSE(($D111:$E111))),0)</f>
        <v>1738907.6297307478</v>
      </c>
      <c r="AE111" s="31" cm="1">
        <f t="array" ref="AE111">AE$106+IF($C111&lt;&gt;0,SUMPRODUCT((AE$107:AE$108)*TRANSPOSE(($D111:$E111))),0)</f>
        <v>1738907.6297307478</v>
      </c>
      <c r="AF111" s="31" cm="1">
        <f t="array" ref="AF111">AF$106+IF($C111&lt;&gt;0,SUMPRODUCT((AF$107:AF$108)*TRANSPOSE(($D111:$E111))),0)</f>
        <v>1738907.6297307478</v>
      </c>
      <c r="AG111" s="31" cm="1">
        <f t="array" ref="AG111">AG$106+IF($C111&lt;&gt;0,SUMPRODUCT((AG$107:AG$108)*TRANSPOSE(($D111:$E111))),0)</f>
        <v>1738907.6297307478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-37304.495870729479</v>
      </c>
      <c r="K112" s="31" cm="1">
        <f t="array" ref="K112">K$106+IF($C112&lt;&gt;0,SUMPRODUCT((K$107:K$108)*TRANSPOSE(($D112:$E112))),0)</f>
        <v>10701564.033034164</v>
      </c>
      <c r="L112" s="31" cm="1">
        <f t="array" ref="L112">L$106+IF($C112&lt;&gt;0,SUMPRODUCT((L$107:L$108)*TRANSPOSE(($D112:$E112))),0)</f>
        <v>1909814.0330341642</v>
      </c>
      <c r="M112" s="31" cm="1">
        <f t="array" ref="M112">M$106+IF($C112&lt;&gt;0,SUMPRODUCT((M$107:M$108)*TRANSPOSE(($D112:$E112))),0)</f>
        <v>1909814.0330341642</v>
      </c>
      <c r="N112" s="31" cm="1">
        <f t="array" ref="N112">N$106+IF($C112&lt;&gt;0,SUMPRODUCT((N$107:N$108)*TRANSPOSE(($D112:$E112))),0)</f>
        <v>1909814.0330341642</v>
      </c>
      <c r="O112" s="31" cm="1">
        <f t="array" ref="O112">O$106+IF($C112&lt;&gt;0,SUMPRODUCT((O$107:O$108)*TRANSPOSE(($D112:$E112))),0)</f>
        <v>1909814.0330341642</v>
      </c>
      <c r="P112" s="31" cm="1">
        <f t="array" ref="P112">P$106+IF($C112&lt;&gt;0,SUMPRODUCT((P$107:P$108)*TRANSPOSE(($D112:$E112))),0)</f>
        <v>1909814.0330341642</v>
      </c>
      <c r="Q112" s="31" cm="1">
        <f t="array" ref="Q112">Q$106+IF($C112&lt;&gt;0,SUMPRODUCT((Q$107:Q$108)*TRANSPOSE(($D112:$E112))),0)</f>
        <v>1909814.0330341642</v>
      </c>
      <c r="R112" s="31" cm="1">
        <f t="array" ref="R112">R$106+IF($C112&lt;&gt;0,SUMPRODUCT((R$107:R$108)*TRANSPOSE(($D112:$E112))),0)</f>
        <v>1909814.0330341642</v>
      </c>
      <c r="S112" s="31" cm="1">
        <f t="array" ref="S112">S$106+IF($C112&lt;&gt;0,SUMPRODUCT((S$107:S$108)*TRANSPOSE(($D112:$E112))),0)</f>
        <v>1909814.0330341642</v>
      </c>
      <c r="T112" s="31" cm="1">
        <f t="array" ref="T112">T$106+IF($C112&lt;&gt;0,SUMPRODUCT((T$107:T$108)*TRANSPOSE(($D112:$E112))),0)</f>
        <v>1909814.0330341642</v>
      </c>
      <c r="U112" s="31" cm="1">
        <f t="array" ref="U112">U$106+IF($C112&lt;&gt;0,SUMPRODUCT((U$107:U$108)*TRANSPOSE(($D112:$E112))),0)</f>
        <v>1909814.0330341642</v>
      </c>
      <c r="V112" s="31" cm="1">
        <f t="array" ref="V112">V$106+IF($C112&lt;&gt;0,SUMPRODUCT((V$107:V$108)*TRANSPOSE(($D112:$E112))),0)</f>
        <v>1909814.0330341642</v>
      </c>
      <c r="W112" s="31" cm="1">
        <f t="array" ref="W112">W$106+IF($C112&lt;&gt;0,SUMPRODUCT((W$107:W$108)*TRANSPOSE(($D112:$E112))),0)</f>
        <v>1909814.0330341642</v>
      </c>
      <c r="X112" s="31" cm="1">
        <f t="array" ref="X112">X$106+IF($C112&lt;&gt;0,SUMPRODUCT((X$107:X$108)*TRANSPOSE(($D112:$E112))),0)</f>
        <v>1909814.0330341642</v>
      </c>
      <c r="Y112" s="31" cm="1">
        <f t="array" ref="Y112">Y$106+IF($C112&lt;&gt;0,SUMPRODUCT((Y$107:Y$108)*TRANSPOSE(($D112:$E112))),0)</f>
        <v>1909814.0330341642</v>
      </c>
      <c r="Z112" s="31" cm="1">
        <f t="array" ref="Z112">Z$106+IF($C112&lt;&gt;0,SUMPRODUCT((Z$107:Z$108)*TRANSPOSE(($D112:$E112))),0)</f>
        <v>1909814.0330341642</v>
      </c>
      <c r="AA112" s="31" cm="1">
        <f t="array" ref="AA112">AA$106+IF($C112&lt;&gt;0,SUMPRODUCT((AA$107:AA$108)*TRANSPOSE(($D112:$E112))),0)</f>
        <v>1909814.0330341642</v>
      </c>
      <c r="AB112" s="31" cm="1">
        <f t="array" ref="AB112">AB$106+IF($C112&lt;&gt;0,SUMPRODUCT((AB$107:AB$108)*TRANSPOSE(($D112:$E112))),0)</f>
        <v>1909814.0330341642</v>
      </c>
      <c r="AC112" s="31" cm="1">
        <f t="array" ref="AC112">AC$106+IF($C112&lt;&gt;0,SUMPRODUCT((AC$107:AC$108)*TRANSPOSE(($D112:$E112))),0)</f>
        <v>1909814.0330341642</v>
      </c>
      <c r="AD112" s="31" cm="1">
        <f t="array" ref="AD112">AD$106+IF($C112&lt;&gt;0,SUMPRODUCT((AD$107:AD$108)*TRANSPOSE(($D112:$E112))),0)</f>
        <v>1909814.0330341642</v>
      </c>
      <c r="AE112" s="31" cm="1">
        <f t="array" ref="AE112">AE$106+IF($C112&lt;&gt;0,SUMPRODUCT((AE$107:AE$108)*TRANSPOSE(($D112:$E112))),0)</f>
        <v>1909814.0330341642</v>
      </c>
      <c r="AF112" s="31" cm="1">
        <f t="array" ref="AF112">AF$106+IF($C112&lt;&gt;0,SUMPRODUCT((AF$107:AF$108)*TRANSPOSE(($D112:$E112))),0)</f>
        <v>1909814.0330341642</v>
      </c>
      <c r="AG112" s="31" cm="1">
        <f t="array" ref="AG112">AG$106+IF($C112&lt;&gt;0,SUMPRODUCT((AG$107:AG$108)*TRANSPOSE(($D112:$E112))),0)</f>
        <v>1909814.0330341642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-37304.495870729479</v>
      </c>
      <c r="K113" s="31" cm="1">
        <f t="array" ref="K113">K$106+IF($C113&lt;&gt;0,SUMPRODUCT((K$107:K$108)*TRANSPOSE(($D113:$E113))),0)</f>
        <v>8701564.0330341645</v>
      </c>
      <c r="L113" s="31" cm="1">
        <f t="array" ref="L113">L$106+IF($C113&lt;&gt;0,SUMPRODUCT((L$107:L$108)*TRANSPOSE(($D113:$E113))),0)</f>
        <v>1508314.0330341642</v>
      </c>
      <c r="M113" s="31" cm="1">
        <f t="array" ref="M113">M$106+IF($C113&lt;&gt;0,SUMPRODUCT((M$107:M$108)*TRANSPOSE(($D113:$E113))),0)</f>
        <v>1508314.0330341642</v>
      </c>
      <c r="N113" s="31" cm="1">
        <f t="array" ref="N113">N$106+IF($C113&lt;&gt;0,SUMPRODUCT((N$107:N$108)*TRANSPOSE(($D113:$E113))),0)</f>
        <v>1508314.0330341642</v>
      </c>
      <c r="O113" s="31" cm="1">
        <f t="array" ref="O113">O$106+IF($C113&lt;&gt;0,SUMPRODUCT((O$107:O$108)*TRANSPOSE(($D113:$E113))),0)</f>
        <v>1508314.0330341642</v>
      </c>
      <c r="P113" s="31" cm="1">
        <f t="array" ref="P113">P$106+IF($C113&lt;&gt;0,SUMPRODUCT((P$107:P$108)*TRANSPOSE(($D113:$E113))),0)</f>
        <v>1508314.0330341642</v>
      </c>
      <c r="Q113" s="31" cm="1">
        <f t="array" ref="Q113">Q$106+IF($C113&lt;&gt;0,SUMPRODUCT((Q$107:Q$108)*TRANSPOSE(($D113:$E113))),0)</f>
        <v>1508314.0330341642</v>
      </c>
      <c r="R113" s="31" cm="1">
        <f t="array" ref="R113">R$106+IF($C113&lt;&gt;0,SUMPRODUCT((R$107:R$108)*TRANSPOSE(($D113:$E113))),0)</f>
        <v>1508314.0330341642</v>
      </c>
      <c r="S113" s="31" cm="1">
        <f t="array" ref="S113">S$106+IF($C113&lt;&gt;0,SUMPRODUCT((S$107:S$108)*TRANSPOSE(($D113:$E113))),0)</f>
        <v>1508314.0330341642</v>
      </c>
      <c r="T113" s="31" cm="1">
        <f t="array" ref="T113">T$106+IF($C113&lt;&gt;0,SUMPRODUCT((T$107:T$108)*TRANSPOSE(($D113:$E113))),0)</f>
        <v>1508314.0330341642</v>
      </c>
      <c r="U113" s="31" cm="1">
        <f t="array" ref="U113">U$106+IF($C113&lt;&gt;0,SUMPRODUCT((U$107:U$108)*TRANSPOSE(($D113:$E113))),0)</f>
        <v>1508314.0330341642</v>
      </c>
      <c r="V113" s="31" cm="1">
        <f t="array" ref="V113">V$106+IF($C113&lt;&gt;0,SUMPRODUCT((V$107:V$108)*TRANSPOSE(($D113:$E113))),0)</f>
        <v>1508314.0330341642</v>
      </c>
      <c r="W113" s="31" cm="1">
        <f t="array" ref="W113">W$106+IF($C113&lt;&gt;0,SUMPRODUCT((W$107:W$108)*TRANSPOSE(($D113:$E113))),0)</f>
        <v>1508314.0330341642</v>
      </c>
      <c r="X113" s="31" cm="1">
        <f t="array" ref="X113">X$106+IF($C113&lt;&gt;0,SUMPRODUCT((X$107:X$108)*TRANSPOSE(($D113:$E113))),0)</f>
        <v>1508314.0330341642</v>
      </c>
      <c r="Y113" s="31" cm="1">
        <f t="array" ref="Y113">Y$106+IF($C113&lt;&gt;0,SUMPRODUCT((Y$107:Y$108)*TRANSPOSE(($D113:$E113))),0)</f>
        <v>1508314.0330341642</v>
      </c>
      <c r="Z113" s="31" cm="1">
        <f t="array" ref="Z113">Z$106+IF($C113&lt;&gt;0,SUMPRODUCT((Z$107:Z$108)*TRANSPOSE(($D113:$E113))),0)</f>
        <v>1508314.0330341642</v>
      </c>
      <c r="AA113" s="31" cm="1">
        <f t="array" ref="AA113">AA$106+IF($C113&lt;&gt;0,SUMPRODUCT((AA$107:AA$108)*TRANSPOSE(($D113:$E113))),0)</f>
        <v>1508314.0330341642</v>
      </c>
      <c r="AB113" s="31" cm="1">
        <f t="array" ref="AB113">AB$106+IF($C113&lt;&gt;0,SUMPRODUCT((AB$107:AB$108)*TRANSPOSE(($D113:$E113))),0)</f>
        <v>1508314.0330341642</v>
      </c>
      <c r="AC113" s="31" cm="1">
        <f t="array" ref="AC113">AC$106+IF($C113&lt;&gt;0,SUMPRODUCT((AC$107:AC$108)*TRANSPOSE(($D113:$E113))),0)</f>
        <v>1508314.0330341642</v>
      </c>
      <c r="AD113" s="31" cm="1">
        <f t="array" ref="AD113">AD$106+IF($C113&lt;&gt;0,SUMPRODUCT((AD$107:AD$108)*TRANSPOSE(($D113:$E113))),0)</f>
        <v>1508314.0330341642</v>
      </c>
      <c r="AE113" s="31" cm="1">
        <f t="array" ref="AE113">AE$106+IF($C113&lt;&gt;0,SUMPRODUCT((AE$107:AE$108)*TRANSPOSE(($D113:$E113))),0)</f>
        <v>1508314.0330341642</v>
      </c>
      <c r="AF113" s="31" cm="1">
        <f t="array" ref="AF113">AF$106+IF($C113&lt;&gt;0,SUMPRODUCT((AF$107:AF$108)*TRANSPOSE(($D113:$E113))),0)</f>
        <v>1508314.0330341642</v>
      </c>
      <c r="AG113" s="31" cm="1">
        <f t="array" ref="AG113">AG$106+IF($C113&lt;&gt;0,SUMPRODUCT((AG$107:AG$108)*TRANSPOSE(($D113:$E113))),0)</f>
        <v>1508314.0330341642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-41034.945457802431</v>
      </c>
      <c r="K114" s="31" cm="1">
        <f t="array" ref="K114">K$106+IF($C114&lt;&gt;0,SUMPRODUCT((K$107:K$108)*TRANSPOSE(($D114:$E114))),0)</f>
        <v>8671720.4363375809</v>
      </c>
      <c r="L114" s="31" cm="1">
        <f t="array" ref="L114">L$106+IF($C114&lt;&gt;0,SUMPRODUCT((L$107:L$108)*TRANSPOSE(($D114:$E114))),0)</f>
        <v>1478470.4363375807</v>
      </c>
      <c r="M114" s="31" cm="1">
        <f t="array" ref="M114">M$106+IF($C114&lt;&gt;0,SUMPRODUCT((M$107:M$108)*TRANSPOSE(($D114:$E114))),0)</f>
        <v>1478470.4363375807</v>
      </c>
      <c r="N114" s="31" cm="1">
        <f t="array" ref="N114">N$106+IF($C114&lt;&gt;0,SUMPRODUCT((N$107:N$108)*TRANSPOSE(($D114:$E114))),0)</f>
        <v>1478470.4363375807</v>
      </c>
      <c r="O114" s="31" cm="1">
        <f t="array" ref="O114">O$106+IF($C114&lt;&gt;0,SUMPRODUCT((O$107:O$108)*TRANSPOSE(($D114:$E114))),0)</f>
        <v>1478470.4363375807</v>
      </c>
      <c r="P114" s="31" cm="1">
        <f t="array" ref="P114">P$106+IF($C114&lt;&gt;0,SUMPRODUCT((P$107:P$108)*TRANSPOSE(($D114:$E114))),0)</f>
        <v>1478470.4363375807</v>
      </c>
      <c r="Q114" s="31" cm="1">
        <f t="array" ref="Q114">Q$106+IF($C114&lt;&gt;0,SUMPRODUCT((Q$107:Q$108)*TRANSPOSE(($D114:$E114))),0)</f>
        <v>1478470.4363375807</v>
      </c>
      <c r="R114" s="31" cm="1">
        <f t="array" ref="R114">R$106+IF($C114&lt;&gt;0,SUMPRODUCT((R$107:R$108)*TRANSPOSE(($D114:$E114))),0)</f>
        <v>1478470.4363375807</v>
      </c>
      <c r="S114" s="31" cm="1">
        <f t="array" ref="S114">S$106+IF($C114&lt;&gt;0,SUMPRODUCT((S$107:S$108)*TRANSPOSE(($D114:$E114))),0)</f>
        <v>1478470.4363375807</v>
      </c>
      <c r="T114" s="31" cm="1">
        <f t="array" ref="T114">T$106+IF($C114&lt;&gt;0,SUMPRODUCT((T$107:T$108)*TRANSPOSE(($D114:$E114))),0)</f>
        <v>1478470.4363375807</v>
      </c>
      <c r="U114" s="31" cm="1">
        <f t="array" ref="U114">U$106+IF($C114&lt;&gt;0,SUMPRODUCT((U$107:U$108)*TRANSPOSE(($D114:$E114))),0)</f>
        <v>1478470.4363375807</v>
      </c>
      <c r="V114" s="31" cm="1">
        <f t="array" ref="V114">V$106+IF($C114&lt;&gt;0,SUMPRODUCT((V$107:V$108)*TRANSPOSE(($D114:$E114))),0)</f>
        <v>1478470.4363375807</v>
      </c>
      <c r="W114" s="31" cm="1">
        <f t="array" ref="W114">W$106+IF($C114&lt;&gt;0,SUMPRODUCT((W$107:W$108)*TRANSPOSE(($D114:$E114))),0)</f>
        <v>1478470.4363375807</v>
      </c>
      <c r="X114" s="31" cm="1">
        <f t="array" ref="X114">X$106+IF($C114&lt;&gt;0,SUMPRODUCT((X$107:X$108)*TRANSPOSE(($D114:$E114))),0)</f>
        <v>1478470.4363375807</v>
      </c>
      <c r="Y114" s="31" cm="1">
        <f t="array" ref="Y114">Y$106+IF($C114&lt;&gt;0,SUMPRODUCT((Y$107:Y$108)*TRANSPOSE(($D114:$E114))),0)</f>
        <v>1478470.4363375807</v>
      </c>
      <c r="Z114" s="31" cm="1">
        <f t="array" ref="Z114">Z$106+IF($C114&lt;&gt;0,SUMPRODUCT((Z$107:Z$108)*TRANSPOSE(($D114:$E114))),0)</f>
        <v>1478470.4363375807</v>
      </c>
      <c r="AA114" s="31" cm="1">
        <f t="array" ref="AA114">AA$106+IF($C114&lt;&gt;0,SUMPRODUCT((AA$107:AA$108)*TRANSPOSE(($D114:$E114))),0)</f>
        <v>1478470.4363375807</v>
      </c>
      <c r="AB114" s="31" cm="1">
        <f t="array" ref="AB114">AB$106+IF($C114&lt;&gt;0,SUMPRODUCT((AB$107:AB$108)*TRANSPOSE(($D114:$E114))),0)</f>
        <v>1478470.4363375807</v>
      </c>
      <c r="AC114" s="31" cm="1">
        <f t="array" ref="AC114">AC$106+IF($C114&lt;&gt;0,SUMPRODUCT((AC$107:AC$108)*TRANSPOSE(($D114:$E114))),0)</f>
        <v>1478470.4363375807</v>
      </c>
      <c r="AD114" s="31" cm="1">
        <f t="array" ref="AD114">AD$106+IF($C114&lt;&gt;0,SUMPRODUCT((AD$107:AD$108)*TRANSPOSE(($D114:$E114))),0)</f>
        <v>1478470.4363375807</v>
      </c>
      <c r="AE114" s="31" cm="1">
        <f t="array" ref="AE114">AE$106+IF($C114&lt;&gt;0,SUMPRODUCT((AE$107:AE$108)*TRANSPOSE(($D114:$E114))),0)</f>
        <v>1478470.4363375807</v>
      </c>
      <c r="AF114" s="31" cm="1">
        <f t="array" ref="AF114">AF$106+IF($C114&lt;&gt;0,SUMPRODUCT((AF$107:AF$108)*TRANSPOSE(($D114:$E114))),0)</f>
        <v>1478470.4363375807</v>
      </c>
      <c r="AG114" s="31" cm="1">
        <f t="array" ref="AG114">AG$106+IF($C114&lt;&gt;0,SUMPRODUCT((AG$107:AG$108)*TRANSPOSE(($D114:$E114))),0)</f>
        <v>1478470.4363375807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-37304.495870729479</v>
      </c>
      <c r="K115" s="31" cm="1">
        <f t="array" ref="K115">K$106+IF($C115&lt;&gt;0,SUMPRODUCT((K$107:K$108)*TRANSPOSE(($D115:$E115))),0)</f>
        <v>9701564.0330341645</v>
      </c>
      <c r="L115" s="31" cm="1">
        <f t="array" ref="L115">L$106+IF($C115&lt;&gt;0,SUMPRODUCT((L$107:L$108)*TRANSPOSE(($D115:$E115))),0)</f>
        <v>1709064.0330341642</v>
      </c>
      <c r="M115" s="31" cm="1">
        <f t="array" ref="M115">M$106+IF($C115&lt;&gt;0,SUMPRODUCT((M$107:M$108)*TRANSPOSE(($D115:$E115))),0)</f>
        <v>1709064.0330341642</v>
      </c>
      <c r="N115" s="31" cm="1">
        <f t="array" ref="N115">N$106+IF($C115&lt;&gt;0,SUMPRODUCT((N$107:N$108)*TRANSPOSE(($D115:$E115))),0)</f>
        <v>1709064.0330341642</v>
      </c>
      <c r="O115" s="31" cm="1">
        <f t="array" ref="O115">O$106+IF($C115&lt;&gt;0,SUMPRODUCT((O$107:O$108)*TRANSPOSE(($D115:$E115))),0)</f>
        <v>1709064.0330341642</v>
      </c>
      <c r="P115" s="31" cm="1">
        <f t="array" ref="P115">P$106+IF($C115&lt;&gt;0,SUMPRODUCT((P$107:P$108)*TRANSPOSE(($D115:$E115))),0)</f>
        <v>1709064.0330341642</v>
      </c>
      <c r="Q115" s="31" cm="1">
        <f t="array" ref="Q115">Q$106+IF($C115&lt;&gt;0,SUMPRODUCT((Q$107:Q$108)*TRANSPOSE(($D115:$E115))),0)</f>
        <v>1709064.0330341642</v>
      </c>
      <c r="R115" s="31" cm="1">
        <f t="array" ref="R115">R$106+IF($C115&lt;&gt;0,SUMPRODUCT((R$107:R$108)*TRANSPOSE(($D115:$E115))),0)</f>
        <v>1709064.0330341642</v>
      </c>
      <c r="S115" s="31" cm="1">
        <f t="array" ref="S115">S$106+IF($C115&lt;&gt;0,SUMPRODUCT((S$107:S$108)*TRANSPOSE(($D115:$E115))),0)</f>
        <v>1709064.0330341642</v>
      </c>
      <c r="T115" s="31" cm="1">
        <f t="array" ref="T115">T$106+IF($C115&lt;&gt;0,SUMPRODUCT((T$107:T$108)*TRANSPOSE(($D115:$E115))),0)</f>
        <v>1709064.0330341642</v>
      </c>
      <c r="U115" s="31" cm="1">
        <f t="array" ref="U115">U$106+IF($C115&lt;&gt;0,SUMPRODUCT((U$107:U$108)*TRANSPOSE(($D115:$E115))),0)</f>
        <v>1709064.0330341642</v>
      </c>
      <c r="V115" s="31" cm="1">
        <f t="array" ref="V115">V$106+IF($C115&lt;&gt;0,SUMPRODUCT((V$107:V$108)*TRANSPOSE(($D115:$E115))),0)</f>
        <v>1709064.0330341642</v>
      </c>
      <c r="W115" s="31" cm="1">
        <f t="array" ref="W115">W$106+IF($C115&lt;&gt;0,SUMPRODUCT((W$107:W$108)*TRANSPOSE(($D115:$E115))),0)</f>
        <v>1709064.0330341642</v>
      </c>
      <c r="X115" s="31" cm="1">
        <f t="array" ref="X115">X$106+IF($C115&lt;&gt;0,SUMPRODUCT((X$107:X$108)*TRANSPOSE(($D115:$E115))),0)</f>
        <v>1709064.0330341642</v>
      </c>
      <c r="Y115" s="31" cm="1">
        <f t="array" ref="Y115">Y$106+IF($C115&lt;&gt;0,SUMPRODUCT((Y$107:Y$108)*TRANSPOSE(($D115:$E115))),0)</f>
        <v>1709064.0330341642</v>
      </c>
      <c r="Z115" s="31" cm="1">
        <f t="array" ref="Z115">Z$106+IF($C115&lt;&gt;0,SUMPRODUCT((Z$107:Z$108)*TRANSPOSE(($D115:$E115))),0)</f>
        <v>1709064.0330341642</v>
      </c>
      <c r="AA115" s="31" cm="1">
        <f t="array" ref="AA115">AA$106+IF($C115&lt;&gt;0,SUMPRODUCT((AA$107:AA$108)*TRANSPOSE(($D115:$E115))),0)</f>
        <v>1709064.0330341642</v>
      </c>
      <c r="AB115" s="31" cm="1">
        <f t="array" ref="AB115">AB$106+IF($C115&lt;&gt;0,SUMPRODUCT((AB$107:AB$108)*TRANSPOSE(($D115:$E115))),0)</f>
        <v>1709064.0330341642</v>
      </c>
      <c r="AC115" s="31" cm="1">
        <f t="array" ref="AC115">AC$106+IF($C115&lt;&gt;0,SUMPRODUCT((AC$107:AC$108)*TRANSPOSE(($D115:$E115))),0)</f>
        <v>1709064.0330341642</v>
      </c>
      <c r="AD115" s="31" cm="1">
        <f t="array" ref="AD115">AD$106+IF($C115&lt;&gt;0,SUMPRODUCT((AD$107:AD$108)*TRANSPOSE(($D115:$E115))),0)</f>
        <v>1709064.0330341642</v>
      </c>
      <c r="AE115" s="31" cm="1">
        <f t="array" ref="AE115">AE$106+IF($C115&lt;&gt;0,SUMPRODUCT((AE$107:AE$108)*TRANSPOSE(($D115:$E115))),0)</f>
        <v>1709064.0330341642</v>
      </c>
      <c r="AF115" s="31" cm="1">
        <f t="array" ref="AF115">AF$106+IF($C115&lt;&gt;0,SUMPRODUCT((AF$107:AF$108)*TRANSPOSE(($D115:$E115))),0)</f>
        <v>1709064.0330341642</v>
      </c>
      <c r="AG115" s="31" cm="1">
        <f t="array" ref="AG115">AG$106+IF($C115&lt;&gt;0,SUMPRODUCT((AG$107:AG$108)*TRANSPOSE(($D115:$E115))),0)</f>
        <v>1709064.0330341642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-37304.495870729479</v>
      </c>
      <c r="K116" s="31" cm="1">
        <f t="array" ref="K116">K$106+IF($C116&lt;&gt;0,SUMPRODUCT((K$107:K$108)*TRANSPOSE(($D116:$E116))),0)</f>
        <v>9701564.0330341645</v>
      </c>
      <c r="L116" s="31" cm="1">
        <f t="array" ref="L116">L$106+IF($C116&lt;&gt;0,SUMPRODUCT((L$107:L$108)*TRANSPOSE(($D116:$E116))),0)</f>
        <v>1709064.0330341642</v>
      </c>
      <c r="M116" s="31" cm="1">
        <f t="array" ref="M116">M$106+IF($C116&lt;&gt;0,SUMPRODUCT((M$107:M$108)*TRANSPOSE(($D116:$E116))),0)</f>
        <v>1709064.0330341642</v>
      </c>
      <c r="N116" s="31" cm="1">
        <f t="array" ref="N116">N$106+IF($C116&lt;&gt;0,SUMPRODUCT((N$107:N$108)*TRANSPOSE(($D116:$E116))),0)</f>
        <v>1709064.0330341642</v>
      </c>
      <c r="O116" s="31" cm="1">
        <f t="array" ref="O116">O$106+IF($C116&lt;&gt;0,SUMPRODUCT((O$107:O$108)*TRANSPOSE(($D116:$E116))),0)</f>
        <v>1709064.0330341642</v>
      </c>
      <c r="P116" s="31" cm="1">
        <f t="array" ref="P116">P$106+IF($C116&lt;&gt;0,SUMPRODUCT((P$107:P$108)*TRANSPOSE(($D116:$E116))),0)</f>
        <v>1709064.0330341642</v>
      </c>
      <c r="Q116" s="31" cm="1">
        <f t="array" ref="Q116">Q$106+IF($C116&lt;&gt;0,SUMPRODUCT((Q$107:Q$108)*TRANSPOSE(($D116:$E116))),0)</f>
        <v>1709064.0330341642</v>
      </c>
      <c r="R116" s="31" cm="1">
        <f t="array" ref="R116">R$106+IF($C116&lt;&gt;0,SUMPRODUCT((R$107:R$108)*TRANSPOSE(($D116:$E116))),0)</f>
        <v>1709064.0330341642</v>
      </c>
      <c r="S116" s="31" cm="1">
        <f t="array" ref="S116">S$106+IF($C116&lt;&gt;0,SUMPRODUCT((S$107:S$108)*TRANSPOSE(($D116:$E116))),0)</f>
        <v>1709064.0330341642</v>
      </c>
      <c r="T116" s="31" cm="1">
        <f t="array" ref="T116">T$106+IF($C116&lt;&gt;0,SUMPRODUCT((T$107:T$108)*TRANSPOSE(($D116:$E116))),0)</f>
        <v>1709064.0330341642</v>
      </c>
      <c r="U116" s="31" cm="1">
        <f t="array" ref="U116">U$106+IF($C116&lt;&gt;0,SUMPRODUCT((U$107:U$108)*TRANSPOSE(($D116:$E116))),0)</f>
        <v>1709064.0330341642</v>
      </c>
      <c r="V116" s="31" cm="1">
        <f t="array" ref="V116">V$106+IF($C116&lt;&gt;0,SUMPRODUCT((V$107:V$108)*TRANSPOSE(($D116:$E116))),0)</f>
        <v>1709064.0330341642</v>
      </c>
      <c r="W116" s="31" cm="1">
        <f t="array" ref="W116">W$106+IF($C116&lt;&gt;0,SUMPRODUCT((W$107:W$108)*TRANSPOSE(($D116:$E116))),0)</f>
        <v>1709064.0330341642</v>
      </c>
      <c r="X116" s="31" cm="1">
        <f t="array" ref="X116">X$106+IF($C116&lt;&gt;0,SUMPRODUCT((X$107:X$108)*TRANSPOSE(($D116:$E116))),0)</f>
        <v>1709064.0330341642</v>
      </c>
      <c r="Y116" s="31" cm="1">
        <f t="array" ref="Y116">Y$106+IF($C116&lt;&gt;0,SUMPRODUCT((Y$107:Y$108)*TRANSPOSE(($D116:$E116))),0)</f>
        <v>1709064.0330341642</v>
      </c>
      <c r="Z116" s="31" cm="1">
        <f t="array" ref="Z116">Z$106+IF($C116&lt;&gt;0,SUMPRODUCT((Z$107:Z$108)*TRANSPOSE(($D116:$E116))),0)</f>
        <v>1709064.0330341642</v>
      </c>
      <c r="AA116" s="31" cm="1">
        <f t="array" ref="AA116">AA$106+IF($C116&lt;&gt;0,SUMPRODUCT((AA$107:AA$108)*TRANSPOSE(($D116:$E116))),0)</f>
        <v>1709064.0330341642</v>
      </c>
      <c r="AB116" s="31" cm="1">
        <f t="array" ref="AB116">AB$106+IF($C116&lt;&gt;0,SUMPRODUCT((AB$107:AB$108)*TRANSPOSE(($D116:$E116))),0)</f>
        <v>1709064.0330341642</v>
      </c>
      <c r="AC116" s="31" cm="1">
        <f t="array" ref="AC116">AC$106+IF($C116&lt;&gt;0,SUMPRODUCT((AC$107:AC$108)*TRANSPOSE(($D116:$E116))),0)</f>
        <v>1709064.0330341642</v>
      </c>
      <c r="AD116" s="31" cm="1">
        <f t="array" ref="AD116">AD$106+IF($C116&lt;&gt;0,SUMPRODUCT((AD$107:AD$108)*TRANSPOSE(($D116:$E116))),0)</f>
        <v>1709064.0330341642</v>
      </c>
      <c r="AE116" s="31" cm="1">
        <f t="array" ref="AE116">AE$106+IF($C116&lt;&gt;0,SUMPRODUCT((AE$107:AE$108)*TRANSPOSE(($D116:$E116))),0)</f>
        <v>1709064.0330341642</v>
      </c>
      <c r="AF116" s="31" cm="1">
        <f t="array" ref="AF116">AF$106+IF($C116&lt;&gt;0,SUMPRODUCT((AF$107:AF$108)*TRANSPOSE(($D116:$E116))),0)</f>
        <v>1709064.0330341642</v>
      </c>
      <c r="AG116" s="31" cm="1">
        <f t="array" ref="AG116">AG$106+IF($C116&lt;&gt;0,SUMPRODUCT((AG$107:AG$108)*TRANSPOSE(($D116:$E116))),0)</f>
        <v>1709064.0330341642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-37304.495870729479</v>
      </c>
      <c r="K117" s="31" cm="1">
        <f t="array" ref="K117">K$106+IF($C117&lt;&gt;0,SUMPRODUCT((K$107:K$108)*TRANSPOSE(($D117:$E117))),0)</f>
        <v>9701564.0330341645</v>
      </c>
      <c r="L117" s="31" cm="1">
        <f t="array" ref="L117">L$106+IF($C117&lt;&gt;0,SUMPRODUCT((L$107:L$108)*TRANSPOSE(($D117:$E117))),0)</f>
        <v>1709064.0330341642</v>
      </c>
      <c r="M117" s="31" cm="1">
        <f t="array" ref="M117">M$106+IF($C117&lt;&gt;0,SUMPRODUCT((M$107:M$108)*TRANSPOSE(($D117:$E117))),0)</f>
        <v>1709064.0330341642</v>
      </c>
      <c r="N117" s="31" cm="1">
        <f t="array" ref="N117">N$106+IF($C117&lt;&gt;0,SUMPRODUCT((N$107:N$108)*TRANSPOSE(($D117:$E117))),0)</f>
        <v>1709064.0330341642</v>
      </c>
      <c r="O117" s="31" cm="1">
        <f t="array" ref="O117">O$106+IF($C117&lt;&gt;0,SUMPRODUCT((O$107:O$108)*TRANSPOSE(($D117:$E117))),0)</f>
        <v>1709064.0330341642</v>
      </c>
      <c r="P117" s="31" cm="1">
        <f t="array" ref="P117">P$106+IF($C117&lt;&gt;0,SUMPRODUCT((P$107:P$108)*TRANSPOSE(($D117:$E117))),0)</f>
        <v>1709064.0330341642</v>
      </c>
      <c r="Q117" s="31" cm="1">
        <f t="array" ref="Q117">Q$106+IF($C117&lt;&gt;0,SUMPRODUCT((Q$107:Q$108)*TRANSPOSE(($D117:$E117))),0)</f>
        <v>1709064.0330341642</v>
      </c>
      <c r="R117" s="31" cm="1">
        <f t="array" ref="R117">R$106+IF($C117&lt;&gt;0,SUMPRODUCT((R$107:R$108)*TRANSPOSE(($D117:$E117))),0)</f>
        <v>1709064.0330341642</v>
      </c>
      <c r="S117" s="31" cm="1">
        <f t="array" ref="S117">S$106+IF($C117&lt;&gt;0,SUMPRODUCT((S$107:S$108)*TRANSPOSE(($D117:$E117))),0)</f>
        <v>1709064.0330341642</v>
      </c>
      <c r="T117" s="31" cm="1">
        <f t="array" ref="T117">T$106+IF($C117&lt;&gt;0,SUMPRODUCT((T$107:T$108)*TRANSPOSE(($D117:$E117))),0)</f>
        <v>1709064.0330341642</v>
      </c>
      <c r="U117" s="31" cm="1">
        <f t="array" ref="U117">U$106+IF($C117&lt;&gt;0,SUMPRODUCT((U$107:U$108)*TRANSPOSE(($D117:$E117))),0)</f>
        <v>1709064.0330341642</v>
      </c>
      <c r="V117" s="31" cm="1">
        <f t="array" ref="V117">V$106+IF($C117&lt;&gt;0,SUMPRODUCT((V$107:V$108)*TRANSPOSE(($D117:$E117))),0)</f>
        <v>1709064.0330341642</v>
      </c>
      <c r="W117" s="31" cm="1">
        <f t="array" ref="W117">W$106+IF($C117&lt;&gt;0,SUMPRODUCT((W$107:W$108)*TRANSPOSE(($D117:$E117))),0)</f>
        <v>1709064.0330341642</v>
      </c>
      <c r="X117" s="31" cm="1">
        <f t="array" ref="X117">X$106+IF($C117&lt;&gt;0,SUMPRODUCT((X$107:X$108)*TRANSPOSE(($D117:$E117))),0)</f>
        <v>1709064.0330341642</v>
      </c>
      <c r="Y117" s="31" cm="1">
        <f t="array" ref="Y117">Y$106+IF($C117&lt;&gt;0,SUMPRODUCT((Y$107:Y$108)*TRANSPOSE(($D117:$E117))),0)</f>
        <v>1709064.0330341642</v>
      </c>
      <c r="Z117" s="31" cm="1">
        <f t="array" ref="Z117">Z$106+IF($C117&lt;&gt;0,SUMPRODUCT((Z$107:Z$108)*TRANSPOSE(($D117:$E117))),0)</f>
        <v>1709064.0330341642</v>
      </c>
      <c r="AA117" s="31" cm="1">
        <f t="array" ref="AA117">AA$106+IF($C117&lt;&gt;0,SUMPRODUCT((AA$107:AA$108)*TRANSPOSE(($D117:$E117))),0)</f>
        <v>1709064.0330341642</v>
      </c>
      <c r="AB117" s="31" cm="1">
        <f t="array" ref="AB117">AB$106+IF($C117&lt;&gt;0,SUMPRODUCT((AB$107:AB$108)*TRANSPOSE(($D117:$E117))),0)</f>
        <v>1709064.0330341642</v>
      </c>
      <c r="AC117" s="31" cm="1">
        <f t="array" ref="AC117">AC$106+IF($C117&lt;&gt;0,SUMPRODUCT((AC$107:AC$108)*TRANSPOSE(($D117:$E117))),0)</f>
        <v>1709064.0330341642</v>
      </c>
      <c r="AD117" s="31" cm="1">
        <f t="array" ref="AD117">AD$106+IF($C117&lt;&gt;0,SUMPRODUCT((AD$107:AD$108)*TRANSPOSE(($D117:$E117))),0)</f>
        <v>1709064.0330341642</v>
      </c>
      <c r="AE117" s="31" cm="1">
        <f t="array" ref="AE117">AE$106+IF($C117&lt;&gt;0,SUMPRODUCT((AE$107:AE$108)*TRANSPOSE(($D117:$E117))),0)</f>
        <v>1709064.0330341642</v>
      </c>
      <c r="AF117" s="31" cm="1">
        <f t="array" ref="AF117">AF$106+IF($C117&lt;&gt;0,SUMPRODUCT((AF$107:AF$108)*TRANSPOSE(($D117:$E117))),0)</f>
        <v>1709064.0330341642</v>
      </c>
      <c r="AG117" s="31" cm="1">
        <f t="array" ref="AG117">AG$106+IF($C117&lt;&gt;0,SUMPRODUCT((AG$107:AG$108)*TRANSPOSE(($D117:$E117))),0)</f>
        <v>1709064.0330341642</v>
      </c>
    </row>
  </sheetData>
  <conditionalFormatting sqref="E28">
    <cfRule type="expression" dxfId="8" priority="5">
      <formula>AND(SUM($I$27:$AG$27)&gt;0, $E$28=0)</formula>
    </cfRule>
  </conditionalFormatting>
  <conditionalFormatting sqref="E14:E16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WIN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134</v>
      </c>
      <c r="B3" s="5"/>
      <c r="C3" s="199" t="str">
        <f>INDEX(Assumptions!$E$14:$E$18, MATCH(A3,_xlfn.ANCHORARRAY( Assumptions!$C$14),0))</f>
        <v>Mini zone substation</v>
      </c>
    </row>
    <row r="4" spans="1:43" x14ac:dyDescent="0.2">
      <c r="A4" s="200" t="str">
        <f>(INDEX(Data!$D$9:$D$13, MATCH(A3, options,0)))</f>
        <v/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59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4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256</v>
      </c>
      <c r="D14"/>
      <c r="E14" s="147">
        <v>50</v>
      </c>
      <c r="G14" s="206">
        <f>input_dollars</f>
        <v>45291</v>
      </c>
      <c r="H14" s="148"/>
      <c r="I14" s="32">
        <v>1574198</v>
      </c>
      <c r="J14" s="32">
        <v>12125802</v>
      </c>
      <c r="K14" s="32">
        <v>2000000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7"/>
      <c r="I17" s="106">
        <f t="shared" ref="I17:Q17" si="0">SUM(I14:I16)</f>
        <v>1574198</v>
      </c>
      <c r="J17" s="106">
        <f t="shared" si="0"/>
        <v>12125802</v>
      </c>
      <c r="K17" s="106">
        <f t="shared" si="0"/>
        <v>2000000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6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/>
      <c r="AI19"/>
      <c r="AJ19"/>
      <c r="AK19"/>
      <c r="AL19"/>
      <c r="AM19"/>
    </row>
    <row r="20" spans="1:43" x14ac:dyDescent="0.2">
      <c r="G20" s="204"/>
      <c r="AH20"/>
      <c r="AI20"/>
      <c r="AJ20"/>
      <c r="AK20"/>
      <c r="AL20"/>
      <c r="AM20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7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7"/>
      <c r="H24" s="111"/>
      <c r="I24" s="167">
        <v>0</v>
      </c>
      <c r="J24" s="167">
        <v>0</v>
      </c>
      <c r="K24" s="167">
        <v>0</v>
      </c>
      <c r="L24" s="167">
        <v>0</v>
      </c>
      <c r="M24" s="167">
        <v>0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7"/>
      <c r="E25" s="111"/>
      <c r="F25" s="111"/>
      <c r="G25" s="207"/>
      <c r="H25" s="111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7"/>
      <c r="E26" s="111"/>
      <c r="F26" s="111"/>
      <c r="G26" s="207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3">
        <f>Assumptions!H41*vcr_esc</f>
        <v>36385.072710298162</v>
      </c>
      <c r="F28" s="237" t="str">
        <f>IF(AND(SUM(I27:AG27)&lt;&gt;0, E28=0), "!", "")</f>
        <v/>
      </c>
      <c r="G28" s="206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4" t="s">
        <v>206</v>
      </c>
      <c r="G30" s="206">
        <f>input_dollars</f>
        <v>45291</v>
      </c>
      <c r="H30" s="148"/>
      <c r="I30" s="169" cm="1">
        <f t="array" ref="I30">SUMPRODUCT((Assumptions!$H$70:$H$71)*(Assumptions!$G$70:$G$71)*(Assumptions!$I$70:$I$71)*(I$24:I$25))</f>
        <v>0</v>
      </c>
      <c r="J30" s="169" cm="1">
        <f t="array" ref="J30">SUMPRODUCT((Assumptions!$H$70:$H$71)*(Assumptions!$G$70:$G$71)*(Assumptions!$I$70:$I$71)*(J$24:J$25))</f>
        <v>0</v>
      </c>
      <c r="K30" s="169" cm="1">
        <f t="array" ref="K30">SUMPRODUCT((Assumptions!$H$70:$H$71)*(Assumptions!$G$70:$G$71)*(Assumptions!$I$70:$I$71)*(K$24:K$25))</f>
        <v>0</v>
      </c>
      <c r="L30" s="169" cm="1">
        <f t="array" ref="L30">SUMPRODUCT((Assumptions!$H$70:$H$71)*(Assumptions!$G$70:$G$71)*(Assumptions!$I$70:$I$71)*(L$24:L$25))</f>
        <v>0</v>
      </c>
      <c r="M30" s="169" cm="1">
        <f t="array" ref="M30">SUMPRODUCT((Assumptions!$H$70:$H$71)*(Assumptions!$G$70:$G$71)*(Assumptions!$I$70:$I$71)*(M$24:M$25))</f>
        <v>0</v>
      </c>
      <c r="N30" s="169" cm="1">
        <f t="array" ref="N30">SUMPRODUCT((Assumptions!$H$70:$H$71)*(Assumptions!$G$70:$G$71)*(Assumptions!$I$70:$I$71)*(N$24:N$25))</f>
        <v>0</v>
      </c>
      <c r="O30" s="169" cm="1">
        <f t="array" ref="O30">SUMPRODUCT((Assumptions!$H$70:$H$71)*(Assumptions!$G$70:$G$71)*(Assumptions!$I$70:$I$71)*(O$24:O$25))</f>
        <v>0</v>
      </c>
      <c r="P30" s="169" cm="1">
        <f t="array" ref="P30">SUMPRODUCT((Assumptions!$H$70:$H$71)*(Assumptions!$G$70:$G$71)*(Assumptions!$I$70:$I$71)*(P$24:P$25))</f>
        <v>0</v>
      </c>
      <c r="Q30" s="169" cm="1">
        <f t="array" ref="Q30">SUMPRODUCT((Assumptions!$H$70:$H$71)*(Assumptions!$G$70:$G$71)*(Assumptions!$I$70:$I$71)*(Q$24:Q$25))</f>
        <v>0</v>
      </c>
      <c r="R30" s="169" cm="1">
        <f t="array" ref="R30">SUMPRODUCT((Assumptions!$H$70:$H$71)*(Assumptions!$G$70:$G$71)*(Assumptions!$I$70:$I$71)*(R$24:R$25))</f>
        <v>0</v>
      </c>
      <c r="S30" s="169" cm="1">
        <f t="array" ref="S30">SUMPRODUCT((Assumptions!$H$70:$H$71)*(Assumptions!$G$70:$G$71)*(Assumptions!$I$70:$I$71)*(S$24:S$25))</f>
        <v>0</v>
      </c>
      <c r="T30" s="169" cm="1">
        <f t="array" ref="T30">SUMPRODUCT((Assumptions!$H$70:$H$71)*(Assumptions!$G$70:$G$71)*(Assumptions!$I$70:$I$71)*(T$24:T$25))</f>
        <v>0</v>
      </c>
      <c r="U30" s="169" cm="1">
        <f t="array" ref="U30">SUMPRODUCT((Assumptions!$H$70:$H$71)*(Assumptions!$G$70:$G$71)*(Assumptions!$I$70:$I$71)*(U$24:U$25))</f>
        <v>0</v>
      </c>
      <c r="V30" s="169" cm="1">
        <f t="array" ref="V30">SUMPRODUCT((Assumptions!$H$70:$H$71)*(Assumptions!$G$70:$G$71)*(Assumptions!$I$70:$I$71)*(V$24:V$25))</f>
        <v>0</v>
      </c>
      <c r="W30" s="169" cm="1">
        <f t="array" ref="W30">SUMPRODUCT((Assumptions!$H$70:$H$71)*(Assumptions!$G$70:$G$71)*(Assumptions!$I$70:$I$71)*(W$24:W$25))</f>
        <v>0</v>
      </c>
      <c r="X30" s="169" cm="1">
        <f t="array" ref="X30">SUMPRODUCT((Assumptions!$H$70:$H$71)*(Assumptions!$G$70:$G$71)*(Assumptions!$I$70:$I$71)*(X$24:X$25))</f>
        <v>0</v>
      </c>
      <c r="Y30" s="169" cm="1">
        <f t="array" ref="Y30">SUMPRODUCT((Assumptions!$H$70:$H$71)*(Assumptions!$G$70:$G$71)*(Assumptions!$I$70:$I$71)*(Y$24:Y$25))</f>
        <v>0</v>
      </c>
      <c r="Z30" s="169" cm="1">
        <f t="array" ref="Z30">SUMPRODUCT((Assumptions!$H$70:$H$71)*(Assumptions!$G$70:$G$71)*(Assumptions!$I$70:$I$71)*(Z$24:Z$25))</f>
        <v>0</v>
      </c>
      <c r="AA30" s="169" cm="1">
        <f t="array" ref="AA30">SUMPRODUCT((Assumptions!$H$70:$H$71)*(Assumptions!$G$70:$G$71)*(Assumptions!$I$70:$I$71)*(AA$24:AA$25))</f>
        <v>0</v>
      </c>
      <c r="AB30" s="169" cm="1">
        <f t="array" ref="AB30">SUMPRODUCT((Assumptions!$H$70:$H$71)*(Assumptions!$G$70:$G$71)*(Assumptions!$I$70:$I$71)*(AB$24:AB$25))</f>
        <v>0</v>
      </c>
      <c r="AC30" s="169" cm="1">
        <f t="array" ref="AC30">SUMPRODUCT((Assumptions!$H$70:$H$71)*(Assumptions!$G$70:$G$71)*(Assumptions!$I$70:$I$71)*(AC$24:AC$25))</f>
        <v>0</v>
      </c>
      <c r="AD30" s="169" cm="1">
        <f t="array" ref="AD30">SUMPRODUCT((Assumptions!$H$70:$H$71)*(Assumptions!$G$70:$G$71)*(Assumptions!$I$70:$I$71)*(AD$24:AD$25))</f>
        <v>0</v>
      </c>
      <c r="AE30" s="169" cm="1">
        <f t="array" ref="AE30">SUMPRODUCT((Assumptions!$H$70:$H$71)*(Assumptions!$G$70:$G$71)*(Assumptions!$I$70:$I$71)*(AE$24:AE$25))</f>
        <v>0</v>
      </c>
      <c r="AF30" s="169" cm="1">
        <f t="array" ref="AF30">SUMPRODUCT((Assumptions!$H$70:$H$71)*(Assumptions!$G$70:$G$71)*(Assumptions!$I$70:$I$71)*(AF$24:AF$25))</f>
        <v>0</v>
      </c>
      <c r="AG30" s="169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5"/>
      <c r="E31"/>
      <c r="G31" s="206">
        <f>input_dollars</f>
        <v>45291</v>
      </c>
      <c r="H31" s="148"/>
      <c r="I31" s="169" cm="1">
        <f t="array" ref="I31">(1+Assumptions!$G$81)*SUMPRODUCT((Assumptions!$G$78:$G$79)*(I$24:I$25))</f>
        <v>0</v>
      </c>
      <c r="J31" s="169" cm="1">
        <f t="array" ref="J31">(1+Assumptions!$G$81)*SUMPRODUCT((Assumptions!$G$78:$G$79)*(J$24:J$25))</f>
        <v>0</v>
      </c>
      <c r="K31" s="169" cm="1">
        <f t="array" ref="K31">(1+Assumptions!$G$81)*SUMPRODUCT((Assumptions!$G$78:$G$79)*(K$24:K$25))</f>
        <v>0</v>
      </c>
      <c r="L31" s="169" cm="1">
        <f t="array" ref="L31">(1+Assumptions!$G$81)*SUMPRODUCT((Assumptions!$G$78:$G$79)*(L$24:L$25))</f>
        <v>0</v>
      </c>
      <c r="M31" s="169" cm="1">
        <f t="array" ref="M31">(1+Assumptions!$G$81)*SUMPRODUCT((Assumptions!$G$78:$G$79)*(M$24:M$25))</f>
        <v>0</v>
      </c>
      <c r="N31" s="169" cm="1">
        <f t="array" ref="N31">(1+Assumptions!$G$81)*SUMPRODUCT((Assumptions!$G$78:$G$79)*(N$24:N$25))</f>
        <v>0</v>
      </c>
      <c r="O31" s="169" cm="1">
        <f t="array" ref="O31">(1+Assumptions!$G$81)*SUMPRODUCT((Assumptions!$G$78:$G$79)*(O$24:O$25))</f>
        <v>0</v>
      </c>
      <c r="P31" s="169" cm="1">
        <f t="array" ref="P31">(1+Assumptions!$G$81)*SUMPRODUCT((Assumptions!$G$78:$G$79)*(P$24:P$25))</f>
        <v>0</v>
      </c>
      <c r="Q31" s="169" cm="1">
        <f t="array" ref="Q31">(1+Assumptions!$G$81)*SUMPRODUCT((Assumptions!$G$78:$G$79)*(Q$24:Q$25))</f>
        <v>0</v>
      </c>
      <c r="R31" s="169" cm="1">
        <f t="array" ref="R31">(1+Assumptions!$G$81)*SUMPRODUCT((Assumptions!$G$78:$G$79)*(R$24:R$25))</f>
        <v>0</v>
      </c>
      <c r="S31" s="169" cm="1">
        <f t="array" ref="S31">(1+Assumptions!$G$81)*SUMPRODUCT((Assumptions!$G$78:$G$79)*(S$24:S$25))</f>
        <v>0</v>
      </c>
      <c r="T31" s="169" cm="1">
        <f t="array" ref="T31">(1+Assumptions!$G$81)*SUMPRODUCT((Assumptions!$G$78:$G$79)*(T$24:T$25))</f>
        <v>0</v>
      </c>
      <c r="U31" s="169" cm="1">
        <f t="array" ref="U31">(1+Assumptions!$G$81)*SUMPRODUCT((Assumptions!$G$78:$G$79)*(U$24:U$25))</f>
        <v>0</v>
      </c>
      <c r="V31" s="169" cm="1">
        <f t="array" ref="V31">(1+Assumptions!$G$81)*SUMPRODUCT((Assumptions!$G$78:$G$79)*(V$24:V$25))</f>
        <v>0</v>
      </c>
      <c r="W31" s="169" cm="1">
        <f t="array" ref="W31">(1+Assumptions!$G$81)*SUMPRODUCT((Assumptions!$G$78:$G$79)*(W$24:W$25))</f>
        <v>0</v>
      </c>
      <c r="X31" s="169" cm="1">
        <f t="array" ref="X31">(1+Assumptions!$G$81)*SUMPRODUCT((Assumptions!$G$78:$G$79)*(X$24:X$25))</f>
        <v>0</v>
      </c>
      <c r="Y31" s="169" cm="1">
        <f t="array" ref="Y31">(1+Assumptions!$G$81)*SUMPRODUCT((Assumptions!$G$78:$G$79)*(Y$24:Y$25))</f>
        <v>0</v>
      </c>
      <c r="Z31" s="169" cm="1">
        <f t="array" ref="Z31">(1+Assumptions!$G$81)*SUMPRODUCT((Assumptions!$G$78:$G$79)*(Z$24:Z$25))</f>
        <v>0</v>
      </c>
      <c r="AA31" s="169" cm="1">
        <f t="array" ref="AA31">(1+Assumptions!$G$81)*SUMPRODUCT((Assumptions!$G$78:$G$79)*(AA$24:AA$25))</f>
        <v>0</v>
      </c>
      <c r="AB31" s="169" cm="1">
        <f t="array" ref="AB31">(1+Assumptions!$G$81)*SUMPRODUCT((Assumptions!$G$78:$G$79)*(AB$24:AB$25))</f>
        <v>0</v>
      </c>
      <c r="AC31" s="169" cm="1">
        <f t="array" ref="AC31">(1+Assumptions!$G$81)*SUMPRODUCT((Assumptions!$G$78:$G$79)*(AC$24:AC$25))</f>
        <v>0</v>
      </c>
      <c r="AD31" s="169" cm="1">
        <f t="array" ref="AD31">(1+Assumptions!$G$81)*SUMPRODUCT((Assumptions!$G$78:$G$79)*(AD$24:AD$25))</f>
        <v>0</v>
      </c>
      <c r="AE31" s="169" cm="1">
        <f t="array" ref="AE31">(1+Assumptions!$G$81)*SUMPRODUCT((Assumptions!$G$78:$G$79)*(AE$24:AE$25))</f>
        <v>0</v>
      </c>
      <c r="AF31" s="169" cm="1">
        <f t="array" ref="AF31">(1+Assumptions!$G$81)*SUMPRODUCT((Assumptions!$G$78:$G$79)*(AF$24:AF$25))</f>
        <v>0</v>
      </c>
      <c r="AG31" s="169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4" t="s">
        <v>206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5">
        <v>0</v>
      </c>
      <c r="S32" s="135">
        <v>0</v>
      </c>
      <c r="T32" s="135">
        <v>0</v>
      </c>
      <c r="U32" s="135">
        <v>0</v>
      </c>
      <c r="V32" s="135">
        <v>0</v>
      </c>
      <c r="W32" s="135">
        <v>0</v>
      </c>
      <c r="X32" s="135">
        <v>0</v>
      </c>
      <c r="Y32" s="135">
        <v>0</v>
      </c>
      <c r="Z32" s="135">
        <v>0</v>
      </c>
      <c r="AA32" s="135">
        <v>0</v>
      </c>
      <c r="AB32" s="135">
        <v>0</v>
      </c>
      <c r="AC32" s="135">
        <v>0</v>
      </c>
      <c r="AD32" s="135">
        <v>0</v>
      </c>
      <c r="AE32" s="135">
        <v>0</v>
      </c>
      <c r="AF32" s="135">
        <v>0</v>
      </c>
      <c r="AG32" s="135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3" t="s">
        <v>171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171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7"/>
      <c r="E36" s="107"/>
      <c r="F36" s="3"/>
      <c r="G36" s="208"/>
      <c r="H36" s="107"/>
      <c r="I36" s="169">
        <f>SUM(I28:I34)</f>
        <v>0</v>
      </c>
      <c r="J36" s="169">
        <f t="shared" ref="J36:AG36" si="3">SUM(J28:J34)</f>
        <v>0</v>
      </c>
      <c r="K36" s="169">
        <f t="shared" si="3"/>
        <v>0</v>
      </c>
      <c r="L36" s="169">
        <f t="shared" si="3"/>
        <v>0</v>
      </c>
      <c r="M36" s="169">
        <f t="shared" si="3"/>
        <v>0</v>
      </c>
      <c r="N36" s="169">
        <f t="shared" si="3"/>
        <v>0</v>
      </c>
      <c r="O36" s="169">
        <f t="shared" si="3"/>
        <v>0</v>
      </c>
      <c r="P36" s="169">
        <f t="shared" si="3"/>
        <v>0</v>
      </c>
      <c r="Q36" s="169">
        <f t="shared" si="3"/>
        <v>0</v>
      </c>
      <c r="R36" s="169">
        <f t="shared" si="3"/>
        <v>0</v>
      </c>
      <c r="S36" s="169">
        <f t="shared" si="3"/>
        <v>0</v>
      </c>
      <c r="T36" s="169">
        <f t="shared" si="3"/>
        <v>0</v>
      </c>
      <c r="U36" s="169">
        <f t="shared" si="3"/>
        <v>0</v>
      </c>
      <c r="V36" s="169">
        <f t="shared" si="3"/>
        <v>0</v>
      </c>
      <c r="W36" s="169">
        <f t="shared" si="3"/>
        <v>0</v>
      </c>
      <c r="X36" s="169">
        <f t="shared" si="3"/>
        <v>0</v>
      </c>
      <c r="Y36" s="169">
        <f t="shared" si="3"/>
        <v>0</v>
      </c>
      <c r="Z36" s="169">
        <f t="shared" si="3"/>
        <v>0</v>
      </c>
      <c r="AA36" s="169">
        <f t="shared" si="3"/>
        <v>0</v>
      </c>
      <c r="AB36" s="169">
        <f t="shared" si="3"/>
        <v>0</v>
      </c>
      <c r="AC36" s="169">
        <f t="shared" si="3"/>
        <v>0</v>
      </c>
      <c r="AD36" s="169">
        <f t="shared" si="3"/>
        <v>0</v>
      </c>
      <c r="AE36" s="169">
        <f t="shared" si="3"/>
        <v>0</v>
      </c>
      <c r="AF36" s="169">
        <f t="shared" si="3"/>
        <v>0</v>
      </c>
      <c r="AG36" s="169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4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3">
        <f>Assumptions!G94</f>
        <v>151432.81740793545</v>
      </c>
      <c r="G45" s="206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4" t="s">
        <v>63</v>
      </c>
      <c r="E46" s="113">
        <f>Assumptions!G95</f>
        <v>24590</v>
      </c>
      <c r="G46" s="206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4" t="s">
        <v>63</v>
      </c>
      <c r="E47" s="112">
        <f>Assumptions!G96</f>
        <v>88.357719508603083</v>
      </c>
      <c r="G47" s="206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4" t="s">
        <v>126</v>
      </c>
      <c r="E48" s="112">
        <f>Assumptions!G97</f>
        <v>0</v>
      </c>
      <c r="G48" s="206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201</v>
      </c>
      <c r="D49" s="204" t="s">
        <v>204</v>
      </c>
      <c r="E49" s="112">
        <f>Assumptions!G98</f>
        <v>0.35181336539087127</v>
      </c>
      <c r="G49" s="206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202</v>
      </c>
      <c r="D50" s="204" t="s">
        <v>204</v>
      </c>
      <c r="E50" s="112">
        <f>Assumptions!G99</f>
        <v>0.35181336539087127</v>
      </c>
      <c r="G50" s="206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4" t="s">
        <v>126</v>
      </c>
      <c r="E51" s="112">
        <f>Assumptions!G100</f>
        <v>0</v>
      </c>
      <c r="G51" s="206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4" t="s">
        <v>126</v>
      </c>
      <c r="E52" s="112">
        <f>Assumptions!G101</f>
        <v>0</v>
      </c>
      <c r="G52" s="206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7"/>
      <c r="F57" s="3"/>
      <c r="G57" s="206">
        <f>input_dollars</f>
        <v>45291</v>
      </c>
      <c r="H57" s="107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7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1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10000000</v>
      </c>
      <c r="L64" s="131">
        <f>(1-INDEX(Data!$C$9:$C$13, MATCH($A$3, options,0)))*('Option1 (base case)'!L36-L36)</f>
        <v>2007500</v>
      </c>
      <c r="M64" s="131">
        <f>(1-INDEX(Data!$C$9:$C$13, MATCH($A$3, options,0)))*('Option1 (base case)'!M36-M36)</f>
        <v>2007500</v>
      </c>
      <c r="N64" s="131">
        <f>(1-INDEX(Data!$C$9:$C$13, MATCH($A$3, options,0)))*('Option1 (base case)'!N36-N36)</f>
        <v>2007500</v>
      </c>
      <c r="O64" s="131">
        <f>(1-INDEX(Data!$C$9:$C$13, MATCH($A$3, options,0)))*('Option1 (base case)'!O36-O36)</f>
        <v>2007500</v>
      </c>
      <c r="P64" s="131">
        <f>(1-INDEX(Data!$C$9:$C$13, MATCH($A$3, options,0)))*('Option1 (base case)'!P36-P36)</f>
        <v>2007500</v>
      </c>
      <c r="Q64" s="131">
        <f>(1-INDEX(Data!$C$9:$C$13, MATCH($A$3, options,0)))*('Option1 (base case)'!Q36-Q36)</f>
        <v>2007500</v>
      </c>
      <c r="R64" s="131">
        <f>(1-INDEX(Data!$C$9:$C$13, MATCH($A$3, options,0)))*('Option1 (base case)'!R36-R36)</f>
        <v>2007500</v>
      </c>
      <c r="S64" s="131">
        <f>(1-INDEX(Data!$C$9:$C$13, MATCH($A$3, options,0)))*('Option1 (base case)'!S36-S36)</f>
        <v>2007500</v>
      </c>
      <c r="T64" s="131">
        <f>(1-INDEX(Data!$C$9:$C$13, MATCH($A$3, options,0)))*('Option1 (base case)'!T36-T36)</f>
        <v>2007500</v>
      </c>
      <c r="U64" s="131">
        <f>(1-INDEX(Data!$C$9:$C$13, MATCH($A$3, options,0)))*('Option1 (base case)'!U36-U36)</f>
        <v>2007500</v>
      </c>
      <c r="V64" s="131">
        <f>(1-INDEX(Data!$C$9:$C$13, MATCH($A$3, options,0)))*('Option1 (base case)'!V36-V36)</f>
        <v>2007500</v>
      </c>
      <c r="W64" s="131">
        <f>(1-INDEX(Data!$C$9:$C$13, MATCH($A$3, options,0)))*('Option1 (base case)'!W36-W36)</f>
        <v>2007500</v>
      </c>
      <c r="X64" s="131">
        <f>(1-INDEX(Data!$C$9:$C$13, MATCH($A$3, options,0)))*('Option1 (base case)'!X36-X36)</f>
        <v>2007500</v>
      </c>
      <c r="Y64" s="131">
        <f>(1-INDEX(Data!$C$9:$C$13, MATCH($A$3, options,0)))*('Option1 (base case)'!Y36-Y36)</f>
        <v>2007500</v>
      </c>
      <c r="Z64" s="131">
        <f>(1-INDEX(Data!$C$9:$C$13, MATCH($A$3, options,0)))*('Option1 (base case)'!Z36-Z36)</f>
        <v>2007500</v>
      </c>
      <c r="AA64" s="131">
        <f>(1-INDEX(Data!$C$9:$C$13, MATCH($A$3, options,0)))*('Option1 (base case)'!AA36-AA36)</f>
        <v>2007500</v>
      </c>
      <c r="AB64" s="131">
        <f>(1-INDEX(Data!$C$9:$C$13, MATCH($A$3, options,0)))*('Option1 (base case)'!AB36-AB36)</f>
        <v>2007500</v>
      </c>
      <c r="AC64" s="131">
        <f>(1-INDEX(Data!$C$9:$C$13, MATCH($A$3, options,0)))*('Option1 (base case)'!AC36-AC36)</f>
        <v>2007500</v>
      </c>
      <c r="AD64" s="131">
        <f>(1-INDEX(Data!$C$9:$C$13, MATCH($A$3, options,0)))*('Option1 (base case)'!AD36-AD36)</f>
        <v>2007500</v>
      </c>
      <c r="AE64" s="131">
        <f>(1-INDEX(Data!$C$9:$C$13, MATCH($A$3, options,0)))*('Option1 (base case)'!AE36-AE36)</f>
        <v>2007500</v>
      </c>
      <c r="AF64" s="131">
        <f>(1-INDEX(Data!$C$9:$C$13, MATCH($A$3, options,0)))*('Option1 (base case)'!AF36-AF36)</f>
        <v>2007500</v>
      </c>
      <c r="AG64" s="131">
        <f>(1-INDEX(Data!$C$9:$C$13, MATCH($A$3, options,0)))*('Option1 (base case)'!AG36-AG36)</f>
        <v>2007500</v>
      </c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8"/>
      <c r="F66" s="97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Mini zone substation</v>
      </c>
      <c r="D67" s="38"/>
      <c r="F67" s="97"/>
      <c r="G67" s="209">
        <f>input_dollars</f>
        <v>45291</v>
      </c>
      <c r="H67" s="31"/>
      <c r="I67" s="119">
        <f t="shared" ref="I67:AG67" si="5">-I14</f>
        <v>-1574198</v>
      </c>
      <c r="J67" s="119">
        <f t="shared" si="5"/>
        <v>-12125802</v>
      </c>
      <c r="K67" s="119">
        <f t="shared" si="5"/>
        <v>-2000000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09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09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3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6" t="s">
        <v>155</v>
      </c>
      <c r="D71" s="38"/>
      <c r="F71" s="97"/>
      <c r="G71" s="212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Mini zone substation</v>
      </c>
      <c r="D72" s="38"/>
      <c r="F72" s="97"/>
      <c r="G72" s="209">
        <f>input_dollars</f>
        <v>45291</v>
      </c>
      <c r="H72" s="31"/>
      <c r="I72" s="119" cm="1">
        <f t="array" ref="I72">SUMPRODUCT(($I67:I67))-SUMPRODUCT(($I67:I67)*($I$6:I$6&lt;=(I$6-$E14)))</f>
        <v>-1574198</v>
      </c>
      <c r="J72" s="119" cm="1">
        <f t="array" ref="J72">SUMPRODUCT(($I67:J67))-SUMPRODUCT(($I67:J67)*($I$6:J$6&lt;=(J$6-$E14)))</f>
        <v>-13700000</v>
      </c>
      <c r="K72" s="119" cm="1">
        <f t="array" ref="K72">SUMPRODUCT(($I67:K67))-SUMPRODUCT(($I67:K67)*($I$6:K$6&lt;=(K$6-$E14)))</f>
        <v>-15700000</v>
      </c>
      <c r="L72" s="119" cm="1">
        <f t="array" ref="L72">SUMPRODUCT(($I67:L67))-SUMPRODUCT(($I67:L67)*($I$6:L$6&lt;=(L$6-$E14)))</f>
        <v>-15700000</v>
      </c>
      <c r="M72" s="119" cm="1">
        <f t="array" ref="M72">SUMPRODUCT(($I67:M67))-SUMPRODUCT(($I67:M67)*($I$6:M$6&lt;=(M$6-$E14)))</f>
        <v>-15700000</v>
      </c>
      <c r="N72" s="119" cm="1">
        <f t="array" ref="N72">SUMPRODUCT(($I67:N67))-SUMPRODUCT(($I67:N67)*($I$6:N$6&lt;=(N$6-$E14)))</f>
        <v>-15700000</v>
      </c>
      <c r="O72" s="119" cm="1">
        <f t="array" ref="O72">SUMPRODUCT(($I67:O67))-SUMPRODUCT(($I67:O67)*($I$6:O$6&lt;=(O$6-$E14)))</f>
        <v>-15700000</v>
      </c>
      <c r="P72" s="119" cm="1">
        <f t="array" ref="P72">SUMPRODUCT(($I67:P67))-SUMPRODUCT(($I67:P67)*($I$6:P$6&lt;=(P$6-$E14)))</f>
        <v>-15700000</v>
      </c>
      <c r="Q72" s="119" cm="1">
        <f t="array" ref="Q72">SUMPRODUCT(($I67:Q67))-SUMPRODUCT(($I67:Q67)*($I$6:Q$6&lt;=(Q$6-$E14)))</f>
        <v>-15700000</v>
      </c>
      <c r="R72" s="119" cm="1">
        <f t="array" ref="R72">SUMPRODUCT(($I67:R67))-SUMPRODUCT(($I67:R67)*($I$6:R$6&lt;=(R$6-$E14)))</f>
        <v>-15700000</v>
      </c>
      <c r="S72" s="119" cm="1">
        <f t="array" ref="S72">SUMPRODUCT(($I67:S67))-SUMPRODUCT(($I67:S67)*($I$6:S$6&lt;=(S$6-$E14)))</f>
        <v>-15700000</v>
      </c>
      <c r="T72" s="119" cm="1">
        <f t="array" ref="T72">SUMPRODUCT(($I67:T67))-SUMPRODUCT(($I67:T67)*($I$6:T$6&lt;=(T$6-$E14)))</f>
        <v>-15700000</v>
      </c>
      <c r="U72" s="119" cm="1">
        <f t="array" ref="U72">SUMPRODUCT(($I67:U67))-SUMPRODUCT(($I67:U67)*($I$6:U$6&lt;=(U$6-$E14)))</f>
        <v>-15700000</v>
      </c>
      <c r="V72" s="119" cm="1">
        <f t="array" ref="V72">SUMPRODUCT(($I67:V67))-SUMPRODUCT(($I67:V67)*($I$6:V$6&lt;=(V$6-$E14)))</f>
        <v>-15700000</v>
      </c>
      <c r="W72" s="119" cm="1">
        <f t="array" ref="W72">SUMPRODUCT(($I67:W67))-SUMPRODUCT(($I67:W67)*($I$6:W$6&lt;=(W$6-$E14)))</f>
        <v>-15700000</v>
      </c>
      <c r="X72" s="119" cm="1">
        <f t="array" ref="X72">SUMPRODUCT(($I67:X67))-SUMPRODUCT(($I67:X67)*($I$6:X$6&lt;=(X$6-$E14)))</f>
        <v>-15700000</v>
      </c>
      <c r="Y72" s="119" cm="1">
        <f t="array" ref="Y72">SUMPRODUCT(($I67:Y67))-SUMPRODUCT(($I67:Y67)*($I$6:Y$6&lt;=(Y$6-$E14)))</f>
        <v>-15700000</v>
      </c>
      <c r="Z72" s="119" cm="1">
        <f t="array" ref="Z72">SUMPRODUCT(($I67:Z67))-SUMPRODUCT(($I67:Z67)*($I$6:Z$6&lt;=(Z$6-$E14)))</f>
        <v>-15700000</v>
      </c>
      <c r="AA72" s="119" cm="1">
        <f t="array" ref="AA72">SUMPRODUCT(($I67:AA67))-SUMPRODUCT(($I67:AA67)*($I$6:AA$6&lt;=(AA$6-$E14)))</f>
        <v>-15700000</v>
      </c>
      <c r="AB72" s="119" cm="1">
        <f t="array" ref="AB72">SUMPRODUCT(($I67:AB67))-SUMPRODUCT(($I67:AB67)*($I$6:AB$6&lt;=(AB$6-$E14)))</f>
        <v>-15700000</v>
      </c>
      <c r="AC72" s="119" cm="1">
        <f t="array" ref="AC72">SUMPRODUCT(($I67:AC67))-SUMPRODUCT(($I67:AC67)*($I$6:AC$6&lt;=(AC$6-$E14)))</f>
        <v>-15700000</v>
      </c>
      <c r="AD72" s="119" cm="1">
        <f t="array" ref="AD72">SUMPRODUCT(($I67:AD67))-SUMPRODUCT(($I67:AD67)*($I$6:AD$6&lt;=(AD$6-$E14)))</f>
        <v>-15700000</v>
      </c>
      <c r="AE72" s="119" cm="1">
        <f t="array" ref="AE72">SUMPRODUCT(($I67:AE67))-SUMPRODUCT(($I67:AE67)*($I$6:AE$6&lt;=(AE$6-$E14)))</f>
        <v>-15700000</v>
      </c>
      <c r="AF72" s="119" cm="1">
        <f t="array" ref="AF72">SUMPRODUCT(($I67:AF67))-SUMPRODUCT(($I67:AF67)*($I$6:AF$6&lt;=(AF$6-$E14)))</f>
        <v>-15700000</v>
      </c>
      <c r="AG72" s="119" cm="1">
        <f t="array" ref="AG72">SUMPRODUCT(($I67:AG67))-SUMPRODUCT(($I67:AG67)*($I$6:AG$6&lt;=(AG$6-$E14)))</f>
        <v>-15700000</v>
      </c>
    </row>
    <row r="73" spans="1:33" x14ac:dyDescent="0.2">
      <c r="A73" s="8"/>
      <c r="B73" s="8"/>
      <c r="C73" s="4">
        <f>C15</f>
        <v>0</v>
      </c>
      <c r="D73" s="38"/>
      <c r="F73" s="97"/>
      <c r="G73" s="209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09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3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6" t="s">
        <v>91</v>
      </c>
      <c r="D76" s="38"/>
      <c r="F76" s="97"/>
      <c r="G76" s="212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Mini zone substation</v>
      </c>
      <c r="D77" s="38"/>
      <c r="F77" s="97"/>
      <c r="G77" s="209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-67113.900332240693</v>
      </c>
      <c r="K77" s="119">
        <f t="shared" si="8"/>
        <v>-584081.82106170733</v>
      </c>
      <c r="L77" s="119">
        <f t="shared" si="8"/>
        <v>-669349.24019480334</v>
      </c>
      <c r="M77" s="119">
        <f t="shared" si="8"/>
        <v>-669349.24019480334</v>
      </c>
      <c r="N77" s="119">
        <f t="shared" si="8"/>
        <v>-669349.24019480334</v>
      </c>
      <c r="O77" s="119">
        <f t="shared" si="8"/>
        <v>-669349.24019480334</v>
      </c>
      <c r="P77" s="119">
        <f t="shared" si="8"/>
        <v>-669349.24019480334</v>
      </c>
      <c r="Q77" s="119">
        <f t="shared" si="8"/>
        <v>-669349.24019480334</v>
      </c>
      <c r="R77" s="119">
        <f t="shared" si="8"/>
        <v>-669349.24019480334</v>
      </c>
      <c r="S77" s="119">
        <f t="shared" si="8"/>
        <v>-669349.24019480334</v>
      </c>
      <c r="T77" s="119">
        <f t="shared" si="8"/>
        <v>-669349.24019480334</v>
      </c>
      <c r="U77" s="119">
        <f t="shared" si="8"/>
        <v>-669349.24019480334</v>
      </c>
      <c r="V77" s="119">
        <f t="shared" si="8"/>
        <v>-669349.24019480334</v>
      </c>
      <c r="W77" s="119">
        <f t="shared" si="8"/>
        <v>-669349.24019480334</v>
      </c>
      <c r="X77" s="119">
        <f t="shared" si="8"/>
        <v>-669349.24019480334</v>
      </c>
      <c r="Y77" s="119">
        <f t="shared" si="8"/>
        <v>-669349.24019480334</v>
      </c>
      <c r="Z77" s="119">
        <f t="shared" si="8"/>
        <v>-669349.24019480334</v>
      </c>
      <c r="AA77" s="119">
        <f t="shared" si="8"/>
        <v>-669349.24019480334</v>
      </c>
      <c r="AB77" s="119">
        <f t="shared" si="8"/>
        <v>-669349.24019480334</v>
      </c>
      <c r="AC77" s="119">
        <f t="shared" si="8"/>
        <v>-669349.24019480334</v>
      </c>
      <c r="AD77" s="119">
        <f t="shared" si="8"/>
        <v>-669349.24019480334</v>
      </c>
      <c r="AE77" s="119">
        <f t="shared" si="8"/>
        <v>-669349.24019480334</v>
      </c>
      <c r="AF77" s="119">
        <f t="shared" si="8"/>
        <v>-669349.24019480334</v>
      </c>
      <c r="AG77" s="119">
        <f t="shared" si="8"/>
        <v>-669349.24019480334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09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09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1" t="s">
        <v>156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1">SUM(J77:J79)</f>
        <v>-67113.900332240693</v>
      </c>
      <c r="K80" s="175">
        <f t="shared" si="11"/>
        <v>-584081.82106170733</v>
      </c>
      <c r="L80" s="175">
        <f t="shared" si="11"/>
        <v>-669349.24019480334</v>
      </c>
      <c r="M80" s="175">
        <f t="shared" si="11"/>
        <v>-669349.24019480334</v>
      </c>
      <c r="N80" s="175">
        <f t="shared" si="11"/>
        <v>-669349.24019480334</v>
      </c>
      <c r="O80" s="175">
        <f t="shared" si="11"/>
        <v>-669349.24019480334</v>
      </c>
      <c r="P80" s="175">
        <f t="shared" si="11"/>
        <v>-669349.24019480334</v>
      </c>
      <c r="Q80" s="175">
        <f t="shared" si="11"/>
        <v>-669349.24019480334</v>
      </c>
      <c r="R80" s="175">
        <f t="shared" si="11"/>
        <v>-669349.24019480334</v>
      </c>
      <c r="S80" s="175">
        <f t="shared" si="11"/>
        <v>-669349.24019480334</v>
      </c>
      <c r="T80" s="175">
        <f t="shared" si="11"/>
        <v>-669349.24019480334</v>
      </c>
      <c r="U80" s="175">
        <f t="shared" si="11"/>
        <v>-669349.24019480334</v>
      </c>
      <c r="V80" s="175">
        <f t="shared" si="11"/>
        <v>-669349.24019480334</v>
      </c>
      <c r="W80" s="175">
        <f t="shared" si="11"/>
        <v>-669349.24019480334</v>
      </c>
      <c r="X80" s="175">
        <f t="shared" si="11"/>
        <v>-669349.24019480334</v>
      </c>
      <c r="Y80" s="175">
        <f t="shared" si="11"/>
        <v>-669349.24019480334</v>
      </c>
      <c r="Z80" s="175">
        <f t="shared" si="11"/>
        <v>-669349.24019480334</v>
      </c>
      <c r="AA80" s="175">
        <f t="shared" si="11"/>
        <v>-669349.24019480334</v>
      </c>
      <c r="AB80" s="175">
        <f t="shared" si="11"/>
        <v>-669349.24019480334</v>
      </c>
      <c r="AC80" s="175">
        <f>SUM(AC77:AC79)</f>
        <v>-669349.24019480334</v>
      </c>
      <c r="AD80" s="175">
        <f>SUM(AD77:AD79)</f>
        <v>-669349.24019480334</v>
      </c>
      <c r="AE80" s="175">
        <f>SUM(AE77:AE79)</f>
        <v>-669349.24019480334</v>
      </c>
      <c r="AF80" s="175">
        <f>SUM(AF77:AF79)</f>
        <v>-669349.24019480334</v>
      </c>
      <c r="AG80" s="175">
        <f>SUM(AG77:AG79)</f>
        <v>-669349.24019480334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09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-67113.900332240693</v>
      </c>
      <c r="K82" s="119">
        <f t="shared" si="13"/>
        <v>-584081.82106170733</v>
      </c>
      <c r="L82" s="119">
        <f t="shared" si="13"/>
        <v>-669349.24019480334</v>
      </c>
      <c r="M82" s="119">
        <f t="shared" si="13"/>
        <v>-669349.24019480334</v>
      </c>
      <c r="N82" s="119">
        <f t="shared" si="13"/>
        <v>-669349.24019480334</v>
      </c>
      <c r="O82" s="119">
        <f t="shared" si="13"/>
        <v>-669349.24019480334</v>
      </c>
      <c r="P82" s="119">
        <f t="shared" si="13"/>
        <v>-669349.24019480334</v>
      </c>
      <c r="Q82" s="119">
        <f t="shared" si="13"/>
        <v>-669349.24019480334</v>
      </c>
      <c r="R82" s="119">
        <f t="shared" si="13"/>
        <v>-669349.24019480334</v>
      </c>
      <c r="S82" s="119">
        <f t="shared" si="13"/>
        <v>-669349.24019480334</v>
      </c>
      <c r="T82" s="119">
        <f t="shared" si="13"/>
        <v>-669349.24019480334</v>
      </c>
      <c r="U82" s="119">
        <f t="shared" si="13"/>
        <v>-669349.24019480334</v>
      </c>
      <c r="V82" s="119">
        <f t="shared" si="13"/>
        <v>-669349.24019480334</v>
      </c>
      <c r="W82" s="119">
        <f t="shared" si="13"/>
        <v>-669349.24019480334</v>
      </c>
      <c r="X82" s="119">
        <f t="shared" si="13"/>
        <v>-669349.24019480334</v>
      </c>
      <c r="Y82" s="119">
        <f t="shared" si="13"/>
        <v>-669349.24019480334</v>
      </c>
      <c r="Z82" s="119">
        <f t="shared" si="13"/>
        <v>-669349.24019480334</v>
      </c>
      <c r="AA82" s="119">
        <f t="shared" si="13"/>
        <v>-669349.24019480334</v>
      </c>
      <c r="AB82" s="119">
        <f t="shared" si="13"/>
        <v>-669349.24019480334</v>
      </c>
      <c r="AC82" s="119">
        <f>AC80</f>
        <v>-669349.24019480334</v>
      </c>
      <c r="AD82" s="119">
        <f>AD80</f>
        <v>-669349.24019480334</v>
      </c>
      <c r="AE82" s="119">
        <f>AE80</f>
        <v>-669349.24019480334</v>
      </c>
      <c r="AF82" s="119">
        <f>AF80</f>
        <v>-669349.24019480334</v>
      </c>
      <c r="AG82" s="119">
        <f>AG80</f>
        <v>-669349.24019480334</v>
      </c>
    </row>
    <row r="83" spans="1:33" x14ac:dyDescent="0.2">
      <c r="A83" s="8"/>
      <c r="B83" s="8"/>
      <c r="C83" s="4" t="s">
        <v>31</v>
      </c>
      <c r="D83" s="38"/>
      <c r="F83" s="97"/>
      <c r="G83" s="209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09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10000000</v>
      </c>
      <c r="L84" s="31">
        <f t="shared" si="15"/>
        <v>2007500</v>
      </c>
      <c r="M84" s="31">
        <f t="shared" si="15"/>
        <v>2007500</v>
      </c>
      <c r="N84" s="31">
        <f t="shared" si="15"/>
        <v>2007500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>AC64</f>
        <v>2007500</v>
      </c>
      <c r="AD84" s="31">
        <f>AD64</f>
        <v>2007500</v>
      </c>
      <c r="AE84" s="31">
        <f>AE64</f>
        <v>2007500</v>
      </c>
      <c r="AF84" s="31">
        <f>AF64</f>
        <v>2007500</v>
      </c>
      <c r="AG84" s="31">
        <f>AG64</f>
        <v>2007500</v>
      </c>
    </row>
    <row r="85" spans="1:33" x14ac:dyDescent="0.2">
      <c r="A85" s="8"/>
      <c r="B85" s="8"/>
      <c r="C85" s="4" t="s">
        <v>122</v>
      </c>
      <c r="D85" s="38"/>
      <c r="F85" s="97"/>
      <c r="G85" s="209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6" t="s">
        <v>186</v>
      </c>
      <c r="D87" s="177"/>
      <c r="E87" s="172"/>
      <c r="F87" s="178"/>
      <c r="G87" s="214">
        <f t="shared" si="12"/>
        <v>45291</v>
      </c>
      <c r="H87" s="178"/>
      <c r="I87" s="178">
        <f t="shared" ref="I87:AB87" si="17">SUM(I82:I86)</f>
        <v>0</v>
      </c>
      <c r="J87" s="178">
        <f t="shared" si="17"/>
        <v>-67113.900332240693</v>
      </c>
      <c r="K87" s="178">
        <f t="shared" si="17"/>
        <v>9415918.178938292</v>
      </c>
      <c r="L87" s="178">
        <f t="shared" si="17"/>
        <v>1338150.7598051967</v>
      </c>
      <c r="M87" s="178">
        <f t="shared" si="17"/>
        <v>1338150.7598051967</v>
      </c>
      <c r="N87" s="178">
        <f t="shared" si="17"/>
        <v>1338150.7598051967</v>
      </c>
      <c r="O87" s="178">
        <f t="shared" si="17"/>
        <v>1338150.7598051967</v>
      </c>
      <c r="P87" s="178">
        <f t="shared" si="17"/>
        <v>1338150.7598051967</v>
      </c>
      <c r="Q87" s="178">
        <f t="shared" si="17"/>
        <v>1338150.7598051967</v>
      </c>
      <c r="R87" s="178">
        <f t="shared" si="17"/>
        <v>1338150.7598051967</v>
      </c>
      <c r="S87" s="178">
        <f t="shared" si="17"/>
        <v>1338150.7598051967</v>
      </c>
      <c r="T87" s="178">
        <f t="shared" si="17"/>
        <v>1338150.7598051967</v>
      </c>
      <c r="U87" s="178">
        <f t="shared" si="17"/>
        <v>1338150.7598051967</v>
      </c>
      <c r="V87" s="178">
        <f t="shared" si="17"/>
        <v>1338150.7598051967</v>
      </c>
      <c r="W87" s="178">
        <f t="shared" si="17"/>
        <v>1338150.7598051967</v>
      </c>
      <c r="X87" s="178">
        <f t="shared" si="17"/>
        <v>1338150.7598051967</v>
      </c>
      <c r="Y87" s="178">
        <f t="shared" si="17"/>
        <v>1338150.7598051967</v>
      </c>
      <c r="Z87" s="178">
        <f t="shared" si="17"/>
        <v>1338150.7598051967</v>
      </c>
      <c r="AA87" s="178">
        <f t="shared" si="17"/>
        <v>1338150.7598051967</v>
      </c>
      <c r="AB87" s="178">
        <f t="shared" si="17"/>
        <v>1338150.7598051967</v>
      </c>
      <c r="AC87" s="178">
        <f>SUM(AC82:AC86)</f>
        <v>1338150.7598051967</v>
      </c>
      <c r="AD87" s="178">
        <f>SUM(AD82:AD86)</f>
        <v>1338150.7598051967</v>
      </c>
      <c r="AE87" s="178">
        <f>SUM(AE82:AE86)</f>
        <v>1338150.7598051967</v>
      </c>
      <c r="AF87" s="178">
        <f>SUM(AF82:AF86)</f>
        <v>1338150.7598051967</v>
      </c>
      <c r="AG87" s="178">
        <f>SUM(AG82:AG86)</f>
        <v>1338150.7598051967</v>
      </c>
    </row>
    <row r="88" spans="1:33" x14ac:dyDescent="0.2">
      <c r="A88" s="8"/>
      <c r="B88" s="8"/>
      <c r="C88" s="75"/>
      <c r="D88" s="137"/>
      <c r="E88" s="64"/>
      <c r="F88" s="140"/>
      <c r="G88" s="216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7"/>
      <c r="E89" s="64"/>
      <c r="F89" s="140"/>
      <c r="G89" s="216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29" t="s">
        <v>196</v>
      </c>
      <c r="D90" s="82"/>
      <c r="E90" s="230"/>
      <c r="F90" s="231"/>
      <c r="G90" s="232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3"/>
      <c r="E91" s="230"/>
      <c r="F91" s="230"/>
      <c r="G91" s="232"/>
    </row>
    <row r="92" spans="1:33" x14ac:dyDescent="0.2">
      <c r="C92" s="234" t="s">
        <v>191</v>
      </c>
      <c r="D92" s="235"/>
      <c r="E92" s="235"/>
      <c r="F92" s="235"/>
      <c r="G92" s="236">
        <f>IF(_xlfn.MINIFS($G$90:$G$91, $G$90:$G$91, "&gt;"&amp;0)=0, $A$4, _xlfn.MINIFS($G$90:$G$91, $G$90:$G$91, "&gt;"&amp;0))</f>
        <v>1</v>
      </c>
    </row>
    <row r="94" spans="1:33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-67113.900332240693</v>
      </c>
      <c r="K106" s="31">
        <f t="shared" si="18"/>
        <v>9415918.178938292</v>
      </c>
      <c r="L106" s="31">
        <f t="shared" si="18"/>
        <v>1338150.7598051967</v>
      </c>
      <c r="M106" s="31">
        <f t="shared" si="18"/>
        <v>1338150.7598051967</v>
      </c>
      <c r="N106" s="31">
        <f t="shared" si="18"/>
        <v>1338150.7598051967</v>
      </c>
      <c r="O106" s="31">
        <f t="shared" si="18"/>
        <v>1338150.7598051967</v>
      </c>
      <c r="P106" s="31">
        <f t="shared" si="18"/>
        <v>1338150.7598051967</v>
      </c>
      <c r="Q106" s="31">
        <f t="shared" si="18"/>
        <v>1338150.7598051967</v>
      </c>
      <c r="R106" s="31">
        <f t="shared" si="18"/>
        <v>1338150.7598051967</v>
      </c>
      <c r="S106" s="31">
        <f t="shared" si="18"/>
        <v>1338150.7598051967</v>
      </c>
      <c r="T106" s="31">
        <f t="shared" si="18"/>
        <v>1338150.7598051967</v>
      </c>
      <c r="U106" s="31">
        <f t="shared" si="18"/>
        <v>1338150.7598051967</v>
      </c>
      <c r="V106" s="31">
        <f t="shared" si="18"/>
        <v>1338150.7598051967</v>
      </c>
      <c r="W106" s="31">
        <f t="shared" si="18"/>
        <v>1338150.7598051967</v>
      </c>
      <c r="X106" s="31">
        <f t="shared" si="18"/>
        <v>1338150.7598051967</v>
      </c>
      <c r="Y106" s="31">
        <f t="shared" si="18"/>
        <v>1338150.7598051967</v>
      </c>
      <c r="Z106" s="31">
        <f t="shared" si="18"/>
        <v>1338150.7598051967</v>
      </c>
      <c r="AA106" s="31">
        <f t="shared" si="18"/>
        <v>1338150.7598051967</v>
      </c>
      <c r="AB106" s="31">
        <f t="shared" si="18"/>
        <v>1338150.7598051967</v>
      </c>
      <c r="AC106" s="31">
        <f t="shared" si="18"/>
        <v>1338150.7598051967</v>
      </c>
      <c r="AD106" s="31">
        <f t="shared" si="18"/>
        <v>1338150.7598051967</v>
      </c>
      <c r="AE106" s="31">
        <f t="shared" si="18"/>
        <v>1338150.7598051967</v>
      </c>
      <c r="AF106" s="31">
        <f t="shared" si="18"/>
        <v>1338150.7598051967</v>
      </c>
      <c r="AG106" s="31">
        <f t="shared" si="18"/>
        <v>1338150.7598051967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-67113.900332240693</v>
      </c>
      <c r="K107" s="31">
        <f t="shared" si="19"/>
        <v>-584081.82106170733</v>
      </c>
      <c r="L107" s="31">
        <f t="shared" si="19"/>
        <v>-669349.24019480334</v>
      </c>
      <c r="M107" s="31">
        <f t="shared" si="19"/>
        <v>-669349.24019480334</v>
      </c>
      <c r="N107" s="31">
        <f t="shared" si="19"/>
        <v>-669349.24019480334</v>
      </c>
      <c r="O107" s="31">
        <f t="shared" si="19"/>
        <v>-669349.24019480334</v>
      </c>
      <c r="P107" s="31">
        <f t="shared" si="19"/>
        <v>-669349.24019480334</v>
      </c>
      <c r="Q107" s="31">
        <f t="shared" si="19"/>
        <v>-669349.24019480334</v>
      </c>
      <c r="R107" s="31">
        <f t="shared" si="19"/>
        <v>-669349.24019480334</v>
      </c>
      <c r="S107" s="31">
        <f t="shared" si="19"/>
        <v>-669349.24019480334</v>
      </c>
      <c r="T107" s="31">
        <f t="shared" si="19"/>
        <v>-669349.24019480334</v>
      </c>
      <c r="U107" s="31">
        <f t="shared" si="19"/>
        <v>-669349.24019480334</v>
      </c>
      <c r="V107" s="31">
        <f t="shared" si="19"/>
        <v>-669349.24019480334</v>
      </c>
      <c r="W107" s="31">
        <f t="shared" si="19"/>
        <v>-669349.24019480334</v>
      </c>
      <c r="X107" s="31">
        <f t="shared" si="19"/>
        <v>-669349.24019480334</v>
      </c>
      <c r="Y107" s="31">
        <f t="shared" si="19"/>
        <v>-669349.24019480334</v>
      </c>
      <c r="Z107" s="31">
        <f t="shared" si="19"/>
        <v>-669349.24019480334</v>
      </c>
      <c r="AA107" s="31">
        <f t="shared" si="19"/>
        <v>-669349.24019480334</v>
      </c>
      <c r="AB107" s="31">
        <f t="shared" si="19"/>
        <v>-669349.24019480334</v>
      </c>
      <c r="AC107" s="31">
        <f t="shared" si="19"/>
        <v>-669349.24019480334</v>
      </c>
      <c r="AD107" s="31">
        <f t="shared" si="19"/>
        <v>-669349.24019480334</v>
      </c>
      <c r="AE107" s="31">
        <f t="shared" si="19"/>
        <v>-669349.24019480334</v>
      </c>
      <c r="AF107" s="31">
        <f t="shared" si="19"/>
        <v>-669349.24019480334</v>
      </c>
      <c r="AG107" s="31">
        <f t="shared" si="19"/>
        <v>-669349.24019480334</v>
      </c>
    </row>
    <row r="108" spans="1:43" x14ac:dyDescent="0.2">
      <c r="C108" s="1" t="s">
        <v>237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10000000</v>
      </c>
      <c r="L108" s="31">
        <f t="shared" si="20"/>
        <v>2007500</v>
      </c>
      <c r="M108" s="31">
        <f t="shared" si="20"/>
        <v>2007500</v>
      </c>
      <c r="N108" s="31">
        <f t="shared" si="20"/>
        <v>2007500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-73825.290365464767</v>
      </c>
      <c r="K110" s="31" cm="1">
        <f t="array" ref="K110">K$106+IF($C110&lt;&gt;0,SUMPRODUCT((K$107:K$108)*TRANSPOSE(($D110:$E110))),0)</f>
        <v>9357509.9968321212</v>
      </c>
      <c r="L110" s="31" cm="1">
        <f t="array" ref="L110">L$106+IF($C110&lt;&gt;0,SUMPRODUCT((L$107:L$108)*TRANSPOSE(($D110:$E110))),0)</f>
        <v>1271215.8357857163</v>
      </c>
      <c r="M110" s="31" cm="1">
        <f t="array" ref="M110">M$106+IF($C110&lt;&gt;0,SUMPRODUCT((M$107:M$108)*TRANSPOSE(($D110:$E110))),0)</f>
        <v>1271215.8357857163</v>
      </c>
      <c r="N110" s="31" cm="1">
        <f t="array" ref="N110">N$106+IF($C110&lt;&gt;0,SUMPRODUCT((N$107:N$108)*TRANSPOSE(($D110:$E110))),0)</f>
        <v>1271215.8357857163</v>
      </c>
      <c r="O110" s="31" cm="1">
        <f t="array" ref="O110">O$106+IF($C110&lt;&gt;0,SUMPRODUCT((O$107:O$108)*TRANSPOSE(($D110:$E110))),0)</f>
        <v>1271215.8357857163</v>
      </c>
      <c r="P110" s="31" cm="1">
        <f t="array" ref="P110">P$106+IF($C110&lt;&gt;0,SUMPRODUCT((P$107:P$108)*TRANSPOSE(($D110:$E110))),0)</f>
        <v>1271215.8357857163</v>
      </c>
      <c r="Q110" s="31" cm="1">
        <f t="array" ref="Q110">Q$106+IF($C110&lt;&gt;0,SUMPRODUCT((Q$107:Q$108)*TRANSPOSE(($D110:$E110))),0)</f>
        <v>1271215.8357857163</v>
      </c>
      <c r="R110" s="31" cm="1">
        <f t="array" ref="R110">R$106+IF($C110&lt;&gt;0,SUMPRODUCT((R$107:R$108)*TRANSPOSE(($D110:$E110))),0)</f>
        <v>1271215.8357857163</v>
      </c>
      <c r="S110" s="31" cm="1">
        <f t="array" ref="S110">S$106+IF($C110&lt;&gt;0,SUMPRODUCT((S$107:S$108)*TRANSPOSE(($D110:$E110))),0)</f>
        <v>1271215.8357857163</v>
      </c>
      <c r="T110" s="31" cm="1">
        <f t="array" ref="T110">T$106+IF($C110&lt;&gt;0,SUMPRODUCT((T$107:T$108)*TRANSPOSE(($D110:$E110))),0)</f>
        <v>1271215.8357857163</v>
      </c>
      <c r="U110" s="31" cm="1">
        <f t="array" ref="U110">U$106+IF($C110&lt;&gt;0,SUMPRODUCT((U$107:U$108)*TRANSPOSE(($D110:$E110))),0)</f>
        <v>1271215.8357857163</v>
      </c>
      <c r="V110" s="31" cm="1">
        <f t="array" ref="V110">V$106+IF($C110&lt;&gt;0,SUMPRODUCT((V$107:V$108)*TRANSPOSE(($D110:$E110))),0)</f>
        <v>1271215.8357857163</v>
      </c>
      <c r="W110" s="31" cm="1">
        <f t="array" ref="W110">W$106+IF($C110&lt;&gt;0,SUMPRODUCT((W$107:W$108)*TRANSPOSE(($D110:$E110))),0)</f>
        <v>1271215.8357857163</v>
      </c>
      <c r="X110" s="31" cm="1">
        <f t="array" ref="X110">X$106+IF($C110&lt;&gt;0,SUMPRODUCT((X$107:X$108)*TRANSPOSE(($D110:$E110))),0)</f>
        <v>1271215.8357857163</v>
      </c>
      <c r="Y110" s="31" cm="1">
        <f t="array" ref="Y110">Y$106+IF($C110&lt;&gt;0,SUMPRODUCT((Y$107:Y$108)*TRANSPOSE(($D110:$E110))),0)</f>
        <v>1271215.8357857163</v>
      </c>
      <c r="Z110" s="31" cm="1">
        <f t="array" ref="Z110">Z$106+IF($C110&lt;&gt;0,SUMPRODUCT((Z$107:Z$108)*TRANSPOSE(($D110:$E110))),0)</f>
        <v>1271215.8357857163</v>
      </c>
      <c r="AA110" s="31" cm="1">
        <f t="array" ref="AA110">AA$106+IF($C110&lt;&gt;0,SUMPRODUCT((AA$107:AA$108)*TRANSPOSE(($D110:$E110))),0)</f>
        <v>1271215.8357857163</v>
      </c>
      <c r="AB110" s="31" cm="1">
        <f t="array" ref="AB110">AB$106+IF($C110&lt;&gt;0,SUMPRODUCT((AB$107:AB$108)*TRANSPOSE(($D110:$E110))),0)</f>
        <v>1271215.8357857163</v>
      </c>
      <c r="AC110" s="31" cm="1">
        <f t="array" ref="AC110">AC$106+IF($C110&lt;&gt;0,SUMPRODUCT((AC$107:AC$108)*TRANSPOSE(($D110:$E110))),0)</f>
        <v>1271215.8357857163</v>
      </c>
      <c r="AD110" s="31" cm="1">
        <f t="array" ref="AD110">AD$106+IF($C110&lt;&gt;0,SUMPRODUCT((AD$107:AD$108)*TRANSPOSE(($D110:$E110))),0)</f>
        <v>1271215.8357857163</v>
      </c>
      <c r="AE110" s="31" cm="1">
        <f t="array" ref="AE110">AE$106+IF($C110&lt;&gt;0,SUMPRODUCT((AE$107:AE$108)*TRANSPOSE(($D110:$E110))),0)</f>
        <v>1271215.8357857163</v>
      </c>
      <c r="AF110" s="31" cm="1">
        <f t="array" ref="AF110">AF$106+IF($C110&lt;&gt;0,SUMPRODUCT((AF$107:AF$108)*TRANSPOSE(($D110:$E110))),0)</f>
        <v>1271215.8357857163</v>
      </c>
      <c r="AG110" s="31" cm="1">
        <f t="array" ref="AG110">AG$106+IF($C110&lt;&gt;0,SUMPRODUCT((AG$107:AG$108)*TRANSPOSE(($D110:$E110))),0)</f>
        <v>1271215.8357857163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-60402.51029901662</v>
      </c>
      <c r="K111" s="31" cm="1">
        <f t="array" ref="K111">K$106+IF($C111&lt;&gt;0,SUMPRODUCT((K$107:K$108)*TRANSPOSE(($D111:$E111))),0)</f>
        <v>9474326.3610444628</v>
      </c>
      <c r="L111" s="31" cm="1">
        <f t="array" ref="L111">L$106+IF($C111&lt;&gt;0,SUMPRODUCT((L$107:L$108)*TRANSPOSE(($D111:$E111))),0)</f>
        <v>1405085.683824677</v>
      </c>
      <c r="M111" s="31" cm="1">
        <f t="array" ref="M111">M$106+IF($C111&lt;&gt;0,SUMPRODUCT((M$107:M$108)*TRANSPOSE(($D111:$E111))),0)</f>
        <v>1405085.683824677</v>
      </c>
      <c r="N111" s="31" cm="1">
        <f t="array" ref="N111">N$106+IF($C111&lt;&gt;0,SUMPRODUCT((N$107:N$108)*TRANSPOSE(($D111:$E111))),0)</f>
        <v>1405085.683824677</v>
      </c>
      <c r="O111" s="31" cm="1">
        <f t="array" ref="O111">O$106+IF($C111&lt;&gt;0,SUMPRODUCT((O$107:O$108)*TRANSPOSE(($D111:$E111))),0)</f>
        <v>1405085.683824677</v>
      </c>
      <c r="P111" s="31" cm="1">
        <f t="array" ref="P111">P$106+IF($C111&lt;&gt;0,SUMPRODUCT((P$107:P$108)*TRANSPOSE(($D111:$E111))),0)</f>
        <v>1405085.683824677</v>
      </c>
      <c r="Q111" s="31" cm="1">
        <f t="array" ref="Q111">Q$106+IF($C111&lt;&gt;0,SUMPRODUCT((Q$107:Q$108)*TRANSPOSE(($D111:$E111))),0)</f>
        <v>1405085.683824677</v>
      </c>
      <c r="R111" s="31" cm="1">
        <f t="array" ref="R111">R$106+IF($C111&lt;&gt;0,SUMPRODUCT((R$107:R$108)*TRANSPOSE(($D111:$E111))),0)</f>
        <v>1405085.683824677</v>
      </c>
      <c r="S111" s="31" cm="1">
        <f t="array" ref="S111">S$106+IF($C111&lt;&gt;0,SUMPRODUCT((S$107:S$108)*TRANSPOSE(($D111:$E111))),0)</f>
        <v>1405085.683824677</v>
      </c>
      <c r="T111" s="31" cm="1">
        <f t="array" ref="T111">T$106+IF($C111&lt;&gt;0,SUMPRODUCT((T$107:T$108)*TRANSPOSE(($D111:$E111))),0)</f>
        <v>1405085.683824677</v>
      </c>
      <c r="U111" s="31" cm="1">
        <f t="array" ref="U111">U$106+IF($C111&lt;&gt;0,SUMPRODUCT((U$107:U$108)*TRANSPOSE(($D111:$E111))),0)</f>
        <v>1405085.683824677</v>
      </c>
      <c r="V111" s="31" cm="1">
        <f t="array" ref="V111">V$106+IF($C111&lt;&gt;0,SUMPRODUCT((V$107:V$108)*TRANSPOSE(($D111:$E111))),0)</f>
        <v>1405085.683824677</v>
      </c>
      <c r="W111" s="31" cm="1">
        <f t="array" ref="W111">W$106+IF($C111&lt;&gt;0,SUMPRODUCT((W$107:W$108)*TRANSPOSE(($D111:$E111))),0)</f>
        <v>1405085.683824677</v>
      </c>
      <c r="X111" s="31" cm="1">
        <f t="array" ref="X111">X$106+IF($C111&lt;&gt;0,SUMPRODUCT((X$107:X$108)*TRANSPOSE(($D111:$E111))),0)</f>
        <v>1405085.683824677</v>
      </c>
      <c r="Y111" s="31" cm="1">
        <f t="array" ref="Y111">Y$106+IF($C111&lt;&gt;0,SUMPRODUCT((Y$107:Y$108)*TRANSPOSE(($D111:$E111))),0)</f>
        <v>1405085.683824677</v>
      </c>
      <c r="Z111" s="31" cm="1">
        <f t="array" ref="Z111">Z$106+IF($C111&lt;&gt;0,SUMPRODUCT((Z$107:Z$108)*TRANSPOSE(($D111:$E111))),0)</f>
        <v>1405085.683824677</v>
      </c>
      <c r="AA111" s="31" cm="1">
        <f t="array" ref="AA111">AA$106+IF($C111&lt;&gt;0,SUMPRODUCT((AA$107:AA$108)*TRANSPOSE(($D111:$E111))),0)</f>
        <v>1405085.683824677</v>
      </c>
      <c r="AB111" s="31" cm="1">
        <f t="array" ref="AB111">AB$106+IF($C111&lt;&gt;0,SUMPRODUCT((AB$107:AB$108)*TRANSPOSE(($D111:$E111))),0)</f>
        <v>1405085.683824677</v>
      </c>
      <c r="AC111" s="31" cm="1">
        <f t="array" ref="AC111">AC$106+IF($C111&lt;&gt;0,SUMPRODUCT((AC$107:AC$108)*TRANSPOSE(($D111:$E111))),0)</f>
        <v>1405085.683824677</v>
      </c>
      <c r="AD111" s="31" cm="1">
        <f t="array" ref="AD111">AD$106+IF($C111&lt;&gt;0,SUMPRODUCT((AD$107:AD$108)*TRANSPOSE(($D111:$E111))),0)</f>
        <v>1405085.683824677</v>
      </c>
      <c r="AE111" s="31" cm="1">
        <f t="array" ref="AE111">AE$106+IF($C111&lt;&gt;0,SUMPRODUCT((AE$107:AE$108)*TRANSPOSE(($D111:$E111))),0)</f>
        <v>1405085.683824677</v>
      </c>
      <c r="AF111" s="31" cm="1">
        <f t="array" ref="AF111">AF$106+IF($C111&lt;&gt;0,SUMPRODUCT((AF$107:AF$108)*TRANSPOSE(($D111:$E111))),0)</f>
        <v>1405085.683824677</v>
      </c>
      <c r="AG111" s="31" cm="1">
        <f t="array" ref="AG111">AG$106+IF($C111&lt;&gt;0,SUMPRODUCT((AG$107:AG$108)*TRANSPOSE(($D111:$E111))),0)</f>
        <v>1405085.683824677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-67113.900332240693</v>
      </c>
      <c r="K112" s="31" cm="1">
        <f t="array" ref="K112">K$106+IF($C112&lt;&gt;0,SUMPRODUCT((K$107:K$108)*TRANSPOSE(($D112:$E112))),0)</f>
        <v>10415918.178938292</v>
      </c>
      <c r="L112" s="31" cm="1">
        <f t="array" ref="L112">L$106+IF($C112&lt;&gt;0,SUMPRODUCT((L$107:L$108)*TRANSPOSE(($D112:$E112))),0)</f>
        <v>1538900.7598051967</v>
      </c>
      <c r="M112" s="31" cm="1">
        <f t="array" ref="M112">M$106+IF($C112&lt;&gt;0,SUMPRODUCT((M$107:M$108)*TRANSPOSE(($D112:$E112))),0)</f>
        <v>1538900.7598051967</v>
      </c>
      <c r="N112" s="31" cm="1">
        <f t="array" ref="N112">N$106+IF($C112&lt;&gt;0,SUMPRODUCT((N$107:N$108)*TRANSPOSE(($D112:$E112))),0)</f>
        <v>1538900.7598051967</v>
      </c>
      <c r="O112" s="31" cm="1">
        <f t="array" ref="O112">O$106+IF($C112&lt;&gt;0,SUMPRODUCT((O$107:O$108)*TRANSPOSE(($D112:$E112))),0)</f>
        <v>1538900.7598051967</v>
      </c>
      <c r="P112" s="31" cm="1">
        <f t="array" ref="P112">P$106+IF($C112&lt;&gt;0,SUMPRODUCT((P$107:P$108)*TRANSPOSE(($D112:$E112))),0)</f>
        <v>1538900.7598051967</v>
      </c>
      <c r="Q112" s="31" cm="1">
        <f t="array" ref="Q112">Q$106+IF($C112&lt;&gt;0,SUMPRODUCT((Q$107:Q$108)*TRANSPOSE(($D112:$E112))),0)</f>
        <v>1538900.7598051967</v>
      </c>
      <c r="R112" s="31" cm="1">
        <f t="array" ref="R112">R$106+IF($C112&lt;&gt;0,SUMPRODUCT((R$107:R$108)*TRANSPOSE(($D112:$E112))),0)</f>
        <v>1538900.7598051967</v>
      </c>
      <c r="S112" s="31" cm="1">
        <f t="array" ref="S112">S$106+IF($C112&lt;&gt;0,SUMPRODUCT((S$107:S$108)*TRANSPOSE(($D112:$E112))),0)</f>
        <v>1538900.7598051967</v>
      </c>
      <c r="T112" s="31" cm="1">
        <f t="array" ref="T112">T$106+IF($C112&lt;&gt;0,SUMPRODUCT((T$107:T$108)*TRANSPOSE(($D112:$E112))),0)</f>
        <v>1538900.7598051967</v>
      </c>
      <c r="U112" s="31" cm="1">
        <f t="array" ref="U112">U$106+IF($C112&lt;&gt;0,SUMPRODUCT((U$107:U$108)*TRANSPOSE(($D112:$E112))),0)</f>
        <v>1538900.7598051967</v>
      </c>
      <c r="V112" s="31" cm="1">
        <f t="array" ref="V112">V$106+IF($C112&lt;&gt;0,SUMPRODUCT((V$107:V$108)*TRANSPOSE(($D112:$E112))),0)</f>
        <v>1538900.7598051967</v>
      </c>
      <c r="W112" s="31" cm="1">
        <f t="array" ref="W112">W$106+IF($C112&lt;&gt;0,SUMPRODUCT((W$107:W$108)*TRANSPOSE(($D112:$E112))),0)</f>
        <v>1538900.7598051967</v>
      </c>
      <c r="X112" s="31" cm="1">
        <f t="array" ref="X112">X$106+IF($C112&lt;&gt;0,SUMPRODUCT((X$107:X$108)*TRANSPOSE(($D112:$E112))),0)</f>
        <v>1538900.7598051967</v>
      </c>
      <c r="Y112" s="31" cm="1">
        <f t="array" ref="Y112">Y$106+IF($C112&lt;&gt;0,SUMPRODUCT((Y$107:Y$108)*TRANSPOSE(($D112:$E112))),0)</f>
        <v>1538900.7598051967</v>
      </c>
      <c r="Z112" s="31" cm="1">
        <f t="array" ref="Z112">Z$106+IF($C112&lt;&gt;0,SUMPRODUCT((Z$107:Z$108)*TRANSPOSE(($D112:$E112))),0)</f>
        <v>1538900.7598051967</v>
      </c>
      <c r="AA112" s="31" cm="1">
        <f t="array" ref="AA112">AA$106+IF($C112&lt;&gt;0,SUMPRODUCT((AA$107:AA$108)*TRANSPOSE(($D112:$E112))),0)</f>
        <v>1538900.7598051967</v>
      </c>
      <c r="AB112" s="31" cm="1">
        <f t="array" ref="AB112">AB$106+IF($C112&lt;&gt;0,SUMPRODUCT((AB$107:AB$108)*TRANSPOSE(($D112:$E112))),0)</f>
        <v>1538900.7598051967</v>
      </c>
      <c r="AC112" s="31" cm="1">
        <f t="array" ref="AC112">AC$106+IF($C112&lt;&gt;0,SUMPRODUCT((AC$107:AC$108)*TRANSPOSE(($D112:$E112))),0)</f>
        <v>1538900.7598051967</v>
      </c>
      <c r="AD112" s="31" cm="1">
        <f t="array" ref="AD112">AD$106+IF($C112&lt;&gt;0,SUMPRODUCT((AD$107:AD$108)*TRANSPOSE(($D112:$E112))),0)</f>
        <v>1538900.7598051967</v>
      </c>
      <c r="AE112" s="31" cm="1">
        <f t="array" ref="AE112">AE$106+IF($C112&lt;&gt;0,SUMPRODUCT((AE$107:AE$108)*TRANSPOSE(($D112:$E112))),0)</f>
        <v>1538900.7598051967</v>
      </c>
      <c r="AF112" s="31" cm="1">
        <f t="array" ref="AF112">AF$106+IF($C112&lt;&gt;0,SUMPRODUCT((AF$107:AF$108)*TRANSPOSE(($D112:$E112))),0)</f>
        <v>1538900.7598051967</v>
      </c>
      <c r="AG112" s="31" cm="1">
        <f t="array" ref="AG112">AG$106+IF($C112&lt;&gt;0,SUMPRODUCT((AG$107:AG$108)*TRANSPOSE(($D112:$E112))),0)</f>
        <v>1538900.7598051967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-67113.900332240693</v>
      </c>
      <c r="K113" s="31" cm="1">
        <f t="array" ref="K113">K$106+IF($C113&lt;&gt;0,SUMPRODUCT((K$107:K$108)*TRANSPOSE(($D113:$E113))),0)</f>
        <v>8415918.178938292</v>
      </c>
      <c r="L113" s="31" cm="1">
        <f t="array" ref="L113">L$106+IF($C113&lt;&gt;0,SUMPRODUCT((L$107:L$108)*TRANSPOSE(($D113:$E113))),0)</f>
        <v>1137400.7598051967</v>
      </c>
      <c r="M113" s="31" cm="1">
        <f t="array" ref="M113">M$106+IF($C113&lt;&gt;0,SUMPRODUCT((M$107:M$108)*TRANSPOSE(($D113:$E113))),0)</f>
        <v>1137400.7598051967</v>
      </c>
      <c r="N113" s="31" cm="1">
        <f t="array" ref="N113">N$106+IF($C113&lt;&gt;0,SUMPRODUCT((N$107:N$108)*TRANSPOSE(($D113:$E113))),0)</f>
        <v>1137400.7598051967</v>
      </c>
      <c r="O113" s="31" cm="1">
        <f t="array" ref="O113">O$106+IF($C113&lt;&gt;0,SUMPRODUCT((O$107:O$108)*TRANSPOSE(($D113:$E113))),0)</f>
        <v>1137400.7598051967</v>
      </c>
      <c r="P113" s="31" cm="1">
        <f t="array" ref="P113">P$106+IF($C113&lt;&gt;0,SUMPRODUCT((P$107:P$108)*TRANSPOSE(($D113:$E113))),0)</f>
        <v>1137400.7598051967</v>
      </c>
      <c r="Q113" s="31" cm="1">
        <f t="array" ref="Q113">Q$106+IF($C113&lt;&gt;0,SUMPRODUCT((Q$107:Q$108)*TRANSPOSE(($D113:$E113))),0)</f>
        <v>1137400.7598051967</v>
      </c>
      <c r="R113" s="31" cm="1">
        <f t="array" ref="R113">R$106+IF($C113&lt;&gt;0,SUMPRODUCT((R$107:R$108)*TRANSPOSE(($D113:$E113))),0)</f>
        <v>1137400.7598051967</v>
      </c>
      <c r="S113" s="31" cm="1">
        <f t="array" ref="S113">S$106+IF($C113&lt;&gt;0,SUMPRODUCT((S$107:S$108)*TRANSPOSE(($D113:$E113))),0)</f>
        <v>1137400.7598051967</v>
      </c>
      <c r="T113" s="31" cm="1">
        <f t="array" ref="T113">T$106+IF($C113&lt;&gt;0,SUMPRODUCT((T$107:T$108)*TRANSPOSE(($D113:$E113))),0)</f>
        <v>1137400.7598051967</v>
      </c>
      <c r="U113" s="31" cm="1">
        <f t="array" ref="U113">U$106+IF($C113&lt;&gt;0,SUMPRODUCT((U$107:U$108)*TRANSPOSE(($D113:$E113))),0)</f>
        <v>1137400.7598051967</v>
      </c>
      <c r="V113" s="31" cm="1">
        <f t="array" ref="V113">V$106+IF($C113&lt;&gt;0,SUMPRODUCT((V$107:V$108)*TRANSPOSE(($D113:$E113))),0)</f>
        <v>1137400.7598051967</v>
      </c>
      <c r="W113" s="31" cm="1">
        <f t="array" ref="W113">W$106+IF($C113&lt;&gt;0,SUMPRODUCT((W$107:W$108)*TRANSPOSE(($D113:$E113))),0)</f>
        <v>1137400.7598051967</v>
      </c>
      <c r="X113" s="31" cm="1">
        <f t="array" ref="X113">X$106+IF($C113&lt;&gt;0,SUMPRODUCT((X$107:X$108)*TRANSPOSE(($D113:$E113))),0)</f>
        <v>1137400.7598051967</v>
      </c>
      <c r="Y113" s="31" cm="1">
        <f t="array" ref="Y113">Y$106+IF($C113&lt;&gt;0,SUMPRODUCT((Y$107:Y$108)*TRANSPOSE(($D113:$E113))),0)</f>
        <v>1137400.7598051967</v>
      </c>
      <c r="Z113" s="31" cm="1">
        <f t="array" ref="Z113">Z$106+IF($C113&lt;&gt;0,SUMPRODUCT((Z$107:Z$108)*TRANSPOSE(($D113:$E113))),0)</f>
        <v>1137400.7598051967</v>
      </c>
      <c r="AA113" s="31" cm="1">
        <f t="array" ref="AA113">AA$106+IF($C113&lt;&gt;0,SUMPRODUCT((AA$107:AA$108)*TRANSPOSE(($D113:$E113))),0)</f>
        <v>1137400.7598051967</v>
      </c>
      <c r="AB113" s="31" cm="1">
        <f t="array" ref="AB113">AB$106+IF($C113&lt;&gt;0,SUMPRODUCT((AB$107:AB$108)*TRANSPOSE(($D113:$E113))),0)</f>
        <v>1137400.7598051967</v>
      </c>
      <c r="AC113" s="31" cm="1">
        <f t="array" ref="AC113">AC$106+IF($C113&lt;&gt;0,SUMPRODUCT((AC$107:AC$108)*TRANSPOSE(($D113:$E113))),0)</f>
        <v>1137400.7598051967</v>
      </c>
      <c r="AD113" s="31" cm="1">
        <f t="array" ref="AD113">AD$106+IF($C113&lt;&gt;0,SUMPRODUCT((AD$107:AD$108)*TRANSPOSE(($D113:$E113))),0)</f>
        <v>1137400.7598051967</v>
      </c>
      <c r="AE113" s="31" cm="1">
        <f t="array" ref="AE113">AE$106+IF($C113&lt;&gt;0,SUMPRODUCT((AE$107:AE$108)*TRANSPOSE(($D113:$E113))),0)</f>
        <v>1137400.7598051967</v>
      </c>
      <c r="AF113" s="31" cm="1">
        <f t="array" ref="AF113">AF$106+IF($C113&lt;&gt;0,SUMPRODUCT((AF$107:AF$108)*TRANSPOSE(($D113:$E113))),0)</f>
        <v>1137400.7598051967</v>
      </c>
      <c r="AG113" s="31" cm="1">
        <f t="array" ref="AG113">AG$106+IF($C113&lt;&gt;0,SUMPRODUCT((AG$107:AG$108)*TRANSPOSE(($D113:$E113))),0)</f>
        <v>1137400.7598051967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-73825.290365464767</v>
      </c>
      <c r="K114" s="31" cm="1">
        <f t="array" ref="K114">K$106+IF($C114&lt;&gt;0,SUMPRODUCT((K$107:K$108)*TRANSPOSE(($D114:$E114))),0)</f>
        <v>8357509.9968321212</v>
      </c>
      <c r="L114" s="31" cm="1">
        <f t="array" ref="L114">L$106+IF($C114&lt;&gt;0,SUMPRODUCT((L$107:L$108)*TRANSPOSE(($D114:$E114))),0)</f>
        <v>1070465.8357857163</v>
      </c>
      <c r="M114" s="31" cm="1">
        <f t="array" ref="M114">M$106+IF($C114&lt;&gt;0,SUMPRODUCT((M$107:M$108)*TRANSPOSE(($D114:$E114))),0)</f>
        <v>1070465.8357857163</v>
      </c>
      <c r="N114" s="31" cm="1">
        <f t="array" ref="N114">N$106+IF($C114&lt;&gt;0,SUMPRODUCT((N$107:N$108)*TRANSPOSE(($D114:$E114))),0)</f>
        <v>1070465.8357857163</v>
      </c>
      <c r="O114" s="31" cm="1">
        <f t="array" ref="O114">O$106+IF($C114&lt;&gt;0,SUMPRODUCT((O$107:O$108)*TRANSPOSE(($D114:$E114))),0)</f>
        <v>1070465.8357857163</v>
      </c>
      <c r="P114" s="31" cm="1">
        <f t="array" ref="P114">P$106+IF($C114&lt;&gt;0,SUMPRODUCT((P$107:P$108)*TRANSPOSE(($D114:$E114))),0)</f>
        <v>1070465.8357857163</v>
      </c>
      <c r="Q114" s="31" cm="1">
        <f t="array" ref="Q114">Q$106+IF($C114&lt;&gt;0,SUMPRODUCT((Q$107:Q$108)*TRANSPOSE(($D114:$E114))),0)</f>
        <v>1070465.8357857163</v>
      </c>
      <c r="R114" s="31" cm="1">
        <f t="array" ref="R114">R$106+IF($C114&lt;&gt;0,SUMPRODUCT((R$107:R$108)*TRANSPOSE(($D114:$E114))),0)</f>
        <v>1070465.8357857163</v>
      </c>
      <c r="S114" s="31" cm="1">
        <f t="array" ref="S114">S$106+IF($C114&lt;&gt;0,SUMPRODUCT((S$107:S$108)*TRANSPOSE(($D114:$E114))),0)</f>
        <v>1070465.8357857163</v>
      </c>
      <c r="T114" s="31" cm="1">
        <f t="array" ref="T114">T$106+IF($C114&lt;&gt;0,SUMPRODUCT((T$107:T$108)*TRANSPOSE(($D114:$E114))),0)</f>
        <v>1070465.8357857163</v>
      </c>
      <c r="U114" s="31" cm="1">
        <f t="array" ref="U114">U$106+IF($C114&lt;&gt;0,SUMPRODUCT((U$107:U$108)*TRANSPOSE(($D114:$E114))),0)</f>
        <v>1070465.8357857163</v>
      </c>
      <c r="V114" s="31" cm="1">
        <f t="array" ref="V114">V$106+IF($C114&lt;&gt;0,SUMPRODUCT((V$107:V$108)*TRANSPOSE(($D114:$E114))),0)</f>
        <v>1070465.8357857163</v>
      </c>
      <c r="W114" s="31" cm="1">
        <f t="array" ref="W114">W$106+IF($C114&lt;&gt;0,SUMPRODUCT((W$107:W$108)*TRANSPOSE(($D114:$E114))),0)</f>
        <v>1070465.8357857163</v>
      </c>
      <c r="X114" s="31" cm="1">
        <f t="array" ref="X114">X$106+IF($C114&lt;&gt;0,SUMPRODUCT((X$107:X$108)*TRANSPOSE(($D114:$E114))),0)</f>
        <v>1070465.8357857163</v>
      </c>
      <c r="Y114" s="31" cm="1">
        <f t="array" ref="Y114">Y$106+IF($C114&lt;&gt;0,SUMPRODUCT((Y$107:Y$108)*TRANSPOSE(($D114:$E114))),0)</f>
        <v>1070465.8357857163</v>
      </c>
      <c r="Z114" s="31" cm="1">
        <f t="array" ref="Z114">Z$106+IF($C114&lt;&gt;0,SUMPRODUCT((Z$107:Z$108)*TRANSPOSE(($D114:$E114))),0)</f>
        <v>1070465.8357857163</v>
      </c>
      <c r="AA114" s="31" cm="1">
        <f t="array" ref="AA114">AA$106+IF($C114&lt;&gt;0,SUMPRODUCT((AA$107:AA$108)*TRANSPOSE(($D114:$E114))),0)</f>
        <v>1070465.8357857163</v>
      </c>
      <c r="AB114" s="31" cm="1">
        <f t="array" ref="AB114">AB$106+IF($C114&lt;&gt;0,SUMPRODUCT((AB$107:AB$108)*TRANSPOSE(($D114:$E114))),0)</f>
        <v>1070465.8357857163</v>
      </c>
      <c r="AC114" s="31" cm="1">
        <f t="array" ref="AC114">AC$106+IF($C114&lt;&gt;0,SUMPRODUCT((AC$107:AC$108)*TRANSPOSE(($D114:$E114))),0)</f>
        <v>1070465.8357857163</v>
      </c>
      <c r="AD114" s="31" cm="1">
        <f t="array" ref="AD114">AD$106+IF($C114&lt;&gt;0,SUMPRODUCT((AD$107:AD$108)*TRANSPOSE(($D114:$E114))),0)</f>
        <v>1070465.8357857163</v>
      </c>
      <c r="AE114" s="31" cm="1">
        <f t="array" ref="AE114">AE$106+IF($C114&lt;&gt;0,SUMPRODUCT((AE$107:AE$108)*TRANSPOSE(($D114:$E114))),0)</f>
        <v>1070465.8357857163</v>
      </c>
      <c r="AF114" s="31" cm="1">
        <f t="array" ref="AF114">AF$106+IF($C114&lt;&gt;0,SUMPRODUCT((AF$107:AF$108)*TRANSPOSE(($D114:$E114))),0)</f>
        <v>1070465.8357857163</v>
      </c>
      <c r="AG114" s="31" cm="1">
        <f t="array" ref="AG114">AG$106+IF($C114&lt;&gt;0,SUMPRODUCT((AG$107:AG$108)*TRANSPOSE(($D114:$E114))),0)</f>
        <v>1070465.8357857163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-67113.900332240693</v>
      </c>
      <c r="K115" s="31" cm="1">
        <f t="array" ref="K115">K$106+IF($C115&lt;&gt;0,SUMPRODUCT((K$107:K$108)*TRANSPOSE(($D115:$E115))),0)</f>
        <v>9415918.178938292</v>
      </c>
      <c r="L115" s="31" cm="1">
        <f t="array" ref="L115">L$106+IF($C115&lt;&gt;0,SUMPRODUCT((L$107:L$108)*TRANSPOSE(($D115:$E115))),0)</f>
        <v>1338150.7598051967</v>
      </c>
      <c r="M115" s="31" cm="1">
        <f t="array" ref="M115">M$106+IF($C115&lt;&gt;0,SUMPRODUCT((M$107:M$108)*TRANSPOSE(($D115:$E115))),0)</f>
        <v>1338150.7598051967</v>
      </c>
      <c r="N115" s="31" cm="1">
        <f t="array" ref="N115">N$106+IF($C115&lt;&gt;0,SUMPRODUCT((N$107:N$108)*TRANSPOSE(($D115:$E115))),0)</f>
        <v>1338150.7598051967</v>
      </c>
      <c r="O115" s="31" cm="1">
        <f t="array" ref="O115">O$106+IF($C115&lt;&gt;0,SUMPRODUCT((O$107:O$108)*TRANSPOSE(($D115:$E115))),0)</f>
        <v>1338150.7598051967</v>
      </c>
      <c r="P115" s="31" cm="1">
        <f t="array" ref="P115">P$106+IF($C115&lt;&gt;0,SUMPRODUCT((P$107:P$108)*TRANSPOSE(($D115:$E115))),0)</f>
        <v>1338150.7598051967</v>
      </c>
      <c r="Q115" s="31" cm="1">
        <f t="array" ref="Q115">Q$106+IF($C115&lt;&gt;0,SUMPRODUCT((Q$107:Q$108)*TRANSPOSE(($D115:$E115))),0)</f>
        <v>1338150.7598051967</v>
      </c>
      <c r="R115" s="31" cm="1">
        <f t="array" ref="R115">R$106+IF($C115&lt;&gt;0,SUMPRODUCT((R$107:R$108)*TRANSPOSE(($D115:$E115))),0)</f>
        <v>1338150.7598051967</v>
      </c>
      <c r="S115" s="31" cm="1">
        <f t="array" ref="S115">S$106+IF($C115&lt;&gt;0,SUMPRODUCT((S$107:S$108)*TRANSPOSE(($D115:$E115))),0)</f>
        <v>1338150.7598051967</v>
      </c>
      <c r="T115" s="31" cm="1">
        <f t="array" ref="T115">T$106+IF($C115&lt;&gt;0,SUMPRODUCT((T$107:T$108)*TRANSPOSE(($D115:$E115))),0)</f>
        <v>1338150.7598051967</v>
      </c>
      <c r="U115" s="31" cm="1">
        <f t="array" ref="U115">U$106+IF($C115&lt;&gt;0,SUMPRODUCT((U$107:U$108)*TRANSPOSE(($D115:$E115))),0)</f>
        <v>1338150.7598051967</v>
      </c>
      <c r="V115" s="31" cm="1">
        <f t="array" ref="V115">V$106+IF($C115&lt;&gt;0,SUMPRODUCT((V$107:V$108)*TRANSPOSE(($D115:$E115))),0)</f>
        <v>1338150.7598051967</v>
      </c>
      <c r="W115" s="31" cm="1">
        <f t="array" ref="W115">W$106+IF($C115&lt;&gt;0,SUMPRODUCT((W$107:W$108)*TRANSPOSE(($D115:$E115))),0)</f>
        <v>1338150.7598051967</v>
      </c>
      <c r="X115" s="31" cm="1">
        <f t="array" ref="X115">X$106+IF($C115&lt;&gt;0,SUMPRODUCT((X$107:X$108)*TRANSPOSE(($D115:$E115))),0)</f>
        <v>1338150.7598051967</v>
      </c>
      <c r="Y115" s="31" cm="1">
        <f t="array" ref="Y115">Y$106+IF($C115&lt;&gt;0,SUMPRODUCT((Y$107:Y$108)*TRANSPOSE(($D115:$E115))),0)</f>
        <v>1338150.7598051967</v>
      </c>
      <c r="Z115" s="31" cm="1">
        <f t="array" ref="Z115">Z$106+IF($C115&lt;&gt;0,SUMPRODUCT((Z$107:Z$108)*TRANSPOSE(($D115:$E115))),0)</f>
        <v>1338150.7598051967</v>
      </c>
      <c r="AA115" s="31" cm="1">
        <f t="array" ref="AA115">AA$106+IF($C115&lt;&gt;0,SUMPRODUCT((AA$107:AA$108)*TRANSPOSE(($D115:$E115))),0)</f>
        <v>1338150.7598051967</v>
      </c>
      <c r="AB115" s="31" cm="1">
        <f t="array" ref="AB115">AB$106+IF($C115&lt;&gt;0,SUMPRODUCT((AB$107:AB$108)*TRANSPOSE(($D115:$E115))),0)</f>
        <v>1338150.7598051967</v>
      </c>
      <c r="AC115" s="31" cm="1">
        <f t="array" ref="AC115">AC$106+IF($C115&lt;&gt;0,SUMPRODUCT((AC$107:AC$108)*TRANSPOSE(($D115:$E115))),0)</f>
        <v>1338150.7598051967</v>
      </c>
      <c r="AD115" s="31" cm="1">
        <f t="array" ref="AD115">AD$106+IF($C115&lt;&gt;0,SUMPRODUCT((AD$107:AD$108)*TRANSPOSE(($D115:$E115))),0)</f>
        <v>1338150.7598051967</v>
      </c>
      <c r="AE115" s="31" cm="1">
        <f t="array" ref="AE115">AE$106+IF($C115&lt;&gt;0,SUMPRODUCT((AE$107:AE$108)*TRANSPOSE(($D115:$E115))),0)</f>
        <v>1338150.7598051967</v>
      </c>
      <c r="AF115" s="31" cm="1">
        <f t="array" ref="AF115">AF$106+IF($C115&lt;&gt;0,SUMPRODUCT((AF$107:AF$108)*TRANSPOSE(($D115:$E115))),0)</f>
        <v>1338150.7598051967</v>
      </c>
      <c r="AG115" s="31" cm="1">
        <f t="array" ref="AG115">AG$106+IF($C115&lt;&gt;0,SUMPRODUCT((AG$107:AG$108)*TRANSPOSE(($D115:$E115))),0)</f>
        <v>1338150.7598051967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-67113.900332240693</v>
      </c>
      <c r="K116" s="31" cm="1">
        <f t="array" ref="K116">K$106+IF($C116&lt;&gt;0,SUMPRODUCT((K$107:K$108)*TRANSPOSE(($D116:$E116))),0)</f>
        <v>9415918.178938292</v>
      </c>
      <c r="L116" s="31" cm="1">
        <f t="array" ref="L116">L$106+IF($C116&lt;&gt;0,SUMPRODUCT((L$107:L$108)*TRANSPOSE(($D116:$E116))),0)</f>
        <v>1338150.7598051967</v>
      </c>
      <c r="M116" s="31" cm="1">
        <f t="array" ref="M116">M$106+IF($C116&lt;&gt;0,SUMPRODUCT((M$107:M$108)*TRANSPOSE(($D116:$E116))),0)</f>
        <v>1338150.7598051967</v>
      </c>
      <c r="N116" s="31" cm="1">
        <f t="array" ref="N116">N$106+IF($C116&lt;&gt;0,SUMPRODUCT((N$107:N$108)*TRANSPOSE(($D116:$E116))),0)</f>
        <v>1338150.7598051967</v>
      </c>
      <c r="O116" s="31" cm="1">
        <f t="array" ref="O116">O$106+IF($C116&lt;&gt;0,SUMPRODUCT((O$107:O$108)*TRANSPOSE(($D116:$E116))),0)</f>
        <v>1338150.7598051967</v>
      </c>
      <c r="P116" s="31" cm="1">
        <f t="array" ref="P116">P$106+IF($C116&lt;&gt;0,SUMPRODUCT((P$107:P$108)*TRANSPOSE(($D116:$E116))),0)</f>
        <v>1338150.7598051967</v>
      </c>
      <c r="Q116" s="31" cm="1">
        <f t="array" ref="Q116">Q$106+IF($C116&lt;&gt;0,SUMPRODUCT((Q$107:Q$108)*TRANSPOSE(($D116:$E116))),0)</f>
        <v>1338150.7598051967</v>
      </c>
      <c r="R116" s="31" cm="1">
        <f t="array" ref="R116">R$106+IF($C116&lt;&gt;0,SUMPRODUCT((R$107:R$108)*TRANSPOSE(($D116:$E116))),0)</f>
        <v>1338150.7598051967</v>
      </c>
      <c r="S116" s="31" cm="1">
        <f t="array" ref="S116">S$106+IF($C116&lt;&gt;0,SUMPRODUCT((S$107:S$108)*TRANSPOSE(($D116:$E116))),0)</f>
        <v>1338150.7598051967</v>
      </c>
      <c r="T116" s="31" cm="1">
        <f t="array" ref="T116">T$106+IF($C116&lt;&gt;0,SUMPRODUCT((T$107:T$108)*TRANSPOSE(($D116:$E116))),0)</f>
        <v>1338150.7598051967</v>
      </c>
      <c r="U116" s="31" cm="1">
        <f t="array" ref="U116">U$106+IF($C116&lt;&gt;0,SUMPRODUCT((U$107:U$108)*TRANSPOSE(($D116:$E116))),0)</f>
        <v>1338150.7598051967</v>
      </c>
      <c r="V116" s="31" cm="1">
        <f t="array" ref="V116">V$106+IF($C116&lt;&gt;0,SUMPRODUCT((V$107:V$108)*TRANSPOSE(($D116:$E116))),0)</f>
        <v>1338150.7598051967</v>
      </c>
      <c r="W116" s="31" cm="1">
        <f t="array" ref="W116">W$106+IF($C116&lt;&gt;0,SUMPRODUCT((W$107:W$108)*TRANSPOSE(($D116:$E116))),0)</f>
        <v>1338150.7598051967</v>
      </c>
      <c r="X116" s="31" cm="1">
        <f t="array" ref="X116">X$106+IF($C116&lt;&gt;0,SUMPRODUCT((X$107:X$108)*TRANSPOSE(($D116:$E116))),0)</f>
        <v>1338150.7598051967</v>
      </c>
      <c r="Y116" s="31" cm="1">
        <f t="array" ref="Y116">Y$106+IF($C116&lt;&gt;0,SUMPRODUCT((Y$107:Y$108)*TRANSPOSE(($D116:$E116))),0)</f>
        <v>1338150.7598051967</v>
      </c>
      <c r="Z116" s="31" cm="1">
        <f t="array" ref="Z116">Z$106+IF($C116&lt;&gt;0,SUMPRODUCT((Z$107:Z$108)*TRANSPOSE(($D116:$E116))),0)</f>
        <v>1338150.7598051967</v>
      </c>
      <c r="AA116" s="31" cm="1">
        <f t="array" ref="AA116">AA$106+IF($C116&lt;&gt;0,SUMPRODUCT((AA$107:AA$108)*TRANSPOSE(($D116:$E116))),0)</f>
        <v>1338150.7598051967</v>
      </c>
      <c r="AB116" s="31" cm="1">
        <f t="array" ref="AB116">AB$106+IF($C116&lt;&gt;0,SUMPRODUCT((AB$107:AB$108)*TRANSPOSE(($D116:$E116))),0)</f>
        <v>1338150.7598051967</v>
      </c>
      <c r="AC116" s="31" cm="1">
        <f t="array" ref="AC116">AC$106+IF($C116&lt;&gt;0,SUMPRODUCT((AC$107:AC$108)*TRANSPOSE(($D116:$E116))),0)</f>
        <v>1338150.7598051967</v>
      </c>
      <c r="AD116" s="31" cm="1">
        <f t="array" ref="AD116">AD$106+IF($C116&lt;&gt;0,SUMPRODUCT((AD$107:AD$108)*TRANSPOSE(($D116:$E116))),0)</f>
        <v>1338150.7598051967</v>
      </c>
      <c r="AE116" s="31" cm="1">
        <f t="array" ref="AE116">AE$106+IF($C116&lt;&gt;0,SUMPRODUCT((AE$107:AE$108)*TRANSPOSE(($D116:$E116))),0)</f>
        <v>1338150.7598051967</v>
      </c>
      <c r="AF116" s="31" cm="1">
        <f t="array" ref="AF116">AF$106+IF($C116&lt;&gt;0,SUMPRODUCT((AF$107:AF$108)*TRANSPOSE(($D116:$E116))),0)</f>
        <v>1338150.7598051967</v>
      </c>
      <c r="AG116" s="31" cm="1">
        <f t="array" ref="AG116">AG$106+IF($C116&lt;&gt;0,SUMPRODUCT((AG$107:AG$108)*TRANSPOSE(($D116:$E116))),0)</f>
        <v>1338150.7598051967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-67113.900332240693</v>
      </c>
      <c r="K117" s="31" cm="1">
        <f t="array" ref="K117">K$106+IF($C117&lt;&gt;0,SUMPRODUCT((K$107:K$108)*TRANSPOSE(($D117:$E117))),0)</f>
        <v>9415918.178938292</v>
      </c>
      <c r="L117" s="31" cm="1">
        <f t="array" ref="L117">L$106+IF($C117&lt;&gt;0,SUMPRODUCT((L$107:L$108)*TRANSPOSE(($D117:$E117))),0)</f>
        <v>1338150.7598051967</v>
      </c>
      <c r="M117" s="31" cm="1">
        <f t="array" ref="M117">M$106+IF($C117&lt;&gt;0,SUMPRODUCT((M$107:M$108)*TRANSPOSE(($D117:$E117))),0)</f>
        <v>1338150.7598051967</v>
      </c>
      <c r="N117" s="31" cm="1">
        <f t="array" ref="N117">N$106+IF($C117&lt;&gt;0,SUMPRODUCT((N$107:N$108)*TRANSPOSE(($D117:$E117))),0)</f>
        <v>1338150.7598051967</v>
      </c>
      <c r="O117" s="31" cm="1">
        <f t="array" ref="O117">O$106+IF($C117&lt;&gt;0,SUMPRODUCT((O$107:O$108)*TRANSPOSE(($D117:$E117))),0)</f>
        <v>1338150.7598051967</v>
      </c>
      <c r="P117" s="31" cm="1">
        <f t="array" ref="P117">P$106+IF($C117&lt;&gt;0,SUMPRODUCT((P$107:P$108)*TRANSPOSE(($D117:$E117))),0)</f>
        <v>1338150.7598051967</v>
      </c>
      <c r="Q117" s="31" cm="1">
        <f t="array" ref="Q117">Q$106+IF($C117&lt;&gt;0,SUMPRODUCT((Q$107:Q$108)*TRANSPOSE(($D117:$E117))),0)</f>
        <v>1338150.7598051967</v>
      </c>
      <c r="R117" s="31" cm="1">
        <f t="array" ref="R117">R$106+IF($C117&lt;&gt;0,SUMPRODUCT((R$107:R$108)*TRANSPOSE(($D117:$E117))),0)</f>
        <v>1338150.7598051967</v>
      </c>
      <c r="S117" s="31" cm="1">
        <f t="array" ref="S117">S$106+IF($C117&lt;&gt;0,SUMPRODUCT((S$107:S$108)*TRANSPOSE(($D117:$E117))),0)</f>
        <v>1338150.7598051967</v>
      </c>
      <c r="T117" s="31" cm="1">
        <f t="array" ref="T117">T$106+IF($C117&lt;&gt;0,SUMPRODUCT((T$107:T$108)*TRANSPOSE(($D117:$E117))),0)</f>
        <v>1338150.7598051967</v>
      </c>
      <c r="U117" s="31" cm="1">
        <f t="array" ref="U117">U$106+IF($C117&lt;&gt;0,SUMPRODUCT((U$107:U$108)*TRANSPOSE(($D117:$E117))),0)</f>
        <v>1338150.7598051967</v>
      </c>
      <c r="V117" s="31" cm="1">
        <f t="array" ref="V117">V$106+IF($C117&lt;&gt;0,SUMPRODUCT((V$107:V$108)*TRANSPOSE(($D117:$E117))),0)</f>
        <v>1338150.7598051967</v>
      </c>
      <c r="W117" s="31" cm="1">
        <f t="array" ref="W117">W$106+IF($C117&lt;&gt;0,SUMPRODUCT((W$107:W$108)*TRANSPOSE(($D117:$E117))),0)</f>
        <v>1338150.7598051967</v>
      </c>
      <c r="X117" s="31" cm="1">
        <f t="array" ref="X117">X$106+IF($C117&lt;&gt;0,SUMPRODUCT((X$107:X$108)*TRANSPOSE(($D117:$E117))),0)</f>
        <v>1338150.7598051967</v>
      </c>
      <c r="Y117" s="31" cm="1">
        <f t="array" ref="Y117">Y$106+IF($C117&lt;&gt;0,SUMPRODUCT((Y$107:Y$108)*TRANSPOSE(($D117:$E117))),0)</f>
        <v>1338150.7598051967</v>
      </c>
      <c r="Z117" s="31" cm="1">
        <f t="array" ref="Z117">Z$106+IF($C117&lt;&gt;0,SUMPRODUCT((Z$107:Z$108)*TRANSPOSE(($D117:$E117))),0)</f>
        <v>1338150.7598051967</v>
      </c>
      <c r="AA117" s="31" cm="1">
        <f t="array" ref="AA117">AA$106+IF($C117&lt;&gt;0,SUMPRODUCT((AA$107:AA$108)*TRANSPOSE(($D117:$E117))),0)</f>
        <v>1338150.7598051967</v>
      </c>
      <c r="AB117" s="31" cm="1">
        <f t="array" ref="AB117">AB$106+IF($C117&lt;&gt;0,SUMPRODUCT((AB$107:AB$108)*TRANSPOSE(($D117:$E117))),0)</f>
        <v>1338150.7598051967</v>
      </c>
      <c r="AC117" s="31" cm="1">
        <f t="array" ref="AC117">AC$106+IF($C117&lt;&gt;0,SUMPRODUCT((AC$107:AC$108)*TRANSPOSE(($D117:$E117))),0)</f>
        <v>1338150.7598051967</v>
      </c>
      <c r="AD117" s="31" cm="1">
        <f t="array" ref="AD117">AD$106+IF($C117&lt;&gt;0,SUMPRODUCT((AD$107:AD$108)*TRANSPOSE(($D117:$E117))),0)</f>
        <v>1338150.7598051967</v>
      </c>
      <c r="AE117" s="31" cm="1">
        <f t="array" ref="AE117">AE$106+IF($C117&lt;&gt;0,SUMPRODUCT((AE$107:AE$108)*TRANSPOSE(($D117:$E117))),0)</f>
        <v>1338150.7598051967</v>
      </c>
      <c r="AF117" s="31" cm="1">
        <f t="array" ref="AF117">AF$106+IF($C117&lt;&gt;0,SUMPRODUCT((AF$107:AF$108)*TRANSPOSE(($D117:$E117))),0)</f>
        <v>1338150.7598051967</v>
      </c>
      <c r="AG117" s="31" cm="1">
        <f t="array" ref="AG117">AG$106+IF($C117&lt;&gt;0,SUMPRODUCT((AG$107:AG$108)*TRANSPOSE(($D117:$E117))),0)</f>
        <v>1338150.7598051967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WIN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2" t="s">
        <v>183</v>
      </c>
      <c r="B3" s="5"/>
      <c r="C3" s="199" t="str">
        <f>INDEX(Assumptions!$E$14:$E$18, MATCH(A3,_xlfn.ANCHORARRAY( Assumptions!$C$14),0))</f>
        <v>New zone substation</v>
      </c>
    </row>
    <row r="4" spans="1:43" x14ac:dyDescent="0.2">
      <c r="A4" s="200" t="str">
        <f>(INDEX(Data!$D$9:$D$13, MATCH(A3, options,0)))</f>
        <v/>
      </c>
      <c r="B4" s="186"/>
      <c r="C4" s="237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59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1"/>
      <c r="G9" s="18" t="s">
        <v>25</v>
      </c>
      <c r="H9" s="219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3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</row>
    <row r="12" spans="1:43" x14ac:dyDescent="0.2">
      <c r="A12" s="3"/>
      <c r="B12" s="3"/>
      <c r="C12" s="3"/>
      <c r="D12" s="3"/>
      <c r="G12" s="204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5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327" t="s">
        <v>245</v>
      </c>
      <c r="D14"/>
      <c r="E14" s="147">
        <v>50</v>
      </c>
      <c r="G14" s="206">
        <f>input_dollars</f>
        <v>45291</v>
      </c>
      <c r="H14" s="148"/>
      <c r="I14" s="32">
        <v>9000000</v>
      </c>
      <c r="J14" s="32">
        <v>27450000</v>
      </c>
      <c r="K14" s="32">
        <v>8550000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7">
        <v>0</v>
      </c>
      <c r="G15" s="206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7">
        <v>0</v>
      </c>
      <c r="G16" s="206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6">
        <f>input_dollars</f>
        <v>45291</v>
      </c>
      <c r="H17" s="107"/>
      <c r="I17" s="106">
        <f t="shared" ref="I17:Q17" si="0">SUM(I14:I16)</f>
        <v>9000000</v>
      </c>
      <c r="J17" s="106">
        <f t="shared" si="0"/>
        <v>27450000</v>
      </c>
      <c r="K17" s="106">
        <f>SUM(K14:K16)</f>
        <v>8550000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5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6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5">
        <v>0</v>
      </c>
      <c r="S19" s="135">
        <v>0</v>
      </c>
      <c r="T19" s="135">
        <v>0</v>
      </c>
      <c r="U19" s="135">
        <v>0</v>
      </c>
      <c r="V19" s="135">
        <v>0</v>
      </c>
      <c r="W19" s="135">
        <v>0</v>
      </c>
      <c r="X19" s="135">
        <v>0</v>
      </c>
      <c r="Y19" s="135">
        <v>0</v>
      </c>
      <c r="Z19" s="135">
        <v>0</v>
      </c>
      <c r="AA19" s="135">
        <v>0</v>
      </c>
      <c r="AB19" s="135">
        <v>0</v>
      </c>
      <c r="AC19" s="135">
        <v>0</v>
      </c>
      <c r="AD19" s="135">
        <v>0</v>
      </c>
      <c r="AE19" s="135">
        <v>0</v>
      </c>
      <c r="AF19" s="135">
        <v>0</v>
      </c>
      <c r="AG19" s="135">
        <v>0</v>
      </c>
      <c r="AH19"/>
      <c r="AI19"/>
      <c r="AJ19"/>
      <c r="AK19"/>
    </row>
    <row r="20" spans="1:43" x14ac:dyDescent="0.2">
      <c r="G20" s="204"/>
      <c r="AH20"/>
      <c r="AI20"/>
      <c r="AJ20"/>
      <c r="AK20"/>
    </row>
    <row r="21" spans="1:43" x14ac:dyDescent="0.2">
      <c r="C21"/>
      <c r="D21"/>
      <c r="E21"/>
      <c r="G21" s="20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149</v>
      </c>
      <c r="B22" s="89"/>
      <c r="C22" s="89"/>
      <c r="D22" s="89"/>
      <c r="E22" s="89"/>
      <c r="F22" s="89"/>
      <c r="G22" s="203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7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150</v>
      </c>
      <c r="D24" s="111"/>
      <c r="E24" s="111"/>
      <c r="F24" s="111"/>
      <c r="G24" s="207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8">
        <v>0</v>
      </c>
      <c r="V24" s="168">
        <v>0</v>
      </c>
      <c r="W24" s="168">
        <v>0</v>
      </c>
      <c r="X24" s="168">
        <v>0</v>
      </c>
      <c r="Y24" s="168">
        <v>0</v>
      </c>
      <c r="Z24" s="168">
        <v>0</v>
      </c>
      <c r="AA24" s="168">
        <v>0</v>
      </c>
      <c r="AB24" s="168">
        <v>0</v>
      </c>
      <c r="AC24" s="168">
        <v>0</v>
      </c>
      <c r="AD24" s="168">
        <v>0</v>
      </c>
      <c r="AE24" s="168">
        <v>0</v>
      </c>
      <c r="AF24" s="168">
        <v>0</v>
      </c>
      <c r="AG24" s="168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151</v>
      </c>
      <c r="D25" s="207"/>
      <c r="E25" s="111"/>
      <c r="F25" s="111"/>
      <c r="G25" s="207"/>
      <c r="H25" s="111"/>
      <c r="I25" s="168">
        <v>0</v>
      </c>
      <c r="J25" s="168">
        <v>0</v>
      </c>
      <c r="K25" s="168">
        <v>0</v>
      </c>
      <c r="L25" s="168">
        <v>0</v>
      </c>
      <c r="M25" s="168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8">
        <v>0</v>
      </c>
      <c r="V25" s="168">
        <v>0</v>
      </c>
      <c r="W25" s="168">
        <v>0</v>
      </c>
      <c r="X25" s="168">
        <v>0</v>
      </c>
      <c r="Y25" s="168">
        <v>0</v>
      </c>
      <c r="Z25" s="168">
        <v>0</v>
      </c>
      <c r="AA25" s="168">
        <v>0</v>
      </c>
      <c r="AB25" s="168">
        <v>0</v>
      </c>
      <c r="AC25" s="168">
        <v>0</v>
      </c>
      <c r="AD25" s="168">
        <v>0</v>
      </c>
      <c r="AE25" s="168">
        <v>0</v>
      </c>
      <c r="AF25" s="168">
        <v>0</v>
      </c>
      <c r="AG25" s="168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7"/>
      <c r="E26" s="111"/>
      <c r="F26" s="111"/>
      <c r="G26" s="207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4"/>
      <c r="E27"/>
      <c r="G27" s="206" t="s">
        <v>40</v>
      </c>
      <c r="H27"/>
      <c r="I27" s="167">
        <v>0</v>
      </c>
      <c r="J27" s="167">
        <v>0</v>
      </c>
      <c r="K27" s="167">
        <v>0</v>
      </c>
      <c r="L27" s="167">
        <v>0</v>
      </c>
      <c r="M27" s="167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7">
        <v>0</v>
      </c>
      <c r="W27" s="167">
        <v>0</v>
      </c>
      <c r="X27" s="167">
        <v>0</v>
      </c>
      <c r="Y27" s="167">
        <v>0</v>
      </c>
      <c r="Z27" s="167">
        <v>0</v>
      </c>
      <c r="AA27" s="167">
        <v>0</v>
      </c>
      <c r="AB27" s="167">
        <v>0</v>
      </c>
      <c r="AC27" s="167">
        <v>0</v>
      </c>
      <c r="AD27" s="167">
        <v>0</v>
      </c>
      <c r="AE27" s="167">
        <v>0</v>
      </c>
      <c r="AF27" s="167">
        <v>0</v>
      </c>
      <c r="AG27" s="167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4" t="s">
        <v>63</v>
      </c>
      <c r="E28" s="113">
        <f>Assumptions!H41*vcr_esc</f>
        <v>36385.072710298162</v>
      </c>
      <c r="F28" s="237" t="str">
        <f>IF(AND(SUM(I27:AG27)&lt;&gt;0, E28=0), "!", "")</f>
        <v/>
      </c>
      <c r="G28" s="206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5"/>
      <c r="E29"/>
      <c r="G29" s="206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4" t="s">
        <v>206</v>
      </c>
      <c r="G30" s="206">
        <f>input_dollars</f>
        <v>45291</v>
      </c>
      <c r="H30" s="148"/>
      <c r="I30" s="169" cm="1">
        <f t="array" ref="I30">SUMPRODUCT((Assumptions!$H$70:$H$71)*(Assumptions!$G$70:$G$71)*(Assumptions!$I$70:$I$71)*(I$24:I$25))</f>
        <v>0</v>
      </c>
      <c r="J30" s="169" cm="1">
        <f t="array" ref="J30">SUMPRODUCT((Assumptions!$H$70:$H$71)*(Assumptions!$G$70:$G$71)*(Assumptions!$I$70:$I$71)*(J$24:J$25))</f>
        <v>0</v>
      </c>
      <c r="K30" s="169" cm="1">
        <f t="array" ref="K30">SUMPRODUCT((Assumptions!$H$70:$H$71)*(Assumptions!$G$70:$G$71)*(Assumptions!$I$70:$I$71)*(K$24:K$25))</f>
        <v>0</v>
      </c>
      <c r="L30" s="169" cm="1">
        <f t="array" ref="L30">SUMPRODUCT((Assumptions!$H$70:$H$71)*(Assumptions!$G$70:$G$71)*(Assumptions!$I$70:$I$71)*(L$24:L$25))</f>
        <v>0</v>
      </c>
      <c r="M30" s="169" cm="1">
        <f t="array" ref="M30">SUMPRODUCT((Assumptions!$H$70:$H$71)*(Assumptions!$G$70:$G$71)*(Assumptions!$I$70:$I$71)*(M$24:M$25))</f>
        <v>0</v>
      </c>
      <c r="N30" s="169" cm="1">
        <f t="array" ref="N30">SUMPRODUCT((Assumptions!$H$70:$H$71)*(Assumptions!$G$70:$G$71)*(Assumptions!$I$70:$I$71)*(N$24:N$25))</f>
        <v>0</v>
      </c>
      <c r="O30" s="169" cm="1">
        <f t="array" ref="O30">SUMPRODUCT((Assumptions!$H$70:$H$71)*(Assumptions!$G$70:$G$71)*(Assumptions!$I$70:$I$71)*(O$24:O$25))</f>
        <v>0</v>
      </c>
      <c r="P30" s="169" cm="1">
        <f t="array" ref="P30">SUMPRODUCT((Assumptions!$H$70:$H$71)*(Assumptions!$G$70:$G$71)*(Assumptions!$I$70:$I$71)*(P$24:P$25))</f>
        <v>0</v>
      </c>
      <c r="Q30" s="169" cm="1">
        <f t="array" ref="Q30">SUMPRODUCT((Assumptions!$H$70:$H$71)*(Assumptions!$G$70:$G$71)*(Assumptions!$I$70:$I$71)*(Q$24:Q$25))</f>
        <v>0</v>
      </c>
      <c r="R30" s="169" cm="1">
        <f t="array" ref="R30">SUMPRODUCT((Assumptions!$H$70:$H$71)*(Assumptions!$G$70:$G$71)*(Assumptions!$I$70:$I$71)*(R$24:R$25))</f>
        <v>0</v>
      </c>
      <c r="S30" s="169" cm="1">
        <f t="array" ref="S30">SUMPRODUCT((Assumptions!$H$70:$H$71)*(Assumptions!$G$70:$G$71)*(Assumptions!$I$70:$I$71)*(S$24:S$25))</f>
        <v>0</v>
      </c>
      <c r="T30" s="169" cm="1">
        <f t="array" ref="T30">SUMPRODUCT((Assumptions!$H$70:$H$71)*(Assumptions!$G$70:$G$71)*(Assumptions!$I$70:$I$71)*(T$24:T$25))</f>
        <v>0</v>
      </c>
      <c r="U30" s="169" cm="1">
        <f t="array" ref="U30">SUMPRODUCT((Assumptions!$H$70:$H$71)*(Assumptions!$G$70:$G$71)*(Assumptions!$I$70:$I$71)*(U$24:U$25))</f>
        <v>0</v>
      </c>
      <c r="V30" s="169" cm="1">
        <f t="array" ref="V30">SUMPRODUCT((Assumptions!$H$70:$H$71)*(Assumptions!$G$70:$G$71)*(Assumptions!$I$70:$I$71)*(V$24:V$25))</f>
        <v>0</v>
      </c>
      <c r="W30" s="169" cm="1">
        <f t="array" ref="W30">SUMPRODUCT((Assumptions!$H$70:$H$71)*(Assumptions!$G$70:$G$71)*(Assumptions!$I$70:$I$71)*(W$24:W$25))</f>
        <v>0</v>
      </c>
      <c r="X30" s="169" cm="1">
        <f t="array" ref="X30">SUMPRODUCT((Assumptions!$H$70:$H$71)*(Assumptions!$G$70:$G$71)*(Assumptions!$I$70:$I$71)*(X$24:X$25))</f>
        <v>0</v>
      </c>
      <c r="Y30" s="169" cm="1">
        <f t="array" ref="Y30">SUMPRODUCT((Assumptions!$H$70:$H$71)*(Assumptions!$G$70:$G$71)*(Assumptions!$I$70:$I$71)*(Y$24:Y$25))</f>
        <v>0</v>
      </c>
      <c r="Z30" s="169" cm="1">
        <f t="array" ref="Z30">SUMPRODUCT((Assumptions!$H$70:$H$71)*(Assumptions!$G$70:$G$71)*(Assumptions!$I$70:$I$71)*(Z$24:Z$25))</f>
        <v>0</v>
      </c>
      <c r="AA30" s="169" cm="1">
        <f t="array" ref="AA30">SUMPRODUCT((Assumptions!$H$70:$H$71)*(Assumptions!$G$70:$G$71)*(Assumptions!$I$70:$I$71)*(AA$24:AA$25))</f>
        <v>0</v>
      </c>
      <c r="AB30" s="169" cm="1">
        <f t="array" ref="AB30">SUMPRODUCT((Assumptions!$H$70:$H$71)*(Assumptions!$G$70:$G$71)*(Assumptions!$I$70:$I$71)*(AB$24:AB$25))</f>
        <v>0</v>
      </c>
      <c r="AC30" s="169" cm="1">
        <f t="array" ref="AC30">SUMPRODUCT((Assumptions!$H$70:$H$71)*(Assumptions!$G$70:$G$71)*(Assumptions!$I$70:$I$71)*(AC$24:AC$25))</f>
        <v>0</v>
      </c>
      <c r="AD30" s="169" cm="1">
        <f t="array" ref="AD30">SUMPRODUCT((Assumptions!$H$70:$H$71)*(Assumptions!$G$70:$G$71)*(Assumptions!$I$70:$I$71)*(AD$24:AD$25))</f>
        <v>0</v>
      </c>
      <c r="AE30" s="169" cm="1">
        <f t="array" ref="AE30">SUMPRODUCT((Assumptions!$H$70:$H$71)*(Assumptions!$G$70:$G$71)*(Assumptions!$I$70:$I$71)*(AE$24:AE$25))</f>
        <v>0</v>
      </c>
      <c r="AF30" s="169" cm="1">
        <f t="array" ref="AF30">SUMPRODUCT((Assumptions!$H$70:$H$71)*(Assumptions!$G$70:$G$71)*(Assumptions!$I$70:$I$71)*(AF$24:AF$25))</f>
        <v>0</v>
      </c>
      <c r="AG30" s="169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5"/>
      <c r="E31"/>
      <c r="G31" s="206">
        <f>input_dollars</f>
        <v>45291</v>
      </c>
      <c r="H31" s="148"/>
      <c r="I31" s="169" cm="1">
        <f t="array" ref="I31">(1+Assumptions!$G$81)*SUMPRODUCT((Assumptions!$G$78:$G$79)*(I$24:I$25))</f>
        <v>0</v>
      </c>
      <c r="J31" s="169" cm="1">
        <f t="array" ref="J31">(1+Assumptions!$G$81)*SUMPRODUCT((Assumptions!$G$78:$G$79)*(J$24:J$25))</f>
        <v>0</v>
      </c>
      <c r="K31" s="169" cm="1">
        <f t="array" ref="K31">(1+Assumptions!$G$81)*SUMPRODUCT((Assumptions!$G$78:$G$79)*(K$24:K$25))</f>
        <v>0</v>
      </c>
      <c r="L31" s="169" cm="1">
        <f t="array" ref="L31">(1+Assumptions!$G$81)*SUMPRODUCT((Assumptions!$G$78:$G$79)*(L$24:L$25))</f>
        <v>0</v>
      </c>
      <c r="M31" s="169" cm="1">
        <f t="array" ref="M31">(1+Assumptions!$G$81)*SUMPRODUCT((Assumptions!$G$78:$G$79)*(M$24:M$25))</f>
        <v>0</v>
      </c>
      <c r="N31" s="169" cm="1">
        <f t="array" ref="N31">(1+Assumptions!$G$81)*SUMPRODUCT((Assumptions!$G$78:$G$79)*(N$24:N$25))</f>
        <v>0</v>
      </c>
      <c r="O31" s="169" cm="1">
        <f t="array" ref="O31">(1+Assumptions!$G$81)*SUMPRODUCT((Assumptions!$G$78:$G$79)*(O$24:O$25))</f>
        <v>0</v>
      </c>
      <c r="P31" s="169" cm="1">
        <f t="array" ref="P31">(1+Assumptions!$G$81)*SUMPRODUCT((Assumptions!$G$78:$G$79)*(P$24:P$25))</f>
        <v>0</v>
      </c>
      <c r="Q31" s="169" cm="1">
        <f t="array" ref="Q31">(1+Assumptions!$G$81)*SUMPRODUCT((Assumptions!$G$78:$G$79)*(Q$24:Q$25))</f>
        <v>0</v>
      </c>
      <c r="R31" s="169" cm="1">
        <f t="array" ref="R31">(1+Assumptions!$G$81)*SUMPRODUCT((Assumptions!$G$78:$G$79)*(R$24:R$25))</f>
        <v>0</v>
      </c>
      <c r="S31" s="169" cm="1">
        <f t="array" ref="S31">(1+Assumptions!$G$81)*SUMPRODUCT((Assumptions!$G$78:$G$79)*(S$24:S$25))</f>
        <v>0</v>
      </c>
      <c r="T31" s="169" cm="1">
        <f t="array" ref="T31">(1+Assumptions!$G$81)*SUMPRODUCT((Assumptions!$G$78:$G$79)*(T$24:T$25))</f>
        <v>0</v>
      </c>
      <c r="U31" s="169" cm="1">
        <f t="array" ref="U31">(1+Assumptions!$G$81)*SUMPRODUCT((Assumptions!$G$78:$G$79)*(U$24:U$25))</f>
        <v>0</v>
      </c>
      <c r="V31" s="169" cm="1">
        <f t="array" ref="V31">(1+Assumptions!$G$81)*SUMPRODUCT((Assumptions!$G$78:$G$79)*(V$24:V$25))</f>
        <v>0</v>
      </c>
      <c r="W31" s="169" cm="1">
        <f t="array" ref="W31">(1+Assumptions!$G$81)*SUMPRODUCT((Assumptions!$G$78:$G$79)*(W$24:W$25))</f>
        <v>0</v>
      </c>
      <c r="X31" s="169" cm="1">
        <f t="array" ref="X31">(1+Assumptions!$G$81)*SUMPRODUCT((Assumptions!$G$78:$G$79)*(X$24:X$25))</f>
        <v>0</v>
      </c>
      <c r="Y31" s="169" cm="1">
        <f t="array" ref="Y31">(1+Assumptions!$G$81)*SUMPRODUCT((Assumptions!$G$78:$G$79)*(Y$24:Y$25))</f>
        <v>0</v>
      </c>
      <c r="Z31" s="169" cm="1">
        <f t="array" ref="Z31">(1+Assumptions!$G$81)*SUMPRODUCT((Assumptions!$G$78:$G$79)*(Z$24:Z$25))</f>
        <v>0</v>
      </c>
      <c r="AA31" s="169" cm="1">
        <f t="array" ref="AA31">(1+Assumptions!$G$81)*SUMPRODUCT((Assumptions!$G$78:$G$79)*(AA$24:AA$25))</f>
        <v>0</v>
      </c>
      <c r="AB31" s="169" cm="1">
        <f t="array" ref="AB31">(1+Assumptions!$G$81)*SUMPRODUCT((Assumptions!$G$78:$G$79)*(AB$24:AB$25))</f>
        <v>0</v>
      </c>
      <c r="AC31" s="169" cm="1">
        <f t="array" ref="AC31">(1+Assumptions!$G$81)*SUMPRODUCT((Assumptions!$G$78:$G$79)*(AC$24:AC$25))</f>
        <v>0</v>
      </c>
      <c r="AD31" s="169" cm="1">
        <f t="array" ref="AD31">(1+Assumptions!$G$81)*SUMPRODUCT((Assumptions!$G$78:$G$79)*(AD$24:AD$25))</f>
        <v>0</v>
      </c>
      <c r="AE31" s="169" cm="1">
        <f t="array" ref="AE31">(1+Assumptions!$G$81)*SUMPRODUCT((Assumptions!$G$78:$G$79)*(AE$24:AE$25))</f>
        <v>0</v>
      </c>
      <c r="AF31" s="169" cm="1">
        <f t="array" ref="AF31">(1+Assumptions!$G$81)*SUMPRODUCT((Assumptions!$G$78:$G$79)*(AF$24:AF$25))</f>
        <v>0</v>
      </c>
      <c r="AG31" s="169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4" t="s">
        <v>206</v>
      </c>
      <c r="E32"/>
      <c r="G32" s="206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5">
        <v>0</v>
      </c>
      <c r="S32" s="135">
        <v>0</v>
      </c>
      <c r="T32" s="135">
        <v>0</v>
      </c>
      <c r="U32" s="135">
        <v>0</v>
      </c>
      <c r="V32" s="135">
        <v>0</v>
      </c>
      <c r="W32" s="135">
        <v>0</v>
      </c>
      <c r="X32" s="135">
        <v>0</v>
      </c>
      <c r="Y32" s="135">
        <v>0</v>
      </c>
      <c r="Z32" s="135">
        <v>0</v>
      </c>
      <c r="AA32" s="135">
        <v>0</v>
      </c>
      <c r="AB32" s="135">
        <v>0</v>
      </c>
      <c r="AC32" s="135">
        <v>0</v>
      </c>
      <c r="AD32" s="135">
        <v>0</v>
      </c>
      <c r="AE32" s="135">
        <v>0</v>
      </c>
      <c r="AF32" s="135">
        <v>0</v>
      </c>
      <c r="AG32" s="135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3" t="s">
        <v>171</v>
      </c>
      <c r="D33" s="218"/>
      <c r="E33"/>
      <c r="G33" s="206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3" t="s">
        <v>171</v>
      </c>
      <c r="D34" s="205"/>
      <c r="E34"/>
      <c r="G34" s="206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5"/>
      <c r="E35"/>
      <c r="G35" s="206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170</v>
      </c>
      <c r="D36" s="217"/>
      <c r="E36" s="107"/>
      <c r="F36" s="3"/>
      <c r="G36" s="208"/>
      <c r="H36" s="107"/>
      <c r="I36" s="169">
        <f>SUM(I28:I34)</f>
        <v>0</v>
      </c>
      <c r="J36" s="169">
        <f t="shared" ref="J36:AG36" si="3">SUM(J28:J34)</f>
        <v>0</v>
      </c>
      <c r="K36" s="169">
        <f t="shared" si="3"/>
        <v>0</v>
      </c>
      <c r="L36" s="169">
        <f t="shared" si="3"/>
        <v>0</v>
      </c>
      <c r="M36" s="169">
        <f t="shared" si="3"/>
        <v>0</v>
      </c>
      <c r="N36" s="169">
        <f t="shared" si="3"/>
        <v>0</v>
      </c>
      <c r="O36" s="169">
        <f t="shared" si="3"/>
        <v>0</v>
      </c>
      <c r="P36" s="169">
        <f t="shared" si="3"/>
        <v>0</v>
      </c>
      <c r="Q36" s="169">
        <f t="shared" si="3"/>
        <v>0</v>
      </c>
      <c r="R36" s="169">
        <f t="shared" si="3"/>
        <v>0</v>
      </c>
      <c r="S36" s="169">
        <f t="shared" si="3"/>
        <v>0</v>
      </c>
      <c r="T36" s="169">
        <f t="shared" si="3"/>
        <v>0</v>
      </c>
      <c r="U36" s="169">
        <f t="shared" si="3"/>
        <v>0</v>
      </c>
      <c r="V36" s="169">
        <f t="shared" si="3"/>
        <v>0</v>
      </c>
      <c r="W36" s="169">
        <f t="shared" si="3"/>
        <v>0</v>
      </c>
      <c r="X36" s="169">
        <f t="shared" si="3"/>
        <v>0</v>
      </c>
      <c r="Y36" s="169">
        <f t="shared" si="3"/>
        <v>0</v>
      </c>
      <c r="Z36" s="169">
        <f t="shared" si="3"/>
        <v>0</v>
      </c>
      <c r="AA36" s="169">
        <f t="shared" si="3"/>
        <v>0</v>
      </c>
      <c r="AB36" s="169">
        <f t="shared" si="3"/>
        <v>0</v>
      </c>
      <c r="AC36" s="169">
        <f t="shared" si="3"/>
        <v>0</v>
      </c>
      <c r="AD36" s="169">
        <f t="shared" si="3"/>
        <v>0</v>
      </c>
      <c r="AE36" s="169">
        <f t="shared" si="3"/>
        <v>0</v>
      </c>
      <c r="AF36" s="169">
        <f t="shared" si="3"/>
        <v>0</v>
      </c>
      <c r="AG36" s="169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6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3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6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6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4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4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6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5"/>
      <c r="E44"/>
      <c r="G44" s="206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4" t="s">
        <v>63</v>
      </c>
      <c r="E45" s="113">
        <f>Assumptions!G94</f>
        <v>151432.81740793545</v>
      </c>
      <c r="G45" s="206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4" t="s">
        <v>63</v>
      </c>
      <c r="E46" s="113">
        <f>Assumptions!G95</f>
        <v>24590</v>
      </c>
      <c r="G46" s="206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4" t="s">
        <v>63</v>
      </c>
      <c r="E47" s="112">
        <f>Assumptions!G96</f>
        <v>88.357719508603083</v>
      </c>
      <c r="G47" s="206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4" t="s">
        <v>126</v>
      </c>
      <c r="E48" s="112">
        <f>Assumptions!G97</f>
        <v>0</v>
      </c>
      <c r="G48" s="206" t="s">
        <v>203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201</v>
      </c>
      <c r="D49" s="204" t="s">
        <v>204</v>
      </c>
      <c r="E49" s="112">
        <f>Assumptions!G98</f>
        <v>0.35181336539087127</v>
      </c>
      <c r="G49" s="206" t="s">
        <v>205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202</v>
      </c>
      <c r="D50" s="204" t="s">
        <v>204</v>
      </c>
      <c r="E50" s="112">
        <f>Assumptions!G99</f>
        <v>0.35181336539087127</v>
      </c>
      <c r="G50" s="206" t="s">
        <v>205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4" t="s">
        <v>126</v>
      </c>
      <c r="E51" s="112">
        <f>Assumptions!G100</f>
        <v>0</v>
      </c>
      <c r="G51" s="206" t="s">
        <v>203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4" t="s">
        <v>126</v>
      </c>
      <c r="E52" s="112">
        <f>Assumptions!G101</f>
        <v>0</v>
      </c>
      <c r="G52" s="206" t="s">
        <v>203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4"/>
      <c r="G53" s="20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4"/>
      <c r="G54" s="206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4"/>
      <c r="G55" s="206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4"/>
      <c r="G56" s="204"/>
    </row>
    <row r="57" spans="1:43" x14ac:dyDescent="0.2">
      <c r="C57" s="3" t="s">
        <v>125</v>
      </c>
      <c r="D57" s="217"/>
      <c r="E57" s="107"/>
      <c r="F57" s="3"/>
      <c r="G57" s="209">
        <f>input_dollars</f>
        <v>45291</v>
      </c>
      <c r="H57" s="107"/>
      <c r="I57" s="169" cm="1">
        <f t="array" ref="I57">SUMPRODUCT((I$45:I$52)*($E$45:$E$52))+SUM(I54:I55)+I42</f>
        <v>0</v>
      </c>
      <c r="J57" s="169" cm="1">
        <f t="array" ref="J57">SUMPRODUCT((J$45:J$52)*($E$45:$E$52))+SUM(J54:J55)+J42</f>
        <v>0</v>
      </c>
      <c r="K57" s="169" cm="1">
        <f t="array" ref="K57">SUMPRODUCT((K$45:K$52)*($E$45:$E$52))+SUM(K54:K55)+K42</f>
        <v>0</v>
      </c>
      <c r="L57" s="169" cm="1">
        <f t="array" ref="L57">SUMPRODUCT((L$45:L$52)*($E$45:$E$52))+SUM(L54:L55)+L42</f>
        <v>0</v>
      </c>
      <c r="M57" s="169" cm="1">
        <f t="array" ref="M57">SUMPRODUCT((M$45:M$52)*($E$45:$E$52))+SUM(M54:M55)+M42</f>
        <v>0</v>
      </c>
      <c r="N57" s="169" cm="1">
        <f t="array" ref="N57">SUMPRODUCT((N$45:N$52)*($E$45:$E$52))+SUM(N54:N55)+N42</f>
        <v>0</v>
      </c>
      <c r="O57" s="169" cm="1">
        <f t="array" ref="O57">SUMPRODUCT((O$45:O$52)*($E$45:$E$52))+SUM(O54:O55)+O42</f>
        <v>0</v>
      </c>
      <c r="P57" s="169" cm="1">
        <f t="array" ref="P57">SUMPRODUCT((P$45:P$52)*($E$45:$E$52))+SUM(P54:P55)+P42</f>
        <v>0</v>
      </c>
      <c r="Q57" s="169" cm="1">
        <f t="array" ref="Q57">SUMPRODUCT((Q$45:Q$52)*($E$45:$E$52))+SUM(Q54:Q55)+Q42</f>
        <v>0</v>
      </c>
      <c r="R57" s="169" cm="1">
        <f t="array" ref="R57">SUMPRODUCT((R$45:R$52)*($E$45:$E$52))+SUM(R54:R55)+R42</f>
        <v>0</v>
      </c>
      <c r="S57" s="169" cm="1">
        <f t="array" ref="S57">SUMPRODUCT((S$45:S$52)*($E$45:$E$52))+SUM(S54:S55)+S42</f>
        <v>0</v>
      </c>
      <c r="T57" s="169" cm="1">
        <f t="array" ref="T57">SUMPRODUCT((T$45:T$52)*($E$45:$E$52))+SUM(T54:T55)+T42</f>
        <v>0</v>
      </c>
      <c r="U57" s="169" cm="1">
        <f t="array" ref="U57">SUMPRODUCT((U$45:U$52)*($E$45:$E$52))+SUM(U54:U55)+U42</f>
        <v>0</v>
      </c>
      <c r="V57" s="169" cm="1">
        <f t="array" ref="V57">SUMPRODUCT((V$45:V$52)*($E$45:$E$52))+SUM(V54:V55)+V42</f>
        <v>0</v>
      </c>
      <c r="W57" s="169" cm="1">
        <f t="array" ref="W57">SUMPRODUCT((W$45:W$52)*($E$45:$E$52))+SUM(W54:W55)+W42</f>
        <v>0</v>
      </c>
      <c r="X57" s="169" cm="1">
        <f t="array" ref="X57">SUMPRODUCT((X$45:X$52)*($E$45:$E$52))+SUM(X54:X55)+X42</f>
        <v>0</v>
      </c>
      <c r="Y57" s="169" cm="1">
        <f t="array" ref="Y57">SUMPRODUCT((Y$45:Y$52)*($E$45:$E$52))+SUM(Y54:Y55)+Y42</f>
        <v>0</v>
      </c>
      <c r="Z57" s="169" cm="1">
        <f t="array" ref="Z57">SUMPRODUCT((Z$45:Z$52)*($E$45:$E$52))+SUM(Z54:Z55)+Z42</f>
        <v>0</v>
      </c>
      <c r="AA57" s="169" cm="1">
        <f t="array" ref="AA57">SUMPRODUCT((AA$45:AA$52)*($E$45:$E$52))+SUM(AA54:AA55)+AA42</f>
        <v>0</v>
      </c>
      <c r="AB57" s="169" cm="1">
        <f t="array" ref="AB57">SUMPRODUCT((AB$45:AB$52)*($E$45:$E$52))+SUM(AB54:AB55)+AB42</f>
        <v>0</v>
      </c>
      <c r="AC57" s="169" cm="1">
        <f t="array" ref="AC57">SUMPRODUCT((AC$45:AC$52)*($E$45:$E$52))+SUM(AC54:AC55)+AC42</f>
        <v>0</v>
      </c>
      <c r="AD57" s="169" cm="1">
        <f t="array" ref="AD57">SUMPRODUCT((AD$45:AD$52)*($E$45:$E$52))+SUM(AD54:AD55)+AD42</f>
        <v>0</v>
      </c>
      <c r="AE57" s="169" cm="1">
        <f t="array" ref="AE57">SUMPRODUCT((AE$45:AE$52)*($E$45:$E$52))+SUM(AE54:AE55)+AE42</f>
        <v>0</v>
      </c>
      <c r="AF57" s="169" cm="1">
        <f t="array" ref="AF57">SUMPRODUCT((AF$45:AF$52)*($E$45:$E$52))+SUM(AF54:AF55)+AF42</f>
        <v>0</v>
      </c>
      <c r="AG57" s="169" cm="1">
        <f t="array" ref="AG57">SUMPRODUCT((AG$45:AG$52)*($E$45:$E$52))+SUM(AG54:AG55)+AG42</f>
        <v>0</v>
      </c>
    </row>
    <row r="58" spans="1:43" x14ac:dyDescent="0.2">
      <c r="D58" s="204"/>
      <c r="G58" s="204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4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7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0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1"/>
    </row>
    <row r="64" spans="1:43" x14ac:dyDescent="0.2">
      <c r="C64" s="4" t="str">
        <f>'Option1 (base case)'!C64</f>
        <v>Risks mitigated vs base case</v>
      </c>
      <c r="G64" s="209">
        <f>input_dollars</f>
        <v>45291</v>
      </c>
      <c r="I64" s="131">
        <f>(1-INDEX(Data!$C$9:$C$13, MATCH($A$3, options,0)))*('Option1 (base case)'!I36-I36)</f>
        <v>0</v>
      </c>
      <c r="J64" s="131">
        <f>(1-INDEX(Data!$C$9:$C$13, MATCH($A$3, options,0)))*('Option1 (base case)'!J36-J36)</f>
        <v>0</v>
      </c>
      <c r="K64" s="131">
        <f>(1-INDEX(Data!$C$9:$C$13, MATCH($A$3, options,0)))*('Option1 (base case)'!K36-K36)</f>
        <v>10000000</v>
      </c>
      <c r="L64" s="131">
        <f>(1-INDEX(Data!$C$9:$C$13, MATCH($A$3, options,0)))*('Option1 (base case)'!L36-L36)</f>
        <v>2007500</v>
      </c>
      <c r="M64" s="131">
        <f>(1-INDEX(Data!$C$9:$C$13, MATCH($A$3, options,0)))*('Option1 (base case)'!M36-M36)</f>
        <v>2007500</v>
      </c>
      <c r="N64" s="131">
        <f>(1-INDEX(Data!$C$9:$C$13, MATCH($A$3, options,0)))*('Option1 (base case)'!N36-N36)</f>
        <v>2007500</v>
      </c>
      <c r="O64" s="131">
        <f>(1-INDEX(Data!$C$9:$C$13, MATCH($A$3, options,0)))*('Option1 (base case)'!O36-O36)</f>
        <v>2007500</v>
      </c>
      <c r="P64" s="131">
        <f>(1-INDEX(Data!$C$9:$C$13, MATCH($A$3, options,0)))*('Option1 (base case)'!P36-P36)</f>
        <v>2007500</v>
      </c>
      <c r="Q64" s="131">
        <f>(1-INDEX(Data!$C$9:$C$13, MATCH($A$3, options,0)))*('Option1 (base case)'!Q36-Q36)</f>
        <v>2007500</v>
      </c>
      <c r="R64" s="131">
        <f>(1-INDEX(Data!$C$9:$C$13, MATCH($A$3, options,0)))*('Option1 (base case)'!R36-R36)</f>
        <v>2007500</v>
      </c>
      <c r="S64" s="131">
        <f>(1-INDEX(Data!$C$9:$C$13, MATCH($A$3, options,0)))*('Option1 (base case)'!S36-S36)</f>
        <v>2007500</v>
      </c>
      <c r="T64" s="131">
        <f>(1-INDEX(Data!$C$9:$C$13, MATCH($A$3, options,0)))*('Option1 (base case)'!T36-T36)</f>
        <v>2007500</v>
      </c>
      <c r="U64" s="131">
        <f>(1-INDEX(Data!$C$9:$C$13, MATCH($A$3, options,0)))*('Option1 (base case)'!U36-U36)</f>
        <v>2007500</v>
      </c>
      <c r="V64" s="131">
        <f>(1-INDEX(Data!$C$9:$C$13, MATCH($A$3, options,0)))*('Option1 (base case)'!V36-V36)</f>
        <v>2007500</v>
      </c>
      <c r="W64" s="131">
        <f>(1-INDEX(Data!$C$9:$C$13, MATCH($A$3, options,0)))*('Option1 (base case)'!W36-W36)</f>
        <v>2007500</v>
      </c>
      <c r="X64" s="131">
        <f>(1-INDEX(Data!$C$9:$C$13, MATCH($A$3, options,0)))*('Option1 (base case)'!X36-X36)</f>
        <v>2007500</v>
      </c>
      <c r="Y64" s="131">
        <f>(1-INDEX(Data!$C$9:$C$13, MATCH($A$3, options,0)))*('Option1 (base case)'!Y36-Y36)</f>
        <v>2007500</v>
      </c>
      <c r="Z64" s="131">
        <f>(1-INDEX(Data!$C$9:$C$13, MATCH($A$3, options,0)))*('Option1 (base case)'!Z36-Z36)</f>
        <v>2007500</v>
      </c>
      <c r="AA64" s="131">
        <f>(1-INDEX(Data!$C$9:$C$13, MATCH($A$3, options,0)))*('Option1 (base case)'!AA36-AA36)</f>
        <v>2007500</v>
      </c>
      <c r="AB64" s="131">
        <f>(1-INDEX(Data!$C$9:$C$13, MATCH($A$3, options,0)))*('Option1 (base case)'!AB36-AB36)</f>
        <v>2007500</v>
      </c>
      <c r="AC64" s="131">
        <f>(1-INDEX(Data!$C$9:$C$13, MATCH($A$3, options,0)))*('Option1 (base case)'!AC36-AC36)</f>
        <v>2007500</v>
      </c>
      <c r="AD64" s="131">
        <f>(1-INDEX(Data!$C$9:$C$13, MATCH($A$3, options,0)))*('Option1 (base case)'!AD36-AD36)</f>
        <v>2007500</v>
      </c>
      <c r="AE64" s="131">
        <f>(1-INDEX(Data!$C$9:$C$13, MATCH($A$3, options,0)))*('Option1 (base case)'!AE36-AE36)</f>
        <v>2007500</v>
      </c>
      <c r="AF64" s="131">
        <f>(1-INDEX(Data!$C$9:$C$13, MATCH($A$3, options,0)))*('Option1 (base case)'!AF36-AF36)</f>
        <v>2007500</v>
      </c>
      <c r="AG64" s="131">
        <f>(1-INDEX(Data!$C$9:$C$13, MATCH($A$3, options,0)))*('Option1 (base case)'!AG36-AG36)</f>
        <v>2007500</v>
      </c>
    </row>
    <row r="65" spans="1:33" x14ac:dyDescent="0.2">
      <c r="G65" s="211"/>
    </row>
    <row r="66" spans="1:33" x14ac:dyDescent="0.2">
      <c r="A66" s="8"/>
      <c r="B66" s="8"/>
      <c r="C66" s="146" t="s">
        <v>30</v>
      </c>
      <c r="D66" s="38"/>
      <c r="F66" s="97"/>
      <c r="G66" s="212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New zone substation</v>
      </c>
      <c r="D67" s="38"/>
      <c r="F67" s="97"/>
      <c r="G67" s="209">
        <f>input_dollars</f>
        <v>45291</v>
      </c>
      <c r="H67" s="31"/>
      <c r="I67" s="119">
        <f t="shared" ref="I67:AG67" si="5">-I14</f>
        <v>-9000000</v>
      </c>
      <c r="J67" s="119">
        <f t="shared" si="5"/>
        <v>-27450000</v>
      </c>
      <c r="K67" s="119">
        <f t="shared" si="5"/>
        <v>-8550000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09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09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3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6" t="s">
        <v>155</v>
      </c>
      <c r="D71" s="38"/>
      <c r="F71" s="97"/>
      <c r="G71" s="212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New zone substation</v>
      </c>
      <c r="D72" s="38"/>
      <c r="F72" s="97"/>
      <c r="G72" s="209">
        <f>input_dollars</f>
        <v>45291</v>
      </c>
      <c r="H72" s="31"/>
      <c r="I72" s="119" cm="1">
        <f t="array" ref="I72">SUMPRODUCT(($I67:I67))-SUMPRODUCT(($I67:I67)*($I$6:I$6&lt;=(I$6-$E14)))</f>
        <v>-9000000</v>
      </c>
      <c r="J72" s="119" cm="1">
        <f t="array" ref="J72">SUMPRODUCT(($I67:J67))-SUMPRODUCT(($I67:J67)*($I$6:J$6&lt;=(J$6-$E14)))</f>
        <v>-36450000</v>
      </c>
      <c r="K72" s="119" cm="1">
        <f t="array" ref="K72">SUMPRODUCT(($I67:K67))-SUMPRODUCT(($I67:K67)*($I$6:K$6&lt;=(K$6-$E14)))</f>
        <v>-45000000</v>
      </c>
      <c r="L72" s="119" cm="1">
        <f t="array" ref="L72">SUMPRODUCT(($I67:L67))-SUMPRODUCT(($I67:L67)*($I$6:L$6&lt;=(L$6-$E14)))</f>
        <v>-45000000</v>
      </c>
      <c r="M72" s="119" cm="1">
        <f t="array" ref="M72">SUMPRODUCT(($I67:M67))-SUMPRODUCT(($I67:M67)*($I$6:M$6&lt;=(M$6-$E14)))</f>
        <v>-45000000</v>
      </c>
      <c r="N72" s="119" cm="1">
        <f t="array" ref="N72">SUMPRODUCT(($I67:N67))-SUMPRODUCT(($I67:N67)*($I$6:N$6&lt;=(N$6-$E14)))</f>
        <v>-45000000</v>
      </c>
      <c r="O72" s="119" cm="1">
        <f t="array" ref="O72">SUMPRODUCT(($I67:O67))-SUMPRODUCT(($I67:O67)*($I$6:O$6&lt;=(O$6-$E14)))</f>
        <v>-45000000</v>
      </c>
      <c r="P72" s="119" cm="1">
        <f t="array" ref="P72">SUMPRODUCT(($I67:P67))-SUMPRODUCT(($I67:P67)*($I$6:P$6&lt;=(P$6-$E14)))</f>
        <v>-45000000</v>
      </c>
      <c r="Q72" s="119" cm="1">
        <f t="array" ref="Q72">SUMPRODUCT(($I67:Q67))-SUMPRODUCT(($I67:Q67)*($I$6:Q$6&lt;=(Q$6-$E14)))</f>
        <v>-45000000</v>
      </c>
      <c r="R72" s="119" cm="1">
        <f t="array" ref="R72">SUMPRODUCT(($I67:R67))-SUMPRODUCT(($I67:R67)*($I$6:R$6&lt;=(R$6-$E14)))</f>
        <v>-45000000</v>
      </c>
      <c r="S72" s="119" cm="1">
        <f t="array" ref="S72">SUMPRODUCT(($I67:S67))-SUMPRODUCT(($I67:S67)*($I$6:S$6&lt;=(S$6-$E14)))</f>
        <v>-45000000</v>
      </c>
      <c r="T72" s="119" cm="1">
        <f t="array" ref="T72">SUMPRODUCT(($I67:T67))-SUMPRODUCT(($I67:T67)*($I$6:T$6&lt;=(T$6-$E14)))</f>
        <v>-45000000</v>
      </c>
      <c r="U72" s="119" cm="1">
        <f t="array" ref="U72">SUMPRODUCT(($I67:U67))-SUMPRODUCT(($I67:U67)*($I$6:U$6&lt;=(U$6-$E14)))</f>
        <v>-45000000</v>
      </c>
      <c r="V72" s="119" cm="1">
        <f t="array" ref="V72">SUMPRODUCT(($I67:V67))-SUMPRODUCT(($I67:V67)*($I$6:V$6&lt;=(V$6-$E14)))</f>
        <v>-45000000</v>
      </c>
      <c r="W72" s="119" cm="1">
        <f t="array" ref="W72">SUMPRODUCT(($I67:W67))-SUMPRODUCT(($I67:W67)*($I$6:W$6&lt;=(W$6-$E14)))</f>
        <v>-45000000</v>
      </c>
      <c r="X72" s="119" cm="1">
        <f t="array" ref="X72">SUMPRODUCT(($I67:X67))-SUMPRODUCT(($I67:X67)*($I$6:X$6&lt;=(X$6-$E14)))</f>
        <v>-45000000</v>
      </c>
      <c r="Y72" s="119" cm="1">
        <f t="array" ref="Y72">SUMPRODUCT(($I67:Y67))-SUMPRODUCT(($I67:Y67)*($I$6:Y$6&lt;=(Y$6-$E14)))</f>
        <v>-45000000</v>
      </c>
      <c r="Z72" s="119" cm="1">
        <f t="array" ref="Z72">SUMPRODUCT(($I67:Z67))-SUMPRODUCT(($I67:Z67)*($I$6:Z$6&lt;=(Z$6-$E14)))</f>
        <v>-45000000</v>
      </c>
      <c r="AA72" s="119" cm="1">
        <f t="array" ref="AA72">SUMPRODUCT(($I67:AA67))-SUMPRODUCT(($I67:AA67)*($I$6:AA$6&lt;=(AA$6-$E14)))</f>
        <v>-45000000</v>
      </c>
      <c r="AB72" s="119" cm="1">
        <f t="array" ref="AB72">SUMPRODUCT(($I67:AB67))-SUMPRODUCT(($I67:AB67)*($I$6:AB$6&lt;=(AB$6-$E14)))</f>
        <v>-45000000</v>
      </c>
      <c r="AC72" s="119" cm="1">
        <f t="array" ref="AC72">SUMPRODUCT(($I67:AC67))-SUMPRODUCT(($I67:AC67)*($I$6:AC$6&lt;=(AC$6-$E14)))</f>
        <v>-45000000</v>
      </c>
      <c r="AD72" s="119" cm="1">
        <f t="array" ref="AD72">SUMPRODUCT(($I67:AD67))-SUMPRODUCT(($I67:AD67)*($I$6:AD$6&lt;=(AD$6-$E14)))</f>
        <v>-45000000</v>
      </c>
      <c r="AE72" s="119" cm="1">
        <f t="array" ref="AE72">SUMPRODUCT(($I67:AE67))-SUMPRODUCT(($I67:AE67)*($I$6:AE$6&lt;=(AE$6-$E14)))</f>
        <v>-45000000</v>
      </c>
      <c r="AF72" s="119" cm="1">
        <f t="array" ref="AF72">SUMPRODUCT(($I67:AF67))-SUMPRODUCT(($I67:AF67)*($I$6:AF$6&lt;=(AF$6-$E14)))</f>
        <v>-45000000</v>
      </c>
      <c r="AG72" s="119" cm="1">
        <f t="array" ref="AG72">SUMPRODUCT(($I67:AG67))-SUMPRODUCT(($I67:AG67)*($I$6:AG$6&lt;=(AG$6-$E14)))</f>
        <v>-45000000</v>
      </c>
    </row>
    <row r="73" spans="1:33" x14ac:dyDescent="0.2">
      <c r="A73" s="8"/>
      <c r="B73" s="8"/>
      <c r="C73" s="4">
        <f>C15</f>
        <v>0</v>
      </c>
      <c r="D73" s="38"/>
      <c r="F73" s="97"/>
      <c r="G73" s="209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09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3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6" t="s">
        <v>91</v>
      </c>
      <c r="D76" s="38"/>
      <c r="F76" s="97"/>
      <c r="G76" s="212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New zone substation</v>
      </c>
      <c r="D77" s="38"/>
      <c r="F77" s="97"/>
      <c r="G77" s="209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-383703.38609893183</v>
      </c>
      <c r="K77" s="119">
        <f t="shared" si="8"/>
        <v>-1553998.7137006738</v>
      </c>
      <c r="L77" s="119">
        <f t="shared" si="8"/>
        <v>-1918516.9304946591</v>
      </c>
      <c r="M77" s="119">
        <f t="shared" si="8"/>
        <v>-1918516.9304946591</v>
      </c>
      <c r="N77" s="119">
        <f t="shared" si="8"/>
        <v>-1918516.9304946591</v>
      </c>
      <c r="O77" s="119">
        <f t="shared" si="8"/>
        <v>-1918516.9304946591</v>
      </c>
      <c r="P77" s="119">
        <f t="shared" si="8"/>
        <v>-1918516.9304946591</v>
      </c>
      <c r="Q77" s="119">
        <f t="shared" si="8"/>
        <v>-1918516.9304946591</v>
      </c>
      <c r="R77" s="119">
        <f t="shared" si="8"/>
        <v>-1918516.9304946591</v>
      </c>
      <c r="S77" s="119">
        <f t="shared" si="8"/>
        <v>-1918516.9304946591</v>
      </c>
      <c r="T77" s="119">
        <f t="shared" si="8"/>
        <v>-1918516.9304946591</v>
      </c>
      <c r="U77" s="119">
        <f t="shared" si="8"/>
        <v>-1918516.9304946591</v>
      </c>
      <c r="V77" s="119">
        <f t="shared" si="8"/>
        <v>-1918516.9304946591</v>
      </c>
      <c r="W77" s="119">
        <f t="shared" si="8"/>
        <v>-1918516.9304946591</v>
      </c>
      <c r="X77" s="119">
        <f t="shared" si="8"/>
        <v>-1918516.9304946591</v>
      </c>
      <c r="Y77" s="119">
        <f t="shared" si="8"/>
        <v>-1918516.9304946591</v>
      </c>
      <c r="Z77" s="119">
        <f t="shared" si="8"/>
        <v>-1918516.9304946591</v>
      </c>
      <c r="AA77" s="119">
        <f t="shared" si="8"/>
        <v>-1918516.9304946591</v>
      </c>
      <c r="AB77" s="119">
        <f t="shared" si="8"/>
        <v>-1918516.9304946591</v>
      </c>
      <c r="AC77" s="119">
        <f t="shared" si="8"/>
        <v>-1918516.9304946591</v>
      </c>
      <c r="AD77" s="119">
        <f t="shared" si="8"/>
        <v>-1918516.9304946591</v>
      </c>
      <c r="AE77" s="119">
        <f t="shared" si="8"/>
        <v>-1918516.9304946591</v>
      </c>
      <c r="AF77" s="119">
        <f t="shared" si="8"/>
        <v>-1918516.9304946591</v>
      </c>
      <c r="AG77" s="119">
        <f t="shared" si="8"/>
        <v>-1918516.9304946591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09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09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1" t="s">
        <v>156</v>
      </c>
      <c r="D80" s="171"/>
      <c r="E80" s="172"/>
      <c r="F80" s="173"/>
      <c r="G80" s="214">
        <f>input_dollars</f>
        <v>45291</v>
      </c>
      <c r="H80" s="174"/>
      <c r="I80" s="175">
        <f>SUM(I77:I79)</f>
        <v>0</v>
      </c>
      <c r="J80" s="175">
        <f t="shared" ref="J80:AB80" si="11">SUM(J77:J79)</f>
        <v>-383703.38609893183</v>
      </c>
      <c r="K80" s="175">
        <f t="shared" si="11"/>
        <v>-1553998.7137006738</v>
      </c>
      <c r="L80" s="175">
        <f t="shared" si="11"/>
        <v>-1918516.9304946591</v>
      </c>
      <c r="M80" s="175">
        <f t="shared" si="11"/>
        <v>-1918516.9304946591</v>
      </c>
      <c r="N80" s="175">
        <f t="shared" si="11"/>
        <v>-1918516.9304946591</v>
      </c>
      <c r="O80" s="175">
        <f t="shared" si="11"/>
        <v>-1918516.9304946591</v>
      </c>
      <c r="P80" s="175">
        <f t="shared" si="11"/>
        <v>-1918516.9304946591</v>
      </c>
      <c r="Q80" s="175">
        <f t="shared" si="11"/>
        <v>-1918516.9304946591</v>
      </c>
      <c r="R80" s="175">
        <f t="shared" si="11"/>
        <v>-1918516.9304946591</v>
      </c>
      <c r="S80" s="175">
        <f t="shared" si="11"/>
        <v>-1918516.9304946591</v>
      </c>
      <c r="T80" s="175">
        <f t="shared" si="11"/>
        <v>-1918516.9304946591</v>
      </c>
      <c r="U80" s="175">
        <f t="shared" si="11"/>
        <v>-1918516.9304946591</v>
      </c>
      <c r="V80" s="175">
        <f t="shared" si="11"/>
        <v>-1918516.9304946591</v>
      </c>
      <c r="W80" s="175">
        <f t="shared" si="11"/>
        <v>-1918516.9304946591</v>
      </c>
      <c r="X80" s="175">
        <f t="shared" si="11"/>
        <v>-1918516.9304946591</v>
      </c>
      <c r="Y80" s="175">
        <f t="shared" si="11"/>
        <v>-1918516.9304946591</v>
      </c>
      <c r="Z80" s="175">
        <f t="shared" si="11"/>
        <v>-1918516.9304946591</v>
      </c>
      <c r="AA80" s="175">
        <f t="shared" si="11"/>
        <v>-1918516.9304946591</v>
      </c>
      <c r="AB80" s="175">
        <f t="shared" si="11"/>
        <v>-1918516.9304946591</v>
      </c>
      <c r="AC80" s="175">
        <f>SUM(AC77:AC79)</f>
        <v>-1918516.9304946591</v>
      </c>
      <c r="AD80" s="175">
        <f>SUM(AD77:AD79)</f>
        <v>-1918516.9304946591</v>
      </c>
      <c r="AE80" s="175">
        <f>SUM(AE77:AE79)</f>
        <v>-1918516.9304946591</v>
      </c>
      <c r="AF80" s="175">
        <f>SUM(AF77:AF79)</f>
        <v>-1918516.9304946591</v>
      </c>
      <c r="AG80" s="175">
        <f>SUM(AG77:AG79)</f>
        <v>-1918516.9304946591</v>
      </c>
    </row>
    <row r="81" spans="1:33" x14ac:dyDescent="0.2">
      <c r="A81" s="8"/>
      <c r="B81" s="8"/>
      <c r="C81" s="75"/>
      <c r="D81" s="38"/>
      <c r="F81"/>
      <c r="G81" s="215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09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-383703.38609893183</v>
      </c>
      <c r="K82" s="119">
        <f t="shared" si="13"/>
        <v>-1553998.7137006738</v>
      </c>
      <c r="L82" s="119">
        <f t="shared" si="13"/>
        <v>-1918516.9304946591</v>
      </c>
      <c r="M82" s="119">
        <f t="shared" si="13"/>
        <v>-1918516.9304946591</v>
      </c>
      <c r="N82" s="119">
        <f t="shared" si="13"/>
        <v>-1918516.9304946591</v>
      </c>
      <c r="O82" s="119">
        <f t="shared" si="13"/>
        <v>-1918516.9304946591</v>
      </c>
      <c r="P82" s="119">
        <f t="shared" si="13"/>
        <v>-1918516.9304946591</v>
      </c>
      <c r="Q82" s="119">
        <f t="shared" si="13"/>
        <v>-1918516.9304946591</v>
      </c>
      <c r="R82" s="119">
        <f t="shared" si="13"/>
        <v>-1918516.9304946591</v>
      </c>
      <c r="S82" s="119">
        <f t="shared" si="13"/>
        <v>-1918516.9304946591</v>
      </c>
      <c r="T82" s="119">
        <f t="shared" si="13"/>
        <v>-1918516.9304946591</v>
      </c>
      <c r="U82" s="119">
        <f t="shared" si="13"/>
        <v>-1918516.9304946591</v>
      </c>
      <c r="V82" s="119">
        <f t="shared" si="13"/>
        <v>-1918516.9304946591</v>
      </c>
      <c r="W82" s="119">
        <f t="shared" si="13"/>
        <v>-1918516.9304946591</v>
      </c>
      <c r="X82" s="119">
        <f t="shared" si="13"/>
        <v>-1918516.9304946591</v>
      </c>
      <c r="Y82" s="119">
        <f t="shared" si="13"/>
        <v>-1918516.9304946591</v>
      </c>
      <c r="Z82" s="119">
        <f t="shared" si="13"/>
        <v>-1918516.9304946591</v>
      </c>
      <c r="AA82" s="119">
        <f t="shared" si="13"/>
        <v>-1918516.9304946591</v>
      </c>
      <c r="AB82" s="119">
        <f t="shared" si="13"/>
        <v>-1918516.9304946591</v>
      </c>
      <c r="AC82" s="119">
        <f>AC80</f>
        <v>-1918516.9304946591</v>
      </c>
      <c r="AD82" s="119">
        <f>AD80</f>
        <v>-1918516.9304946591</v>
      </c>
      <c r="AE82" s="119">
        <f>AE80</f>
        <v>-1918516.9304946591</v>
      </c>
      <c r="AF82" s="119">
        <f>AF80</f>
        <v>-1918516.9304946591</v>
      </c>
      <c r="AG82" s="119">
        <f>AG80</f>
        <v>-1918516.9304946591</v>
      </c>
    </row>
    <row r="83" spans="1:33" x14ac:dyDescent="0.2">
      <c r="A83" s="8"/>
      <c r="B83" s="8"/>
      <c r="C83" s="4" t="s">
        <v>31</v>
      </c>
      <c r="D83" s="38"/>
      <c r="F83" s="97"/>
      <c r="G83" s="209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139</v>
      </c>
      <c r="D84" s="38"/>
      <c r="F84" s="97"/>
      <c r="G84" s="209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10000000</v>
      </c>
      <c r="L84" s="31">
        <f t="shared" si="15"/>
        <v>2007500</v>
      </c>
      <c r="M84" s="31">
        <f t="shared" si="15"/>
        <v>2007500</v>
      </c>
      <c r="N84" s="31">
        <f t="shared" si="15"/>
        <v>2007500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>AC64</f>
        <v>2007500</v>
      </c>
      <c r="AD84" s="31">
        <f>AD64</f>
        <v>2007500</v>
      </c>
      <c r="AE84" s="31">
        <f>AE64</f>
        <v>2007500</v>
      </c>
      <c r="AF84" s="31">
        <f>AF64</f>
        <v>2007500</v>
      </c>
      <c r="AG84" s="31">
        <f>AG64</f>
        <v>2007500</v>
      </c>
    </row>
    <row r="85" spans="1:33" x14ac:dyDescent="0.2">
      <c r="A85" s="8"/>
      <c r="B85" s="8"/>
      <c r="C85" s="4" t="s">
        <v>122</v>
      </c>
      <c r="D85" s="38"/>
      <c r="F85" s="97"/>
      <c r="G85" s="209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09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6" t="s">
        <v>186</v>
      </c>
      <c r="D87" s="177"/>
      <c r="E87" s="172"/>
      <c r="F87" s="178"/>
      <c r="G87" s="214">
        <f t="shared" si="12"/>
        <v>45291</v>
      </c>
      <c r="H87" s="178"/>
      <c r="I87" s="178">
        <f t="shared" ref="I87:AB87" si="17">SUM(I82:I86)</f>
        <v>0</v>
      </c>
      <c r="J87" s="178">
        <f t="shared" si="17"/>
        <v>-383703.38609893183</v>
      </c>
      <c r="K87" s="178">
        <f t="shared" si="17"/>
        <v>8446001.2862993255</v>
      </c>
      <c r="L87" s="178">
        <f t="shared" si="17"/>
        <v>88983.069505340885</v>
      </c>
      <c r="M87" s="178">
        <f t="shared" si="17"/>
        <v>88983.069505340885</v>
      </c>
      <c r="N87" s="178">
        <f t="shared" si="17"/>
        <v>88983.069505340885</v>
      </c>
      <c r="O87" s="178">
        <f t="shared" si="17"/>
        <v>88983.069505340885</v>
      </c>
      <c r="P87" s="178">
        <f t="shared" si="17"/>
        <v>88983.069505340885</v>
      </c>
      <c r="Q87" s="178">
        <f t="shared" si="17"/>
        <v>88983.069505340885</v>
      </c>
      <c r="R87" s="178">
        <f t="shared" si="17"/>
        <v>88983.069505340885</v>
      </c>
      <c r="S87" s="178">
        <f t="shared" si="17"/>
        <v>88983.069505340885</v>
      </c>
      <c r="T87" s="178">
        <f t="shared" si="17"/>
        <v>88983.069505340885</v>
      </c>
      <c r="U87" s="178">
        <f t="shared" si="17"/>
        <v>88983.069505340885</v>
      </c>
      <c r="V87" s="178">
        <f t="shared" si="17"/>
        <v>88983.069505340885</v>
      </c>
      <c r="W87" s="178">
        <f t="shared" si="17"/>
        <v>88983.069505340885</v>
      </c>
      <c r="X87" s="178">
        <f t="shared" si="17"/>
        <v>88983.069505340885</v>
      </c>
      <c r="Y87" s="178">
        <f t="shared" si="17"/>
        <v>88983.069505340885</v>
      </c>
      <c r="Z87" s="178">
        <f t="shared" si="17"/>
        <v>88983.069505340885</v>
      </c>
      <c r="AA87" s="178">
        <f t="shared" si="17"/>
        <v>88983.069505340885</v>
      </c>
      <c r="AB87" s="178">
        <f t="shared" si="17"/>
        <v>88983.069505340885</v>
      </c>
      <c r="AC87" s="178">
        <f>SUM(AC82:AC86)</f>
        <v>88983.069505340885</v>
      </c>
      <c r="AD87" s="178">
        <f>SUM(AD82:AD86)</f>
        <v>88983.069505340885</v>
      </c>
      <c r="AE87" s="178">
        <f>SUM(AE82:AE86)</f>
        <v>88983.069505340885</v>
      </c>
      <c r="AF87" s="178">
        <f>SUM(AF82:AF86)</f>
        <v>88983.069505340885</v>
      </c>
      <c r="AG87" s="178">
        <f>SUM(AG82:AG86)</f>
        <v>88983.069505340885</v>
      </c>
    </row>
    <row r="88" spans="1:33" x14ac:dyDescent="0.2">
      <c r="A88" s="8"/>
      <c r="B88" s="8"/>
      <c r="C88" s="75"/>
      <c r="D88" s="137"/>
      <c r="E88" s="64"/>
      <c r="F88" s="140"/>
      <c r="G88" s="216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7"/>
      <c r="E89" s="64"/>
      <c r="F89" s="140"/>
      <c r="G89" s="216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29" t="s">
        <v>196</v>
      </c>
      <c r="D90" s="82"/>
      <c r="E90" s="230"/>
      <c r="F90" s="231"/>
      <c r="G90" s="232" cm="1">
        <f t="array" ref="G90">IF(SUM($I17:$AG17)=0,0,(INDEX(I$6:AG$6,MATCH(TRUE,INDEX($I17:$AG17&lt;&gt;0,),0))))</f>
        <v>1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3"/>
      <c r="E91" s="230"/>
      <c r="F91" s="230"/>
      <c r="G91" s="232"/>
    </row>
    <row r="92" spans="1:33" x14ac:dyDescent="0.2">
      <c r="C92" s="234" t="s">
        <v>191</v>
      </c>
      <c r="D92" s="235"/>
      <c r="E92" s="235"/>
      <c r="F92" s="235"/>
      <c r="G92" s="236">
        <f>IF(_xlfn.MINIFS($G$90:$G$91, $G$90:$G$91, "&gt;"&amp;0)=0, $A$4, _xlfn.MINIFS($G$90:$G$91, $G$90:$G$91, "&gt;"&amp;0))</f>
        <v>1</v>
      </c>
    </row>
    <row r="94" spans="1:33" x14ac:dyDescent="0.2">
      <c r="G94" s="12"/>
    </row>
    <row r="102" spans="1:43" ht="15" x14ac:dyDescent="0.2">
      <c r="A102" s="89" t="s">
        <v>214</v>
      </c>
      <c r="B102" s="89"/>
      <c r="C102" s="89"/>
      <c r="D102" s="89"/>
      <c r="E102" s="89"/>
      <c r="F102" s="89"/>
      <c r="G102" s="203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</row>
    <row r="105" spans="1:43" x14ac:dyDescent="0.2"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</row>
    <row r="106" spans="1:43" x14ac:dyDescent="0.2">
      <c r="A106" s="1" t="s">
        <v>119</v>
      </c>
      <c r="C106" s="1" t="s">
        <v>186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-383703.38609893183</v>
      </c>
      <c r="K106" s="31">
        <f t="shared" si="18"/>
        <v>8446001.2862993255</v>
      </c>
      <c r="L106" s="31">
        <f t="shared" si="18"/>
        <v>88983.069505340885</v>
      </c>
      <c r="M106" s="31">
        <f t="shared" si="18"/>
        <v>88983.069505340885</v>
      </c>
      <c r="N106" s="31">
        <f t="shared" si="18"/>
        <v>88983.069505340885</v>
      </c>
      <c r="O106" s="31">
        <f t="shared" si="18"/>
        <v>88983.069505340885</v>
      </c>
      <c r="P106" s="31">
        <f t="shared" si="18"/>
        <v>88983.069505340885</v>
      </c>
      <c r="Q106" s="31">
        <f t="shared" si="18"/>
        <v>88983.069505340885</v>
      </c>
      <c r="R106" s="31">
        <f t="shared" si="18"/>
        <v>88983.069505340885</v>
      </c>
      <c r="S106" s="31">
        <f t="shared" si="18"/>
        <v>88983.069505340885</v>
      </c>
      <c r="T106" s="31">
        <f t="shared" si="18"/>
        <v>88983.069505340885</v>
      </c>
      <c r="U106" s="31">
        <f t="shared" si="18"/>
        <v>88983.069505340885</v>
      </c>
      <c r="V106" s="31">
        <f t="shared" si="18"/>
        <v>88983.069505340885</v>
      </c>
      <c r="W106" s="31">
        <f t="shared" si="18"/>
        <v>88983.069505340885</v>
      </c>
      <c r="X106" s="31">
        <f t="shared" si="18"/>
        <v>88983.069505340885</v>
      </c>
      <c r="Y106" s="31">
        <f t="shared" si="18"/>
        <v>88983.069505340885</v>
      </c>
      <c r="Z106" s="31">
        <f t="shared" si="18"/>
        <v>88983.069505340885</v>
      </c>
      <c r="AA106" s="31">
        <f t="shared" si="18"/>
        <v>88983.069505340885</v>
      </c>
      <c r="AB106" s="31">
        <f t="shared" si="18"/>
        <v>88983.069505340885</v>
      </c>
      <c r="AC106" s="31">
        <f t="shared" si="18"/>
        <v>88983.069505340885</v>
      </c>
      <c r="AD106" s="31">
        <f t="shared" si="18"/>
        <v>88983.069505340885</v>
      </c>
      <c r="AE106" s="31">
        <f t="shared" si="18"/>
        <v>88983.069505340885</v>
      </c>
      <c r="AF106" s="31">
        <f t="shared" si="18"/>
        <v>88983.069505340885</v>
      </c>
      <c r="AG106" s="31">
        <f t="shared" si="18"/>
        <v>88983.069505340885</v>
      </c>
    </row>
    <row r="107" spans="1:43" x14ac:dyDescent="0.2">
      <c r="C107" s="1" t="s">
        <v>156</v>
      </c>
      <c r="D107"/>
      <c r="E107"/>
      <c r="F107"/>
      <c r="G107"/>
      <c r="I107" s="31">
        <f>I82</f>
        <v>0</v>
      </c>
      <c r="J107" s="31">
        <f t="shared" ref="J107:AG107" si="19">J82</f>
        <v>-383703.38609893183</v>
      </c>
      <c r="K107" s="31">
        <f t="shared" si="19"/>
        <v>-1553998.7137006738</v>
      </c>
      <c r="L107" s="31">
        <f t="shared" si="19"/>
        <v>-1918516.9304946591</v>
      </c>
      <c r="M107" s="31">
        <f t="shared" si="19"/>
        <v>-1918516.9304946591</v>
      </c>
      <c r="N107" s="31">
        <f t="shared" si="19"/>
        <v>-1918516.9304946591</v>
      </c>
      <c r="O107" s="31">
        <f t="shared" si="19"/>
        <v>-1918516.9304946591</v>
      </c>
      <c r="P107" s="31">
        <f t="shared" si="19"/>
        <v>-1918516.9304946591</v>
      </c>
      <c r="Q107" s="31">
        <f t="shared" si="19"/>
        <v>-1918516.9304946591</v>
      </c>
      <c r="R107" s="31">
        <f t="shared" si="19"/>
        <v>-1918516.9304946591</v>
      </c>
      <c r="S107" s="31">
        <f t="shared" si="19"/>
        <v>-1918516.9304946591</v>
      </c>
      <c r="T107" s="31">
        <f t="shared" si="19"/>
        <v>-1918516.9304946591</v>
      </c>
      <c r="U107" s="31">
        <f t="shared" si="19"/>
        <v>-1918516.9304946591</v>
      </c>
      <c r="V107" s="31">
        <f t="shared" si="19"/>
        <v>-1918516.9304946591</v>
      </c>
      <c r="W107" s="31">
        <f t="shared" si="19"/>
        <v>-1918516.9304946591</v>
      </c>
      <c r="X107" s="31">
        <f t="shared" si="19"/>
        <v>-1918516.9304946591</v>
      </c>
      <c r="Y107" s="31">
        <f t="shared" si="19"/>
        <v>-1918516.9304946591</v>
      </c>
      <c r="Z107" s="31">
        <f t="shared" si="19"/>
        <v>-1918516.9304946591</v>
      </c>
      <c r="AA107" s="31">
        <f t="shared" si="19"/>
        <v>-1918516.9304946591</v>
      </c>
      <c r="AB107" s="31">
        <f t="shared" si="19"/>
        <v>-1918516.9304946591</v>
      </c>
      <c r="AC107" s="31">
        <f t="shared" si="19"/>
        <v>-1918516.9304946591</v>
      </c>
      <c r="AD107" s="31">
        <f t="shared" si="19"/>
        <v>-1918516.9304946591</v>
      </c>
      <c r="AE107" s="31">
        <f t="shared" si="19"/>
        <v>-1918516.9304946591</v>
      </c>
      <c r="AF107" s="31">
        <f t="shared" si="19"/>
        <v>-1918516.9304946591</v>
      </c>
      <c r="AG107" s="31">
        <f t="shared" si="19"/>
        <v>-1918516.9304946591</v>
      </c>
    </row>
    <row r="108" spans="1:43" x14ac:dyDescent="0.2">
      <c r="C108" s="1" t="s">
        <v>237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10000000</v>
      </c>
      <c r="L108" s="31">
        <f t="shared" si="20"/>
        <v>2007500</v>
      </c>
      <c r="M108" s="31">
        <f t="shared" si="20"/>
        <v>2007500</v>
      </c>
      <c r="N108" s="31">
        <f t="shared" si="20"/>
        <v>2007500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0" t="str">
        <f>Assumptions!G110</f>
        <v>Capex</v>
      </c>
      <c r="E109" s="300" t="str">
        <f>Assumptions!H110</f>
        <v>Total benefits</v>
      </c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</row>
    <row r="110" spans="1:43" x14ac:dyDescent="0.2">
      <c r="A110" s="1" t="str">
        <f>"sens"&amp;Assumptions!B111</f>
        <v>sens1</v>
      </c>
      <c r="C110" s="299" t="str">
        <f>Assumptions!C111</f>
        <v>Capex 10% higher</v>
      </c>
      <c r="D110" s="300">
        <f>Assumptions!G111</f>
        <v>0.1</v>
      </c>
      <c r="E110" s="300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-422073.724708825</v>
      </c>
      <c r="K110" s="31" cm="1">
        <f t="array" ref="K110">K$106+IF($C110&lt;&gt;0,SUMPRODUCT((K$107:K$108)*TRANSPOSE(($D110:$E110))),0)</f>
        <v>8290601.4149292577</v>
      </c>
      <c r="L110" s="31" cm="1">
        <f t="array" ref="L110">L$106+IF($C110&lt;&gt;0,SUMPRODUCT((L$107:L$108)*TRANSPOSE(($D110:$E110))),0)</f>
        <v>-102868.62354412503</v>
      </c>
      <c r="M110" s="31" cm="1">
        <f t="array" ref="M110">M$106+IF($C110&lt;&gt;0,SUMPRODUCT((M$107:M$108)*TRANSPOSE(($D110:$E110))),0)</f>
        <v>-102868.62354412503</v>
      </c>
      <c r="N110" s="31" cm="1">
        <f t="array" ref="N110">N$106+IF($C110&lt;&gt;0,SUMPRODUCT((N$107:N$108)*TRANSPOSE(($D110:$E110))),0)</f>
        <v>-102868.62354412503</v>
      </c>
      <c r="O110" s="31" cm="1">
        <f t="array" ref="O110">O$106+IF($C110&lt;&gt;0,SUMPRODUCT((O$107:O$108)*TRANSPOSE(($D110:$E110))),0)</f>
        <v>-102868.62354412503</v>
      </c>
      <c r="P110" s="31" cm="1">
        <f t="array" ref="P110">P$106+IF($C110&lt;&gt;0,SUMPRODUCT((P$107:P$108)*TRANSPOSE(($D110:$E110))),0)</f>
        <v>-102868.62354412503</v>
      </c>
      <c r="Q110" s="31" cm="1">
        <f t="array" ref="Q110">Q$106+IF($C110&lt;&gt;0,SUMPRODUCT((Q$107:Q$108)*TRANSPOSE(($D110:$E110))),0)</f>
        <v>-102868.62354412503</v>
      </c>
      <c r="R110" s="31" cm="1">
        <f t="array" ref="R110">R$106+IF($C110&lt;&gt;0,SUMPRODUCT((R$107:R$108)*TRANSPOSE(($D110:$E110))),0)</f>
        <v>-102868.62354412503</v>
      </c>
      <c r="S110" s="31" cm="1">
        <f t="array" ref="S110">S$106+IF($C110&lt;&gt;0,SUMPRODUCT((S$107:S$108)*TRANSPOSE(($D110:$E110))),0)</f>
        <v>-102868.62354412503</v>
      </c>
      <c r="T110" s="31" cm="1">
        <f t="array" ref="T110">T$106+IF($C110&lt;&gt;0,SUMPRODUCT((T$107:T$108)*TRANSPOSE(($D110:$E110))),0)</f>
        <v>-102868.62354412503</v>
      </c>
      <c r="U110" s="31" cm="1">
        <f t="array" ref="U110">U$106+IF($C110&lt;&gt;0,SUMPRODUCT((U$107:U$108)*TRANSPOSE(($D110:$E110))),0)</f>
        <v>-102868.62354412503</v>
      </c>
      <c r="V110" s="31" cm="1">
        <f t="array" ref="V110">V$106+IF($C110&lt;&gt;0,SUMPRODUCT((V$107:V$108)*TRANSPOSE(($D110:$E110))),0)</f>
        <v>-102868.62354412503</v>
      </c>
      <c r="W110" s="31" cm="1">
        <f t="array" ref="W110">W$106+IF($C110&lt;&gt;0,SUMPRODUCT((W$107:W$108)*TRANSPOSE(($D110:$E110))),0)</f>
        <v>-102868.62354412503</v>
      </c>
      <c r="X110" s="31" cm="1">
        <f t="array" ref="X110">X$106+IF($C110&lt;&gt;0,SUMPRODUCT((X$107:X$108)*TRANSPOSE(($D110:$E110))),0)</f>
        <v>-102868.62354412503</v>
      </c>
      <c r="Y110" s="31" cm="1">
        <f t="array" ref="Y110">Y$106+IF($C110&lt;&gt;0,SUMPRODUCT((Y$107:Y$108)*TRANSPOSE(($D110:$E110))),0)</f>
        <v>-102868.62354412503</v>
      </c>
      <c r="Z110" s="31" cm="1">
        <f t="array" ref="Z110">Z$106+IF($C110&lt;&gt;0,SUMPRODUCT((Z$107:Z$108)*TRANSPOSE(($D110:$E110))),0)</f>
        <v>-102868.62354412503</v>
      </c>
      <c r="AA110" s="31" cm="1">
        <f t="array" ref="AA110">AA$106+IF($C110&lt;&gt;0,SUMPRODUCT((AA$107:AA$108)*TRANSPOSE(($D110:$E110))),0)</f>
        <v>-102868.62354412503</v>
      </c>
      <c r="AB110" s="31" cm="1">
        <f t="array" ref="AB110">AB$106+IF($C110&lt;&gt;0,SUMPRODUCT((AB$107:AB$108)*TRANSPOSE(($D110:$E110))),0)</f>
        <v>-102868.62354412503</v>
      </c>
      <c r="AC110" s="31" cm="1">
        <f t="array" ref="AC110">AC$106+IF($C110&lt;&gt;0,SUMPRODUCT((AC$107:AC$108)*TRANSPOSE(($D110:$E110))),0)</f>
        <v>-102868.62354412503</v>
      </c>
      <c r="AD110" s="31" cm="1">
        <f t="array" ref="AD110">AD$106+IF($C110&lt;&gt;0,SUMPRODUCT((AD$107:AD$108)*TRANSPOSE(($D110:$E110))),0)</f>
        <v>-102868.62354412503</v>
      </c>
      <c r="AE110" s="31" cm="1">
        <f t="array" ref="AE110">AE$106+IF($C110&lt;&gt;0,SUMPRODUCT((AE$107:AE$108)*TRANSPOSE(($D110:$E110))),0)</f>
        <v>-102868.62354412503</v>
      </c>
      <c r="AF110" s="31" cm="1">
        <f t="array" ref="AF110">AF$106+IF($C110&lt;&gt;0,SUMPRODUCT((AF$107:AF$108)*TRANSPOSE(($D110:$E110))),0)</f>
        <v>-102868.62354412503</v>
      </c>
      <c r="AG110" s="31" cm="1">
        <f t="array" ref="AG110">AG$106+IF($C110&lt;&gt;0,SUMPRODUCT((AG$107:AG$108)*TRANSPOSE(($D110:$E110))),0)</f>
        <v>-102868.62354412503</v>
      </c>
    </row>
    <row r="111" spans="1:43" x14ac:dyDescent="0.2">
      <c r="A111" s="1" t="str">
        <f>"sens"&amp;Assumptions!B112</f>
        <v>sens2</v>
      </c>
      <c r="C111" s="299" t="str">
        <f>Assumptions!C112</f>
        <v>Capex 10% lower</v>
      </c>
      <c r="D111" s="300">
        <f>Assumptions!G112</f>
        <v>-0.1</v>
      </c>
      <c r="E111" s="300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-345333.04748903867</v>
      </c>
      <c r="K111" s="31" cm="1">
        <f t="array" ref="K111">K$106+IF($C111&lt;&gt;0,SUMPRODUCT((K$107:K$108)*TRANSPOSE(($D111:$E111))),0)</f>
        <v>8601401.1576693933</v>
      </c>
      <c r="L111" s="31" cm="1">
        <f t="array" ref="L111">L$106+IF($C111&lt;&gt;0,SUMPRODUCT((L$107:L$108)*TRANSPOSE(($D111:$E111))),0)</f>
        <v>280834.76255480677</v>
      </c>
      <c r="M111" s="31" cm="1">
        <f t="array" ref="M111">M$106+IF($C111&lt;&gt;0,SUMPRODUCT((M$107:M$108)*TRANSPOSE(($D111:$E111))),0)</f>
        <v>280834.76255480677</v>
      </c>
      <c r="N111" s="31" cm="1">
        <f t="array" ref="N111">N$106+IF($C111&lt;&gt;0,SUMPRODUCT((N$107:N$108)*TRANSPOSE(($D111:$E111))),0)</f>
        <v>280834.76255480677</v>
      </c>
      <c r="O111" s="31" cm="1">
        <f t="array" ref="O111">O$106+IF($C111&lt;&gt;0,SUMPRODUCT((O$107:O$108)*TRANSPOSE(($D111:$E111))),0)</f>
        <v>280834.76255480677</v>
      </c>
      <c r="P111" s="31" cm="1">
        <f t="array" ref="P111">P$106+IF($C111&lt;&gt;0,SUMPRODUCT((P$107:P$108)*TRANSPOSE(($D111:$E111))),0)</f>
        <v>280834.76255480677</v>
      </c>
      <c r="Q111" s="31" cm="1">
        <f t="array" ref="Q111">Q$106+IF($C111&lt;&gt;0,SUMPRODUCT((Q$107:Q$108)*TRANSPOSE(($D111:$E111))),0)</f>
        <v>280834.76255480677</v>
      </c>
      <c r="R111" s="31" cm="1">
        <f t="array" ref="R111">R$106+IF($C111&lt;&gt;0,SUMPRODUCT((R$107:R$108)*TRANSPOSE(($D111:$E111))),0)</f>
        <v>280834.76255480677</v>
      </c>
      <c r="S111" s="31" cm="1">
        <f t="array" ref="S111">S$106+IF($C111&lt;&gt;0,SUMPRODUCT((S$107:S$108)*TRANSPOSE(($D111:$E111))),0)</f>
        <v>280834.76255480677</v>
      </c>
      <c r="T111" s="31" cm="1">
        <f t="array" ref="T111">T$106+IF($C111&lt;&gt;0,SUMPRODUCT((T$107:T$108)*TRANSPOSE(($D111:$E111))),0)</f>
        <v>280834.76255480677</v>
      </c>
      <c r="U111" s="31" cm="1">
        <f t="array" ref="U111">U$106+IF($C111&lt;&gt;0,SUMPRODUCT((U$107:U$108)*TRANSPOSE(($D111:$E111))),0)</f>
        <v>280834.76255480677</v>
      </c>
      <c r="V111" s="31" cm="1">
        <f t="array" ref="V111">V$106+IF($C111&lt;&gt;0,SUMPRODUCT((V$107:V$108)*TRANSPOSE(($D111:$E111))),0)</f>
        <v>280834.76255480677</v>
      </c>
      <c r="W111" s="31" cm="1">
        <f t="array" ref="W111">W$106+IF($C111&lt;&gt;0,SUMPRODUCT((W$107:W$108)*TRANSPOSE(($D111:$E111))),0)</f>
        <v>280834.76255480677</v>
      </c>
      <c r="X111" s="31" cm="1">
        <f t="array" ref="X111">X$106+IF($C111&lt;&gt;0,SUMPRODUCT((X$107:X$108)*TRANSPOSE(($D111:$E111))),0)</f>
        <v>280834.76255480677</v>
      </c>
      <c r="Y111" s="31" cm="1">
        <f t="array" ref="Y111">Y$106+IF($C111&lt;&gt;0,SUMPRODUCT((Y$107:Y$108)*TRANSPOSE(($D111:$E111))),0)</f>
        <v>280834.76255480677</v>
      </c>
      <c r="Z111" s="31" cm="1">
        <f t="array" ref="Z111">Z$106+IF($C111&lt;&gt;0,SUMPRODUCT((Z$107:Z$108)*TRANSPOSE(($D111:$E111))),0)</f>
        <v>280834.76255480677</v>
      </c>
      <c r="AA111" s="31" cm="1">
        <f t="array" ref="AA111">AA$106+IF($C111&lt;&gt;0,SUMPRODUCT((AA$107:AA$108)*TRANSPOSE(($D111:$E111))),0)</f>
        <v>280834.76255480677</v>
      </c>
      <c r="AB111" s="31" cm="1">
        <f t="array" ref="AB111">AB$106+IF($C111&lt;&gt;0,SUMPRODUCT((AB$107:AB$108)*TRANSPOSE(($D111:$E111))),0)</f>
        <v>280834.76255480677</v>
      </c>
      <c r="AC111" s="31" cm="1">
        <f t="array" ref="AC111">AC$106+IF($C111&lt;&gt;0,SUMPRODUCT((AC$107:AC$108)*TRANSPOSE(($D111:$E111))),0)</f>
        <v>280834.76255480677</v>
      </c>
      <c r="AD111" s="31" cm="1">
        <f t="array" ref="AD111">AD$106+IF($C111&lt;&gt;0,SUMPRODUCT((AD$107:AD$108)*TRANSPOSE(($D111:$E111))),0)</f>
        <v>280834.76255480677</v>
      </c>
      <c r="AE111" s="31" cm="1">
        <f t="array" ref="AE111">AE$106+IF($C111&lt;&gt;0,SUMPRODUCT((AE$107:AE$108)*TRANSPOSE(($D111:$E111))),0)</f>
        <v>280834.76255480677</v>
      </c>
      <c r="AF111" s="31" cm="1">
        <f t="array" ref="AF111">AF$106+IF($C111&lt;&gt;0,SUMPRODUCT((AF$107:AF$108)*TRANSPOSE(($D111:$E111))),0)</f>
        <v>280834.76255480677</v>
      </c>
      <c r="AG111" s="31" cm="1">
        <f t="array" ref="AG111">AG$106+IF($C111&lt;&gt;0,SUMPRODUCT((AG$107:AG$108)*TRANSPOSE(($D111:$E111))),0)</f>
        <v>280834.76255480677</v>
      </c>
    </row>
    <row r="112" spans="1:43" x14ac:dyDescent="0.2">
      <c r="A112" s="1" t="str">
        <f>"sens"&amp;Assumptions!B113</f>
        <v>sens3</v>
      </c>
      <c r="C112" s="299" t="str">
        <f>Assumptions!C113</f>
        <v>Total benefits 10% higher</v>
      </c>
      <c r="D112" s="300">
        <f>Assumptions!G113</f>
        <v>0</v>
      </c>
      <c r="E112" s="300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-383703.38609893183</v>
      </c>
      <c r="K112" s="31" cm="1">
        <f t="array" ref="K112">K$106+IF($C112&lt;&gt;0,SUMPRODUCT((K$107:K$108)*TRANSPOSE(($D112:$E112))),0)</f>
        <v>9446001.2862993255</v>
      </c>
      <c r="L112" s="31" cm="1">
        <f t="array" ref="L112">L$106+IF($C112&lt;&gt;0,SUMPRODUCT((L$107:L$108)*TRANSPOSE(($D112:$E112))),0)</f>
        <v>289733.06950534089</v>
      </c>
      <c r="M112" s="31" cm="1">
        <f t="array" ref="M112">M$106+IF($C112&lt;&gt;0,SUMPRODUCT((M$107:M$108)*TRANSPOSE(($D112:$E112))),0)</f>
        <v>289733.06950534089</v>
      </c>
      <c r="N112" s="31" cm="1">
        <f t="array" ref="N112">N$106+IF($C112&lt;&gt;0,SUMPRODUCT((N$107:N$108)*TRANSPOSE(($D112:$E112))),0)</f>
        <v>289733.06950534089</v>
      </c>
      <c r="O112" s="31" cm="1">
        <f t="array" ref="O112">O$106+IF($C112&lt;&gt;0,SUMPRODUCT((O$107:O$108)*TRANSPOSE(($D112:$E112))),0)</f>
        <v>289733.06950534089</v>
      </c>
      <c r="P112" s="31" cm="1">
        <f t="array" ref="P112">P$106+IF($C112&lt;&gt;0,SUMPRODUCT((P$107:P$108)*TRANSPOSE(($D112:$E112))),0)</f>
        <v>289733.06950534089</v>
      </c>
      <c r="Q112" s="31" cm="1">
        <f t="array" ref="Q112">Q$106+IF($C112&lt;&gt;0,SUMPRODUCT((Q$107:Q$108)*TRANSPOSE(($D112:$E112))),0)</f>
        <v>289733.06950534089</v>
      </c>
      <c r="R112" s="31" cm="1">
        <f t="array" ref="R112">R$106+IF($C112&lt;&gt;0,SUMPRODUCT((R$107:R$108)*TRANSPOSE(($D112:$E112))),0)</f>
        <v>289733.06950534089</v>
      </c>
      <c r="S112" s="31" cm="1">
        <f t="array" ref="S112">S$106+IF($C112&lt;&gt;0,SUMPRODUCT((S$107:S$108)*TRANSPOSE(($D112:$E112))),0)</f>
        <v>289733.06950534089</v>
      </c>
      <c r="T112" s="31" cm="1">
        <f t="array" ref="T112">T$106+IF($C112&lt;&gt;0,SUMPRODUCT((T$107:T$108)*TRANSPOSE(($D112:$E112))),0)</f>
        <v>289733.06950534089</v>
      </c>
      <c r="U112" s="31" cm="1">
        <f t="array" ref="U112">U$106+IF($C112&lt;&gt;0,SUMPRODUCT((U$107:U$108)*TRANSPOSE(($D112:$E112))),0)</f>
        <v>289733.06950534089</v>
      </c>
      <c r="V112" s="31" cm="1">
        <f t="array" ref="V112">V$106+IF($C112&lt;&gt;0,SUMPRODUCT((V$107:V$108)*TRANSPOSE(($D112:$E112))),0)</f>
        <v>289733.06950534089</v>
      </c>
      <c r="W112" s="31" cm="1">
        <f t="array" ref="W112">W$106+IF($C112&lt;&gt;0,SUMPRODUCT((W$107:W$108)*TRANSPOSE(($D112:$E112))),0)</f>
        <v>289733.06950534089</v>
      </c>
      <c r="X112" s="31" cm="1">
        <f t="array" ref="X112">X$106+IF($C112&lt;&gt;0,SUMPRODUCT((X$107:X$108)*TRANSPOSE(($D112:$E112))),0)</f>
        <v>289733.06950534089</v>
      </c>
      <c r="Y112" s="31" cm="1">
        <f t="array" ref="Y112">Y$106+IF($C112&lt;&gt;0,SUMPRODUCT((Y$107:Y$108)*TRANSPOSE(($D112:$E112))),0)</f>
        <v>289733.06950534089</v>
      </c>
      <c r="Z112" s="31" cm="1">
        <f t="array" ref="Z112">Z$106+IF($C112&lt;&gt;0,SUMPRODUCT((Z$107:Z$108)*TRANSPOSE(($D112:$E112))),0)</f>
        <v>289733.06950534089</v>
      </c>
      <c r="AA112" s="31" cm="1">
        <f t="array" ref="AA112">AA$106+IF($C112&lt;&gt;0,SUMPRODUCT((AA$107:AA$108)*TRANSPOSE(($D112:$E112))),0)</f>
        <v>289733.06950534089</v>
      </c>
      <c r="AB112" s="31" cm="1">
        <f t="array" ref="AB112">AB$106+IF($C112&lt;&gt;0,SUMPRODUCT((AB$107:AB$108)*TRANSPOSE(($D112:$E112))),0)</f>
        <v>289733.06950534089</v>
      </c>
      <c r="AC112" s="31" cm="1">
        <f t="array" ref="AC112">AC$106+IF($C112&lt;&gt;0,SUMPRODUCT((AC$107:AC$108)*TRANSPOSE(($D112:$E112))),0)</f>
        <v>289733.06950534089</v>
      </c>
      <c r="AD112" s="31" cm="1">
        <f t="array" ref="AD112">AD$106+IF($C112&lt;&gt;0,SUMPRODUCT((AD$107:AD$108)*TRANSPOSE(($D112:$E112))),0)</f>
        <v>289733.06950534089</v>
      </c>
      <c r="AE112" s="31" cm="1">
        <f t="array" ref="AE112">AE$106+IF($C112&lt;&gt;0,SUMPRODUCT((AE$107:AE$108)*TRANSPOSE(($D112:$E112))),0)</f>
        <v>289733.06950534089</v>
      </c>
      <c r="AF112" s="31" cm="1">
        <f t="array" ref="AF112">AF$106+IF($C112&lt;&gt;0,SUMPRODUCT((AF$107:AF$108)*TRANSPOSE(($D112:$E112))),0)</f>
        <v>289733.06950534089</v>
      </c>
      <c r="AG112" s="31" cm="1">
        <f t="array" ref="AG112">AG$106+IF($C112&lt;&gt;0,SUMPRODUCT((AG$107:AG$108)*TRANSPOSE(($D112:$E112))),0)</f>
        <v>289733.06950534089</v>
      </c>
    </row>
    <row r="113" spans="1:33" x14ac:dyDescent="0.2">
      <c r="A113" s="1" t="str">
        <f>"sens"&amp;Assumptions!B114</f>
        <v>sens4</v>
      </c>
      <c r="C113" s="299" t="str">
        <f>Assumptions!C114</f>
        <v>Total benefits 10% lower</v>
      </c>
      <c r="D113" s="300">
        <f>Assumptions!G114</f>
        <v>0</v>
      </c>
      <c r="E113" s="300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-383703.38609893183</v>
      </c>
      <c r="K113" s="31" cm="1">
        <f t="array" ref="K113">K$106+IF($C113&lt;&gt;0,SUMPRODUCT((K$107:K$108)*TRANSPOSE(($D113:$E113))),0)</f>
        <v>7446001.2862993255</v>
      </c>
      <c r="L113" s="31" cm="1">
        <f t="array" ref="L113">L$106+IF($C113&lt;&gt;0,SUMPRODUCT((L$107:L$108)*TRANSPOSE(($D113:$E113))),0)</f>
        <v>-111766.93049465911</v>
      </c>
      <c r="M113" s="31" cm="1">
        <f t="array" ref="M113">M$106+IF($C113&lt;&gt;0,SUMPRODUCT((M$107:M$108)*TRANSPOSE(($D113:$E113))),0)</f>
        <v>-111766.93049465911</v>
      </c>
      <c r="N113" s="31" cm="1">
        <f t="array" ref="N113">N$106+IF($C113&lt;&gt;0,SUMPRODUCT((N$107:N$108)*TRANSPOSE(($D113:$E113))),0)</f>
        <v>-111766.93049465911</v>
      </c>
      <c r="O113" s="31" cm="1">
        <f t="array" ref="O113">O$106+IF($C113&lt;&gt;0,SUMPRODUCT((O$107:O$108)*TRANSPOSE(($D113:$E113))),0)</f>
        <v>-111766.93049465911</v>
      </c>
      <c r="P113" s="31" cm="1">
        <f t="array" ref="P113">P$106+IF($C113&lt;&gt;0,SUMPRODUCT((P$107:P$108)*TRANSPOSE(($D113:$E113))),0)</f>
        <v>-111766.93049465911</v>
      </c>
      <c r="Q113" s="31" cm="1">
        <f t="array" ref="Q113">Q$106+IF($C113&lt;&gt;0,SUMPRODUCT((Q$107:Q$108)*TRANSPOSE(($D113:$E113))),0)</f>
        <v>-111766.93049465911</v>
      </c>
      <c r="R113" s="31" cm="1">
        <f t="array" ref="R113">R$106+IF($C113&lt;&gt;0,SUMPRODUCT((R$107:R$108)*TRANSPOSE(($D113:$E113))),0)</f>
        <v>-111766.93049465911</v>
      </c>
      <c r="S113" s="31" cm="1">
        <f t="array" ref="S113">S$106+IF($C113&lt;&gt;0,SUMPRODUCT((S$107:S$108)*TRANSPOSE(($D113:$E113))),0)</f>
        <v>-111766.93049465911</v>
      </c>
      <c r="T113" s="31" cm="1">
        <f t="array" ref="T113">T$106+IF($C113&lt;&gt;0,SUMPRODUCT((T$107:T$108)*TRANSPOSE(($D113:$E113))),0)</f>
        <v>-111766.93049465911</v>
      </c>
      <c r="U113" s="31" cm="1">
        <f t="array" ref="U113">U$106+IF($C113&lt;&gt;0,SUMPRODUCT((U$107:U$108)*TRANSPOSE(($D113:$E113))),0)</f>
        <v>-111766.93049465911</v>
      </c>
      <c r="V113" s="31" cm="1">
        <f t="array" ref="V113">V$106+IF($C113&lt;&gt;0,SUMPRODUCT((V$107:V$108)*TRANSPOSE(($D113:$E113))),0)</f>
        <v>-111766.93049465911</v>
      </c>
      <c r="W113" s="31" cm="1">
        <f t="array" ref="W113">W$106+IF($C113&lt;&gt;0,SUMPRODUCT((W$107:W$108)*TRANSPOSE(($D113:$E113))),0)</f>
        <v>-111766.93049465911</v>
      </c>
      <c r="X113" s="31" cm="1">
        <f t="array" ref="X113">X$106+IF($C113&lt;&gt;0,SUMPRODUCT((X$107:X$108)*TRANSPOSE(($D113:$E113))),0)</f>
        <v>-111766.93049465911</v>
      </c>
      <c r="Y113" s="31" cm="1">
        <f t="array" ref="Y113">Y$106+IF($C113&lt;&gt;0,SUMPRODUCT((Y$107:Y$108)*TRANSPOSE(($D113:$E113))),0)</f>
        <v>-111766.93049465911</v>
      </c>
      <c r="Z113" s="31" cm="1">
        <f t="array" ref="Z113">Z$106+IF($C113&lt;&gt;0,SUMPRODUCT((Z$107:Z$108)*TRANSPOSE(($D113:$E113))),0)</f>
        <v>-111766.93049465911</v>
      </c>
      <c r="AA113" s="31" cm="1">
        <f t="array" ref="AA113">AA$106+IF($C113&lt;&gt;0,SUMPRODUCT((AA$107:AA$108)*TRANSPOSE(($D113:$E113))),0)</f>
        <v>-111766.93049465911</v>
      </c>
      <c r="AB113" s="31" cm="1">
        <f t="array" ref="AB113">AB$106+IF($C113&lt;&gt;0,SUMPRODUCT((AB$107:AB$108)*TRANSPOSE(($D113:$E113))),0)</f>
        <v>-111766.93049465911</v>
      </c>
      <c r="AC113" s="31" cm="1">
        <f t="array" ref="AC113">AC$106+IF($C113&lt;&gt;0,SUMPRODUCT((AC$107:AC$108)*TRANSPOSE(($D113:$E113))),0)</f>
        <v>-111766.93049465911</v>
      </c>
      <c r="AD113" s="31" cm="1">
        <f t="array" ref="AD113">AD$106+IF($C113&lt;&gt;0,SUMPRODUCT((AD$107:AD$108)*TRANSPOSE(($D113:$E113))),0)</f>
        <v>-111766.93049465911</v>
      </c>
      <c r="AE113" s="31" cm="1">
        <f t="array" ref="AE113">AE$106+IF($C113&lt;&gt;0,SUMPRODUCT((AE$107:AE$108)*TRANSPOSE(($D113:$E113))),0)</f>
        <v>-111766.93049465911</v>
      </c>
      <c r="AF113" s="31" cm="1">
        <f t="array" ref="AF113">AF$106+IF($C113&lt;&gt;0,SUMPRODUCT((AF$107:AF$108)*TRANSPOSE(($D113:$E113))),0)</f>
        <v>-111766.93049465911</v>
      </c>
      <c r="AG113" s="31" cm="1">
        <f t="array" ref="AG113">AG$106+IF($C113&lt;&gt;0,SUMPRODUCT((AG$107:AG$108)*TRANSPOSE(($D113:$E113))),0)</f>
        <v>-111766.93049465911</v>
      </c>
    </row>
    <row r="114" spans="1:33" x14ac:dyDescent="0.2">
      <c r="A114" s="1" t="str">
        <f>"sens"&amp;Assumptions!B115</f>
        <v>sens5</v>
      </c>
      <c r="C114" s="299" t="str">
        <f>Assumptions!C115</f>
        <v>Capex 10% higher &amp; Total benefits 10% lower</v>
      </c>
      <c r="D114" s="300">
        <f>Assumptions!G115</f>
        <v>0.1</v>
      </c>
      <c r="E114" s="300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-422073.724708825</v>
      </c>
      <c r="K114" s="31" cm="1">
        <f t="array" ref="K114">K$106+IF($C114&lt;&gt;0,SUMPRODUCT((K$107:K$108)*TRANSPOSE(($D114:$E114))),0)</f>
        <v>7290601.4149292577</v>
      </c>
      <c r="L114" s="31" cm="1">
        <f t="array" ref="L114">L$106+IF($C114&lt;&gt;0,SUMPRODUCT((L$107:L$108)*TRANSPOSE(($D114:$E114))),0)</f>
        <v>-303618.623544125</v>
      </c>
      <c r="M114" s="31" cm="1">
        <f t="array" ref="M114">M$106+IF($C114&lt;&gt;0,SUMPRODUCT((M$107:M$108)*TRANSPOSE(($D114:$E114))),0)</f>
        <v>-303618.623544125</v>
      </c>
      <c r="N114" s="31" cm="1">
        <f t="array" ref="N114">N$106+IF($C114&lt;&gt;0,SUMPRODUCT((N$107:N$108)*TRANSPOSE(($D114:$E114))),0)</f>
        <v>-303618.623544125</v>
      </c>
      <c r="O114" s="31" cm="1">
        <f t="array" ref="O114">O$106+IF($C114&lt;&gt;0,SUMPRODUCT((O$107:O$108)*TRANSPOSE(($D114:$E114))),0)</f>
        <v>-303618.623544125</v>
      </c>
      <c r="P114" s="31" cm="1">
        <f t="array" ref="P114">P$106+IF($C114&lt;&gt;0,SUMPRODUCT((P$107:P$108)*TRANSPOSE(($D114:$E114))),0)</f>
        <v>-303618.623544125</v>
      </c>
      <c r="Q114" s="31" cm="1">
        <f t="array" ref="Q114">Q$106+IF($C114&lt;&gt;0,SUMPRODUCT((Q$107:Q$108)*TRANSPOSE(($D114:$E114))),0)</f>
        <v>-303618.623544125</v>
      </c>
      <c r="R114" s="31" cm="1">
        <f t="array" ref="R114">R$106+IF($C114&lt;&gt;0,SUMPRODUCT((R$107:R$108)*TRANSPOSE(($D114:$E114))),0)</f>
        <v>-303618.623544125</v>
      </c>
      <c r="S114" s="31" cm="1">
        <f t="array" ref="S114">S$106+IF($C114&lt;&gt;0,SUMPRODUCT((S$107:S$108)*TRANSPOSE(($D114:$E114))),0)</f>
        <v>-303618.623544125</v>
      </c>
      <c r="T114" s="31" cm="1">
        <f t="array" ref="T114">T$106+IF($C114&lt;&gt;0,SUMPRODUCT((T$107:T$108)*TRANSPOSE(($D114:$E114))),0)</f>
        <v>-303618.623544125</v>
      </c>
      <c r="U114" s="31" cm="1">
        <f t="array" ref="U114">U$106+IF($C114&lt;&gt;0,SUMPRODUCT((U$107:U$108)*TRANSPOSE(($D114:$E114))),0)</f>
        <v>-303618.623544125</v>
      </c>
      <c r="V114" s="31" cm="1">
        <f t="array" ref="V114">V$106+IF($C114&lt;&gt;0,SUMPRODUCT((V$107:V$108)*TRANSPOSE(($D114:$E114))),0)</f>
        <v>-303618.623544125</v>
      </c>
      <c r="W114" s="31" cm="1">
        <f t="array" ref="W114">W$106+IF($C114&lt;&gt;0,SUMPRODUCT((W$107:W$108)*TRANSPOSE(($D114:$E114))),0)</f>
        <v>-303618.623544125</v>
      </c>
      <c r="X114" s="31" cm="1">
        <f t="array" ref="X114">X$106+IF($C114&lt;&gt;0,SUMPRODUCT((X$107:X$108)*TRANSPOSE(($D114:$E114))),0)</f>
        <v>-303618.623544125</v>
      </c>
      <c r="Y114" s="31" cm="1">
        <f t="array" ref="Y114">Y$106+IF($C114&lt;&gt;0,SUMPRODUCT((Y$107:Y$108)*TRANSPOSE(($D114:$E114))),0)</f>
        <v>-303618.623544125</v>
      </c>
      <c r="Z114" s="31" cm="1">
        <f t="array" ref="Z114">Z$106+IF($C114&lt;&gt;0,SUMPRODUCT((Z$107:Z$108)*TRANSPOSE(($D114:$E114))),0)</f>
        <v>-303618.623544125</v>
      </c>
      <c r="AA114" s="31" cm="1">
        <f t="array" ref="AA114">AA$106+IF($C114&lt;&gt;0,SUMPRODUCT((AA$107:AA$108)*TRANSPOSE(($D114:$E114))),0)</f>
        <v>-303618.623544125</v>
      </c>
      <c r="AB114" s="31" cm="1">
        <f t="array" ref="AB114">AB$106+IF($C114&lt;&gt;0,SUMPRODUCT((AB$107:AB$108)*TRANSPOSE(($D114:$E114))),0)</f>
        <v>-303618.623544125</v>
      </c>
      <c r="AC114" s="31" cm="1">
        <f t="array" ref="AC114">AC$106+IF($C114&lt;&gt;0,SUMPRODUCT((AC$107:AC$108)*TRANSPOSE(($D114:$E114))),0)</f>
        <v>-303618.623544125</v>
      </c>
      <c r="AD114" s="31" cm="1">
        <f t="array" ref="AD114">AD$106+IF($C114&lt;&gt;0,SUMPRODUCT((AD$107:AD$108)*TRANSPOSE(($D114:$E114))),0)</f>
        <v>-303618.623544125</v>
      </c>
      <c r="AE114" s="31" cm="1">
        <f t="array" ref="AE114">AE$106+IF($C114&lt;&gt;0,SUMPRODUCT((AE$107:AE$108)*TRANSPOSE(($D114:$E114))),0)</f>
        <v>-303618.623544125</v>
      </c>
      <c r="AF114" s="31" cm="1">
        <f t="array" ref="AF114">AF$106+IF($C114&lt;&gt;0,SUMPRODUCT((AF$107:AF$108)*TRANSPOSE(($D114:$E114))),0)</f>
        <v>-303618.623544125</v>
      </c>
      <c r="AG114" s="31" cm="1">
        <f t="array" ref="AG114">AG$106+IF($C114&lt;&gt;0,SUMPRODUCT((AG$107:AG$108)*TRANSPOSE(($D114:$E114))),0)</f>
        <v>-303618.623544125</v>
      </c>
    </row>
    <row r="115" spans="1:33" x14ac:dyDescent="0.2">
      <c r="A115" s="1" t="str">
        <f>"sens"&amp;Assumptions!B116</f>
        <v>sens</v>
      </c>
      <c r="C115" s="299">
        <f>Assumptions!C116</f>
        <v>0</v>
      </c>
      <c r="D115" s="300">
        <f>Assumptions!G116</f>
        <v>0</v>
      </c>
      <c r="E115" s="300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-383703.38609893183</v>
      </c>
      <c r="K115" s="31" cm="1">
        <f t="array" ref="K115">K$106+IF($C115&lt;&gt;0,SUMPRODUCT((K$107:K$108)*TRANSPOSE(($D115:$E115))),0)</f>
        <v>8446001.2862993255</v>
      </c>
      <c r="L115" s="31" cm="1">
        <f t="array" ref="L115">L$106+IF($C115&lt;&gt;0,SUMPRODUCT((L$107:L$108)*TRANSPOSE(($D115:$E115))),0)</f>
        <v>88983.069505340885</v>
      </c>
      <c r="M115" s="31" cm="1">
        <f t="array" ref="M115">M$106+IF($C115&lt;&gt;0,SUMPRODUCT((M$107:M$108)*TRANSPOSE(($D115:$E115))),0)</f>
        <v>88983.069505340885</v>
      </c>
      <c r="N115" s="31" cm="1">
        <f t="array" ref="N115">N$106+IF($C115&lt;&gt;0,SUMPRODUCT((N$107:N$108)*TRANSPOSE(($D115:$E115))),0)</f>
        <v>88983.069505340885</v>
      </c>
      <c r="O115" s="31" cm="1">
        <f t="array" ref="O115">O$106+IF($C115&lt;&gt;0,SUMPRODUCT((O$107:O$108)*TRANSPOSE(($D115:$E115))),0)</f>
        <v>88983.069505340885</v>
      </c>
      <c r="P115" s="31" cm="1">
        <f t="array" ref="P115">P$106+IF($C115&lt;&gt;0,SUMPRODUCT((P$107:P$108)*TRANSPOSE(($D115:$E115))),0)</f>
        <v>88983.069505340885</v>
      </c>
      <c r="Q115" s="31" cm="1">
        <f t="array" ref="Q115">Q$106+IF($C115&lt;&gt;0,SUMPRODUCT((Q$107:Q$108)*TRANSPOSE(($D115:$E115))),0)</f>
        <v>88983.069505340885</v>
      </c>
      <c r="R115" s="31" cm="1">
        <f t="array" ref="R115">R$106+IF($C115&lt;&gt;0,SUMPRODUCT((R$107:R$108)*TRANSPOSE(($D115:$E115))),0)</f>
        <v>88983.069505340885</v>
      </c>
      <c r="S115" s="31" cm="1">
        <f t="array" ref="S115">S$106+IF($C115&lt;&gt;0,SUMPRODUCT((S$107:S$108)*TRANSPOSE(($D115:$E115))),0)</f>
        <v>88983.069505340885</v>
      </c>
      <c r="T115" s="31" cm="1">
        <f t="array" ref="T115">T$106+IF($C115&lt;&gt;0,SUMPRODUCT((T$107:T$108)*TRANSPOSE(($D115:$E115))),0)</f>
        <v>88983.069505340885</v>
      </c>
      <c r="U115" s="31" cm="1">
        <f t="array" ref="U115">U$106+IF($C115&lt;&gt;0,SUMPRODUCT((U$107:U$108)*TRANSPOSE(($D115:$E115))),0)</f>
        <v>88983.069505340885</v>
      </c>
      <c r="V115" s="31" cm="1">
        <f t="array" ref="V115">V$106+IF($C115&lt;&gt;0,SUMPRODUCT((V$107:V$108)*TRANSPOSE(($D115:$E115))),0)</f>
        <v>88983.069505340885</v>
      </c>
      <c r="W115" s="31" cm="1">
        <f t="array" ref="W115">W$106+IF($C115&lt;&gt;0,SUMPRODUCT((W$107:W$108)*TRANSPOSE(($D115:$E115))),0)</f>
        <v>88983.069505340885</v>
      </c>
      <c r="X115" s="31" cm="1">
        <f t="array" ref="X115">X$106+IF($C115&lt;&gt;0,SUMPRODUCT((X$107:X$108)*TRANSPOSE(($D115:$E115))),0)</f>
        <v>88983.069505340885</v>
      </c>
      <c r="Y115" s="31" cm="1">
        <f t="array" ref="Y115">Y$106+IF($C115&lt;&gt;0,SUMPRODUCT((Y$107:Y$108)*TRANSPOSE(($D115:$E115))),0)</f>
        <v>88983.069505340885</v>
      </c>
      <c r="Z115" s="31" cm="1">
        <f t="array" ref="Z115">Z$106+IF($C115&lt;&gt;0,SUMPRODUCT((Z$107:Z$108)*TRANSPOSE(($D115:$E115))),0)</f>
        <v>88983.069505340885</v>
      </c>
      <c r="AA115" s="31" cm="1">
        <f t="array" ref="AA115">AA$106+IF($C115&lt;&gt;0,SUMPRODUCT((AA$107:AA$108)*TRANSPOSE(($D115:$E115))),0)</f>
        <v>88983.069505340885</v>
      </c>
      <c r="AB115" s="31" cm="1">
        <f t="array" ref="AB115">AB$106+IF($C115&lt;&gt;0,SUMPRODUCT((AB$107:AB$108)*TRANSPOSE(($D115:$E115))),0)</f>
        <v>88983.069505340885</v>
      </c>
      <c r="AC115" s="31" cm="1">
        <f t="array" ref="AC115">AC$106+IF($C115&lt;&gt;0,SUMPRODUCT((AC$107:AC$108)*TRANSPOSE(($D115:$E115))),0)</f>
        <v>88983.069505340885</v>
      </c>
      <c r="AD115" s="31" cm="1">
        <f t="array" ref="AD115">AD$106+IF($C115&lt;&gt;0,SUMPRODUCT((AD$107:AD$108)*TRANSPOSE(($D115:$E115))),0)</f>
        <v>88983.069505340885</v>
      </c>
      <c r="AE115" s="31" cm="1">
        <f t="array" ref="AE115">AE$106+IF($C115&lt;&gt;0,SUMPRODUCT((AE$107:AE$108)*TRANSPOSE(($D115:$E115))),0)</f>
        <v>88983.069505340885</v>
      </c>
      <c r="AF115" s="31" cm="1">
        <f t="array" ref="AF115">AF$106+IF($C115&lt;&gt;0,SUMPRODUCT((AF$107:AF$108)*TRANSPOSE(($D115:$E115))),0)</f>
        <v>88983.069505340885</v>
      </c>
      <c r="AG115" s="31" cm="1">
        <f t="array" ref="AG115">AG$106+IF($C115&lt;&gt;0,SUMPRODUCT((AG$107:AG$108)*TRANSPOSE(($D115:$E115))),0)</f>
        <v>88983.069505340885</v>
      </c>
    </row>
    <row r="116" spans="1:33" x14ac:dyDescent="0.2">
      <c r="A116" s="1" t="str">
        <f>"sens"&amp;Assumptions!B117</f>
        <v>sens</v>
      </c>
      <c r="C116" s="299">
        <f>Assumptions!C117</f>
        <v>0</v>
      </c>
      <c r="D116" s="300">
        <f>Assumptions!G117</f>
        <v>0</v>
      </c>
      <c r="E116" s="300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-383703.38609893183</v>
      </c>
      <c r="K116" s="31" cm="1">
        <f t="array" ref="K116">K$106+IF($C116&lt;&gt;0,SUMPRODUCT((K$107:K$108)*TRANSPOSE(($D116:$E116))),0)</f>
        <v>8446001.2862993255</v>
      </c>
      <c r="L116" s="31" cm="1">
        <f t="array" ref="L116">L$106+IF($C116&lt;&gt;0,SUMPRODUCT((L$107:L$108)*TRANSPOSE(($D116:$E116))),0)</f>
        <v>88983.069505340885</v>
      </c>
      <c r="M116" s="31" cm="1">
        <f t="array" ref="M116">M$106+IF($C116&lt;&gt;0,SUMPRODUCT((M$107:M$108)*TRANSPOSE(($D116:$E116))),0)</f>
        <v>88983.069505340885</v>
      </c>
      <c r="N116" s="31" cm="1">
        <f t="array" ref="N116">N$106+IF($C116&lt;&gt;0,SUMPRODUCT((N$107:N$108)*TRANSPOSE(($D116:$E116))),0)</f>
        <v>88983.069505340885</v>
      </c>
      <c r="O116" s="31" cm="1">
        <f t="array" ref="O116">O$106+IF($C116&lt;&gt;0,SUMPRODUCT((O$107:O$108)*TRANSPOSE(($D116:$E116))),0)</f>
        <v>88983.069505340885</v>
      </c>
      <c r="P116" s="31" cm="1">
        <f t="array" ref="P116">P$106+IF($C116&lt;&gt;0,SUMPRODUCT((P$107:P$108)*TRANSPOSE(($D116:$E116))),0)</f>
        <v>88983.069505340885</v>
      </c>
      <c r="Q116" s="31" cm="1">
        <f t="array" ref="Q116">Q$106+IF($C116&lt;&gt;0,SUMPRODUCT((Q$107:Q$108)*TRANSPOSE(($D116:$E116))),0)</f>
        <v>88983.069505340885</v>
      </c>
      <c r="R116" s="31" cm="1">
        <f t="array" ref="R116">R$106+IF($C116&lt;&gt;0,SUMPRODUCT((R$107:R$108)*TRANSPOSE(($D116:$E116))),0)</f>
        <v>88983.069505340885</v>
      </c>
      <c r="S116" s="31" cm="1">
        <f t="array" ref="S116">S$106+IF($C116&lt;&gt;0,SUMPRODUCT((S$107:S$108)*TRANSPOSE(($D116:$E116))),0)</f>
        <v>88983.069505340885</v>
      </c>
      <c r="T116" s="31" cm="1">
        <f t="array" ref="T116">T$106+IF($C116&lt;&gt;0,SUMPRODUCT((T$107:T$108)*TRANSPOSE(($D116:$E116))),0)</f>
        <v>88983.069505340885</v>
      </c>
      <c r="U116" s="31" cm="1">
        <f t="array" ref="U116">U$106+IF($C116&lt;&gt;0,SUMPRODUCT((U$107:U$108)*TRANSPOSE(($D116:$E116))),0)</f>
        <v>88983.069505340885</v>
      </c>
      <c r="V116" s="31" cm="1">
        <f t="array" ref="V116">V$106+IF($C116&lt;&gt;0,SUMPRODUCT((V$107:V$108)*TRANSPOSE(($D116:$E116))),0)</f>
        <v>88983.069505340885</v>
      </c>
      <c r="W116" s="31" cm="1">
        <f t="array" ref="W116">W$106+IF($C116&lt;&gt;0,SUMPRODUCT((W$107:W$108)*TRANSPOSE(($D116:$E116))),0)</f>
        <v>88983.069505340885</v>
      </c>
      <c r="X116" s="31" cm="1">
        <f t="array" ref="X116">X$106+IF($C116&lt;&gt;0,SUMPRODUCT((X$107:X$108)*TRANSPOSE(($D116:$E116))),0)</f>
        <v>88983.069505340885</v>
      </c>
      <c r="Y116" s="31" cm="1">
        <f t="array" ref="Y116">Y$106+IF($C116&lt;&gt;0,SUMPRODUCT((Y$107:Y$108)*TRANSPOSE(($D116:$E116))),0)</f>
        <v>88983.069505340885</v>
      </c>
      <c r="Z116" s="31" cm="1">
        <f t="array" ref="Z116">Z$106+IF($C116&lt;&gt;0,SUMPRODUCT((Z$107:Z$108)*TRANSPOSE(($D116:$E116))),0)</f>
        <v>88983.069505340885</v>
      </c>
      <c r="AA116" s="31" cm="1">
        <f t="array" ref="AA116">AA$106+IF($C116&lt;&gt;0,SUMPRODUCT((AA$107:AA$108)*TRANSPOSE(($D116:$E116))),0)</f>
        <v>88983.069505340885</v>
      </c>
      <c r="AB116" s="31" cm="1">
        <f t="array" ref="AB116">AB$106+IF($C116&lt;&gt;0,SUMPRODUCT((AB$107:AB$108)*TRANSPOSE(($D116:$E116))),0)</f>
        <v>88983.069505340885</v>
      </c>
      <c r="AC116" s="31" cm="1">
        <f t="array" ref="AC116">AC$106+IF($C116&lt;&gt;0,SUMPRODUCT((AC$107:AC$108)*TRANSPOSE(($D116:$E116))),0)</f>
        <v>88983.069505340885</v>
      </c>
      <c r="AD116" s="31" cm="1">
        <f t="array" ref="AD116">AD$106+IF($C116&lt;&gt;0,SUMPRODUCT((AD$107:AD$108)*TRANSPOSE(($D116:$E116))),0)</f>
        <v>88983.069505340885</v>
      </c>
      <c r="AE116" s="31" cm="1">
        <f t="array" ref="AE116">AE$106+IF($C116&lt;&gt;0,SUMPRODUCT((AE$107:AE$108)*TRANSPOSE(($D116:$E116))),0)</f>
        <v>88983.069505340885</v>
      </c>
      <c r="AF116" s="31" cm="1">
        <f t="array" ref="AF116">AF$106+IF($C116&lt;&gt;0,SUMPRODUCT((AF$107:AF$108)*TRANSPOSE(($D116:$E116))),0)</f>
        <v>88983.069505340885</v>
      </c>
      <c r="AG116" s="31" cm="1">
        <f t="array" ref="AG116">AG$106+IF($C116&lt;&gt;0,SUMPRODUCT((AG$107:AG$108)*TRANSPOSE(($D116:$E116))),0)</f>
        <v>88983.069505340885</v>
      </c>
    </row>
    <row r="117" spans="1:33" x14ac:dyDescent="0.2">
      <c r="A117" s="1" t="str">
        <f>"sens"&amp;Assumptions!B118</f>
        <v>sens</v>
      </c>
      <c r="C117" s="299">
        <f>Assumptions!C118</f>
        <v>0</v>
      </c>
      <c r="D117" s="300">
        <f>Assumptions!G118</f>
        <v>0</v>
      </c>
      <c r="E117" s="300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-383703.38609893183</v>
      </c>
      <c r="K117" s="31" cm="1">
        <f t="array" ref="K117">K$106+IF($C117&lt;&gt;0,SUMPRODUCT((K$107:K$108)*TRANSPOSE(($D117:$E117))),0)</f>
        <v>8446001.2862993255</v>
      </c>
      <c r="L117" s="31" cm="1">
        <f t="array" ref="L117">L$106+IF($C117&lt;&gt;0,SUMPRODUCT((L$107:L$108)*TRANSPOSE(($D117:$E117))),0)</f>
        <v>88983.069505340885</v>
      </c>
      <c r="M117" s="31" cm="1">
        <f t="array" ref="M117">M$106+IF($C117&lt;&gt;0,SUMPRODUCT((M$107:M$108)*TRANSPOSE(($D117:$E117))),0)</f>
        <v>88983.069505340885</v>
      </c>
      <c r="N117" s="31" cm="1">
        <f t="array" ref="N117">N$106+IF($C117&lt;&gt;0,SUMPRODUCT((N$107:N$108)*TRANSPOSE(($D117:$E117))),0)</f>
        <v>88983.069505340885</v>
      </c>
      <c r="O117" s="31" cm="1">
        <f t="array" ref="O117">O$106+IF($C117&lt;&gt;0,SUMPRODUCT((O$107:O$108)*TRANSPOSE(($D117:$E117))),0)</f>
        <v>88983.069505340885</v>
      </c>
      <c r="P117" s="31" cm="1">
        <f t="array" ref="P117">P$106+IF($C117&lt;&gt;0,SUMPRODUCT((P$107:P$108)*TRANSPOSE(($D117:$E117))),0)</f>
        <v>88983.069505340885</v>
      </c>
      <c r="Q117" s="31" cm="1">
        <f t="array" ref="Q117">Q$106+IF($C117&lt;&gt;0,SUMPRODUCT((Q$107:Q$108)*TRANSPOSE(($D117:$E117))),0)</f>
        <v>88983.069505340885</v>
      </c>
      <c r="R117" s="31" cm="1">
        <f t="array" ref="R117">R$106+IF($C117&lt;&gt;0,SUMPRODUCT((R$107:R$108)*TRANSPOSE(($D117:$E117))),0)</f>
        <v>88983.069505340885</v>
      </c>
      <c r="S117" s="31" cm="1">
        <f t="array" ref="S117">S$106+IF($C117&lt;&gt;0,SUMPRODUCT((S$107:S$108)*TRANSPOSE(($D117:$E117))),0)</f>
        <v>88983.069505340885</v>
      </c>
      <c r="T117" s="31" cm="1">
        <f t="array" ref="T117">T$106+IF($C117&lt;&gt;0,SUMPRODUCT((T$107:T$108)*TRANSPOSE(($D117:$E117))),0)</f>
        <v>88983.069505340885</v>
      </c>
      <c r="U117" s="31" cm="1">
        <f t="array" ref="U117">U$106+IF($C117&lt;&gt;0,SUMPRODUCT((U$107:U$108)*TRANSPOSE(($D117:$E117))),0)</f>
        <v>88983.069505340885</v>
      </c>
      <c r="V117" s="31" cm="1">
        <f t="array" ref="V117">V$106+IF($C117&lt;&gt;0,SUMPRODUCT((V$107:V$108)*TRANSPOSE(($D117:$E117))),0)</f>
        <v>88983.069505340885</v>
      </c>
      <c r="W117" s="31" cm="1">
        <f t="array" ref="W117">W$106+IF($C117&lt;&gt;0,SUMPRODUCT((W$107:W$108)*TRANSPOSE(($D117:$E117))),0)</f>
        <v>88983.069505340885</v>
      </c>
      <c r="X117" s="31" cm="1">
        <f t="array" ref="X117">X$106+IF($C117&lt;&gt;0,SUMPRODUCT((X$107:X$108)*TRANSPOSE(($D117:$E117))),0)</f>
        <v>88983.069505340885</v>
      </c>
      <c r="Y117" s="31" cm="1">
        <f t="array" ref="Y117">Y$106+IF($C117&lt;&gt;0,SUMPRODUCT((Y$107:Y$108)*TRANSPOSE(($D117:$E117))),0)</f>
        <v>88983.069505340885</v>
      </c>
      <c r="Z117" s="31" cm="1">
        <f t="array" ref="Z117">Z$106+IF($C117&lt;&gt;0,SUMPRODUCT((Z$107:Z$108)*TRANSPOSE(($D117:$E117))),0)</f>
        <v>88983.069505340885</v>
      </c>
      <c r="AA117" s="31" cm="1">
        <f t="array" ref="AA117">AA$106+IF($C117&lt;&gt;0,SUMPRODUCT((AA$107:AA$108)*TRANSPOSE(($D117:$E117))),0)</f>
        <v>88983.069505340885</v>
      </c>
      <c r="AB117" s="31" cm="1">
        <f t="array" ref="AB117">AB$106+IF($C117&lt;&gt;0,SUMPRODUCT((AB$107:AB$108)*TRANSPOSE(($D117:$E117))),0)</f>
        <v>88983.069505340885</v>
      </c>
      <c r="AC117" s="31" cm="1">
        <f t="array" ref="AC117">AC$106+IF($C117&lt;&gt;0,SUMPRODUCT((AC$107:AC$108)*TRANSPOSE(($D117:$E117))),0)</f>
        <v>88983.069505340885</v>
      </c>
      <c r="AD117" s="31" cm="1">
        <f t="array" ref="AD117">AD$106+IF($C117&lt;&gt;0,SUMPRODUCT((AD$107:AD$108)*TRANSPOSE(($D117:$E117))),0)</f>
        <v>88983.069505340885</v>
      </c>
      <c r="AE117" s="31" cm="1">
        <f t="array" ref="AE117">AE$106+IF($C117&lt;&gt;0,SUMPRODUCT((AE$107:AE$108)*TRANSPOSE(($D117:$E117))),0)</f>
        <v>88983.069505340885</v>
      </c>
      <c r="AF117" s="31" cm="1">
        <f t="array" ref="AF117">AF$106+IF($C117&lt;&gt;0,SUMPRODUCT((AF$107:AF$108)*TRANSPOSE(($D117:$E117))),0)</f>
        <v>88983.069505340885</v>
      </c>
      <c r="AG117" s="31" cm="1">
        <f t="array" ref="AG117">AG$106+IF($C117&lt;&gt;0,SUMPRODUCT((AG$107:AG$108)*TRANSPOSE(($D117:$E117))),0)</f>
        <v>88983.069505340885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REFCL WIN compliance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2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192</v>
      </c>
      <c r="B5" s="116"/>
      <c r="C5" s="117"/>
      <c r="D5" s="116"/>
      <c r="E5" s="116"/>
      <c r="F5" s="116"/>
      <c r="G5" s="101"/>
      <c r="H5" s="187">
        <f t="shared" ref="H5:AG5" si="0">IF(H9=start,1/((1+real_disc)^(1/2)),G5/(1+real_disc))</f>
        <v>0</v>
      </c>
      <c r="I5" s="187">
        <f t="shared" si="0"/>
        <v>0.98294637436598087</v>
      </c>
      <c r="J5" s="187">
        <f t="shared" si="0"/>
        <v>0.94970664189949849</v>
      </c>
      <c r="K5" s="187">
        <f t="shared" si="0"/>
        <v>0.91759095835700344</v>
      </c>
      <c r="L5" s="187">
        <f t="shared" si="0"/>
        <v>0.88656131242222558</v>
      </c>
      <c r="M5" s="187">
        <f t="shared" si="0"/>
        <v>0.85658097818572532</v>
      </c>
      <c r="N5" s="187">
        <f t="shared" si="0"/>
        <v>0.8276144716770294</v>
      </c>
      <c r="O5" s="187">
        <f t="shared" si="0"/>
        <v>0.79962750886669509</v>
      </c>
      <c r="P5" s="187">
        <f t="shared" si="0"/>
        <v>0.77258696508859437</v>
      </c>
      <c r="Q5" s="187">
        <f t="shared" si="0"/>
        <v>0.74646083583439071</v>
      </c>
      <c r="R5" s="187">
        <f t="shared" si="0"/>
        <v>0.72121819887380756</v>
      </c>
      <c r="S5" s="187">
        <f t="shared" si="0"/>
        <v>0.69682917765585273</v>
      </c>
      <c r="T5" s="187">
        <f t="shared" si="0"/>
        <v>0.67326490594768384</v>
      </c>
      <c r="U5" s="187">
        <f t="shared" si="0"/>
        <v>0.6504974936692598</v>
      </c>
      <c r="V5" s="187">
        <f t="shared" si="0"/>
        <v>0.62849999388334288</v>
      </c>
      <c r="W5" s="187">
        <f t="shared" si="0"/>
        <v>0.60724637090178057</v>
      </c>
      <c r="X5" s="187">
        <f t="shared" si="0"/>
        <v>0.58671146947031949</v>
      </c>
      <c r="Y5" s="187">
        <f t="shared" si="0"/>
        <v>0.56687098499547783</v>
      </c>
      <c r="Z5" s="187">
        <f t="shared" si="0"/>
        <v>0.54770143477823952</v>
      </c>
      <c r="AA5" s="187">
        <f t="shared" si="0"/>
        <v>0.52918013022052135</v>
      </c>
      <c r="AB5" s="187">
        <f t="shared" si="0"/>
        <v>0.5112851499715183</v>
      </c>
      <c r="AC5" s="187">
        <f t="shared" si="0"/>
        <v>0.4939953139821433</v>
      </c>
      <c r="AD5" s="187">
        <f t="shared" si="0"/>
        <v>0.47729015843685346</v>
      </c>
      <c r="AE5" s="187">
        <f t="shared" si="0"/>
        <v>0.46114991153319179</v>
      </c>
      <c r="AF5" s="187">
        <f t="shared" si="0"/>
        <v>0.4455554700803786</v>
      </c>
      <c r="AG5" s="187">
        <f t="shared" si="0"/>
        <v>0.43048837688925473</v>
      </c>
    </row>
    <row r="6" spans="1:34" s="2" customFormat="1" hidden="1" outlineLevel="1" x14ac:dyDescent="0.2">
      <c r="A6" s="188" t="str">
        <f>'Option1 (base case)'!A6</f>
        <v>Count</v>
      </c>
      <c r="B6" s="116"/>
      <c r="C6" s="117"/>
      <c r="D6" s="116"/>
      <c r="E6" s="116"/>
      <c r="F6" s="116"/>
      <c r="G6" s="101"/>
      <c r="H6" s="188">
        <f>'Option1 (base case)'!H6</f>
        <v>0</v>
      </c>
      <c r="I6" s="188">
        <f>'Option1 (base case)'!I6</f>
        <v>1</v>
      </c>
      <c r="J6" s="188">
        <f>'Option1 (base case)'!J6</f>
        <v>2</v>
      </c>
      <c r="K6" s="188">
        <f>'Option1 (base case)'!K6</f>
        <v>3</v>
      </c>
      <c r="L6" s="188">
        <f>'Option1 (base case)'!L6</f>
        <v>4</v>
      </c>
      <c r="M6" s="188">
        <f>'Option1 (base case)'!M6</f>
        <v>5</v>
      </c>
      <c r="N6" s="188">
        <f>'Option1 (base case)'!N6</f>
        <v>6</v>
      </c>
      <c r="O6" s="188">
        <f>'Option1 (base case)'!O6</f>
        <v>7</v>
      </c>
      <c r="P6" s="188">
        <f>'Option1 (base case)'!P6</f>
        <v>8</v>
      </c>
      <c r="Q6" s="188">
        <f>'Option1 (base case)'!Q6</f>
        <v>9</v>
      </c>
      <c r="R6" s="188">
        <f>'Option1 (base case)'!R6</f>
        <v>10</v>
      </c>
      <c r="S6" s="188">
        <f>'Option1 (base case)'!S6</f>
        <v>11</v>
      </c>
      <c r="T6" s="188">
        <f>'Option1 (base case)'!T6</f>
        <v>12</v>
      </c>
      <c r="U6" s="188">
        <f>'Option1 (base case)'!U6</f>
        <v>13</v>
      </c>
      <c r="V6" s="188">
        <f>'Option1 (base case)'!V6</f>
        <v>14</v>
      </c>
      <c r="W6" s="188">
        <f>'Option1 (base case)'!W6</f>
        <v>15</v>
      </c>
      <c r="X6" s="188">
        <f>'Option1 (base case)'!X6</f>
        <v>16</v>
      </c>
      <c r="Y6" s="188">
        <f>'Option1 (base case)'!Y6</f>
        <v>17</v>
      </c>
      <c r="Z6" s="188">
        <f>'Option1 (base case)'!Z6</f>
        <v>18</v>
      </c>
      <c r="AA6" s="188">
        <f>'Option1 (base case)'!AA6</f>
        <v>19</v>
      </c>
      <c r="AB6" s="188">
        <f>'Option1 (base case)'!AB6</f>
        <v>20</v>
      </c>
      <c r="AC6" s="188">
        <f>'Option1 (base case)'!AC6</f>
        <v>21</v>
      </c>
      <c r="AD6" s="188">
        <f>'Option1 (base case)'!AD6</f>
        <v>22</v>
      </c>
      <c r="AE6" s="188">
        <f>'Option1 (base case)'!AE6</f>
        <v>23</v>
      </c>
      <c r="AF6" s="188">
        <f>'Option1 (base case)'!AF6</f>
        <v>24</v>
      </c>
      <c r="AG6" s="188">
        <f>'Option1 (base case)'!AG6</f>
        <v>25</v>
      </c>
    </row>
    <row r="7" spans="1:34" s="2" customFormat="1" hidden="1" outlineLevel="1" x14ac:dyDescent="0.2">
      <c r="A7" s="116" t="s">
        <v>193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0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8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0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152</v>
      </c>
      <c r="G11" s="221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3"/>
      <c r="H12" s="118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</row>
    <row r="13" spans="1:34" s="2" customFormat="1" x14ac:dyDescent="0.2">
      <c r="A13" s="123"/>
      <c r="B13" s="123"/>
      <c r="C13" s="123"/>
      <c r="D13" s="118"/>
      <c r="F13" s="118"/>
      <c r="G13" s="220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69" customFormat="1" x14ac:dyDescent="0.2">
      <c r="A14" s="267" t="str">
        <f>A15</f>
        <v>Option 1 (base case)</v>
      </c>
      <c r="B14" s="267"/>
      <c r="C14" s="267" t="s">
        <v>124</v>
      </c>
      <c r="D14" s="268" t="str">
        <f t="shared" ref="D14:D25" si="2">A14&amp;C14</f>
        <v>Option 1 (base case)Energy at risk value</v>
      </c>
      <c r="F14" s="97">
        <f>SUMPRODUCT($H14:$AG14, $H$5:$AG$5)</f>
        <v>0</v>
      </c>
      <c r="G14" s="270">
        <f>output_dollars</f>
        <v>46203</v>
      </c>
      <c r="H14" s="271"/>
      <c r="I14" s="31">
        <f>'Option1 (base case)'!I$28*conv_2026</f>
        <v>0</v>
      </c>
      <c r="J14" s="31">
        <f>'Option1 (base case)'!J$28*conv_2026</f>
        <v>0</v>
      </c>
      <c r="K14" s="31">
        <f>'Option1 (base case)'!K$28*conv_2026</f>
        <v>0</v>
      </c>
      <c r="L14" s="31">
        <f>'Option1 (base case)'!L$28*conv_2026</f>
        <v>0</v>
      </c>
      <c r="M14" s="31">
        <f>'Option1 (base case)'!M$28*conv_2026</f>
        <v>0</v>
      </c>
      <c r="N14" s="31">
        <f>'Option1 (base case)'!N$28*conv_2026</f>
        <v>0</v>
      </c>
      <c r="O14" s="31">
        <f>'Option1 (base case)'!O$28*conv_2026</f>
        <v>0</v>
      </c>
      <c r="P14" s="31">
        <f>'Option1 (base case)'!P$28*conv_2026</f>
        <v>0</v>
      </c>
      <c r="Q14" s="31">
        <f>'Option1 (base case)'!Q$28*conv_2026</f>
        <v>0</v>
      </c>
      <c r="R14" s="31">
        <f>'Option1 (base case)'!R$28*conv_2026</f>
        <v>0</v>
      </c>
      <c r="S14" s="31">
        <f>'Option1 (base case)'!S$28*conv_2026</f>
        <v>0</v>
      </c>
      <c r="T14" s="31">
        <f>'Option1 (base case)'!T$28*conv_2026</f>
        <v>0</v>
      </c>
      <c r="U14" s="31">
        <f>'Option1 (base case)'!U$28*conv_2026</f>
        <v>0</v>
      </c>
      <c r="V14" s="31">
        <f>'Option1 (base case)'!V$28*conv_2026</f>
        <v>0</v>
      </c>
      <c r="W14" s="31">
        <f>'Option1 (base case)'!W$28*conv_2026</f>
        <v>0</v>
      </c>
      <c r="X14" s="31">
        <f>'Option1 (base case)'!X$28*conv_2026</f>
        <v>0</v>
      </c>
      <c r="Y14" s="31">
        <f>'Option1 (base case)'!Y$28*conv_2026</f>
        <v>0</v>
      </c>
      <c r="Z14" s="31">
        <f>'Option1 (base case)'!Z$28*conv_2026</f>
        <v>0</v>
      </c>
      <c r="AA14" s="31">
        <f>'Option1 (base case)'!AA$28*conv_2026</f>
        <v>0</v>
      </c>
      <c r="AB14" s="31">
        <f>'Option1 (base case)'!AB$28*conv_2026</f>
        <v>0</v>
      </c>
      <c r="AC14" s="31">
        <f>'Option1 (base case)'!AC$28*conv_2026</f>
        <v>0</v>
      </c>
      <c r="AD14" s="31">
        <f>'Option1 (base case)'!AD$28*conv_2026</f>
        <v>0</v>
      </c>
      <c r="AE14" s="31">
        <f>'Option1 (base case)'!AE$28*conv_2026</f>
        <v>0</v>
      </c>
      <c r="AF14" s="31">
        <f>'Option1 (base case)'!AF$28*conv_2026</f>
        <v>0</v>
      </c>
      <c r="AG14" s="31">
        <f>'Option1 (base case)'!AG$28*conv_2026</f>
        <v>0</v>
      </c>
    </row>
    <row r="15" spans="1:34" s="1" customFormat="1" x14ac:dyDescent="0.2">
      <c r="A15" s="134" t="str">
        <f>Data!B9</f>
        <v>Option 1 (base case)</v>
      </c>
      <c r="B15" s="134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4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4" t="str">
        <f t="shared" ref="A16:A25" si="3">A15</f>
        <v>Option 1 (base case)</v>
      </c>
      <c r="B16" s="134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36147903.431442849</v>
      </c>
      <c r="G16" s="224">
        <f>output_dollars</f>
        <v>46203</v>
      </c>
      <c r="H16" s="31"/>
      <c r="I16" s="31">
        <f>'Option1 (base case)'!I$36*conv_2026</f>
        <v>0</v>
      </c>
      <c r="J16" s="31">
        <f>'Option1 (base case)'!J$36*conv_2026</f>
        <v>0</v>
      </c>
      <c r="K16" s="31">
        <f>'Option1 (base case)'!K$36*conv_2026</f>
        <v>11129126.464165969</v>
      </c>
      <c r="L16" s="31">
        <f>'Option1 (base case)'!L$36*conv_2026</f>
        <v>2234172.137681318</v>
      </c>
      <c r="M16" s="31">
        <f>'Option1 (base case)'!M$36*conv_2026</f>
        <v>2234172.137681318</v>
      </c>
      <c r="N16" s="31">
        <f>'Option1 (base case)'!N$36*conv_2026</f>
        <v>2234172.137681318</v>
      </c>
      <c r="O16" s="31">
        <f>'Option1 (base case)'!O$36*conv_2026</f>
        <v>2234172.137681318</v>
      </c>
      <c r="P16" s="31">
        <f>'Option1 (base case)'!P$36*conv_2026</f>
        <v>2234172.137681318</v>
      </c>
      <c r="Q16" s="31">
        <f>'Option1 (base case)'!Q$36*conv_2026</f>
        <v>2234172.137681318</v>
      </c>
      <c r="R16" s="31">
        <f>'Option1 (base case)'!R$36*conv_2026</f>
        <v>2234172.137681318</v>
      </c>
      <c r="S16" s="31">
        <f>'Option1 (base case)'!S$36*conv_2026</f>
        <v>2234172.137681318</v>
      </c>
      <c r="T16" s="31">
        <f>'Option1 (base case)'!T$36*conv_2026</f>
        <v>2234172.137681318</v>
      </c>
      <c r="U16" s="31">
        <f>'Option1 (base case)'!U$36*conv_2026</f>
        <v>2234172.137681318</v>
      </c>
      <c r="V16" s="31">
        <f>'Option1 (base case)'!V$36*conv_2026</f>
        <v>2234172.137681318</v>
      </c>
      <c r="W16" s="31">
        <f>'Option1 (base case)'!W$36*conv_2026</f>
        <v>2234172.137681318</v>
      </c>
      <c r="X16" s="31">
        <f>'Option1 (base case)'!X$36*conv_2026</f>
        <v>2234172.137681318</v>
      </c>
      <c r="Y16" s="31">
        <f>'Option1 (base case)'!Y$36*conv_2026</f>
        <v>2234172.137681318</v>
      </c>
      <c r="Z16" s="31">
        <f>'Option1 (base case)'!Z$36*conv_2026</f>
        <v>2234172.137681318</v>
      </c>
      <c r="AA16" s="31">
        <f>'Option1 (base case)'!AA$36*conv_2026</f>
        <v>2234172.137681318</v>
      </c>
      <c r="AB16" s="31">
        <f>'Option1 (base case)'!AB$36*conv_2026</f>
        <v>2234172.137681318</v>
      </c>
      <c r="AC16" s="31">
        <f>'Option1 (base case)'!AC$36*conv_2026</f>
        <v>2234172.137681318</v>
      </c>
      <c r="AD16" s="31">
        <f>'Option1 (base case)'!AD$36*conv_2026</f>
        <v>2234172.137681318</v>
      </c>
      <c r="AE16" s="31">
        <f>'Option1 (base case)'!AE$36*conv_2026</f>
        <v>2234172.137681318</v>
      </c>
      <c r="AF16" s="31">
        <f>'Option1 (base case)'!AF$36*conv_2026</f>
        <v>2234172.137681318</v>
      </c>
      <c r="AG16" s="31">
        <f>'Option1 (base case)'!AG$36*conv_2026</f>
        <v>2234172.137681318</v>
      </c>
    </row>
    <row r="17" spans="1:33" s="1" customFormat="1" x14ac:dyDescent="0.2">
      <c r="A17" s="134" t="str">
        <f t="shared" si="3"/>
        <v>Option 1 (base case)</v>
      </c>
      <c r="B17" s="134"/>
      <c r="C17" s="75"/>
      <c r="D17" s="38" t="str">
        <f t="shared" si="2"/>
        <v>Option 1 (base case)</v>
      </c>
      <c r="F17"/>
      <c r="G17" s="225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4" t="str">
        <f t="shared" si="3"/>
        <v>Option 1 (base case)</v>
      </c>
      <c r="B18" s="134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4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4" t="str">
        <f t="shared" si="3"/>
        <v>Option 1 (base case)</v>
      </c>
      <c r="B19" s="134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4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4" t="str">
        <f t="shared" si="3"/>
        <v>Option 1 (base case)</v>
      </c>
      <c r="B20" s="134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4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4" t="str">
        <f t="shared" si="3"/>
        <v>Option 1 (base case)</v>
      </c>
      <c r="B21" s="134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4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4" t="str">
        <f t="shared" si="3"/>
        <v>Option 1 (base case)</v>
      </c>
      <c r="B22" s="134"/>
      <c r="C22" s="143" t="str">
        <f>'Option1 (base case)'!C$87</f>
        <v>Net benefits</v>
      </c>
      <c r="D22" s="109" t="str">
        <f t="shared" si="2"/>
        <v>Option 1 (base case)Net benefits</v>
      </c>
      <c r="E22" s="110"/>
      <c r="F22" s="142"/>
      <c r="G22" s="226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4" t="str">
        <f t="shared" si="3"/>
        <v>Option 1 (base case)</v>
      </c>
      <c r="B23" s="134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4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4" t="str">
        <f t="shared" si="3"/>
        <v>Option 1 (base case)</v>
      </c>
      <c r="B24" s="134"/>
      <c r="C24" s="8" t="s">
        <v>187</v>
      </c>
      <c r="D24" s="38" t="str">
        <f t="shared" si="2"/>
        <v>Option 1 (base case)PV of costs</v>
      </c>
      <c r="F24" s="108">
        <f>SUM(F18:F19)</f>
        <v>0</v>
      </c>
      <c r="G24" s="224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4" t="str">
        <f t="shared" si="3"/>
        <v>Option 1 (base case)</v>
      </c>
      <c r="B25" s="134"/>
      <c r="C25" s="8" t="s">
        <v>188</v>
      </c>
      <c r="D25" s="38" t="str">
        <f t="shared" si="2"/>
        <v>Option 1 (base case)PV of benefits</v>
      </c>
      <c r="F25" s="108">
        <f>SUM(F20:F21)</f>
        <v>0</v>
      </c>
      <c r="G25" s="224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7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0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69" customFormat="1" x14ac:dyDescent="0.2">
      <c r="A28" s="267" t="str">
        <f>A29</f>
        <v>Option 2</v>
      </c>
      <c r="B28" s="267"/>
      <c r="C28" s="267" t="s">
        <v>124</v>
      </c>
      <c r="D28" s="268" t="str">
        <f t="shared" si="6"/>
        <v>Option 2Energy at risk value</v>
      </c>
      <c r="F28" s="97">
        <f>SUMPRODUCT($H28:$AG28, $H$5:$AG$5)</f>
        <v>0</v>
      </c>
      <c r="G28" s="270">
        <f>output_dollars</f>
        <v>46203</v>
      </c>
      <c r="H28" s="271"/>
      <c r="I28" s="31">
        <f>Option2!I$28*conv_2026</f>
        <v>0</v>
      </c>
      <c r="J28" s="31">
        <f>Option2!J$28*conv_2026</f>
        <v>0</v>
      </c>
      <c r="K28" s="31">
        <f>Option2!K$28*conv_2026</f>
        <v>0</v>
      </c>
      <c r="L28" s="31">
        <f>Option2!L$28*conv_2026</f>
        <v>0</v>
      </c>
      <c r="M28" s="31">
        <f>Option2!M$28*conv_2026</f>
        <v>0</v>
      </c>
      <c r="N28" s="31">
        <f>Option2!N$28*conv_2026</f>
        <v>0</v>
      </c>
      <c r="O28" s="31">
        <f>Option2!O$28*conv_2026</f>
        <v>0</v>
      </c>
      <c r="P28" s="31">
        <f>Option2!P$28*conv_2026</f>
        <v>0</v>
      </c>
      <c r="Q28" s="31">
        <f>Option2!Q$28*conv_2026</f>
        <v>0</v>
      </c>
      <c r="R28" s="31">
        <f>Option2!R$28*conv_2026</f>
        <v>0</v>
      </c>
      <c r="S28" s="31">
        <f>Option2!S$28*conv_2026</f>
        <v>0</v>
      </c>
      <c r="T28" s="31">
        <f>Option2!T$28*conv_2026</f>
        <v>0</v>
      </c>
      <c r="U28" s="31">
        <f>Option2!U$28*conv_2026</f>
        <v>0</v>
      </c>
      <c r="V28" s="31">
        <f>Option2!V$28*conv_2026</f>
        <v>0</v>
      </c>
      <c r="W28" s="31">
        <f>Option2!W$28*conv_2026</f>
        <v>0</v>
      </c>
      <c r="X28" s="31">
        <f>Option2!X$28*conv_2026</f>
        <v>0</v>
      </c>
      <c r="Y28" s="31">
        <f>Option2!Y$28*conv_2026</f>
        <v>0</v>
      </c>
      <c r="Z28" s="31">
        <f>Option2!Z$28*conv_2026</f>
        <v>0</v>
      </c>
      <c r="AA28" s="31">
        <f>Option2!AA$28*conv_2026</f>
        <v>0</v>
      </c>
      <c r="AB28" s="31">
        <f>Option2!AB$28*conv_2026</f>
        <v>0</v>
      </c>
      <c r="AC28" s="31">
        <f>Option2!AC$28*conv_2026</f>
        <v>0</v>
      </c>
      <c r="AD28" s="31">
        <f>Option2!AD$28*conv_2026</f>
        <v>0</v>
      </c>
      <c r="AE28" s="31">
        <f>Option2!AE$28*conv_2026</f>
        <v>0</v>
      </c>
      <c r="AF28" s="31">
        <f>Option2!AF$28*conv_2026</f>
        <v>0</v>
      </c>
      <c r="AG28" s="31">
        <f>Option2!AG$28*conv_2026</f>
        <v>0</v>
      </c>
    </row>
    <row r="29" spans="1:33" s="2" customFormat="1" x14ac:dyDescent="0.2">
      <c r="A29" s="134" t="str">
        <f>Data!B10</f>
        <v>Option 2</v>
      </c>
      <c r="B29" s="134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-5144340.9581086617</v>
      </c>
      <c r="G29" s="224">
        <f>output_dollars</f>
        <v>46203</v>
      </c>
      <c r="H29" s="31"/>
      <c r="I29" s="31">
        <f>SUM(Option2!I$67:I$69)*conv_2026*I$7</f>
        <v>-2136792.2811198658</v>
      </c>
      <c r="J29" s="31">
        <f>SUM(Option2!J$67:J$69)*conv_2026*J$7</f>
        <v>-3205188.421679799</v>
      </c>
      <c r="K29" s="31">
        <f>SUM(Option2!K$67:K$69)*conv_2026*K$7</f>
        <v>0</v>
      </c>
      <c r="L29" s="31">
        <f>SUM(Option2!L$67:L$69)*conv_2026*L$7</f>
        <v>0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4" t="str">
        <f t="shared" ref="A30:A39" si="7">A29</f>
        <v>Option 2</v>
      </c>
      <c r="B30" s="134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0</v>
      </c>
      <c r="G30" s="224">
        <f>output_dollars</f>
        <v>46203</v>
      </c>
      <c r="H30" s="31"/>
      <c r="I30" s="31">
        <f>Option2!I$36*conv_2026*I$7</f>
        <v>0</v>
      </c>
      <c r="J30" s="31">
        <f>Option2!J$36*conv_2026*J$7</f>
        <v>0</v>
      </c>
      <c r="K30" s="31">
        <f>Option2!K$36*conv_2026*K$7</f>
        <v>0</v>
      </c>
      <c r="L30" s="31">
        <f>Option2!L$36*conv_2026*L$7</f>
        <v>0</v>
      </c>
      <c r="M30" s="31">
        <f>Option2!M$36*conv_2026*M$7</f>
        <v>0</v>
      </c>
      <c r="N30" s="31">
        <f>Option2!N$36*conv_2026*N$7</f>
        <v>0</v>
      </c>
      <c r="O30" s="31">
        <f>Option2!O$36*conv_2026*O$7</f>
        <v>0</v>
      </c>
      <c r="P30" s="31">
        <f>Option2!P$36*conv_2026*P$7</f>
        <v>0</v>
      </c>
      <c r="Q30" s="31">
        <f>Option2!Q$36*conv_2026*Q$7</f>
        <v>0</v>
      </c>
      <c r="R30" s="31">
        <f>Option2!R$36*conv_2026*R$7</f>
        <v>0</v>
      </c>
      <c r="S30" s="31">
        <f>Option2!S$36*conv_2026*S$7</f>
        <v>0</v>
      </c>
      <c r="T30" s="31">
        <f>Option2!T$36*conv_2026*T$7</f>
        <v>0</v>
      </c>
      <c r="U30" s="31">
        <f>Option2!U$36*conv_2026*U$7</f>
        <v>0</v>
      </c>
      <c r="V30" s="31">
        <f>Option2!V$36*conv_2026*V$7</f>
        <v>0</v>
      </c>
      <c r="W30" s="31">
        <f>Option2!W$36*conv_2026*W$7</f>
        <v>0</v>
      </c>
      <c r="X30" s="31">
        <f>Option2!X$36*conv_2026*X$7</f>
        <v>0</v>
      </c>
      <c r="Y30" s="31">
        <f>Option2!Y$36*conv_2026*Y$7</f>
        <v>0</v>
      </c>
      <c r="Z30" s="31">
        <f>Option2!Z$36*conv_2026*Z$7</f>
        <v>0</v>
      </c>
      <c r="AA30" s="31">
        <f>Option2!AA$36*conv_2026*AA$7</f>
        <v>0</v>
      </c>
      <c r="AB30" s="31">
        <f>Option2!AB$36*conv_2026*AB$7</f>
        <v>0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4" t="str">
        <f t="shared" si="7"/>
        <v>Option 2</v>
      </c>
      <c r="B31" s="134"/>
      <c r="C31" s="75"/>
      <c r="D31" s="38" t="str">
        <f t="shared" si="6"/>
        <v>Option 2</v>
      </c>
      <c r="E31" s="1"/>
      <c r="F31" s="97"/>
      <c r="G31" s="225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4" t="str">
        <f t="shared" si="7"/>
        <v>Option 2</v>
      </c>
      <c r="B32" s="134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-2939369.5990237528</v>
      </c>
      <c r="G32" s="224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-91099.381517305927</v>
      </c>
      <c r="K32" s="31">
        <f>Option2!K$82*conv_2026*K$7</f>
        <v>-227748.45379326478</v>
      </c>
      <c r="L32" s="31">
        <f>Option2!L$82*conv_2026*L$7</f>
        <v>-227748.45379326478</v>
      </c>
      <c r="M32" s="31">
        <f>Option2!M$82*conv_2026*M$7</f>
        <v>-227748.45379326478</v>
      </c>
      <c r="N32" s="31">
        <f>Option2!N$82*conv_2026*N$7</f>
        <v>-227748.45379326478</v>
      </c>
      <c r="O32" s="31">
        <f>Option2!O$82*conv_2026*O$7</f>
        <v>-227748.45379326478</v>
      </c>
      <c r="P32" s="31">
        <f>Option2!P$82*conv_2026*P$7</f>
        <v>-227748.45379326478</v>
      </c>
      <c r="Q32" s="31">
        <f>Option2!Q$82*conv_2026*Q$7</f>
        <v>-227748.45379326478</v>
      </c>
      <c r="R32" s="31">
        <f>Option2!R$82*conv_2026*R$7</f>
        <v>-227748.45379326478</v>
      </c>
      <c r="S32" s="31">
        <f>Option2!S$82*conv_2026*S$7</f>
        <v>-227748.45379326478</v>
      </c>
      <c r="T32" s="31">
        <f>Option2!T$82*conv_2026*T$7</f>
        <v>-227748.45379326478</v>
      </c>
      <c r="U32" s="31">
        <f>Option2!U$82*conv_2026*U$7</f>
        <v>-227748.45379326478</v>
      </c>
      <c r="V32" s="31">
        <f>Option2!V$82*conv_2026*V$7</f>
        <v>-227748.45379326478</v>
      </c>
      <c r="W32" s="31">
        <f>Option2!W$82*conv_2026*W$7</f>
        <v>-227748.45379326478</v>
      </c>
      <c r="X32" s="31">
        <f>Option2!X$82*conv_2026*X$7</f>
        <v>-227748.45379326478</v>
      </c>
      <c r="Y32" s="31">
        <f>Option2!Y$82*conv_2026*Y$7</f>
        <v>-227748.45379326478</v>
      </c>
      <c r="Z32" s="31">
        <f>Option2!Z$82*conv_2026*Z$7</f>
        <v>-227748.45379326478</v>
      </c>
      <c r="AA32" s="31">
        <f>Option2!AA$82*conv_2026*AA$7</f>
        <v>-227748.45379326478</v>
      </c>
      <c r="AB32" s="31">
        <f>Option2!AB$82*conv_2026*AB$7</f>
        <v>-227748.45379326478</v>
      </c>
      <c r="AC32" s="31">
        <f>Option2!AC$82*conv_2026*AC$7</f>
        <v>0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4" t="str">
        <f t="shared" si="7"/>
        <v>Option 2</v>
      </c>
      <c r="B33" s="134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4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4" t="str">
        <f t="shared" si="7"/>
        <v>Option 2</v>
      </c>
      <c r="B34" s="134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36147903.431442849</v>
      </c>
      <c r="G34" s="224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11129126.464165969</v>
      </c>
      <c r="L34" s="31">
        <f>Option2!L$84*conv_2026*L$7</f>
        <v>2234172.137681318</v>
      </c>
      <c r="M34" s="31">
        <f>Option2!M$84*conv_2026*M$7</f>
        <v>2234172.137681318</v>
      </c>
      <c r="N34" s="31">
        <f>Option2!N$84*conv_2026*N$7</f>
        <v>2234172.137681318</v>
      </c>
      <c r="O34" s="31">
        <f>Option2!O$84*conv_2026*O$7</f>
        <v>2234172.137681318</v>
      </c>
      <c r="P34" s="31">
        <f>Option2!P$84*conv_2026*P$7</f>
        <v>2234172.137681318</v>
      </c>
      <c r="Q34" s="31">
        <f>Option2!Q$84*conv_2026*Q$7</f>
        <v>2234172.137681318</v>
      </c>
      <c r="R34" s="31">
        <f>Option2!R$84*conv_2026*R$7</f>
        <v>2234172.137681318</v>
      </c>
      <c r="S34" s="31">
        <f>Option2!S$84*conv_2026*S$7</f>
        <v>2234172.137681318</v>
      </c>
      <c r="T34" s="31">
        <f>Option2!T$84*conv_2026*T$7</f>
        <v>2234172.137681318</v>
      </c>
      <c r="U34" s="31">
        <f>Option2!U$84*conv_2026*U$7</f>
        <v>2234172.137681318</v>
      </c>
      <c r="V34" s="31">
        <f>Option2!V$84*conv_2026*V$7</f>
        <v>2234172.137681318</v>
      </c>
      <c r="W34" s="31">
        <f>Option2!W$84*conv_2026*W$7</f>
        <v>2234172.137681318</v>
      </c>
      <c r="X34" s="31">
        <f>Option2!X$84*conv_2026*X$7</f>
        <v>2234172.137681318</v>
      </c>
      <c r="Y34" s="31">
        <f>Option2!Y$84*conv_2026*Y$7</f>
        <v>2234172.137681318</v>
      </c>
      <c r="Z34" s="31">
        <f>Option2!Z$84*conv_2026*Z$7</f>
        <v>2234172.137681318</v>
      </c>
      <c r="AA34" s="31">
        <f>Option2!AA$84*conv_2026*AA$7</f>
        <v>2234172.137681318</v>
      </c>
      <c r="AB34" s="31">
        <f>Option2!AB$84*conv_2026*AB$7</f>
        <v>2234172.137681318</v>
      </c>
      <c r="AC34" s="31">
        <f>Option2!AC$84*conv_2026*AC$7</f>
        <v>0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4" t="str">
        <f t="shared" si="7"/>
        <v>Option 2</v>
      </c>
      <c r="B35" s="134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4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4" t="str">
        <f t="shared" si="7"/>
        <v>Option 2</v>
      </c>
      <c r="B36" s="134"/>
      <c r="C36" s="125" t="str">
        <f>Option2!C87</f>
        <v>Net benefits</v>
      </c>
      <c r="D36" s="109" t="str">
        <f t="shared" si="6"/>
        <v>Option 2Net benefits</v>
      </c>
      <c r="E36" s="110"/>
      <c r="F36" s="142"/>
      <c r="G36" s="226">
        <f t="shared" si="8"/>
        <v>46203</v>
      </c>
      <c r="H36" s="52"/>
      <c r="I36" s="52">
        <f>SUM(I32:I35)</f>
        <v>0</v>
      </c>
      <c r="J36" s="52">
        <f t="shared" ref="J36:AG36" si="9">SUM(J32:J35)</f>
        <v>-91099.381517305927</v>
      </c>
      <c r="K36" s="52">
        <f t="shared" si="9"/>
        <v>10901378.010372704</v>
      </c>
      <c r="L36" s="52">
        <f t="shared" si="9"/>
        <v>2006423.6838880533</v>
      </c>
      <c r="M36" s="52">
        <f t="shared" si="9"/>
        <v>2006423.6838880533</v>
      </c>
      <c r="N36" s="52">
        <f t="shared" si="9"/>
        <v>2006423.6838880533</v>
      </c>
      <c r="O36" s="52">
        <f t="shared" si="9"/>
        <v>2006423.6838880533</v>
      </c>
      <c r="P36" s="52">
        <f t="shared" si="9"/>
        <v>2006423.6838880533</v>
      </c>
      <c r="Q36" s="52">
        <f t="shared" si="9"/>
        <v>2006423.6838880533</v>
      </c>
      <c r="R36" s="52">
        <f t="shared" si="9"/>
        <v>2006423.6838880533</v>
      </c>
      <c r="S36" s="52">
        <f t="shared" si="9"/>
        <v>2006423.6838880533</v>
      </c>
      <c r="T36" s="52">
        <f t="shared" si="9"/>
        <v>2006423.6838880533</v>
      </c>
      <c r="U36" s="52">
        <f t="shared" si="9"/>
        <v>2006423.6838880533</v>
      </c>
      <c r="V36" s="52">
        <f t="shared" si="9"/>
        <v>2006423.6838880533</v>
      </c>
      <c r="W36" s="52">
        <f t="shared" si="9"/>
        <v>2006423.6838880533</v>
      </c>
      <c r="X36" s="52">
        <f t="shared" si="9"/>
        <v>2006423.6838880533</v>
      </c>
      <c r="Y36" s="52">
        <f t="shared" si="9"/>
        <v>2006423.6838880533</v>
      </c>
      <c r="Z36" s="52">
        <f t="shared" si="9"/>
        <v>2006423.6838880533</v>
      </c>
      <c r="AA36" s="52">
        <f t="shared" si="9"/>
        <v>2006423.6838880533</v>
      </c>
      <c r="AB36" s="52">
        <f t="shared" si="9"/>
        <v>2006423.6838880533</v>
      </c>
      <c r="AC36" s="52">
        <f t="shared" si="9"/>
        <v>0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4" t="str">
        <f t="shared" si="7"/>
        <v>Option 2</v>
      </c>
      <c r="B37" s="134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33208533.83241909</v>
      </c>
      <c r="G37" s="224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4" t="str">
        <f t="shared" si="7"/>
        <v>Option 2</v>
      </c>
      <c r="B38" s="134"/>
      <c r="C38" s="8" t="s">
        <v>187</v>
      </c>
      <c r="D38" s="38" t="str">
        <f t="shared" si="6"/>
        <v>Option 2PV of costs</v>
      </c>
      <c r="E38" s="1"/>
      <c r="F38" s="108">
        <f>SUM(F32:F33)</f>
        <v>-2939369.5990237528</v>
      </c>
      <c r="G38" s="224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4" t="str">
        <f t="shared" si="7"/>
        <v>Option 2</v>
      </c>
      <c r="B39" s="134"/>
      <c r="C39" s="8" t="s">
        <v>188</v>
      </c>
      <c r="D39" s="38" t="str">
        <f t="shared" si="6"/>
        <v>Option 2PV of benefits</v>
      </c>
      <c r="E39" s="1"/>
      <c r="F39" s="108">
        <f>SUM(F34:F35)</f>
        <v>36147903.431442849</v>
      </c>
      <c r="G39" s="224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4"/>
      <c r="B40" s="134"/>
      <c r="C40" s="1"/>
      <c r="D40" s="38"/>
      <c r="E40" s="1"/>
      <c r="F40" s="108"/>
      <c r="G40" s="227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0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69" customFormat="1" x14ac:dyDescent="0.2">
      <c r="A42" s="267" t="str">
        <f>A43</f>
        <v>Option 3</v>
      </c>
      <c r="B42" s="267"/>
      <c r="C42" s="267" t="s">
        <v>124</v>
      </c>
      <c r="D42" s="268" t="str">
        <f>A42&amp;C42</f>
        <v>Option 3Energy at risk value</v>
      </c>
      <c r="F42" s="97">
        <f>SUMPRODUCT($H42:$AG42, $H$5:$AG$5)</f>
        <v>0</v>
      </c>
      <c r="G42" s="270">
        <f>output_dollars</f>
        <v>46203</v>
      </c>
      <c r="H42" s="271"/>
      <c r="I42" s="31">
        <f>Option3!I$28*conv_2026</f>
        <v>0</v>
      </c>
      <c r="J42" s="31">
        <f>Option3!J$28*conv_2026</f>
        <v>0</v>
      </c>
      <c r="K42" s="31">
        <f>Option3!K$28*conv_2026</f>
        <v>0</v>
      </c>
      <c r="L42" s="31">
        <f>Option3!L$28*conv_2026</f>
        <v>0</v>
      </c>
      <c r="M42" s="31">
        <f>Option3!M$28*conv_2026</f>
        <v>0</v>
      </c>
      <c r="N42" s="31">
        <f>Option3!N$28*conv_2026</f>
        <v>0</v>
      </c>
      <c r="O42" s="31">
        <f>Option3!O$28*conv_2026</f>
        <v>0</v>
      </c>
      <c r="P42" s="31">
        <f>Option3!P$28*conv_2026</f>
        <v>0</v>
      </c>
      <c r="Q42" s="31">
        <f>Option3!Q$28*conv_2026</f>
        <v>0</v>
      </c>
      <c r="R42" s="31">
        <f>Option3!R$28*conv_2026</f>
        <v>0</v>
      </c>
      <c r="S42" s="31">
        <f>Option3!S$28*conv_2026</f>
        <v>0</v>
      </c>
      <c r="T42" s="31">
        <f>Option3!T$28*conv_2026</f>
        <v>0</v>
      </c>
      <c r="U42" s="31">
        <f>Option3!U$28*conv_2026</f>
        <v>0</v>
      </c>
      <c r="V42" s="31">
        <f>Option3!V$28*conv_2026</f>
        <v>0</v>
      </c>
      <c r="W42" s="31">
        <f>Option3!W$28*conv_2026</f>
        <v>0</v>
      </c>
      <c r="X42" s="31">
        <f>Option3!X$28*conv_2026</f>
        <v>0</v>
      </c>
      <c r="Y42" s="31">
        <f>Option3!Y$28*conv_2026</f>
        <v>0</v>
      </c>
      <c r="Z42" s="31">
        <f>Option3!Z$28*conv_2026</f>
        <v>0</v>
      </c>
      <c r="AA42" s="31">
        <f>Option3!AA$28*conv_2026</f>
        <v>0</v>
      </c>
      <c r="AB42" s="31">
        <f>Option3!AB$28*conv_2026</f>
        <v>0</v>
      </c>
      <c r="AC42" s="31">
        <f>Option3!AC$28*conv_2026</f>
        <v>0</v>
      </c>
      <c r="AD42" s="31">
        <f>Option3!AD$28*conv_2026</f>
        <v>0</v>
      </c>
      <c r="AE42" s="31">
        <f>Option3!AE$28*conv_2026</f>
        <v>0</v>
      </c>
      <c r="AF42" s="31">
        <f>Option3!AF$28*conv_2026</f>
        <v>0</v>
      </c>
      <c r="AG42" s="31">
        <f>Option3!AG$28*conv_2026</f>
        <v>0</v>
      </c>
    </row>
    <row r="43" spans="1:33" s="2" customFormat="1" x14ac:dyDescent="0.2">
      <c r="A43" s="134" t="str">
        <f>Data!B11</f>
        <v>Option 3</v>
      </c>
      <c r="B43" s="134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-7430952.5288878009</v>
      </c>
      <c r="G43" s="224">
        <f>output_dollars</f>
        <v>46203</v>
      </c>
      <c r="H43" s="31"/>
      <c r="I43" s="31">
        <f>SUM(Option3!I$67:I$69)*conv_2026*I$7</f>
        <v>-973798.5656145222</v>
      </c>
      <c r="J43" s="31">
        <f>SUM(Option3!J$67:J$69)*conv_2026*J$7</f>
        <v>-6816589.9593016552</v>
      </c>
      <c r="K43" s="31">
        <f>SUM(Option3!K$67:K$69)*conv_2026*K$7</f>
        <v>0</v>
      </c>
      <c r="L43" s="31">
        <f>SUM(Option3!L$67:L$69)*conv_2026*L$7</f>
        <v>0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4" t="str">
        <f t="shared" ref="A44:A53" si="10">A43</f>
        <v>Option 3</v>
      </c>
      <c r="B44" s="134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0</v>
      </c>
      <c r="G44" s="224">
        <f>output_dollars</f>
        <v>46203</v>
      </c>
      <c r="H44" s="31"/>
      <c r="I44" s="31">
        <f>Option3!I$36*conv_2026*I$7</f>
        <v>0</v>
      </c>
      <c r="J44" s="31">
        <f>Option3!J$36*conv_2026*J$7</f>
        <v>0</v>
      </c>
      <c r="K44" s="31">
        <f>Option3!K$36*conv_2026*K$7</f>
        <v>0</v>
      </c>
      <c r="L44" s="31">
        <f>Option3!L$36*conv_2026*L$7</f>
        <v>0</v>
      </c>
      <c r="M44" s="31">
        <f>Option3!M$36*conv_2026*M$7</f>
        <v>0</v>
      </c>
      <c r="N44" s="31">
        <f>Option3!N$36*conv_2026*N$7</f>
        <v>0</v>
      </c>
      <c r="O44" s="31">
        <f>Option3!O$36*conv_2026*O$7</f>
        <v>0</v>
      </c>
      <c r="P44" s="31">
        <f>Option3!P$36*conv_2026*P$7</f>
        <v>0</v>
      </c>
      <c r="Q44" s="31">
        <f>Option3!Q$36*conv_2026*Q$7</f>
        <v>0</v>
      </c>
      <c r="R44" s="31">
        <f>Option3!R$36*conv_2026*R$7</f>
        <v>0</v>
      </c>
      <c r="S44" s="31">
        <f>Option3!S$36*conv_2026*S$7</f>
        <v>0</v>
      </c>
      <c r="T44" s="31">
        <f>Option3!T$36*conv_2026*T$7</f>
        <v>0</v>
      </c>
      <c r="U44" s="31">
        <f>Option3!U$36*conv_2026*U$7</f>
        <v>0</v>
      </c>
      <c r="V44" s="31">
        <f>Option3!V$36*conv_2026*V$7</f>
        <v>0</v>
      </c>
      <c r="W44" s="31">
        <f>Option3!W$36*conv_2026*W$7</f>
        <v>0</v>
      </c>
      <c r="X44" s="31">
        <f>Option3!X$36*conv_2026*X$7</f>
        <v>0</v>
      </c>
      <c r="Y44" s="31">
        <f>Option3!Y$36*conv_2026*Y$7</f>
        <v>0</v>
      </c>
      <c r="Z44" s="31">
        <f>Option3!Z$36*conv_2026*Z$7</f>
        <v>0</v>
      </c>
      <c r="AA44" s="31">
        <f>Option3!AA$36*conv_2026*AA$7</f>
        <v>0</v>
      </c>
      <c r="AB44" s="31">
        <f>Option3!AB$36*conv_2026*AB$7</f>
        <v>0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4" t="str">
        <f t="shared" si="10"/>
        <v>Option 3</v>
      </c>
      <c r="B45" s="134"/>
      <c r="C45" s="58"/>
      <c r="D45" s="38"/>
      <c r="E45" s="1"/>
      <c r="F45" s="97"/>
      <c r="G45" s="224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4" t="str">
        <f t="shared" si="10"/>
        <v>Option 3</v>
      </c>
      <c r="B46" s="134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-4199837.6710646655</v>
      </c>
      <c r="G46" s="224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-41516.645222730556</v>
      </c>
      <c r="K46" s="31">
        <f>Option3!K$82*conv_2026*K$7</f>
        <v>-332133.16178184445</v>
      </c>
      <c r="L46" s="31">
        <f>Option3!L$82*conv_2026*L$7</f>
        <v>-332133.16178184445</v>
      </c>
      <c r="M46" s="31">
        <f>Option3!M$82*conv_2026*M$7</f>
        <v>-332133.16178184445</v>
      </c>
      <c r="N46" s="31">
        <f>Option3!N$82*conv_2026*N$7</f>
        <v>-332133.16178184445</v>
      </c>
      <c r="O46" s="31">
        <f>Option3!O$82*conv_2026*O$7</f>
        <v>-332133.16178184445</v>
      </c>
      <c r="P46" s="31">
        <f>Option3!P$82*conv_2026*P$7</f>
        <v>-332133.16178184445</v>
      </c>
      <c r="Q46" s="31">
        <f>Option3!Q$82*conv_2026*Q$7</f>
        <v>-332133.16178184445</v>
      </c>
      <c r="R46" s="31">
        <f>Option3!R$82*conv_2026*R$7</f>
        <v>-332133.16178184445</v>
      </c>
      <c r="S46" s="31">
        <f>Option3!S$82*conv_2026*S$7</f>
        <v>-332133.16178184445</v>
      </c>
      <c r="T46" s="31">
        <f>Option3!T$82*conv_2026*T$7</f>
        <v>-332133.16178184445</v>
      </c>
      <c r="U46" s="31">
        <f>Option3!U$82*conv_2026*U$7</f>
        <v>-332133.16178184445</v>
      </c>
      <c r="V46" s="31">
        <f>Option3!V$82*conv_2026*V$7</f>
        <v>-332133.16178184445</v>
      </c>
      <c r="W46" s="31">
        <f>Option3!W$82*conv_2026*W$7</f>
        <v>-332133.16178184445</v>
      </c>
      <c r="X46" s="31">
        <f>Option3!X$82*conv_2026*X$7</f>
        <v>-332133.16178184445</v>
      </c>
      <c r="Y46" s="31">
        <f>Option3!Y$82*conv_2026*Y$7</f>
        <v>-332133.16178184445</v>
      </c>
      <c r="Z46" s="31">
        <f>Option3!Z$82*conv_2026*Z$7</f>
        <v>-332133.16178184445</v>
      </c>
      <c r="AA46" s="31">
        <f>Option3!AA$82*conv_2026*AA$7</f>
        <v>-332133.16178184445</v>
      </c>
      <c r="AB46" s="31">
        <f>Option3!AB$82*conv_2026*AB$7</f>
        <v>-332133.16178184445</v>
      </c>
      <c r="AC46" s="31">
        <f>Option3!AC$82*conv_2026*AC$7</f>
        <v>0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4" t="str">
        <f t="shared" si="10"/>
        <v>Option 3</v>
      </c>
      <c r="B47" s="134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4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4" t="str">
        <f t="shared" si="10"/>
        <v>Option 3</v>
      </c>
      <c r="B48" s="134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36147903.431442849</v>
      </c>
      <c r="G48" s="224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11129126.464165969</v>
      </c>
      <c r="L48" s="31">
        <f>Option3!L$84*conv_2026*L$7</f>
        <v>2234172.137681318</v>
      </c>
      <c r="M48" s="31">
        <f>Option3!M$84*conv_2026*M$7</f>
        <v>2234172.137681318</v>
      </c>
      <c r="N48" s="31">
        <f>Option3!N$84*conv_2026*N$7</f>
        <v>2234172.137681318</v>
      </c>
      <c r="O48" s="31">
        <f>Option3!O$84*conv_2026*O$7</f>
        <v>2234172.137681318</v>
      </c>
      <c r="P48" s="31">
        <f>Option3!P$84*conv_2026*P$7</f>
        <v>2234172.137681318</v>
      </c>
      <c r="Q48" s="31">
        <f>Option3!Q$84*conv_2026*Q$7</f>
        <v>2234172.137681318</v>
      </c>
      <c r="R48" s="31">
        <f>Option3!R$84*conv_2026*R$7</f>
        <v>2234172.137681318</v>
      </c>
      <c r="S48" s="31">
        <f>Option3!S$84*conv_2026*S$7</f>
        <v>2234172.137681318</v>
      </c>
      <c r="T48" s="31">
        <f>Option3!T$84*conv_2026*T$7</f>
        <v>2234172.137681318</v>
      </c>
      <c r="U48" s="31">
        <f>Option3!U$84*conv_2026*U$7</f>
        <v>2234172.137681318</v>
      </c>
      <c r="V48" s="31">
        <f>Option3!V$84*conv_2026*V$7</f>
        <v>2234172.137681318</v>
      </c>
      <c r="W48" s="31">
        <f>Option3!W$84*conv_2026*W$7</f>
        <v>2234172.137681318</v>
      </c>
      <c r="X48" s="31">
        <f>Option3!X$84*conv_2026*X$7</f>
        <v>2234172.137681318</v>
      </c>
      <c r="Y48" s="31">
        <f>Option3!Y$84*conv_2026*Y$7</f>
        <v>2234172.137681318</v>
      </c>
      <c r="Z48" s="31">
        <f>Option3!Z$84*conv_2026*Z$7</f>
        <v>2234172.137681318</v>
      </c>
      <c r="AA48" s="31">
        <f>Option3!AA$84*conv_2026*AA$7</f>
        <v>2234172.137681318</v>
      </c>
      <c r="AB48" s="31">
        <f>Option3!AB$84*conv_2026*AB$7</f>
        <v>2234172.137681318</v>
      </c>
      <c r="AC48" s="31">
        <f>Option3!AC$84*conv_2026*AC$7</f>
        <v>0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4" t="str">
        <f t="shared" si="10"/>
        <v>Option 3</v>
      </c>
      <c r="B49" s="134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4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4" t="str">
        <f t="shared" si="10"/>
        <v>Option 3</v>
      </c>
      <c r="B50" s="134"/>
      <c r="C50" s="125" t="str">
        <f>Option3!C87</f>
        <v>Net benefits</v>
      </c>
      <c r="D50" s="109" t="str">
        <f t="shared" si="11"/>
        <v>Option 3Net benefits</v>
      </c>
      <c r="E50" s="110"/>
      <c r="F50" s="142"/>
      <c r="G50" s="226">
        <f t="shared" si="12"/>
        <v>46203</v>
      </c>
      <c r="H50" s="52"/>
      <c r="I50" s="52">
        <f t="shared" ref="I50:AB50" si="13">SUM(I46:I49)</f>
        <v>0</v>
      </c>
      <c r="J50" s="52">
        <f t="shared" si="13"/>
        <v>-41516.645222730556</v>
      </c>
      <c r="K50" s="52">
        <f t="shared" si="13"/>
        <v>10796993.302384125</v>
      </c>
      <c r="L50" s="52">
        <f t="shared" si="13"/>
        <v>1902038.9758994735</v>
      </c>
      <c r="M50" s="52">
        <f t="shared" si="13"/>
        <v>1902038.9758994735</v>
      </c>
      <c r="N50" s="52">
        <f t="shared" si="13"/>
        <v>1902038.9758994735</v>
      </c>
      <c r="O50" s="52">
        <f t="shared" si="13"/>
        <v>1902038.9758994735</v>
      </c>
      <c r="P50" s="52">
        <f t="shared" si="13"/>
        <v>1902038.9758994735</v>
      </c>
      <c r="Q50" s="52">
        <f t="shared" si="13"/>
        <v>1902038.9758994735</v>
      </c>
      <c r="R50" s="52">
        <f t="shared" si="13"/>
        <v>1902038.9758994735</v>
      </c>
      <c r="S50" s="52">
        <f t="shared" si="13"/>
        <v>1902038.9758994735</v>
      </c>
      <c r="T50" s="52">
        <f t="shared" si="13"/>
        <v>1902038.9758994735</v>
      </c>
      <c r="U50" s="52">
        <f t="shared" si="13"/>
        <v>1902038.9758994735</v>
      </c>
      <c r="V50" s="52">
        <f t="shared" si="13"/>
        <v>1902038.9758994735</v>
      </c>
      <c r="W50" s="52">
        <f t="shared" si="13"/>
        <v>1902038.9758994735</v>
      </c>
      <c r="X50" s="52">
        <f t="shared" si="13"/>
        <v>1902038.9758994735</v>
      </c>
      <c r="Y50" s="52">
        <f t="shared" si="13"/>
        <v>1902038.9758994735</v>
      </c>
      <c r="Z50" s="52">
        <f t="shared" si="13"/>
        <v>1902038.9758994735</v>
      </c>
      <c r="AA50" s="52">
        <f t="shared" si="13"/>
        <v>1902038.9758994735</v>
      </c>
      <c r="AB50" s="52">
        <f t="shared" si="13"/>
        <v>1902038.9758994735</v>
      </c>
      <c r="AC50" s="52">
        <f>SUM(AC46:AC49)</f>
        <v>0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4" t="str">
        <f t="shared" si="10"/>
        <v>Option 3</v>
      </c>
      <c r="B51" s="134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31948065.760378189</v>
      </c>
      <c r="G51" s="224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4" t="str">
        <f t="shared" si="10"/>
        <v>Option 3</v>
      </c>
      <c r="B52" s="134"/>
      <c r="C52" s="8" t="s">
        <v>187</v>
      </c>
      <c r="D52" s="38" t="str">
        <f t="shared" si="11"/>
        <v>Option 3PV of costs</v>
      </c>
      <c r="E52" s="1"/>
      <c r="F52" s="108">
        <f>SUM(F46:F47)</f>
        <v>-4199837.6710646655</v>
      </c>
      <c r="G52" s="224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4" t="str">
        <f t="shared" si="10"/>
        <v>Option 3</v>
      </c>
      <c r="B53" s="134"/>
      <c r="C53" s="8" t="s">
        <v>188</v>
      </c>
      <c r="D53" s="38" t="str">
        <f t="shared" si="11"/>
        <v>Option 3PV of benefits</v>
      </c>
      <c r="E53" s="1"/>
      <c r="F53" s="108">
        <f>SUM(F48:F49)</f>
        <v>36147903.431442849</v>
      </c>
      <c r="G53" s="224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4"/>
      <c r="B54" s="134"/>
      <c r="C54" s="1"/>
      <c r="D54" s="38"/>
      <c r="E54" s="1"/>
      <c r="F54" s="108"/>
      <c r="G54" s="227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0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69" customFormat="1" x14ac:dyDescent="0.2">
      <c r="A56" s="267" t="str">
        <f>A57</f>
        <v>Option 4</v>
      </c>
      <c r="B56" s="267"/>
      <c r="C56" s="267" t="s">
        <v>124</v>
      </c>
      <c r="D56" s="268" t="str">
        <f>A56&amp;C56</f>
        <v>Option 4Energy at risk value</v>
      </c>
      <c r="F56" s="97">
        <f>SUMPRODUCT($H56:$AG56, $H$5:$AG$5)</f>
        <v>0</v>
      </c>
      <c r="G56" s="270">
        <f>output_dollars</f>
        <v>46203</v>
      </c>
      <c r="H56" s="271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4" t="str">
        <f>Data!B12</f>
        <v>Option 4</v>
      </c>
      <c r="B57" s="134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-16580716.63263474</v>
      </c>
      <c r="G57" s="224">
        <f>output_dollars</f>
        <v>46203</v>
      </c>
      <c r="H57" s="31"/>
      <c r="I57" s="31">
        <f>SUM(Option4!I$67:I$69)*conv_2026*I$7</f>
        <v>-1751944.8621637139</v>
      </c>
      <c r="J57" s="31">
        <f>SUM(Option4!J$67:J$69)*conv_2026*J$7</f>
        <v>-13494958.393743662</v>
      </c>
      <c r="K57" s="31">
        <f>SUM(Option4!K$67:K$69)*conv_2026*K$7</f>
        <v>-2225825.2928331937</v>
      </c>
      <c r="L57" s="31">
        <f>SUM(Option4!L$67:L$69)*conv_2026*L$7</f>
        <v>0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4" t="str">
        <f t="shared" ref="A58:A67" si="15">A57</f>
        <v>Option 4</v>
      </c>
      <c r="B58" s="134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4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4" t="str">
        <f t="shared" si="15"/>
        <v>Option 4</v>
      </c>
      <c r="B59" s="134"/>
      <c r="C59" s="75"/>
      <c r="D59" s="38" t="str">
        <f t="shared" si="14"/>
        <v>Option 4</v>
      </c>
      <c r="E59" s="1"/>
      <c r="F59"/>
      <c r="G59" s="225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4" t="str">
        <f t="shared" si="15"/>
        <v>Option 4</v>
      </c>
      <c r="B60" s="134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-9315063.5606620368</v>
      </c>
      <c r="G60" s="224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-74691.90843009371</v>
      </c>
      <c r="K60" s="31">
        <f>Option4!K$82*conv_2026*K$7</f>
        <v>-650032.04520160984</v>
      </c>
      <c r="L60" s="31">
        <f>Option4!L$82*conv_2026*L$7</f>
        <v>-744927.23428213689</v>
      </c>
      <c r="M60" s="31">
        <f>Option4!M$82*conv_2026*M$7</f>
        <v>-744927.23428213689</v>
      </c>
      <c r="N60" s="31">
        <f>Option4!N$82*conv_2026*N$7</f>
        <v>-744927.23428213689</v>
      </c>
      <c r="O60" s="31">
        <f>Option4!O$82*conv_2026*O$7</f>
        <v>-744927.23428213689</v>
      </c>
      <c r="P60" s="31">
        <f>Option4!P$82*conv_2026*P$7</f>
        <v>-744927.23428213689</v>
      </c>
      <c r="Q60" s="31">
        <f>Option4!Q$82*conv_2026*Q$7</f>
        <v>-744927.23428213689</v>
      </c>
      <c r="R60" s="31">
        <f>Option4!R$82*conv_2026*R$7</f>
        <v>-744927.23428213689</v>
      </c>
      <c r="S60" s="31">
        <f>Option4!S$82*conv_2026*S$7</f>
        <v>-744927.23428213689</v>
      </c>
      <c r="T60" s="31">
        <f>Option4!T$82*conv_2026*T$7</f>
        <v>-744927.23428213689</v>
      </c>
      <c r="U60" s="31">
        <f>Option4!U$82*conv_2026*U$7</f>
        <v>-744927.23428213689</v>
      </c>
      <c r="V60" s="31">
        <f>Option4!V$82*conv_2026*V$7</f>
        <v>-744927.23428213689</v>
      </c>
      <c r="W60" s="31">
        <f>Option4!W$82*conv_2026*W$7</f>
        <v>-744927.23428213689</v>
      </c>
      <c r="X60" s="31">
        <f>Option4!X$82*conv_2026*X$7</f>
        <v>-744927.23428213689</v>
      </c>
      <c r="Y60" s="31">
        <f>Option4!Y$82*conv_2026*Y$7</f>
        <v>-744927.23428213689</v>
      </c>
      <c r="Z60" s="31">
        <f>Option4!Z$82*conv_2026*Z$7</f>
        <v>-744927.23428213689</v>
      </c>
      <c r="AA60" s="31">
        <f>Option4!AA$82*conv_2026*AA$7</f>
        <v>-744927.23428213689</v>
      </c>
      <c r="AB60" s="31">
        <f>Option4!AB$82*conv_2026*AB$7</f>
        <v>-744927.23428213689</v>
      </c>
      <c r="AC60" s="31">
        <f>Option4!AC$82*conv_2026*AC$7</f>
        <v>0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4" t="str">
        <f t="shared" si="15"/>
        <v>Option 4</v>
      </c>
      <c r="B61" s="134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4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4" t="str">
        <f t="shared" si="15"/>
        <v>Option 4</v>
      </c>
      <c r="B62" s="134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36147903.431442849</v>
      </c>
      <c r="G62" s="224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11129126.464165969</v>
      </c>
      <c r="L62" s="31">
        <f>Option4!L$84*conv_2026*L$7</f>
        <v>2234172.137681318</v>
      </c>
      <c r="M62" s="31">
        <f>Option4!M$84*conv_2026*M$7</f>
        <v>2234172.137681318</v>
      </c>
      <c r="N62" s="31">
        <f>Option4!N$84*conv_2026*N$7</f>
        <v>2234172.137681318</v>
      </c>
      <c r="O62" s="31">
        <f>Option4!O$84*conv_2026*O$7</f>
        <v>2234172.137681318</v>
      </c>
      <c r="P62" s="31">
        <f>Option4!P$84*conv_2026*P$7</f>
        <v>2234172.137681318</v>
      </c>
      <c r="Q62" s="31">
        <f>Option4!Q$84*conv_2026*Q$7</f>
        <v>2234172.137681318</v>
      </c>
      <c r="R62" s="31">
        <f>Option4!R$84*conv_2026*R$7</f>
        <v>2234172.137681318</v>
      </c>
      <c r="S62" s="31">
        <f>Option4!S$84*conv_2026*S$7</f>
        <v>2234172.137681318</v>
      </c>
      <c r="T62" s="31">
        <f>Option4!T$84*conv_2026*T$7</f>
        <v>2234172.137681318</v>
      </c>
      <c r="U62" s="31">
        <f>Option4!U$84*conv_2026*U$7</f>
        <v>2234172.137681318</v>
      </c>
      <c r="V62" s="31">
        <f>Option4!V$84*conv_2026*V$7</f>
        <v>2234172.137681318</v>
      </c>
      <c r="W62" s="31">
        <f>Option4!W$84*conv_2026*W$7</f>
        <v>2234172.137681318</v>
      </c>
      <c r="X62" s="31">
        <f>Option4!X$84*conv_2026*X$7</f>
        <v>2234172.137681318</v>
      </c>
      <c r="Y62" s="31">
        <f>Option4!Y$84*conv_2026*Y$7</f>
        <v>2234172.137681318</v>
      </c>
      <c r="Z62" s="31">
        <f>Option4!Z$84*conv_2026*Z$7</f>
        <v>2234172.137681318</v>
      </c>
      <c r="AA62" s="31">
        <f>Option4!AA$84*conv_2026*AA$7</f>
        <v>2234172.137681318</v>
      </c>
      <c r="AB62" s="31">
        <f>Option4!AB$84*conv_2026*AB$7</f>
        <v>2234172.137681318</v>
      </c>
      <c r="AC62" s="31">
        <f>Option4!AC$84*conv_2026*AC$7</f>
        <v>0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4" t="str">
        <f t="shared" si="15"/>
        <v>Option 4</v>
      </c>
      <c r="B63" s="134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4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4" t="str">
        <f t="shared" si="15"/>
        <v>Option 4</v>
      </c>
      <c r="B64" s="134"/>
      <c r="C64" s="125" t="str">
        <f>Option4!C87</f>
        <v>Net benefits</v>
      </c>
      <c r="D64" s="109" t="str">
        <f t="shared" si="14"/>
        <v>Option 4Net benefits</v>
      </c>
      <c r="E64" s="110"/>
      <c r="F64" s="142"/>
      <c r="G64" s="226">
        <f t="shared" si="16"/>
        <v>46203</v>
      </c>
      <c r="H64" s="52"/>
      <c r="I64" s="52">
        <f t="shared" ref="I64:AB64" si="17">SUM(I60:I63)</f>
        <v>0</v>
      </c>
      <c r="J64" s="52">
        <f t="shared" si="17"/>
        <v>-74691.90843009371</v>
      </c>
      <c r="K64" s="52">
        <f t="shared" si="17"/>
        <v>10479094.41896436</v>
      </c>
      <c r="L64" s="52">
        <f t="shared" si="17"/>
        <v>1489244.9033991811</v>
      </c>
      <c r="M64" s="52">
        <f t="shared" si="17"/>
        <v>1489244.9033991811</v>
      </c>
      <c r="N64" s="52">
        <f t="shared" si="17"/>
        <v>1489244.9033991811</v>
      </c>
      <c r="O64" s="52">
        <f t="shared" si="17"/>
        <v>1489244.9033991811</v>
      </c>
      <c r="P64" s="52">
        <f t="shared" si="17"/>
        <v>1489244.9033991811</v>
      </c>
      <c r="Q64" s="52">
        <f t="shared" si="17"/>
        <v>1489244.9033991811</v>
      </c>
      <c r="R64" s="52">
        <f t="shared" si="17"/>
        <v>1489244.9033991811</v>
      </c>
      <c r="S64" s="52">
        <f t="shared" si="17"/>
        <v>1489244.9033991811</v>
      </c>
      <c r="T64" s="52">
        <f t="shared" si="17"/>
        <v>1489244.9033991811</v>
      </c>
      <c r="U64" s="52">
        <f t="shared" si="17"/>
        <v>1489244.9033991811</v>
      </c>
      <c r="V64" s="52">
        <f t="shared" si="17"/>
        <v>1489244.9033991811</v>
      </c>
      <c r="W64" s="52">
        <f t="shared" si="17"/>
        <v>1489244.9033991811</v>
      </c>
      <c r="X64" s="52">
        <f t="shared" si="17"/>
        <v>1489244.9033991811</v>
      </c>
      <c r="Y64" s="52">
        <f t="shared" si="17"/>
        <v>1489244.9033991811</v>
      </c>
      <c r="Z64" s="52">
        <f t="shared" si="17"/>
        <v>1489244.9033991811</v>
      </c>
      <c r="AA64" s="52">
        <f t="shared" si="17"/>
        <v>1489244.9033991811</v>
      </c>
      <c r="AB64" s="52">
        <f t="shared" si="17"/>
        <v>1489244.9033991811</v>
      </c>
      <c r="AC64" s="52">
        <f>SUM(AC60:AC63)</f>
        <v>0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4" t="str">
        <f t="shared" si="15"/>
        <v>Option 4</v>
      </c>
      <c r="B65" s="134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26832839.870780822</v>
      </c>
      <c r="G65" s="224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4" t="str">
        <f t="shared" si="15"/>
        <v>Option 4</v>
      </c>
      <c r="B66" s="134"/>
      <c r="C66" s="8" t="s">
        <v>187</v>
      </c>
      <c r="D66" s="38" t="str">
        <f t="shared" si="14"/>
        <v>Option 4PV of costs</v>
      </c>
      <c r="E66" s="1"/>
      <c r="F66" s="108">
        <f>SUM(F60:F61)</f>
        <v>-9315063.5606620368</v>
      </c>
      <c r="G66" s="224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4" t="str">
        <f t="shared" si="15"/>
        <v>Option 4</v>
      </c>
      <c r="B67" s="134"/>
      <c r="C67" s="8" t="s">
        <v>188</v>
      </c>
      <c r="D67" s="38" t="str">
        <f t="shared" si="14"/>
        <v>Option 4PV of benefits</v>
      </c>
      <c r="E67" s="1"/>
      <c r="F67" s="108">
        <f>SUM(F62:F63)</f>
        <v>36147903.431442849</v>
      </c>
      <c r="G67" s="224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4"/>
      <c r="B68" s="134"/>
      <c r="C68" s="1"/>
      <c r="D68" s="38"/>
      <c r="E68" s="1"/>
      <c r="F68" s="108"/>
      <c r="G68" s="227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0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69" customFormat="1" x14ac:dyDescent="0.2">
      <c r="A70" s="267" t="str">
        <f>A71</f>
        <v>Option 5</v>
      </c>
      <c r="B70" s="267"/>
      <c r="C70" s="267" t="s">
        <v>124</v>
      </c>
      <c r="D70" s="268" t="str">
        <f t="shared" si="18"/>
        <v>Option 5Energy at risk value</v>
      </c>
      <c r="F70" s="97">
        <f>SUMPRODUCT($H70:$AG70, $H$5:$AG$5)</f>
        <v>0</v>
      </c>
      <c r="G70" s="270">
        <f>output_dollars</f>
        <v>46203</v>
      </c>
      <c r="H70" s="271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4" t="str">
        <f>Data!B13</f>
        <v>Option 5</v>
      </c>
      <c r="B71" s="134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-47589666.539038062</v>
      </c>
      <c r="G71" s="224">
        <f>output_dollars</f>
        <v>46203</v>
      </c>
      <c r="H71" s="31"/>
      <c r="I71" s="31">
        <f>SUM(Option5!I$67:I$69)*conv_2026*I$7</f>
        <v>-10016213.817749372</v>
      </c>
      <c r="J71" s="31">
        <f>SUM(Option5!J$67:J$69)*conv_2026*J$7</f>
        <v>-30549452.144135583</v>
      </c>
      <c r="K71" s="31">
        <f>SUM(Option5!K$67:K$69)*conv_2026*K$7</f>
        <v>-9515403.126861902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4" t="str">
        <f t="shared" ref="A72:A81" si="19">A71</f>
        <v>Option 5</v>
      </c>
      <c r="B72" s="134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4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4" t="str">
        <f t="shared" si="19"/>
        <v>Option 5</v>
      </c>
      <c r="B73" s="134"/>
      <c r="C73" s="75"/>
      <c r="D73" s="38" t="str">
        <f t="shared" si="18"/>
        <v>Option 5</v>
      </c>
      <c r="E73" s="1"/>
      <c r="F73"/>
      <c r="G73" s="225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4" t="str">
        <f t="shared" si="19"/>
        <v>Option 5</v>
      </c>
      <c r="B74" s="134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-26778792.843726553</v>
      </c>
      <c r="G74" s="224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-427028.35086237144</v>
      </c>
      <c r="K74" s="31">
        <f>Option5!K$82*conv_2026*K$7</f>
        <v>-1729464.8209926041</v>
      </c>
      <c r="L74" s="31">
        <f>Option5!L$82*conv_2026*L$7</f>
        <v>-2135141.7543118573</v>
      </c>
      <c r="M74" s="31">
        <f>Option5!M$82*conv_2026*M$7</f>
        <v>-2135141.7543118573</v>
      </c>
      <c r="N74" s="31">
        <f>Option5!N$82*conv_2026*N$7</f>
        <v>-2135141.7543118573</v>
      </c>
      <c r="O74" s="31">
        <f>Option5!O$82*conv_2026*O$7</f>
        <v>-2135141.7543118573</v>
      </c>
      <c r="P74" s="31">
        <f>Option5!P$82*conv_2026*P$7</f>
        <v>-2135141.7543118573</v>
      </c>
      <c r="Q74" s="31">
        <f>Option5!Q$82*conv_2026*Q$7</f>
        <v>-2135141.7543118573</v>
      </c>
      <c r="R74" s="31">
        <f>Option5!R$82*conv_2026*R$7</f>
        <v>-2135141.7543118573</v>
      </c>
      <c r="S74" s="31">
        <f>Option5!S$82*conv_2026*S$7</f>
        <v>-2135141.7543118573</v>
      </c>
      <c r="T74" s="31">
        <f>Option5!T$82*conv_2026*T$7</f>
        <v>-2135141.7543118573</v>
      </c>
      <c r="U74" s="31">
        <f>Option5!U$82*conv_2026*U$7</f>
        <v>-2135141.7543118573</v>
      </c>
      <c r="V74" s="31">
        <f>Option5!V$82*conv_2026*V$7</f>
        <v>-2135141.7543118573</v>
      </c>
      <c r="W74" s="31">
        <f>Option5!W$82*conv_2026*W$7</f>
        <v>-2135141.7543118573</v>
      </c>
      <c r="X74" s="31">
        <f>Option5!X$82*conv_2026*X$7</f>
        <v>-2135141.7543118573</v>
      </c>
      <c r="Y74" s="31">
        <f>Option5!Y$82*conv_2026*Y$7</f>
        <v>-2135141.7543118573</v>
      </c>
      <c r="Z74" s="31">
        <f>Option5!Z$82*conv_2026*Z$7</f>
        <v>-2135141.7543118573</v>
      </c>
      <c r="AA74" s="31">
        <f>Option5!AA$82*conv_2026*AA$7</f>
        <v>-2135141.7543118573</v>
      </c>
      <c r="AB74" s="31">
        <f>Option5!AB$82*conv_2026*AB$7</f>
        <v>-2135141.7543118573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4" t="str">
        <f t="shared" si="19"/>
        <v>Option 5</v>
      </c>
      <c r="B75" s="134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4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4" t="str">
        <f t="shared" si="19"/>
        <v>Option 5</v>
      </c>
      <c r="B76" s="134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36147903.431442849</v>
      </c>
      <c r="G76" s="224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11129126.464165969</v>
      </c>
      <c r="L76" s="31">
        <f>Option5!L$84*conv_2026*L$7</f>
        <v>2234172.137681318</v>
      </c>
      <c r="M76" s="31">
        <f>Option5!M$84*conv_2026*M$7</f>
        <v>2234172.137681318</v>
      </c>
      <c r="N76" s="31">
        <f>Option5!N$84*conv_2026*N$7</f>
        <v>2234172.137681318</v>
      </c>
      <c r="O76" s="31">
        <f>Option5!O$84*conv_2026*O$7</f>
        <v>2234172.137681318</v>
      </c>
      <c r="P76" s="31">
        <f>Option5!P$84*conv_2026*P$7</f>
        <v>2234172.137681318</v>
      </c>
      <c r="Q76" s="31">
        <f>Option5!Q$84*conv_2026*Q$7</f>
        <v>2234172.137681318</v>
      </c>
      <c r="R76" s="31">
        <f>Option5!R$84*conv_2026*R$7</f>
        <v>2234172.137681318</v>
      </c>
      <c r="S76" s="31">
        <f>Option5!S$84*conv_2026*S$7</f>
        <v>2234172.137681318</v>
      </c>
      <c r="T76" s="31">
        <f>Option5!T$84*conv_2026*T$7</f>
        <v>2234172.137681318</v>
      </c>
      <c r="U76" s="31">
        <f>Option5!U$84*conv_2026*U$7</f>
        <v>2234172.137681318</v>
      </c>
      <c r="V76" s="31">
        <f>Option5!V$84*conv_2026*V$7</f>
        <v>2234172.137681318</v>
      </c>
      <c r="W76" s="31">
        <f>Option5!W$84*conv_2026*W$7</f>
        <v>2234172.137681318</v>
      </c>
      <c r="X76" s="31">
        <f>Option5!X$84*conv_2026*X$7</f>
        <v>2234172.137681318</v>
      </c>
      <c r="Y76" s="31">
        <f>Option5!Y$84*conv_2026*Y$7</f>
        <v>2234172.137681318</v>
      </c>
      <c r="Z76" s="31">
        <f>Option5!Z$84*conv_2026*Z$7</f>
        <v>2234172.137681318</v>
      </c>
      <c r="AA76" s="31">
        <f>Option5!AA$84*conv_2026*AA$7</f>
        <v>2234172.137681318</v>
      </c>
      <c r="AB76" s="31">
        <f>Option5!AB$84*conv_2026*AB$7</f>
        <v>2234172.137681318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4" t="str">
        <f t="shared" si="19"/>
        <v>Option 5</v>
      </c>
      <c r="B77" s="134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4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4" t="str">
        <f t="shared" si="19"/>
        <v>Option 5</v>
      </c>
      <c r="B78" s="134"/>
      <c r="C78" s="125" t="str">
        <f>Option5!C87</f>
        <v>Net benefits</v>
      </c>
      <c r="D78" s="109" t="str">
        <f t="shared" si="18"/>
        <v>Option 5Net benefits</v>
      </c>
      <c r="E78" s="110"/>
      <c r="F78" s="142"/>
      <c r="G78" s="226">
        <f t="shared" si="20"/>
        <v>46203</v>
      </c>
      <c r="H78" s="52"/>
      <c r="I78" s="52">
        <f t="shared" ref="I78:AB78" si="21">SUM(I74:I77)</f>
        <v>0</v>
      </c>
      <c r="J78" s="52">
        <f t="shared" si="21"/>
        <v>-427028.35086237144</v>
      </c>
      <c r="K78" s="52">
        <f t="shared" si="21"/>
        <v>9399661.6431733649</v>
      </c>
      <c r="L78" s="52">
        <f t="shared" si="21"/>
        <v>99030.383369460702</v>
      </c>
      <c r="M78" s="52">
        <f t="shared" si="21"/>
        <v>99030.383369460702</v>
      </c>
      <c r="N78" s="52">
        <f t="shared" si="21"/>
        <v>99030.383369460702</v>
      </c>
      <c r="O78" s="52">
        <f t="shared" si="21"/>
        <v>99030.383369460702</v>
      </c>
      <c r="P78" s="52">
        <f t="shared" si="21"/>
        <v>99030.383369460702</v>
      </c>
      <c r="Q78" s="52">
        <f t="shared" si="21"/>
        <v>99030.383369460702</v>
      </c>
      <c r="R78" s="52">
        <f t="shared" si="21"/>
        <v>99030.383369460702</v>
      </c>
      <c r="S78" s="52">
        <f t="shared" si="21"/>
        <v>99030.383369460702</v>
      </c>
      <c r="T78" s="52">
        <f t="shared" si="21"/>
        <v>99030.383369460702</v>
      </c>
      <c r="U78" s="52">
        <f t="shared" si="21"/>
        <v>99030.383369460702</v>
      </c>
      <c r="V78" s="52">
        <f t="shared" si="21"/>
        <v>99030.383369460702</v>
      </c>
      <c r="W78" s="52">
        <f t="shared" si="21"/>
        <v>99030.383369460702</v>
      </c>
      <c r="X78" s="52">
        <f t="shared" si="21"/>
        <v>99030.383369460702</v>
      </c>
      <c r="Y78" s="52">
        <f t="shared" si="21"/>
        <v>99030.383369460702</v>
      </c>
      <c r="Z78" s="52">
        <f t="shared" si="21"/>
        <v>99030.383369460702</v>
      </c>
      <c r="AA78" s="52">
        <f t="shared" si="21"/>
        <v>99030.383369460702</v>
      </c>
      <c r="AB78" s="52">
        <f t="shared" si="21"/>
        <v>99030.383369460702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4" t="str">
        <f t="shared" si="19"/>
        <v>Option 5</v>
      </c>
      <c r="B79" s="134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9369110.5877162963</v>
      </c>
      <c r="G79" s="224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4" t="str">
        <f t="shared" si="19"/>
        <v>Option 5</v>
      </c>
      <c r="B80" s="134"/>
      <c r="C80" s="8" t="s">
        <v>187</v>
      </c>
      <c r="D80" s="38" t="str">
        <f t="shared" si="18"/>
        <v>Option 5PV of costs</v>
      </c>
      <c r="E80" s="1"/>
      <c r="F80" s="108">
        <f>SUM(F74:F75)</f>
        <v>-26778792.843726553</v>
      </c>
      <c r="G80" s="224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4" t="str">
        <f t="shared" si="19"/>
        <v>Option 5</v>
      </c>
      <c r="B81" s="134"/>
      <c r="C81" s="8" t="s">
        <v>188</v>
      </c>
      <c r="D81" s="38" t="str">
        <f t="shared" si="18"/>
        <v>Option 5PV of benefits</v>
      </c>
      <c r="E81" s="1"/>
      <c r="F81" s="108">
        <f>SUM(F76:F77)</f>
        <v>36147903.431442849</v>
      </c>
      <c r="G81" s="224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0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28"/>
    </row>
    <row r="84" spans="1:33" ht="12" x14ac:dyDescent="0.2">
      <c r="E84" s="84"/>
      <c r="G84" s="228"/>
    </row>
    <row r="85" spans="1:33" ht="12" x14ac:dyDescent="0.2">
      <c r="E85" s="84"/>
      <c r="G85" s="228"/>
    </row>
    <row r="86" spans="1:33" ht="12" x14ac:dyDescent="0.2">
      <c r="E86" s="84"/>
      <c r="G86" s="228"/>
    </row>
    <row r="87" spans="1:33" ht="12" x14ac:dyDescent="0.2">
      <c r="E87" s="10"/>
      <c r="G87" s="228"/>
    </row>
    <row r="88" spans="1:33" ht="15" x14ac:dyDescent="0.25">
      <c r="A88" s="201" t="s">
        <v>200</v>
      </c>
      <c r="B88" s="54"/>
      <c r="C88" s="19"/>
      <c r="D88" s="19"/>
      <c r="E88" s="83"/>
      <c r="F88" s="19"/>
      <c r="G88" s="222"/>
      <c r="H88" s="222"/>
      <c r="I88" s="198" t="str">
        <f>"FY"&amp;RIGHT(I$9,2)</f>
        <v>FY27</v>
      </c>
      <c r="J88" s="198" t="str">
        <f t="shared" ref="J88:AG88" si="22">"FY"&amp;RIGHT(J$9,2)</f>
        <v>FY28</v>
      </c>
      <c r="K88" s="198" t="str">
        <f t="shared" si="22"/>
        <v>FY29</v>
      </c>
      <c r="L88" s="198" t="str">
        <f t="shared" si="22"/>
        <v>FY30</v>
      </c>
      <c r="M88" s="198" t="str">
        <f t="shared" si="22"/>
        <v>FY31</v>
      </c>
      <c r="N88" s="198" t="str">
        <f t="shared" si="22"/>
        <v>FY32</v>
      </c>
      <c r="O88" s="198" t="str">
        <f t="shared" si="22"/>
        <v>FY33</v>
      </c>
      <c r="P88" s="198" t="str">
        <f t="shared" si="22"/>
        <v>FY34</v>
      </c>
      <c r="Q88" s="198" t="str">
        <f t="shared" si="22"/>
        <v>FY35</v>
      </c>
      <c r="R88" s="198" t="str">
        <f t="shared" si="22"/>
        <v>FY36</v>
      </c>
      <c r="S88" s="198" t="str">
        <f t="shared" si="22"/>
        <v>FY37</v>
      </c>
      <c r="T88" s="198" t="str">
        <f t="shared" si="22"/>
        <v>FY38</v>
      </c>
      <c r="U88" s="198" t="str">
        <f t="shared" si="22"/>
        <v>FY39</v>
      </c>
      <c r="V88" s="198" t="str">
        <f t="shared" si="22"/>
        <v>FY40</v>
      </c>
      <c r="W88" s="198" t="str">
        <f t="shared" si="22"/>
        <v>FY41</v>
      </c>
      <c r="X88" s="198" t="str">
        <f t="shared" si="22"/>
        <v>FY42</v>
      </c>
      <c r="Y88" s="198" t="str">
        <f t="shared" si="22"/>
        <v>FY43</v>
      </c>
      <c r="Z88" s="198" t="str">
        <f t="shared" si="22"/>
        <v>FY44</v>
      </c>
      <c r="AA88" s="198" t="str">
        <f t="shared" si="22"/>
        <v>FY45</v>
      </c>
      <c r="AB88" s="198" t="str">
        <f t="shared" si="22"/>
        <v>FY46</v>
      </c>
      <c r="AC88" s="198" t="str">
        <f t="shared" si="22"/>
        <v>FY47</v>
      </c>
      <c r="AD88" s="198" t="str">
        <f t="shared" si="22"/>
        <v>FY48</v>
      </c>
      <c r="AE88" s="198" t="str">
        <f t="shared" si="22"/>
        <v>FY49</v>
      </c>
      <c r="AF88" s="198" t="str">
        <f t="shared" si="22"/>
        <v>FY50</v>
      </c>
      <c r="AG88" s="198" t="str">
        <f t="shared" si="22"/>
        <v>FY51</v>
      </c>
    </row>
    <row r="89" spans="1:33" ht="12" x14ac:dyDescent="0.2">
      <c r="E89" s="84"/>
      <c r="G89" s="228"/>
    </row>
    <row r="90" spans="1:33" ht="12" x14ac:dyDescent="0.2">
      <c r="E90" s="84"/>
    </row>
    <row r="91" spans="1:33" x14ac:dyDescent="0.2">
      <c r="A91" s="197" t="str">
        <f>Summary!$C$26</f>
        <v>Option 2</v>
      </c>
      <c r="B91" s="138"/>
      <c r="C91" s="195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6" cm="1">
        <f t="array" ref="I91">MAX($D91*INDEX(I$15:W$81, MATCH($A91&amp;$C91, $D$15:$D$81,0),))/mill_conv</f>
        <v>0.22774845379326478</v>
      </c>
      <c r="J91" s="296" cm="1">
        <f t="array" ref="J91">MAX($D91*INDEX(J$15:X$81, MATCH($A91&amp;$C91, $D$15:$D$81,0),))/mill_conv</f>
        <v>0.22774845379326478</v>
      </c>
      <c r="K91" s="296" cm="1">
        <f t="array" ref="K91">MAX($D91*INDEX(K$15:Y$81, MATCH($A91&amp;$C91, $D$15:$D$81,0),))/mill_conv</f>
        <v>0.22774845379326478</v>
      </c>
      <c r="L91" s="296" cm="1">
        <f t="array" ref="L91">MAX($D91*INDEX(L$15:Z$81, MATCH($A91&amp;$C91, $D$15:$D$81,0),))/mill_conv</f>
        <v>0.22774845379326478</v>
      </c>
      <c r="M91" s="296" cm="1">
        <f t="array" ref="M91">MAX($D91*INDEX(M$15:AA$81, MATCH($A91&amp;$C91, $D$15:$D$81,0),))/mill_conv</f>
        <v>0.22774845379326478</v>
      </c>
      <c r="N91" s="296" cm="1">
        <f t="array" ref="N91">MAX($D91*INDEX(N$15:AB$81, MATCH($A91&amp;$C91, $D$15:$D$81,0),))/mill_conv</f>
        <v>0.22774845379326478</v>
      </c>
      <c r="O91" s="296" cm="1">
        <f t="array" ref="O91">MAX($D91*INDEX(O$15:AC$81, MATCH($A91&amp;$C91, $D$15:$D$81,0),))/mill_conv</f>
        <v>0.22774845379326478</v>
      </c>
      <c r="P91" s="296" cm="1">
        <f t="array" ref="P91">MAX($D91*INDEX(P$15:AD$81, MATCH($A91&amp;$C91, $D$15:$D$81,0),))/mill_conv</f>
        <v>0.22774845379326478</v>
      </c>
      <c r="Q91" s="296" cm="1">
        <f t="array" ref="Q91">MAX($D91*INDEX(Q$15:AE$81, MATCH($A91&amp;$C91, $D$15:$D$81,0),))/mill_conv</f>
        <v>0.22774845379326478</v>
      </c>
      <c r="R91" s="296" cm="1">
        <f t="array" ref="R91">MAX($D91*INDEX(R$15:AF$81, MATCH($A91&amp;$C91, $D$15:$D$81,0),))/mill_conv</f>
        <v>0.22774845379326478</v>
      </c>
      <c r="S91" s="296" cm="1">
        <f t="array" ref="S91">MAX($D91*INDEX(S$15:AG$81, MATCH($A91&amp;$C91, $D$15:$D$81,0),))/mill_conv</f>
        <v>0.22774845379326478</v>
      </c>
      <c r="T91" s="296" cm="1">
        <f t="array" ref="T91">MAX($D91*INDEX(T$15:AH$81, MATCH($A91&amp;$C91, $D$15:$D$81,0),))/mill_conv</f>
        <v>0.22774845379326478</v>
      </c>
      <c r="U91" s="296" cm="1">
        <f t="array" ref="U91">MAX($D91*INDEX(U$15:AI$81, MATCH($A91&amp;$C91, $D$15:$D$81,0),))/mill_conv</f>
        <v>0.22774845379326478</v>
      </c>
      <c r="V91" s="296" cm="1">
        <f t="array" ref="V91">MAX($D91*INDEX(V$15:AJ$81, MATCH($A91&amp;$C91, $D$15:$D$81,0),))/mill_conv</f>
        <v>0.22774845379326478</v>
      </c>
      <c r="W91" s="296" cm="1">
        <f t="array" ref="W91">MAX($D91*INDEX(W$15:AK$81, MATCH($A91&amp;$C91, $D$15:$D$81,0),))/mill_conv</f>
        <v>0.22774845379326478</v>
      </c>
      <c r="X91" s="296" cm="1">
        <f t="array" ref="X91">MAX($D91*INDEX(X$15:AL$81, MATCH($A91&amp;$C91, $D$15:$D$81,0),))/mill_conv</f>
        <v>0.22774845379326478</v>
      </c>
      <c r="Y91" s="296" cm="1">
        <f t="array" ref="Y91">MAX($D91*INDEX(Y$15:AM$81, MATCH($A91&amp;$C91, $D$15:$D$81,0),))/mill_conv</f>
        <v>0.22774845379326478</v>
      </c>
      <c r="Z91" s="296" cm="1">
        <f t="array" ref="Z91">MAX($D91*INDEX(Z$15:AN$81, MATCH($A91&amp;$C91, $D$15:$D$81,0),))/mill_conv</f>
        <v>0.22774845379326478</v>
      </c>
      <c r="AA91" s="296" cm="1">
        <f t="array" ref="AA91">MAX($D91*INDEX(AA$15:AO$81, MATCH($A91&amp;$C91, $D$15:$D$81,0),))/mill_conv</f>
        <v>0.22774845379326478</v>
      </c>
      <c r="AB91" s="296" cm="1">
        <f t="array" ref="AB91">MAX($D91*INDEX(AB$15:AP$81, MATCH($A91&amp;$C91, $D$15:$D$81,0),))/mill_conv</f>
        <v>0.22774845379326478</v>
      </c>
      <c r="AC91" s="296" cm="1">
        <f t="array" ref="AC91">MAX($D91*INDEX(AC$15:AQ$81, MATCH($A91&amp;$C91, $D$15:$D$81,0),))/mill_conv</f>
        <v>0</v>
      </c>
      <c r="AD91" s="296" cm="1">
        <f t="array" ref="AD91">MAX($D91*INDEX(AD$15:AR$81, MATCH($A91&amp;$C91, $D$15:$D$81,0),))/mill_conv</f>
        <v>0</v>
      </c>
      <c r="AE91" s="296" cm="1">
        <f t="array" ref="AE91">MAX($D91*INDEX(AE$15:AS$81, MATCH($A91&amp;$C91, $D$15:$D$81,0),))/mill_conv</f>
        <v>0</v>
      </c>
      <c r="AF91" s="296" cm="1">
        <f t="array" ref="AF91">MAX($D91*INDEX(AF$15:AT$81, MATCH($A91&amp;$C91, $D$15:$D$81,0),))/mill_conv</f>
        <v>0</v>
      </c>
      <c r="AG91" s="296" cm="1">
        <f t="array" ref="AG91">MAX($D91*INDEX(AG$15:AU$81, MATCH($A91&amp;$C91, $D$15:$D$81,0),))/mill_conv</f>
        <v>0</v>
      </c>
    </row>
    <row r="92" spans="1:33" x14ac:dyDescent="0.2">
      <c r="A92" s="196" t="str">
        <f>A16</f>
        <v>Option 1 (base case)</v>
      </c>
      <c r="B92" s="138"/>
      <c r="C92" s="196" t="s">
        <v>170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6">
        <f t="shared" ref="I92:R92" si="23">$D92*INDEX(I$15:I$81, MATCH($A92&amp;$C92, $D$15:$D$81,0))/mill_conv</f>
        <v>0</v>
      </c>
      <c r="J92" s="296">
        <f t="shared" si="23"/>
        <v>0</v>
      </c>
      <c r="K92" s="296">
        <f t="shared" si="23"/>
        <v>11.129126464165969</v>
      </c>
      <c r="L92" s="296">
        <f t="shared" si="23"/>
        <v>2.2341721376813179</v>
      </c>
      <c r="M92" s="296">
        <f t="shared" si="23"/>
        <v>2.2341721376813179</v>
      </c>
      <c r="N92" s="296">
        <f t="shared" si="23"/>
        <v>2.2341721376813179</v>
      </c>
      <c r="O92" s="296">
        <f t="shared" si="23"/>
        <v>2.2341721376813179</v>
      </c>
      <c r="P92" s="296">
        <f t="shared" si="23"/>
        <v>2.2341721376813179</v>
      </c>
      <c r="Q92" s="296">
        <f t="shared" si="23"/>
        <v>2.2341721376813179</v>
      </c>
      <c r="R92" s="296">
        <f t="shared" si="23"/>
        <v>2.2341721376813179</v>
      </c>
      <c r="S92" s="296">
        <f t="shared" ref="S92:AG92" si="24">$D92*INDEX(S$15:S$81, MATCH($A92&amp;$C92, $D$15:$D$81,0))/mill_conv</f>
        <v>2.2341721376813179</v>
      </c>
      <c r="T92" s="296">
        <f t="shared" si="24"/>
        <v>2.2341721376813179</v>
      </c>
      <c r="U92" s="296">
        <f t="shared" si="24"/>
        <v>2.2341721376813179</v>
      </c>
      <c r="V92" s="296">
        <f t="shared" si="24"/>
        <v>2.2341721376813179</v>
      </c>
      <c r="W92" s="296">
        <f t="shared" si="24"/>
        <v>2.2341721376813179</v>
      </c>
      <c r="X92" s="296">
        <f t="shared" si="24"/>
        <v>2.2341721376813179</v>
      </c>
      <c r="Y92" s="296">
        <f t="shared" si="24"/>
        <v>2.2341721376813179</v>
      </c>
      <c r="Z92" s="296">
        <f t="shared" si="24"/>
        <v>2.2341721376813179</v>
      </c>
      <c r="AA92" s="296">
        <f t="shared" si="24"/>
        <v>2.2341721376813179</v>
      </c>
      <c r="AB92" s="296">
        <f t="shared" si="24"/>
        <v>2.2341721376813179</v>
      </c>
      <c r="AC92" s="296">
        <f t="shared" si="24"/>
        <v>2.2341721376813179</v>
      </c>
      <c r="AD92" s="296">
        <f t="shared" si="24"/>
        <v>2.2341721376813179</v>
      </c>
      <c r="AE92" s="296">
        <f t="shared" si="24"/>
        <v>2.2341721376813179</v>
      </c>
      <c r="AF92" s="296">
        <f t="shared" si="24"/>
        <v>2.2341721376813179</v>
      </c>
      <c r="AG92" s="296">
        <f t="shared" si="24"/>
        <v>2.2341721376813179</v>
      </c>
    </row>
    <row r="93" spans="1:33" ht="12" x14ac:dyDescent="0.2">
      <c r="E93" s="84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  <c r="T93" s="149"/>
      <c r="U93" s="149"/>
      <c r="V93" s="149"/>
      <c r="W93" s="149"/>
      <c r="X93" s="149"/>
      <c r="Y93" s="149"/>
      <c r="Z93" s="149"/>
      <c r="AA93" s="149"/>
      <c r="AB93" s="149"/>
      <c r="AC93" s="149"/>
      <c r="AD93" s="149"/>
      <c r="AE93" s="149"/>
      <c r="AF93" s="149"/>
      <c r="AG93" s="149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3" t="str">
        <f>I88</f>
        <v>FY27</v>
      </c>
      <c r="J97" s="293" t="str">
        <f t="shared" ref="J97:AG97" si="25">J88</f>
        <v>FY28</v>
      </c>
      <c r="K97" s="293" t="str">
        <f t="shared" si="25"/>
        <v>FY29</v>
      </c>
      <c r="L97" s="293" t="str">
        <f t="shared" si="25"/>
        <v>FY30</v>
      </c>
      <c r="M97" s="293" t="str">
        <f t="shared" si="25"/>
        <v>FY31</v>
      </c>
      <c r="N97" s="293" t="str">
        <f t="shared" si="25"/>
        <v>FY32</v>
      </c>
      <c r="O97" s="293" t="str">
        <f t="shared" si="25"/>
        <v>FY33</v>
      </c>
      <c r="P97" s="293" t="str">
        <f t="shared" si="25"/>
        <v>FY34</v>
      </c>
      <c r="Q97" s="293" t="str">
        <f t="shared" si="25"/>
        <v>FY35</v>
      </c>
      <c r="R97" s="293" t="str">
        <f t="shared" si="25"/>
        <v>FY36</v>
      </c>
      <c r="S97" s="293" t="str">
        <f t="shared" si="25"/>
        <v>FY37</v>
      </c>
      <c r="T97" s="293" t="str">
        <f t="shared" si="25"/>
        <v>FY38</v>
      </c>
      <c r="U97" s="293" t="str">
        <f t="shared" si="25"/>
        <v>FY39</v>
      </c>
      <c r="V97" s="293" t="str">
        <f t="shared" si="25"/>
        <v>FY40</v>
      </c>
      <c r="W97" s="293" t="str">
        <f t="shared" si="25"/>
        <v>FY41</v>
      </c>
      <c r="X97" s="293" t="str">
        <f t="shared" si="25"/>
        <v>FY42</v>
      </c>
      <c r="Y97" s="293" t="str">
        <f t="shared" si="25"/>
        <v>FY43</v>
      </c>
      <c r="Z97" s="293" t="str">
        <f t="shared" si="25"/>
        <v>FY44</v>
      </c>
      <c r="AA97" s="293" t="str">
        <f t="shared" si="25"/>
        <v>FY45</v>
      </c>
      <c r="AB97" s="293" t="str">
        <f t="shared" si="25"/>
        <v>FY46</v>
      </c>
      <c r="AC97" s="293" t="str">
        <f t="shared" si="25"/>
        <v>FY47</v>
      </c>
      <c r="AD97" s="293" t="str">
        <f t="shared" si="25"/>
        <v>FY48</v>
      </c>
      <c r="AE97" s="293" t="str">
        <f t="shared" si="25"/>
        <v>FY49</v>
      </c>
      <c r="AF97" s="293" t="str">
        <f t="shared" si="25"/>
        <v>FY50</v>
      </c>
      <c r="AG97" s="293" t="str">
        <f t="shared" si="25"/>
        <v>FY51</v>
      </c>
    </row>
    <row r="98" spans="1:33" x14ac:dyDescent="0.2">
      <c r="A98" s="197" t="s">
        <v>231</v>
      </c>
      <c r="B98" s="138"/>
      <c r="C98" s="195" t="s">
        <v>123</v>
      </c>
      <c r="D98" s="189">
        <f>MAX(H98:AG98)</f>
        <v>0</v>
      </c>
      <c r="E98" s="292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0</v>
      </c>
      <c r="J98" s="119">
        <f>INDEX('Option1 (base case)'!J$14:J$87, MATCH($C98, 'Option1 (base case)'!$C$14:$C$87,0))</f>
        <v>0</v>
      </c>
      <c r="K98" s="119">
        <f>INDEX('Option1 (base case)'!K$14:K$87, MATCH($C98, 'Option1 (base case)'!$C$14:$C$87,0))</f>
        <v>0</v>
      </c>
      <c r="L98" s="119">
        <f>INDEX('Option1 (base case)'!L$14:L$87, MATCH($C98, 'Option1 (base case)'!$C$14:$C$87,0))</f>
        <v>0</v>
      </c>
      <c r="M98" s="119">
        <f>INDEX('Option1 (base case)'!M$14:M$87, MATCH($C98, 'Option1 (base case)'!$C$14:$C$87,0))</f>
        <v>0</v>
      </c>
      <c r="N98" s="119">
        <f>INDEX('Option1 (base case)'!N$14:N$87, MATCH($C98, 'Option1 (base case)'!$C$14:$C$87,0))</f>
        <v>0</v>
      </c>
      <c r="O98" s="119">
        <f>INDEX('Option1 (base case)'!O$14:O$87, MATCH($C98, 'Option1 (base case)'!$C$14:$C$87,0))</f>
        <v>0</v>
      </c>
      <c r="P98" s="119">
        <f>INDEX('Option1 (base case)'!P$14:P$87, MATCH($C98, 'Option1 (base case)'!$C$14:$C$87,0))</f>
        <v>0</v>
      </c>
      <c r="Q98" s="119">
        <f>INDEX('Option1 (base case)'!Q$14:Q$87, MATCH($C98, 'Option1 (base case)'!$C$14:$C$87,0))</f>
        <v>0</v>
      </c>
      <c r="R98" s="119">
        <f>INDEX('Option1 (base case)'!R$14:R$87, MATCH($C98, 'Option1 (base case)'!$C$14:$C$87,0))</f>
        <v>0</v>
      </c>
      <c r="S98" s="119">
        <f>INDEX('Option1 (base case)'!S$14:S$87, MATCH($C98, 'Option1 (base case)'!$C$14:$C$87,0))</f>
        <v>0</v>
      </c>
      <c r="T98" s="119">
        <f>INDEX('Option1 (base case)'!T$14:T$87, MATCH($C98, 'Option1 (base case)'!$C$14:$C$87,0))</f>
        <v>0</v>
      </c>
      <c r="U98" s="119">
        <f>INDEX('Option1 (base case)'!U$14:U$87, MATCH($C98, 'Option1 (base case)'!$C$14:$C$87,0))</f>
        <v>0</v>
      </c>
      <c r="V98" s="119">
        <f>INDEX('Option1 (base case)'!V$14:V$87, MATCH($C98, 'Option1 (base case)'!$C$14:$C$87,0))</f>
        <v>0</v>
      </c>
      <c r="W98" s="119">
        <f>INDEX('Option1 (base case)'!W$14:W$87, MATCH($C98, 'Option1 (base case)'!$C$14:$C$87,0))</f>
        <v>0</v>
      </c>
      <c r="X98" s="119">
        <f>INDEX('Option1 (base case)'!X$14:X$87, MATCH($C98, 'Option1 (base case)'!$C$14:$C$87,0))</f>
        <v>0</v>
      </c>
      <c r="Y98" s="119">
        <f>INDEX('Option1 (base case)'!Y$14:Y$87, MATCH($C98, 'Option1 (base case)'!$C$14:$C$87,0))</f>
        <v>0</v>
      </c>
      <c r="Z98" s="119">
        <f>INDEX('Option1 (base case)'!Z$14:Z$87, MATCH($C98, 'Option1 (base case)'!$C$14:$C$87,0))</f>
        <v>0</v>
      </c>
      <c r="AA98" s="119">
        <f>INDEX('Option1 (base case)'!AA$14:AA$87, MATCH($C98, 'Option1 (base case)'!$C$14:$C$87,0))</f>
        <v>0</v>
      </c>
      <c r="AB98" s="119">
        <f>INDEX('Option1 (base case)'!AB$14:AB$87, MATCH($C98, 'Option1 (base case)'!$C$14:$C$87,0))</f>
        <v>0</v>
      </c>
      <c r="AC98" s="119">
        <f>INDEX('Option1 (base case)'!AC$14:AC$87, MATCH($C98, 'Option1 (base case)'!$C$14:$C$87,0))</f>
        <v>0</v>
      </c>
      <c r="AD98" s="119">
        <f>INDEX('Option1 (base case)'!AD$14:AD$87, MATCH($C98, 'Option1 (base case)'!$C$14:$C$87,0))</f>
        <v>0</v>
      </c>
      <c r="AE98" s="119">
        <f>INDEX('Option1 (base case)'!AE$14:AE$87, MATCH($C98, 'Option1 (base case)'!$C$14:$C$87,0))</f>
        <v>0</v>
      </c>
      <c r="AF98" s="119">
        <f>INDEX('Option1 (base case)'!AF$14:AF$87, MATCH($C98, 'Option1 (base case)'!$C$14:$C$87,0))</f>
        <v>0</v>
      </c>
      <c r="AG98" s="119">
        <f>INDEX('Option1 (base case)'!AG$14:AG$87, MATCH($C98, 'Option1 (base case)'!$C$14:$C$87,0))</f>
        <v>0</v>
      </c>
    </row>
    <row r="99" spans="1:33" x14ac:dyDescent="0.2">
      <c r="A99" s="196" t="str">
        <f>A23</f>
        <v>Option 1 (base case)</v>
      </c>
      <c r="B99" s="138"/>
      <c r="C99" s="196" t="s">
        <v>124</v>
      </c>
      <c r="D99" s="189">
        <f>MAX(H99:AG99)</f>
        <v>0</v>
      </c>
      <c r="E99" s="292"/>
      <c r="H99" s="119" t="str">
        <f>A99&amp;" risk cost"</f>
        <v>Option 1 (base case) risk cost</v>
      </c>
      <c r="I99" s="119">
        <f>INDEX('Option1 (base case)'!I$14:I$87, MATCH($C99, 'Option1 (base case)'!$C$14:$C$87,0))/10^6</f>
        <v>0</v>
      </c>
      <c r="J99" s="119">
        <f>INDEX('Option1 (base case)'!J$14:J$87, MATCH($C99, 'Option1 (base case)'!$C$14:$C$87,0))/10^6</f>
        <v>0</v>
      </c>
      <c r="K99" s="119">
        <f>INDEX('Option1 (base case)'!K$14:K$87, MATCH($C99, 'Option1 (base case)'!$C$14:$C$87,0))/10^6</f>
        <v>0</v>
      </c>
      <c r="L99" s="119">
        <f>INDEX('Option1 (base case)'!L$14:L$87, MATCH($C99, 'Option1 (base case)'!$C$14:$C$87,0))/10^6</f>
        <v>0</v>
      </c>
      <c r="M99" s="119">
        <f>INDEX('Option1 (base case)'!M$14:M$87, MATCH($C99, 'Option1 (base case)'!$C$14:$C$87,0))/10^6</f>
        <v>0</v>
      </c>
      <c r="N99" s="119">
        <f>INDEX('Option1 (base case)'!N$14:N$87, MATCH($C99, 'Option1 (base case)'!$C$14:$C$87,0))/10^6</f>
        <v>0</v>
      </c>
      <c r="O99" s="119">
        <f>INDEX('Option1 (base case)'!O$14:O$87, MATCH($C99, 'Option1 (base case)'!$C$14:$C$87,0))/10^6</f>
        <v>0</v>
      </c>
      <c r="P99" s="119">
        <f>INDEX('Option1 (base case)'!P$14:P$87, MATCH($C99, 'Option1 (base case)'!$C$14:$C$87,0))/10^6</f>
        <v>0</v>
      </c>
      <c r="Q99" s="119">
        <f>INDEX('Option1 (base case)'!Q$14:Q$87, MATCH($C99, 'Option1 (base case)'!$C$14:$C$87,0))/10^6</f>
        <v>0</v>
      </c>
      <c r="R99" s="119">
        <f>INDEX('Option1 (base case)'!R$14:R$87, MATCH($C99, 'Option1 (base case)'!$C$14:$C$87,0))/10^6</f>
        <v>0</v>
      </c>
      <c r="S99" s="119">
        <f>INDEX('Option1 (base case)'!S$14:S$87, MATCH($C99, 'Option1 (base case)'!$C$14:$C$87,0))/10^6</f>
        <v>0</v>
      </c>
      <c r="T99" s="119">
        <f>INDEX('Option1 (base case)'!T$14:T$87, MATCH($C99, 'Option1 (base case)'!$C$14:$C$87,0))/10^6</f>
        <v>0</v>
      </c>
      <c r="U99" s="119">
        <f>INDEX('Option1 (base case)'!U$14:U$87, MATCH($C99, 'Option1 (base case)'!$C$14:$C$87,0))/10^6</f>
        <v>0</v>
      </c>
      <c r="V99" s="119">
        <f>INDEX('Option1 (base case)'!V$14:V$87, MATCH($C99, 'Option1 (base case)'!$C$14:$C$87,0))/10^6</f>
        <v>0</v>
      </c>
      <c r="W99" s="119">
        <f>INDEX('Option1 (base case)'!W$14:W$87, MATCH($C99, 'Option1 (base case)'!$C$14:$C$87,0))/10^6</f>
        <v>0</v>
      </c>
      <c r="X99" s="119">
        <f>INDEX('Option1 (base case)'!X$14:X$87, MATCH($C99, 'Option1 (base case)'!$C$14:$C$87,0))/10^6</f>
        <v>0</v>
      </c>
      <c r="Y99" s="119">
        <f>INDEX('Option1 (base case)'!Y$14:Y$87, MATCH($C99, 'Option1 (base case)'!$C$14:$C$87,0))/10^6</f>
        <v>0</v>
      </c>
      <c r="Z99" s="119">
        <f>INDEX('Option1 (base case)'!Z$14:Z$87, MATCH($C99, 'Option1 (base case)'!$C$14:$C$87,0))/10^6</f>
        <v>0</v>
      </c>
      <c r="AA99" s="119">
        <f>INDEX('Option1 (base case)'!AA$14:AA$87, MATCH($C99, 'Option1 (base case)'!$C$14:$C$87,0))/10^6</f>
        <v>0</v>
      </c>
      <c r="AB99" s="119">
        <f>INDEX('Option1 (base case)'!AB$14:AB$87, MATCH($C99, 'Option1 (base case)'!$C$14:$C$87,0))/10^6</f>
        <v>0</v>
      </c>
      <c r="AC99" s="119">
        <f>INDEX('Option1 (base case)'!AC$14:AC$87, MATCH($C99, 'Option1 (base case)'!$C$14:$C$87,0))/10^6</f>
        <v>0</v>
      </c>
      <c r="AD99" s="119">
        <f>INDEX('Option1 (base case)'!AD$14:AD$87, MATCH($C99, 'Option1 (base case)'!$C$14:$C$87,0))/10^6</f>
        <v>0</v>
      </c>
      <c r="AE99" s="119">
        <f>INDEX('Option1 (base case)'!AE$14:AE$87, MATCH($C99, 'Option1 (base case)'!$C$14:$C$87,0))/10^6</f>
        <v>0</v>
      </c>
      <c r="AF99" s="119">
        <f>INDEX('Option1 (base case)'!AF$14:AF$87, MATCH($C99, 'Option1 (base case)'!$C$14:$C$87,0))/10^6</f>
        <v>0</v>
      </c>
      <c r="AG99" s="119">
        <f>INDEX('Option1 (base case)'!AG$14:AG$87, MATCH($C99, 'Option1 (base case)'!$C$14:$C$87,0))/10^6</f>
        <v>0</v>
      </c>
    </row>
    <row r="100" spans="1:33" ht="12" x14ac:dyDescent="0.2">
      <c r="E100" s="10"/>
    </row>
    <row r="101" spans="1:33" s="294" customFormat="1" ht="12" x14ac:dyDescent="0.2"/>
    <row r="102" spans="1:33" ht="12" x14ac:dyDescent="0.2">
      <c r="E102" s="10"/>
    </row>
    <row r="103" spans="1:33" ht="12" x14ac:dyDescent="0.2">
      <c r="E103" s="10"/>
      <c r="I103" s="294"/>
    </row>
    <row r="104" spans="1:33" ht="12" x14ac:dyDescent="0.2">
      <c r="E104" s="10"/>
      <c r="H104" s="149"/>
    </row>
    <row r="105" spans="1:33" ht="12" x14ac:dyDescent="0.2">
      <c r="E105" s="10"/>
      <c r="H105" s="149"/>
    </row>
    <row r="106" spans="1:33" ht="12" x14ac:dyDescent="0.2">
      <c r="D106" s="189"/>
      <c r="E106" s="10"/>
    </row>
    <row r="107" spans="1:33" ht="12" x14ac:dyDescent="0.2">
      <c r="D107" s="189"/>
      <c r="E107" s="10"/>
    </row>
    <row r="108" spans="1:33" ht="12" x14ac:dyDescent="0.2">
      <c r="D108" s="189"/>
      <c r="E108" s="84"/>
    </row>
    <row r="109" spans="1:33" ht="12" x14ac:dyDescent="0.2">
      <c r="C109" s="124"/>
      <c r="D109" s="189"/>
      <c r="E109" s="189"/>
    </row>
    <row r="110" spans="1:33" ht="12" x14ac:dyDescent="0.2">
      <c r="D110" s="189"/>
      <c r="E110" s="84"/>
    </row>
    <row r="111" spans="1:33" ht="12" x14ac:dyDescent="0.2">
      <c r="D111" s="189"/>
      <c r="E111" s="84"/>
    </row>
    <row r="112" spans="1:33" ht="12" x14ac:dyDescent="0.2">
      <c r="D112" s="189"/>
      <c r="E112" s="84"/>
    </row>
    <row r="113" spans="4:5" ht="12" x14ac:dyDescent="0.2">
      <c r="D113" s="189"/>
      <c r="E113" s="84"/>
    </row>
    <row r="114" spans="4:5" ht="12" x14ac:dyDescent="0.2">
      <c r="D114" s="189"/>
      <c r="E114" s="84"/>
    </row>
    <row r="115" spans="4:5" ht="12" x14ac:dyDescent="0.2">
      <c r="D115" s="189"/>
      <c r="E115" s="84"/>
    </row>
    <row r="116" spans="4:5" ht="12" x14ac:dyDescent="0.2">
      <c r="D116" s="189"/>
      <c r="E116" s="84"/>
    </row>
    <row r="117" spans="4:5" ht="12" x14ac:dyDescent="0.2">
      <c r="D117" s="189"/>
      <c r="E117" s="84"/>
    </row>
    <row r="118" spans="4:5" ht="12" x14ac:dyDescent="0.2">
      <c r="D118" s="189"/>
      <c r="E118" s="84"/>
    </row>
    <row r="119" spans="4:5" ht="12" x14ac:dyDescent="0.2">
      <c r="D119" s="189"/>
      <c r="E119" s="84"/>
    </row>
    <row r="120" spans="4:5" ht="12" x14ac:dyDescent="0.2">
      <c r="D120" s="189"/>
      <c r="E120" s="84"/>
    </row>
    <row r="121" spans="4:5" ht="12" x14ac:dyDescent="0.2">
      <c r="D121" s="189"/>
      <c r="E121" s="84"/>
    </row>
    <row r="122" spans="4:5" ht="12" x14ac:dyDescent="0.2">
      <c r="D122" s="189"/>
      <c r="E122" s="84"/>
    </row>
    <row r="123" spans="4:5" ht="12" x14ac:dyDescent="0.2">
      <c r="D123" s="189"/>
      <c r="E123" s="84"/>
    </row>
    <row r="124" spans="4:5" ht="12" x14ac:dyDescent="0.2">
      <c r="D124" s="189"/>
      <c r="E124" s="84"/>
    </row>
    <row r="125" spans="4:5" ht="12" x14ac:dyDescent="0.2">
      <c r="D125" s="189"/>
      <c r="E125" s="84"/>
    </row>
    <row r="126" spans="4:5" ht="12" x14ac:dyDescent="0.2">
      <c r="D126" s="189"/>
      <c r="E126" s="84"/>
    </row>
    <row r="127" spans="4:5" ht="12" x14ac:dyDescent="0.2">
      <c r="D127" s="189"/>
      <c r="E127" s="84"/>
    </row>
    <row r="128" spans="4:5" ht="12" x14ac:dyDescent="0.2">
      <c r="D128" s="189"/>
      <c r="E128" s="84"/>
    </row>
    <row r="129" spans="4:5" ht="12" x14ac:dyDescent="0.2">
      <c r="D129" s="189"/>
      <c r="E129" s="84"/>
    </row>
    <row r="130" spans="4:5" ht="12" x14ac:dyDescent="0.2">
      <c r="D130" s="189"/>
      <c r="E130" s="84"/>
    </row>
    <row r="131" spans="4:5" ht="12" x14ac:dyDescent="0.2">
      <c r="D131" s="189"/>
      <c r="E131" s="84"/>
    </row>
    <row r="132" spans="4:5" ht="12" x14ac:dyDescent="0.2">
      <c r="D132" s="189"/>
      <c r="E132" s="84"/>
    </row>
    <row r="133" spans="4:5" ht="12" x14ac:dyDescent="0.2">
      <c r="D133" s="189"/>
      <c r="E133" s="84"/>
    </row>
    <row r="134" spans="4:5" ht="12" x14ac:dyDescent="0.2">
      <c r="D134" s="189"/>
      <c r="E134" s="84"/>
    </row>
    <row r="135" spans="4:5" ht="12" x14ac:dyDescent="0.2">
      <c r="D135" s="189"/>
      <c r="E135" s="84"/>
    </row>
    <row r="136" spans="4:5" ht="12" x14ac:dyDescent="0.2">
      <c r="D136" s="189"/>
      <c r="E136" s="84"/>
    </row>
    <row r="137" spans="4:5" ht="12" x14ac:dyDescent="0.2">
      <c r="D137" s="189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REFCL WIN compliance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2" t="s">
        <v>220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192</v>
      </c>
      <c r="B5" s="116"/>
      <c r="D5" s="117"/>
      <c r="E5" s="116"/>
      <c r="F5" s="116"/>
      <c r="G5" s="101"/>
      <c r="H5" s="187">
        <f>Consol!H5</f>
        <v>0</v>
      </c>
      <c r="I5" s="187">
        <f>Consol!I5</f>
        <v>0.98294637436598087</v>
      </c>
      <c r="J5" s="187">
        <f>Consol!J5</f>
        <v>0.94970664189949849</v>
      </c>
      <c r="K5" s="187">
        <f>Consol!K5</f>
        <v>0.91759095835700344</v>
      </c>
      <c r="L5" s="187">
        <f>Consol!L5</f>
        <v>0.88656131242222558</v>
      </c>
      <c r="M5" s="187">
        <f>Consol!M5</f>
        <v>0.85658097818572532</v>
      </c>
      <c r="N5" s="187">
        <f>Consol!N5</f>
        <v>0.8276144716770294</v>
      </c>
      <c r="O5" s="187">
        <f>Consol!O5</f>
        <v>0.79962750886669509</v>
      </c>
      <c r="P5" s="187">
        <f>Consol!P5</f>
        <v>0.77258696508859437</v>
      </c>
      <c r="Q5" s="187">
        <f>Consol!Q5</f>
        <v>0.74646083583439071</v>
      </c>
      <c r="R5" s="187">
        <f>Consol!R5</f>
        <v>0.72121819887380756</v>
      </c>
      <c r="S5" s="187">
        <f>Consol!S5</f>
        <v>0.69682917765585273</v>
      </c>
      <c r="T5" s="187">
        <f>Consol!T5</f>
        <v>0.67326490594768384</v>
      </c>
      <c r="U5" s="187">
        <f>Consol!U5</f>
        <v>0.6504974936692598</v>
      </c>
      <c r="V5" s="187">
        <f>Consol!V5</f>
        <v>0.62849999388334288</v>
      </c>
      <c r="W5" s="187">
        <f>Consol!W5</f>
        <v>0.60724637090178057</v>
      </c>
      <c r="X5" s="187">
        <f>Consol!X5</f>
        <v>0.58671146947031949</v>
      </c>
      <c r="Y5" s="187">
        <f>Consol!Y5</f>
        <v>0.56687098499547783</v>
      </c>
      <c r="Z5" s="187">
        <f>Consol!Z5</f>
        <v>0.54770143477823952</v>
      </c>
      <c r="AA5" s="187">
        <f>Consol!AA5</f>
        <v>0.52918013022052135</v>
      </c>
      <c r="AB5" s="187">
        <f>Consol!AB5</f>
        <v>0.5112851499715183</v>
      </c>
      <c r="AC5" s="187">
        <f>Consol!AC5</f>
        <v>0.4939953139821433</v>
      </c>
      <c r="AD5" s="187">
        <f>Consol!AD5</f>
        <v>0.47729015843685346</v>
      </c>
      <c r="AE5" s="187">
        <f>Consol!AE5</f>
        <v>0.46114991153319179</v>
      </c>
      <c r="AF5" s="187">
        <f>Consol!AF5</f>
        <v>0.4455554700803786</v>
      </c>
      <c r="AG5" s="187">
        <f>Consol!AG5</f>
        <v>0.43048837688925473</v>
      </c>
    </row>
    <row r="6" spans="1:33" s="2" customFormat="1" hidden="1" outlineLevel="1" x14ac:dyDescent="0.2">
      <c r="A6" s="188" t="str">
        <f>'Option1 (base case)'!A6</f>
        <v>Count</v>
      </c>
      <c r="B6" s="116"/>
      <c r="D6" s="117"/>
      <c r="E6" s="116"/>
      <c r="F6" s="116"/>
      <c r="G6" s="101"/>
      <c r="H6" s="188">
        <f>Consol!H6</f>
        <v>0</v>
      </c>
      <c r="I6" s="188">
        <f>Consol!I6</f>
        <v>1</v>
      </c>
      <c r="J6" s="188">
        <f>Consol!J6</f>
        <v>2</v>
      </c>
      <c r="K6" s="188">
        <f>Consol!K6</f>
        <v>3</v>
      </c>
      <c r="L6" s="188">
        <f>Consol!L6</f>
        <v>4</v>
      </c>
      <c r="M6" s="188">
        <f>Consol!M6</f>
        <v>5</v>
      </c>
      <c r="N6" s="188">
        <f>Consol!N6</f>
        <v>6</v>
      </c>
      <c r="O6" s="188">
        <f>Consol!O6</f>
        <v>7</v>
      </c>
      <c r="P6" s="188">
        <f>Consol!P6</f>
        <v>8</v>
      </c>
      <c r="Q6" s="188">
        <f>Consol!Q6</f>
        <v>9</v>
      </c>
      <c r="R6" s="188">
        <f>Consol!R6</f>
        <v>10</v>
      </c>
      <c r="S6" s="188">
        <f>Consol!S6</f>
        <v>11</v>
      </c>
      <c r="T6" s="188">
        <f>Consol!T6</f>
        <v>12</v>
      </c>
      <c r="U6" s="188">
        <f>Consol!U6</f>
        <v>13</v>
      </c>
      <c r="V6" s="188">
        <f>Consol!V6</f>
        <v>14</v>
      </c>
      <c r="W6" s="188">
        <f>Consol!W6</f>
        <v>15</v>
      </c>
      <c r="X6" s="188">
        <f>Consol!X6</f>
        <v>16</v>
      </c>
      <c r="Y6" s="188">
        <f>Consol!Y6</f>
        <v>17</v>
      </c>
      <c r="Z6" s="188">
        <f>Consol!Z6</f>
        <v>18</v>
      </c>
      <c r="AA6" s="188">
        <f>Consol!AA6</f>
        <v>19</v>
      </c>
      <c r="AB6" s="188">
        <f>Consol!AB6</f>
        <v>20</v>
      </c>
      <c r="AC6" s="188">
        <f>Consol!AC6</f>
        <v>21</v>
      </c>
      <c r="AD6" s="188">
        <f>Consol!AD6</f>
        <v>22</v>
      </c>
      <c r="AE6" s="188">
        <f>Consol!AE6</f>
        <v>23</v>
      </c>
      <c r="AF6" s="188">
        <f>Consol!AF6</f>
        <v>24</v>
      </c>
      <c r="AG6" s="188">
        <f>Consol!AG6</f>
        <v>25</v>
      </c>
    </row>
    <row r="7" spans="1:33" s="2" customFormat="1" hidden="1" outlineLevel="1" x14ac:dyDescent="0.2">
      <c r="A7" s="116" t="s">
        <v>193</v>
      </c>
      <c r="B7" s="116"/>
      <c r="D7" s="117"/>
      <c r="E7" s="116"/>
      <c r="F7" s="116"/>
      <c r="G7" s="101"/>
      <c r="H7" s="254" t="b">
        <f>Consol!H7</f>
        <v>1</v>
      </c>
      <c r="I7" s="254" t="b">
        <f>Consol!I7</f>
        <v>1</v>
      </c>
      <c r="J7" s="254" t="b">
        <f>Consol!J7</f>
        <v>1</v>
      </c>
      <c r="K7" s="254" t="b">
        <f>Consol!K7</f>
        <v>1</v>
      </c>
      <c r="L7" s="254" t="b">
        <f>Consol!L7</f>
        <v>1</v>
      </c>
      <c r="M7" s="254" t="b">
        <f>Consol!M7</f>
        <v>1</v>
      </c>
      <c r="N7" s="254" t="b">
        <f>Consol!N7</f>
        <v>1</v>
      </c>
      <c r="O7" s="254" t="b">
        <f>Consol!O7</f>
        <v>1</v>
      </c>
      <c r="P7" s="254" t="b">
        <f>Consol!P7</f>
        <v>1</v>
      </c>
      <c r="Q7" s="254" t="b">
        <f>Consol!Q7</f>
        <v>1</v>
      </c>
      <c r="R7" s="254" t="b">
        <f>Consol!R7</f>
        <v>1</v>
      </c>
      <c r="S7" s="254" t="b">
        <f>Consol!S7</f>
        <v>1</v>
      </c>
      <c r="T7" s="254" t="b">
        <f>Consol!T7</f>
        <v>1</v>
      </c>
      <c r="U7" s="254" t="b">
        <f>Consol!U7</f>
        <v>1</v>
      </c>
      <c r="V7" s="254" t="b">
        <f>Consol!V7</f>
        <v>1</v>
      </c>
      <c r="W7" s="254" t="b">
        <f>Consol!W7</f>
        <v>1</v>
      </c>
      <c r="X7" s="254" t="b">
        <f>Consol!X7</f>
        <v>1</v>
      </c>
      <c r="Y7" s="254" t="b">
        <f>Consol!Y7</f>
        <v>1</v>
      </c>
      <c r="Z7" s="254" t="b">
        <f>Consol!Z7</f>
        <v>1</v>
      </c>
      <c r="AA7" s="254" t="b">
        <f>Consol!AA7</f>
        <v>1</v>
      </c>
      <c r="AB7" s="254" t="b">
        <f>Consol!AB7</f>
        <v>1</v>
      </c>
      <c r="AC7" s="254" t="b">
        <f>Consol!AC7</f>
        <v>0</v>
      </c>
      <c r="AD7" s="254" t="b">
        <f>Consol!AD7</f>
        <v>0</v>
      </c>
      <c r="AE7" s="254" t="b">
        <f>Consol!AE7</f>
        <v>0</v>
      </c>
      <c r="AF7" s="254" t="b">
        <f>Consol!AF7</f>
        <v>0</v>
      </c>
      <c r="AG7" s="254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8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0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152</v>
      </c>
      <c r="G11" s="221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4"/>
      <c r="B12" s="244"/>
      <c r="C12" s="244"/>
      <c r="D12" s="244"/>
      <c r="E12" s="244"/>
      <c r="F12" s="244"/>
      <c r="G12" s="245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2006423.6838880533</v>
      </c>
      <c r="AA12" s="31">
        <f>Consol!AB36</f>
        <v>2006423.6838880533</v>
      </c>
      <c r="AB12" s="31">
        <f>Consol!AC36</f>
        <v>0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5"/>
    </row>
    <row r="13" spans="1:33" s="7" customFormat="1" x14ac:dyDescent="0.2">
      <c r="A13" s="244"/>
      <c r="B13" s="244"/>
      <c r="C13" s="244"/>
      <c r="D13" s="244"/>
      <c r="E13" s="244"/>
      <c r="F13" s="244"/>
      <c r="G13" s="245"/>
      <c r="H13" s="245"/>
      <c r="I13" s="245"/>
      <c r="J13" s="245"/>
      <c r="K13" s="245"/>
      <c r="L13" s="245"/>
      <c r="M13" s="245"/>
      <c r="N13" s="245"/>
      <c r="O13" s="245"/>
      <c r="P13" s="245"/>
      <c r="Q13" s="245"/>
      <c r="R13" s="245"/>
      <c r="S13" s="245"/>
      <c r="T13" s="245"/>
      <c r="U13" s="245"/>
      <c r="V13" s="245"/>
      <c r="W13" s="245"/>
      <c r="X13" s="245"/>
      <c r="Y13" s="245"/>
      <c r="Z13" s="245"/>
      <c r="AA13" s="245"/>
      <c r="AB13" s="245"/>
      <c r="AC13" s="245"/>
      <c r="AD13" s="245"/>
      <c r="AE13" s="245"/>
      <c r="AF13" s="245"/>
      <c r="AG13" s="245"/>
    </row>
    <row r="14" spans="1:33" s="7" customFormat="1" x14ac:dyDescent="0.2">
      <c r="A14" s="252" t="s">
        <v>141</v>
      </c>
      <c r="B14" s="252" t="s">
        <v>119</v>
      </c>
      <c r="C14" s="252" t="s">
        <v>186</v>
      </c>
      <c r="D14" s="252" t="str">
        <f>A14&amp;B14</f>
        <v>OPTION 1 (base case)NPV</v>
      </c>
      <c r="E14" s="253"/>
      <c r="F14" s="31">
        <f>SUMPRODUCT($H14:$AG14, $H$5:$AG$5)</f>
        <v>0</v>
      </c>
      <c r="G14" s="245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4"/>
      <c r="B15" s="244"/>
      <c r="C15" s="244"/>
      <c r="D15" s="244"/>
      <c r="E15" s="244"/>
      <c r="F15" s="244"/>
      <c r="G15" s="245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2" t="s">
        <v>141</v>
      </c>
      <c r="B16" s="252" t="str">
        <f>'Option1 (base case)'!A110</f>
        <v>sens1</v>
      </c>
      <c r="C16" s="252" t="str">
        <f>'Option1 (base case)'!C110</f>
        <v>Capex 10% higher</v>
      </c>
      <c r="D16" s="252" t="str">
        <f t="shared" ref="D16:D23" si="0">A16&amp;B16</f>
        <v>OPTION 1 (base case)sens1</v>
      </c>
      <c r="E16" s="253"/>
      <c r="F16" s="31">
        <f>SUMPRODUCT($H16:$AG16, $H$5:$AG$5)</f>
        <v>0</v>
      </c>
      <c r="G16" s="245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2" t="s">
        <v>141</v>
      </c>
      <c r="B17" s="252" t="str">
        <f>'Option1 (base case)'!A111</f>
        <v>sens2</v>
      </c>
      <c r="C17" s="252" t="str">
        <f>'Option1 (base case)'!C111</f>
        <v>Capex 10% lower</v>
      </c>
      <c r="D17" s="252" t="str">
        <f t="shared" si="0"/>
        <v>OPTION 1 (base case)sens2</v>
      </c>
      <c r="E17" s="253"/>
      <c r="F17" s="31">
        <f t="shared" ref="F17:F23" si="1">SUMPRODUCT($H17:$AG17, $H$5:$AG$5)</f>
        <v>0</v>
      </c>
      <c r="G17" s="252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2" t="s">
        <v>141</v>
      </c>
      <c r="B18" s="252" t="str">
        <f>'Option1 (base case)'!A112</f>
        <v>sens3</v>
      </c>
      <c r="C18" s="252" t="str">
        <f>'Option1 (base case)'!C112</f>
        <v>Total benefits 10% higher</v>
      </c>
      <c r="D18" s="252" t="str">
        <f t="shared" si="0"/>
        <v>OPTION 1 (base case)sens3</v>
      </c>
      <c r="E18" s="253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2" t="s">
        <v>141</v>
      </c>
      <c r="B19" s="252" t="str">
        <f>'Option1 (base case)'!A113</f>
        <v>sens4</v>
      </c>
      <c r="C19" s="252" t="str">
        <f>'Option1 (base case)'!C113</f>
        <v>Total benefits 10% lower</v>
      </c>
      <c r="D19" s="252" t="str">
        <f t="shared" si="0"/>
        <v>OPTION 1 (base case)sens4</v>
      </c>
      <c r="E19" s="253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2" t="s">
        <v>141</v>
      </c>
      <c r="B20" s="252" t="str">
        <f>'Option1 (base case)'!A114</f>
        <v>sens5</v>
      </c>
      <c r="C20" s="252" t="str">
        <f>'Option1 (base case)'!C114</f>
        <v>Capex 10% higher &amp; Total benefits 10% lower</v>
      </c>
      <c r="D20" s="252" t="str">
        <f t="shared" si="0"/>
        <v>OPTION 1 (base case)sens5</v>
      </c>
      <c r="E20" s="253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2" t="s">
        <v>141</v>
      </c>
      <c r="B21" s="252" t="str">
        <f>'Option1 (base case)'!A115</f>
        <v>sens</v>
      </c>
      <c r="C21" s="252">
        <f>'Option1 (base case)'!C115</f>
        <v>0</v>
      </c>
      <c r="D21" s="252" t="str">
        <f t="shared" si="0"/>
        <v>OPTION 1 (base case)sens</v>
      </c>
      <c r="E21" s="253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2" t="s">
        <v>141</v>
      </c>
      <c r="B22" s="252" t="str">
        <f>'Option1 (base case)'!A116</f>
        <v>sens</v>
      </c>
      <c r="C22" s="252">
        <f>'Option1 (base case)'!C116</f>
        <v>0</v>
      </c>
      <c r="D22" s="252" t="str">
        <f t="shared" si="0"/>
        <v>OPTION 1 (base case)sens</v>
      </c>
      <c r="E22" s="253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2" t="s">
        <v>141</v>
      </c>
      <c r="B23" s="252" t="str">
        <f>'Option1 (base case)'!A117</f>
        <v>sens</v>
      </c>
      <c r="C23" s="252">
        <f>'Option1 (base case)'!C117</f>
        <v>0</v>
      </c>
      <c r="D23" s="252" t="str">
        <f t="shared" si="0"/>
        <v>OPTION 1 (base case)sens</v>
      </c>
      <c r="E23" s="253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4"/>
      <c r="B24" s="244"/>
      <c r="C24" s="244"/>
      <c r="D24" s="244"/>
      <c r="E24" s="244"/>
      <c r="F24" s="244"/>
      <c r="G24" s="245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4"/>
      <c r="B25" s="244"/>
      <c r="C25" s="244"/>
      <c r="D25" s="244"/>
      <c r="E25" s="244"/>
      <c r="F25" s="244"/>
      <c r="G25" s="245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4"/>
      <c r="B26" s="244"/>
      <c r="C26" s="244"/>
      <c r="D26" s="244"/>
      <c r="E26" s="244"/>
      <c r="F26" s="244"/>
      <c r="G26" s="245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4"/>
      <c r="B27" s="244"/>
      <c r="C27" s="244"/>
      <c r="D27" s="244"/>
      <c r="E27" s="244"/>
      <c r="F27" s="244"/>
      <c r="G27" s="245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2" t="s">
        <v>131</v>
      </c>
      <c r="B28" s="252" t="s">
        <v>119</v>
      </c>
      <c r="C28" s="252" t="s">
        <v>186</v>
      </c>
      <c r="D28" s="252" t="str">
        <f>A28&amp;B28</f>
        <v>Option 2NPV</v>
      </c>
      <c r="E28" s="253"/>
      <c r="F28" s="31">
        <f>SUMPRODUCT($H28:$AG28, $H$5:$AG$5)</f>
        <v>33208533.832419094</v>
      </c>
      <c r="G28" s="245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-91099.381517305927</v>
      </c>
      <c r="K28" s="31">
        <f>(INDEX(Option2!K$106:K$117, MATCH($D28, Option2!$G$106:$G$117,0)))*conv_2026*K$7</f>
        <v>10901378.010372702</v>
      </c>
      <c r="L28" s="31">
        <f>(INDEX(Option2!L$106:L$117, MATCH($D28, Option2!$G$106:$G$117,0)))*conv_2026*L$7</f>
        <v>2006423.6838880535</v>
      </c>
      <c r="M28" s="31">
        <f>(INDEX(Option2!M$106:M$117, MATCH($D28, Option2!$G$106:$G$117,0)))*conv_2026*M$7</f>
        <v>2006423.6838880535</v>
      </c>
      <c r="N28" s="31">
        <f>(INDEX(Option2!N$106:N$117, MATCH($D28, Option2!$G$106:$G$117,0)))*conv_2026*N$7</f>
        <v>2006423.6838880535</v>
      </c>
      <c r="O28" s="31">
        <f>(INDEX(Option2!O$106:O$117, MATCH($D28, Option2!$G$106:$G$117,0)))*conv_2026*O$7</f>
        <v>2006423.6838880535</v>
      </c>
      <c r="P28" s="31">
        <f>(INDEX(Option2!P$106:P$117, MATCH($D28, Option2!$G$106:$G$117,0)))*conv_2026*P$7</f>
        <v>2006423.6838880535</v>
      </c>
      <c r="Q28" s="31">
        <f>(INDEX(Option2!Q$106:Q$117, MATCH($D28, Option2!$G$106:$G$117,0)))*conv_2026*Q$7</f>
        <v>2006423.6838880535</v>
      </c>
      <c r="R28" s="31">
        <f>(INDEX(Option2!R$106:R$117, MATCH($D28, Option2!$G$106:$G$117,0)))*conv_2026*R$7</f>
        <v>2006423.6838880535</v>
      </c>
      <c r="S28" s="31">
        <f>(INDEX(Option2!S$106:S$117, MATCH($D28, Option2!$G$106:$G$117,0)))*conv_2026*S$7</f>
        <v>2006423.6838880535</v>
      </c>
      <c r="T28" s="31">
        <f>(INDEX(Option2!T$106:T$117, MATCH($D28, Option2!$G$106:$G$117,0)))*conv_2026*T$7</f>
        <v>2006423.6838880535</v>
      </c>
      <c r="U28" s="31">
        <f>(INDEX(Option2!U$106:U$117, MATCH($D28, Option2!$G$106:$G$117,0)))*conv_2026*U$7</f>
        <v>2006423.6838880535</v>
      </c>
      <c r="V28" s="31">
        <f>(INDEX(Option2!V$106:V$117, MATCH($D28, Option2!$G$106:$G$117,0)))*conv_2026*V$7</f>
        <v>2006423.6838880535</v>
      </c>
      <c r="W28" s="31">
        <f>(INDEX(Option2!W$106:W$117, MATCH($D28, Option2!$G$106:$G$117,0)))*conv_2026*W$7</f>
        <v>2006423.6838880535</v>
      </c>
      <c r="X28" s="31">
        <f>(INDEX(Option2!X$106:X$117, MATCH($D28, Option2!$G$106:$G$117,0)))*conv_2026*X$7</f>
        <v>2006423.6838880535</v>
      </c>
      <c r="Y28" s="31">
        <f>(INDEX(Option2!Y$106:Y$117, MATCH($D28, Option2!$G$106:$G$117,0)))*conv_2026*Y$7</f>
        <v>2006423.6838880535</v>
      </c>
      <c r="Z28" s="31">
        <f>(INDEX(Option2!Z$106:Z$117, MATCH($D28, Option2!$G$106:$G$117,0)))*conv_2026*Z$7</f>
        <v>2006423.6838880535</v>
      </c>
      <c r="AA28" s="31">
        <f>(INDEX(Option2!AA$106:AA$117, MATCH($D28, Option2!$G$106:$G$117,0)))*conv_2026*AA$7</f>
        <v>2006423.6838880535</v>
      </c>
      <c r="AB28" s="31">
        <f>(INDEX(Option2!AB$106:AB$117, MATCH($D28, Option2!$G$106:$G$117,0)))*conv_2026*AB$7</f>
        <v>2006423.6838880535</v>
      </c>
      <c r="AC28" s="31">
        <f>(INDEX(Option2!AC$106:AC$117, MATCH($D28, Option2!$G$106:$G$117,0)))*conv_2026*AC$7</f>
        <v>0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4"/>
      <c r="B29" s="244"/>
      <c r="C29" s="244"/>
      <c r="D29" s="244"/>
      <c r="E29" s="244"/>
      <c r="F29" s="244"/>
      <c r="G29" s="245"/>
      <c r="H29" s="245"/>
      <c r="I29" s="245"/>
      <c r="J29" s="245"/>
      <c r="K29" s="245"/>
      <c r="L29" s="245"/>
      <c r="M29" s="245"/>
      <c r="N29" s="245"/>
      <c r="O29" s="245"/>
      <c r="P29" s="245"/>
      <c r="Q29" s="245"/>
      <c r="R29" s="245"/>
      <c r="S29" s="245"/>
      <c r="T29" s="245"/>
      <c r="U29" s="245"/>
      <c r="V29" s="245"/>
      <c r="W29" s="245"/>
      <c r="X29" s="245"/>
      <c r="Y29" s="245"/>
      <c r="Z29" s="245"/>
      <c r="AA29" s="245"/>
      <c r="AB29" s="245"/>
      <c r="AC29" s="245"/>
      <c r="AD29" s="245"/>
      <c r="AE29" s="245"/>
      <c r="AF29" s="245"/>
      <c r="AG29" s="245"/>
    </row>
    <row r="30" spans="1:35" s="7" customFormat="1" x14ac:dyDescent="0.2">
      <c r="A30" s="252" t="s">
        <v>131</v>
      </c>
      <c r="B30" s="252" t="str">
        <f>Option2!A110</f>
        <v>sens1</v>
      </c>
      <c r="C30" s="252" t="str">
        <f>Option2!C110</f>
        <v>Capex 10% higher</v>
      </c>
      <c r="D30" s="252" t="str">
        <f t="shared" ref="D30:D37" si="2">A30&amp;B30</f>
        <v>Option 2sens1</v>
      </c>
      <c r="E30" s="253"/>
      <c r="F30" s="31">
        <f>SUMPRODUCT($H30:$AG30, $H$5:$AG$5)</f>
        <v>32914596.872516725</v>
      </c>
      <c r="G30" s="245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-100209.31966903651</v>
      </c>
      <c r="K30" s="31">
        <f>IF($B30=0,0, (INDEX(Option2!K$106:K$117, MATCH($D30, Option2!$G$106:$G$117,0)))*conv_2026*K$7)</f>
        <v>10878603.164993376</v>
      </c>
      <c r="L30" s="31">
        <f>IF($B30=0,0, (INDEX(Option2!L$106:L$117, MATCH($D30, Option2!$G$106:$G$117,0)))*conv_2026*L$7)</f>
        <v>1983648.838508727</v>
      </c>
      <c r="M30" s="31">
        <f>IF($B30=0,0, (INDEX(Option2!M$106:M$117, MATCH($D30, Option2!$G$106:$G$117,0)))*conv_2026*M$7)</f>
        <v>1983648.838508727</v>
      </c>
      <c r="N30" s="31">
        <f>IF($B30=0,0, (INDEX(Option2!N$106:N$117, MATCH($D30, Option2!$G$106:$G$117,0)))*conv_2026*N$7)</f>
        <v>1983648.838508727</v>
      </c>
      <c r="O30" s="31">
        <f>IF($B30=0,0, (INDEX(Option2!O$106:O$117, MATCH($D30, Option2!$G$106:$G$117,0)))*conv_2026*O$7)</f>
        <v>1983648.838508727</v>
      </c>
      <c r="P30" s="31">
        <f>IF($B30=0,0, (INDEX(Option2!P$106:P$117, MATCH($D30, Option2!$G$106:$G$117,0)))*conv_2026*P$7)</f>
        <v>1983648.838508727</v>
      </c>
      <c r="Q30" s="31">
        <f>IF($B30=0,0, (INDEX(Option2!Q$106:Q$117, MATCH($D30, Option2!$G$106:$G$117,0)))*conv_2026*Q$7)</f>
        <v>1983648.838508727</v>
      </c>
      <c r="R30" s="31">
        <f>IF($B30=0,0, (INDEX(Option2!R$106:R$117, MATCH($D30, Option2!$G$106:$G$117,0)))*conv_2026*R$7)</f>
        <v>1983648.838508727</v>
      </c>
      <c r="S30" s="31">
        <f>IF($B30=0,0, (INDEX(Option2!S$106:S$117, MATCH($D30, Option2!$G$106:$G$117,0)))*conv_2026*S$7)</f>
        <v>1983648.838508727</v>
      </c>
      <c r="T30" s="31">
        <f>IF($B30=0,0, (INDEX(Option2!T$106:T$117, MATCH($D30, Option2!$G$106:$G$117,0)))*conv_2026*T$7)</f>
        <v>1983648.838508727</v>
      </c>
      <c r="U30" s="31">
        <f>IF($B30=0,0, (INDEX(Option2!U$106:U$117, MATCH($D30, Option2!$G$106:$G$117,0)))*conv_2026*U$7)</f>
        <v>1983648.838508727</v>
      </c>
      <c r="V30" s="31">
        <f>IF($B30=0,0, (INDEX(Option2!V$106:V$117, MATCH($D30, Option2!$G$106:$G$117,0)))*conv_2026*V$7)</f>
        <v>1983648.838508727</v>
      </c>
      <c r="W30" s="31">
        <f>IF($B30=0,0, (INDEX(Option2!W$106:W$117, MATCH($D30, Option2!$G$106:$G$117,0)))*conv_2026*W$7)</f>
        <v>1983648.838508727</v>
      </c>
      <c r="X30" s="31">
        <f>IF($B30=0,0, (INDEX(Option2!X$106:X$117, MATCH($D30, Option2!$G$106:$G$117,0)))*conv_2026*X$7)</f>
        <v>1983648.838508727</v>
      </c>
      <c r="Y30" s="31">
        <f>IF($B30=0,0, (INDEX(Option2!Y$106:Y$117, MATCH($D30, Option2!$G$106:$G$117,0)))*conv_2026*Y$7)</f>
        <v>1983648.838508727</v>
      </c>
      <c r="Z30" s="31">
        <f>IF($B30=0,0, (INDEX(Option2!Z$106:Z$117, MATCH($D30, Option2!$G$106:$G$117,0)))*conv_2026*Z$7)</f>
        <v>1983648.838508727</v>
      </c>
      <c r="AA30" s="31">
        <f>IF($B30=0,0, (INDEX(Option2!AA$106:AA$117, MATCH($D30, Option2!$G$106:$G$117,0)))*conv_2026*AA$7)</f>
        <v>1983648.838508727</v>
      </c>
      <c r="AB30" s="31">
        <f>IF($B30=0,0, (INDEX(Option2!AB$106:AB$117, MATCH($D30, Option2!$G$106:$G$117,0)))*conv_2026*AB$7)</f>
        <v>1983648.838508727</v>
      </c>
      <c r="AC30" s="31">
        <f>IF($B30=0,0, (INDEX(Option2!AC$106:AC$117, MATCH($D30, Option2!$G$106:$G$117,0)))*conv_2026*AC$7)</f>
        <v>0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2" t="s">
        <v>131</v>
      </c>
      <c r="B31" s="252" t="str">
        <f>Option2!A111</f>
        <v>sens2</v>
      </c>
      <c r="C31" s="252" t="str">
        <f>Option2!C111</f>
        <v>Capex 10% lower</v>
      </c>
      <c r="D31" s="252" t="str">
        <f t="shared" si="2"/>
        <v>Option 2sens2</v>
      </c>
      <c r="E31" s="253"/>
      <c r="F31" s="31">
        <f t="shared" ref="F31:F37" si="3">SUMPRODUCT($H31:$AG31, $H$5:$AG$5)</f>
        <v>33502470.792321473</v>
      </c>
      <c r="G31" s="252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-81989.443365575324</v>
      </c>
      <c r="K31" s="31">
        <f>IF($B31=0,0, (INDEX(Option2!K$106:K$117, MATCH($D31, Option2!$G$106:$G$117,0)))*conv_2026*K$7)</f>
        <v>10924152.855752029</v>
      </c>
      <c r="L31" s="31">
        <f>IF($B31=0,0, (INDEX(Option2!L$106:L$117, MATCH($D31, Option2!$G$106:$G$117,0)))*conv_2026*L$7)</f>
        <v>2029198.5292673798</v>
      </c>
      <c r="M31" s="31">
        <f>IF($B31=0,0, (INDEX(Option2!M$106:M$117, MATCH($D31, Option2!$G$106:$G$117,0)))*conv_2026*M$7)</f>
        <v>2029198.5292673798</v>
      </c>
      <c r="N31" s="31">
        <f>IF($B31=0,0, (INDEX(Option2!N$106:N$117, MATCH($D31, Option2!$G$106:$G$117,0)))*conv_2026*N$7)</f>
        <v>2029198.5292673798</v>
      </c>
      <c r="O31" s="31">
        <f>IF($B31=0,0, (INDEX(Option2!O$106:O$117, MATCH($D31, Option2!$G$106:$G$117,0)))*conv_2026*O$7)</f>
        <v>2029198.5292673798</v>
      </c>
      <c r="P31" s="31">
        <f>IF($B31=0,0, (INDEX(Option2!P$106:P$117, MATCH($D31, Option2!$G$106:$G$117,0)))*conv_2026*P$7)</f>
        <v>2029198.5292673798</v>
      </c>
      <c r="Q31" s="31">
        <f>IF($B31=0,0, (INDEX(Option2!Q$106:Q$117, MATCH($D31, Option2!$G$106:$G$117,0)))*conv_2026*Q$7)</f>
        <v>2029198.5292673798</v>
      </c>
      <c r="R31" s="31">
        <f>IF($B31=0,0, (INDEX(Option2!R$106:R$117, MATCH($D31, Option2!$G$106:$G$117,0)))*conv_2026*R$7)</f>
        <v>2029198.5292673798</v>
      </c>
      <c r="S31" s="31">
        <f>IF($B31=0,0, (INDEX(Option2!S$106:S$117, MATCH($D31, Option2!$G$106:$G$117,0)))*conv_2026*S$7)</f>
        <v>2029198.5292673798</v>
      </c>
      <c r="T31" s="31">
        <f>IF($B31=0,0, (INDEX(Option2!T$106:T$117, MATCH($D31, Option2!$G$106:$G$117,0)))*conv_2026*T$7)</f>
        <v>2029198.5292673798</v>
      </c>
      <c r="U31" s="31">
        <f>IF($B31=0,0, (INDEX(Option2!U$106:U$117, MATCH($D31, Option2!$G$106:$G$117,0)))*conv_2026*U$7)</f>
        <v>2029198.5292673798</v>
      </c>
      <c r="V31" s="31">
        <f>IF($B31=0,0, (INDEX(Option2!V$106:V$117, MATCH($D31, Option2!$G$106:$G$117,0)))*conv_2026*V$7)</f>
        <v>2029198.5292673798</v>
      </c>
      <c r="W31" s="31">
        <f>IF($B31=0,0, (INDEX(Option2!W$106:W$117, MATCH($D31, Option2!$G$106:$G$117,0)))*conv_2026*W$7)</f>
        <v>2029198.5292673798</v>
      </c>
      <c r="X31" s="31">
        <f>IF($B31=0,0, (INDEX(Option2!X$106:X$117, MATCH($D31, Option2!$G$106:$G$117,0)))*conv_2026*X$7)</f>
        <v>2029198.5292673798</v>
      </c>
      <c r="Y31" s="31">
        <f>IF($B31=0,0, (INDEX(Option2!Y$106:Y$117, MATCH($D31, Option2!$G$106:$G$117,0)))*conv_2026*Y$7)</f>
        <v>2029198.5292673798</v>
      </c>
      <c r="Z31" s="31">
        <f>IF($B31=0,0, (INDEX(Option2!Z$106:Z$117, MATCH($D31, Option2!$G$106:$G$117,0)))*conv_2026*Z$7)</f>
        <v>2029198.5292673798</v>
      </c>
      <c r="AA31" s="31">
        <f>IF($B31=0,0, (INDEX(Option2!AA$106:AA$117, MATCH($D31, Option2!$G$106:$G$117,0)))*conv_2026*AA$7)</f>
        <v>2029198.5292673798</v>
      </c>
      <c r="AB31" s="31">
        <f>IF($B31=0,0, (INDEX(Option2!AB$106:AB$117, MATCH($D31, Option2!$G$106:$G$117,0)))*conv_2026*AB$7)</f>
        <v>2029198.5292673798</v>
      </c>
      <c r="AC31" s="31">
        <f>IF($B31=0,0, (INDEX(Option2!AC$106:AC$117, MATCH($D31, Option2!$G$106:$G$117,0)))*conv_2026*AC$7)</f>
        <v>0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2" t="s">
        <v>131</v>
      </c>
      <c r="B32" s="252" t="str">
        <f>Option2!A112</f>
        <v>sens3</v>
      </c>
      <c r="C32" s="252" t="str">
        <f>Option2!C112</f>
        <v>Total benefits 10% higher</v>
      </c>
      <c r="D32" s="252" t="str">
        <f t="shared" si="2"/>
        <v>Option 2sens3</v>
      </c>
      <c r="E32" s="253"/>
      <c r="F32" s="31">
        <f t="shared" si="3"/>
        <v>36823324.17556338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-91099.381517305927</v>
      </c>
      <c r="K32" s="31">
        <f>IF($B32=0,0, (INDEX(Option2!K$106:K$117, MATCH($D32, Option2!$G$106:$G$117,0)))*conv_2026*K$7)</f>
        <v>12014290.656789299</v>
      </c>
      <c r="L32" s="31">
        <f>IF($B32=0,0, (INDEX(Option2!L$106:L$117, MATCH($D32, Option2!$G$106:$G$117,0)))*conv_2026*L$7)</f>
        <v>2229840.8976561851</v>
      </c>
      <c r="M32" s="31">
        <f>IF($B32=0,0, (INDEX(Option2!M$106:M$117, MATCH($D32, Option2!$G$106:$G$117,0)))*conv_2026*M$7)</f>
        <v>2229840.8976561851</v>
      </c>
      <c r="N32" s="31">
        <f>IF($B32=0,0, (INDEX(Option2!N$106:N$117, MATCH($D32, Option2!$G$106:$G$117,0)))*conv_2026*N$7)</f>
        <v>2229840.8976561851</v>
      </c>
      <c r="O32" s="31">
        <f>IF($B32=0,0, (INDEX(Option2!O$106:O$117, MATCH($D32, Option2!$G$106:$G$117,0)))*conv_2026*O$7)</f>
        <v>2229840.8976561851</v>
      </c>
      <c r="P32" s="31">
        <f>IF($B32=0,0, (INDEX(Option2!P$106:P$117, MATCH($D32, Option2!$G$106:$G$117,0)))*conv_2026*P$7)</f>
        <v>2229840.8976561851</v>
      </c>
      <c r="Q32" s="31">
        <f>IF($B32=0,0, (INDEX(Option2!Q$106:Q$117, MATCH($D32, Option2!$G$106:$G$117,0)))*conv_2026*Q$7)</f>
        <v>2229840.8976561851</v>
      </c>
      <c r="R32" s="31">
        <f>IF($B32=0,0, (INDEX(Option2!R$106:R$117, MATCH($D32, Option2!$G$106:$G$117,0)))*conv_2026*R$7)</f>
        <v>2229840.8976561851</v>
      </c>
      <c r="S32" s="31">
        <f>IF($B32=0,0, (INDEX(Option2!S$106:S$117, MATCH($D32, Option2!$G$106:$G$117,0)))*conv_2026*S$7)</f>
        <v>2229840.8976561851</v>
      </c>
      <c r="T32" s="31">
        <f>IF($B32=0,0, (INDEX(Option2!T$106:T$117, MATCH($D32, Option2!$G$106:$G$117,0)))*conv_2026*T$7)</f>
        <v>2229840.8976561851</v>
      </c>
      <c r="U32" s="31">
        <f>IF($B32=0,0, (INDEX(Option2!U$106:U$117, MATCH($D32, Option2!$G$106:$G$117,0)))*conv_2026*U$7)</f>
        <v>2229840.8976561851</v>
      </c>
      <c r="V32" s="31">
        <f>IF($B32=0,0, (INDEX(Option2!V$106:V$117, MATCH($D32, Option2!$G$106:$G$117,0)))*conv_2026*V$7)</f>
        <v>2229840.8976561851</v>
      </c>
      <c r="W32" s="31">
        <f>IF($B32=0,0, (INDEX(Option2!W$106:W$117, MATCH($D32, Option2!$G$106:$G$117,0)))*conv_2026*W$7)</f>
        <v>2229840.8976561851</v>
      </c>
      <c r="X32" s="31">
        <f>IF($B32=0,0, (INDEX(Option2!X$106:X$117, MATCH($D32, Option2!$G$106:$G$117,0)))*conv_2026*X$7)</f>
        <v>2229840.8976561851</v>
      </c>
      <c r="Y32" s="31">
        <f>IF($B32=0,0, (INDEX(Option2!Y$106:Y$117, MATCH($D32, Option2!$G$106:$G$117,0)))*conv_2026*Y$7)</f>
        <v>2229840.8976561851</v>
      </c>
      <c r="Z32" s="31">
        <f>IF($B32=0,0, (INDEX(Option2!Z$106:Z$117, MATCH($D32, Option2!$G$106:$G$117,0)))*conv_2026*Z$7)</f>
        <v>2229840.8976561851</v>
      </c>
      <c r="AA32" s="31">
        <f>IF($B32=0,0, (INDEX(Option2!AA$106:AA$117, MATCH($D32, Option2!$G$106:$G$117,0)))*conv_2026*AA$7)</f>
        <v>2229840.8976561851</v>
      </c>
      <c r="AB32" s="31">
        <f>IF($B32=0,0, (INDEX(Option2!AB$106:AB$117, MATCH($D32, Option2!$G$106:$G$117,0)))*conv_2026*AB$7)</f>
        <v>2229840.8976561851</v>
      </c>
      <c r="AC32" s="31">
        <f>IF($B32=0,0, (INDEX(Option2!AC$106:AC$117, MATCH($D32, Option2!$G$106:$G$117,0)))*conv_2026*AC$7)</f>
        <v>0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2" t="s">
        <v>131</v>
      </c>
      <c r="B33" s="252" t="str">
        <f>Option2!A113</f>
        <v>sens4</v>
      </c>
      <c r="C33" s="252" t="str">
        <f>Option2!C113</f>
        <v>Total benefits 10% lower</v>
      </c>
      <c r="D33" s="252" t="str">
        <f t="shared" si="2"/>
        <v>Option 2sens4</v>
      </c>
      <c r="E33" s="253"/>
      <c r="F33" s="31">
        <f t="shared" si="3"/>
        <v>29593743.489274818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-91099.381517305927</v>
      </c>
      <c r="K33" s="31">
        <f>IF($B33=0,0, (INDEX(Option2!K$106:K$117, MATCH($D33, Option2!$G$106:$G$117,0)))*conv_2026*K$7)</f>
        <v>9788465.363956105</v>
      </c>
      <c r="L33" s="31">
        <f>IF($B33=0,0, (INDEX(Option2!L$106:L$117, MATCH($D33, Option2!$G$106:$G$117,0)))*conv_2026*L$7)</f>
        <v>1783006.4701199217</v>
      </c>
      <c r="M33" s="31">
        <f>IF($B33=0,0, (INDEX(Option2!M$106:M$117, MATCH($D33, Option2!$G$106:$G$117,0)))*conv_2026*M$7)</f>
        <v>1783006.4701199217</v>
      </c>
      <c r="N33" s="31">
        <f>IF($B33=0,0, (INDEX(Option2!N$106:N$117, MATCH($D33, Option2!$G$106:$G$117,0)))*conv_2026*N$7)</f>
        <v>1783006.4701199217</v>
      </c>
      <c r="O33" s="31">
        <f>IF($B33=0,0, (INDEX(Option2!O$106:O$117, MATCH($D33, Option2!$G$106:$G$117,0)))*conv_2026*O$7)</f>
        <v>1783006.4701199217</v>
      </c>
      <c r="P33" s="31">
        <f>IF($B33=0,0, (INDEX(Option2!P$106:P$117, MATCH($D33, Option2!$G$106:$G$117,0)))*conv_2026*P$7)</f>
        <v>1783006.4701199217</v>
      </c>
      <c r="Q33" s="31">
        <f>IF($B33=0,0, (INDEX(Option2!Q$106:Q$117, MATCH($D33, Option2!$G$106:$G$117,0)))*conv_2026*Q$7)</f>
        <v>1783006.4701199217</v>
      </c>
      <c r="R33" s="31">
        <f>IF($B33=0,0, (INDEX(Option2!R$106:R$117, MATCH($D33, Option2!$G$106:$G$117,0)))*conv_2026*R$7)</f>
        <v>1783006.4701199217</v>
      </c>
      <c r="S33" s="31">
        <f>IF($B33=0,0, (INDEX(Option2!S$106:S$117, MATCH($D33, Option2!$G$106:$G$117,0)))*conv_2026*S$7)</f>
        <v>1783006.4701199217</v>
      </c>
      <c r="T33" s="31">
        <f>IF($B33=0,0, (INDEX(Option2!T$106:T$117, MATCH($D33, Option2!$G$106:$G$117,0)))*conv_2026*T$7)</f>
        <v>1783006.4701199217</v>
      </c>
      <c r="U33" s="31">
        <f>IF($B33=0,0, (INDEX(Option2!U$106:U$117, MATCH($D33, Option2!$G$106:$G$117,0)))*conv_2026*U$7)</f>
        <v>1783006.4701199217</v>
      </c>
      <c r="V33" s="31">
        <f>IF($B33=0,0, (INDEX(Option2!V$106:V$117, MATCH($D33, Option2!$G$106:$G$117,0)))*conv_2026*V$7)</f>
        <v>1783006.4701199217</v>
      </c>
      <c r="W33" s="31">
        <f>IF($B33=0,0, (INDEX(Option2!W$106:W$117, MATCH($D33, Option2!$G$106:$G$117,0)))*conv_2026*W$7)</f>
        <v>1783006.4701199217</v>
      </c>
      <c r="X33" s="31">
        <f>IF($B33=0,0, (INDEX(Option2!X$106:X$117, MATCH($D33, Option2!$G$106:$G$117,0)))*conv_2026*X$7)</f>
        <v>1783006.4701199217</v>
      </c>
      <c r="Y33" s="31">
        <f>IF($B33=0,0, (INDEX(Option2!Y$106:Y$117, MATCH($D33, Option2!$G$106:$G$117,0)))*conv_2026*Y$7)</f>
        <v>1783006.4701199217</v>
      </c>
      <c r="Z33" s="31">
        <f>IF($B33=0,0, (INDEX(Option2!Z$106:Z$117, MATCH($D33, Option2!$G$106:$G$117,0)))*conv_2026*Z$7)</f>
        <v>1783006.4701199217</v>
      </c>
      <c r="AA33" s="31">
        <f>IF($B33=0,0, (INDEX(Option2!AA$106:AA$117, MATCH($D33, Option2!$G$106:$G$117,0)))*conv_2026*AA$7)</f>
        <v>1783006.4701199217</v>
      </c>
      <c r="AB33" s="31">
        <f>IF($B33=0,0, (INDEX(Option2!AB$106:AB$117, MATCH($D33, Option2!$G$106:$G$117,0)))*conv_2026*AB$7)</f>
        <v>1783006.4701199217</v>
      </c>
      <c r="AC33" s="31">
        <f>IF($B33=0,0, (INDEX(Option2!AC$106:AC$117, MATCH($D33, Option2!$G$106:$G$117,0)))*conv_2026*AC$7)</f>
        <v>0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2" t="s">
        <v>131</v>
      </c>
      <c r="B34" s="252" t="str">
        <f>Option2!A114</f>
        <v>sens5</v>
      </c>
      <c r="C34" s="252" t="str">
        <f>Option2!C114</f>
        <v>Capex 10% higher &amp; Total benefits 10% lower</v>
      </c>
      <c r="D34" s="252" t="str">
        <f t="shared" si="2"/>
        <v>Option 2sens5</v>
      </c>
      <c r="E34" s="253"/>
      <c r="F34" s="31">
        <f t="shared" si="3"/>
        <v>29299806.529372443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-100209.31966903651</v>
      </c>
      <c r="K34" s="31">
        <f>IF($B34=0,0, (INDEX(Option2!K$106:K$117, MATCH($D34, Option2!$G$106:$G$117,0)))*conv_2026*K$7)</f>
        <v>9765690.5185767803</v>
      </c>
      <c r="L34" s="31">
        <f>IF($B34=0,0, (INDEX(Option2!L$106:L$117, MATCH($D34, Option2!$G$106:$G$117,0)))*conv_2026*L$7)</f>
        <v>1760231.6247405952</v>
      </c>
      <c r="M34" s="31">
        <f>IF($B34=0,0, (INDEX(Option2!M$106:M$117, MATCH($D34, Option2!$G$106:$G$117,0)))*conv_2026*M$7)</f>
        <v>1760231.6247405952</v>
      </c>
      <c r="N34" s="31">
        <f>IF($B34=0,0, (INDEX(Option2!N$106:N$117, MATCH($D34, Option2!$G$106:$G$117,0)))*conv_2026*N$7)</f>
        <v>1760231.6247405952</v>
      </c>
      <c r="O34" s="31">
        <f>IF($B34=0,0, (INDEX(Option2!O$106:O$117, MATCH($D34, Option2!$G$106:$G$117,0)))*conv_2026*O$7)</f>
        <v>1760231.6247405952</v>
      </c>
      <c r="P34" s="31">
        <f>IF($B34=0,0, (INDEX(Option2!P$106:P$117, MATCH($D34, Option2!$G$106:$G$117,0)))*conv_2026*P$7)</f>
        <v>1760231.6247405952</v>
      </c>
      <c r="Q34" s="31">
        <f>IF($B34=0,0, (INDEX(Option2!Q$106:Q$117, MATCH($D34, Option2!$G$106:$G$117,0)))*conv_2026*Q$7)</f>
        <v>1760231.6247405952</v>
      </c>
      <c r="R34" s="31">
        <f>IF($B34=0,0, (INDEX(Option2!R$106:R$117, MATCH($D34, Option2!$G$106:$G$117,0)))*conv_2026*R$7)</f>
        <v>1760231.6247405952</v>
      </c>
      <c r="S34" s="31">
        <f>IF($B34=0,0, (INDEX(Option2!S$106:S$117, MATCH($D34, Option2!$G$106:$G$117,0)))*conv_2026*S$7)</f>
        <v>1760231.6247405952</v>
      </c>
      <c r="T34" s="31">
        <f>IF($B34=0,0, (INDEX(Option2!T$106:T$117, MATCH($D34, Option2!$G$106:$G$117,0)))*conv_2026*T$7)</f>
        <v>1760231.6247405952</v>
      </c>
      <c r="U34" s="31">
        <f>IF($B34=0,0, (INDEX(Option2!U$106:U$117, MATCH($D34, Option2!$G$106:$G$117,0)))*conv_2026*U$7)</f>
        <v>1760231.6247405952</v>
      </c>
      <c r="V34" s="31">
        <f>IF($B34=0,0, (INDEX(Option2!V$106:V$117, MATCH($D34, Option2!$G$106:$G$117,0)))*conv_2026*V$7)</f>
        <v>1760231.6247405952</v>
      </c>
      <c r="W34" s="31">
        <f>IF($B34=0,0, (INDEX(Option2!W$106:W$117, MATCH($D34, Option2!$G$106:$G$117,0)))*conv_2026*W$7)</f>
        <v>1760231.6247405952</v>
      </c>
      <c r="X34" s="31">
        <f>IF($B34=0,0, (INDEX(Option2!X$106:X$117, MATCH($D34, Option2!$G$106:$G$117,0)))*conv_2026*X$7)</f>
        <v>1760231.6247405952</v>
      </c>
      <c r="Y34" s="31">
        <f>IF($B34=0,0, (INDEX(Option2!Y$106:Y$117, MATCH($D34, Option2!$G$106:$G$117,0)))*conv_2026*Y$7)</f>
        <v>1760231.6247405952</v>
      </c>
      <c r="Z34" s="31">
        <f>IF($B34=0,0, (INDEX(Option2!Z$106:Z$117, MATCH($D34, Option2!$G$106:$G$117,0)))*conv_2026*Z$7)</f>
        <v>1760231.6247405952</v>
      </c>
      <c r="AA34" s="31">
        <f>IF($B34=0,0, (INDEX(Option2!AA$106:AA$117, MATCH($D34, Option2!$G$106:$G$117,0)))*conv_2026*AA$7)</f>
        <v>1760231.6247405952</v>
      </c>
      <c r="AB34" s="31">
        <f>IF($B34=0,0, (INDEX(Option2!AB$106:AB$117, MATCH($D34, Option2!$G$106:$G$117,0)))*conv_2026*AB$7)</f>
        <v>1760231.6247405952</v>
      </c>
      <c r="AC34" s="31">
        <f>IF($B34=0,0, (INDEX(Option2!AC$106:AC$117, MATCH($D34, Option2!$G$106:$G$117,0)))*conv_2026*AC$7)</f>
        <v>0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2" t="s">
        <v>131</v>
      </c>
      <c r="B35" s="252" t="str">
        <f>Option2!A115</f>
        <v>sens</v>
      </c>
      <c r="C35" s="252">
        <f>Option2!C115</f>
        <v>0</v>
      </c>
      <c r="D35" s="252" t="str">
        <f t="shared" si="2"/>
        <v>Option 2sens</v>
      </c>
      <c r="E35" s="253"/>
      <c r="F35" s="31">
        <f t="shared" si="3"/>
        <v>33208533.832419094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-91099.381517305927</v>
      </c>
      <c r="K35" s="31">
        <f>IF($B35=0,0, (INDEX(Option2!K$106:K$117, MATCH($D35, Option2!$G$106:$G$117,0)))*conv_2026*K$7)</f>
        <v>10901378.010372702</v>
      </c>
      <c r="L35" s="31">
        <f>IF($B35=0,0, (INDEX(Option2!L$106:L$117, MATCH($D35, Option2!$G$106:$G$117,0)))*conv_2026*L$7)</f>
        <v>2006423.6838880535</v>
      </c>
      <c r="M35" s="31">
        <f>IF($B35=0,0, (INDEX(Option2!M$106:M$117, MATCH($D35, Option2!$G$106:$G$117,0)))*conv_2026*M$7)</f>
        <v>2006423.6838880535</v>
      </c>
      <c r="N35" s="31">
        <f>IF($B35=0,0, (INDEX(Option2!N$106:N$117, MATCH($D35, Option2!$G$106:$G$117,0)))*conv_2026*N$7)</f>
        <v>2006423.6838880535</v>
      </c>
      <c r="O35" s="31">
        <f>IF($B35=0,0, (INDEX(Option2!O$106:O$117, MATCH($D35, Option2!$G$106:$G$117,0)))*conv_2026*O$7)</f>
        <v>2006423.6838880535</v>
      </c>
      <c r="P35" s="31">
        <f>IF($B35=0,0, (INDEX(Option2!P$106:P$117, MATCH($D35, Option2!$G$106:$G$117,0)))*conv_2026*P$7)</f>
        <v>2006423.6838880535</v>
      </c>
      <c r="Q35" s="31">
        <f>IF($B35=0,0, (INDEX(Option2!Q$106:Q$117, MATCH($D35, Option2!$G$106:$G$117,0)))*conv_2026*Q$7)</f>
        <v>2006423.6838880535</v>
      </c>
      <c r="R35" s="31">
        <f>IF($B35=0,0, (INDEX(Option2!R$106:R$117, MATCH($D35, Option2!$G$106:$G$117,0)))*conv_2026*R$7)</f>
        <v>2006423.6838880535</v>
      </c>
      <c r="S35" s="31">
        <f>IF($B35=0,0, (INDEX(Option2!S$106:S$117, MATCH($D35, Option2!$G$106:$G$117,0)))*conv_2026*S$7)</f>
        <v>2006423.6838880535</v>
      </c>
      <c r="T35" s="31">
        <f>IF($B35=0,0, (INDEX(Option2!T$106:T$117, MATCH($D35, Option2!$G$106:$G$117,0)))*conv_2026*T$7)</f>
        <v>2006423.6838880535</v>
      </c>
      <c r="U35" s="31">
        <f>IF($B35=0,0, (INDEX(Option2!U$106:U$117, MATCH($D35, Option2!$G$106:$G$117,0)))*conv_2026*U$7)</f>
        <v>2006423.6838880535</v>
      </c>
      <c r="V35" s="31">
        <f>IF($B35=0,0, (INDEX(Option2!V$106:V$117, MATCH($D35, Option2!$G$106:$G$117,0)))*conv_2026*V$7)</f>
        <v>2006423.6838880535</v>
      </c>
      <c r="W35" s="31">
        <f>IF($B35=0,0, (INDEX(Option2!W$106:W$117, MATCH($D35, Option2!$G$106:$G$117,0)))*conv_2026*W$7)</f>
        <v>2006423.6838880535</v>
      </c>
      <c r="X35" s="31">
        <f>IF($B35=0,0, (INDEX(Option2!X$106:X$117, MATCH($D35, Option2!$G$106:$G$117,0)))*conv_2026*X$7)</f>
        <v>2006423.6838880535</v>
      </c>
      <c r="Y35" s="31">
        <f>IF($B35=0,0, (INDEX(Option2!Y$106:Y$117, MATCH($D35, Option2!$G$106:$G$117,0)))*conv_2026*Y$7)</f>
        <v>2006423.6838880535</v>
      </c>
      <c r="Z35" s="31">
        <f>IF($B35=0,0, (INDEX(Option2!Z$106:Z$117, MATCH($D35, Option2!$G$106:$G$117,0)))*conv_2026*Z$7)</f>
        <v>2006423.6838880535</v>
      </c>
      <c r="AA35" s="31">
        <f>IF($B35=0,0, (INDEX(Option2!AA$106:AA$117, MATCH($D35, Option2!$G$106:$G$117,0)))*conv_2026*AA$7)</f>
        <v>2006423.6838880535</v>
      </c>
      <c r="AB35" s="31">
        <f>IF($B35=0,0, (INDEX(Option2!AB$106:AB$117, MATCH($D35, Option2!$G$106:$G$117,0)))*conv_2026*AB$7)</f>
        <v>2006423.6838880535</v>
      </c>
      <c r="AC35" s="31">
        <f>IF($B35=0,0, (INDEX(Option2!AC$106:AC$117, MATCH($D35, Option2!$G$106:$G$117,0)))*conv_2026*AC$7)</f>
        <v>0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2" t="s">
        <v>131</v>
      </c>
      <c r="B36" s="252" t="str">
        <f>Option2!A116</f>
        <v>sens</v>
      </c>
      <c r="C36" s="252">
        <f>Option2!C116</f>
        <v>0</v>
      </c>
      <c r="D36" s="252" t="str">
        <f t="shared" si="2"/>
        <v>Option 2sens</v>
      </c>
      <c r="E36" s="253"/>
      <c r="F36" s="31">
        <f t="shared" si="3"/>
        <v>33208533.832419094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-91099.381517305927</v>
      </c>
      <c r="K36" s="31">
        <f>IF($B36=0,0, (INDEX(Option2!K$106:K$117, MATCH($D36, Option2!$G$106:$G$117,0)))*conv_2026*K$7)</f>
        <v>10901378.010372702</v>
      </c>
      <c r="L36" s="31">
        <f>IF($B36=0,0, (INDEX(Option2!L$106:L$117, MATCH($D36, Option2!$G$106:$G$117,0)))*conv_2026*L$7)</f>
        <v>2006423.6838880535</v>
      </c>
      <c r="M36" s="31">
        <f>IF($B36=0,0, (INDEX(Option2!M$106:M$117, MATCH($D36, Option2!$G$106:$G$117,0)))*conv_2026*M$7)</f>
        <v>2006423.6838880535</v>
      </c>
      <c r="N36" s="31">
        <f>IF($B36=0,0, (INDEX(Option2!N$106:N$117, MATCH($D36, Option2!$G$106:$G$117,0)))*conv_2026*N$7)</f>
        <v>2006423.6838880535</v>
      </c>
      <c r="O36" s="31">
        <f>IF($B36=0,0, (INDEX(Option2!O$106:O$117, MATCH($D36, Option2!$G$106:$G$117,0)))*conv_2026*O$7)</f>
        <v>2006423.6838880535</v>
      </c>
      <c r="P36" s="31">
        <f>IF($B36=0,0, (INDEX(Option2!P$106:P$117, MATCH($D36, Option2!$G$106:$G$117,0)))*conv_2026*P$7)</f>
        <v>2006423.6838880535</v>
      </c>
      <c r="Q36" s="31">
        <f>IF($B36=0,0, (INDEX(Option2!Q$106:Q$117, MATCH($D36, Option2!$G$106:$G$117,0)))*conv_2026*Q$7)</f>
        <v>2006423.6838880535</v>
      </c>
      <c r="R36" s="31">
        <f>IF($B36=0,0, (INDEX(Option2!R$106:R$117, MATCH($D36, Option2!$G$106:$G$117,0)))*conv_2026*R$7)</f>
        <v>2006423.6838880535</v>
      </c>
      <c r="S36" s="31">
        <f>IF($B36=0,0, (INDEX(Option2!S$106:S$117, MATCH($D36, Option2!$G$106:$G$117,0)))*conv_2026*S$7)</f>
        <v>2006423.6838880535</v>
      </c>
      <c r="T36" s="31">
        <f>IF($B36=0,0, (INDEX(Option2!T$106:T$117, MATCH($D36, Option2!$G$106:$G$117,0)))*conv_2026*T$7)</f>
        <v>2006423.6838880535</v>
      </c>
      <c r="U36" s="31">
        <f>IF($B36=0,0, (INDEX(Option2!U$106:U$117, MATCH($D36, Option2!$G$106:$G$117,0)))*conv_2026*U$7)</f>
        <v>2006423.6838880535</v>
      </c>
      <c r="V36" s="31">
        <f>IF($B36=0,0, (INDEX(Option2!V$106:V$117, MATCH($D36, Option2!$G$106:$G$117,0)))*conv_2026*V$7)</f>
        <v>2006423.6838880535</v>
      </c>
      <c r="W36" s="31">
        <f>IF($B36=0,0, (INDEX(Option2!W$106:W$117, MATCH($D36, Option2!$G$106:$G$117,0)))*conv_2026*W$7)</f>
        <v>2006423.6838880535</v>
      </c>
      <c r="X36" s="31">
        <f>IF($B36=0,0, (INDEX(Option2!X$106:X$117, MATCH($D36, Option2!$G$106:$G$117,0)))*conv_2026*X$7)</f>
        <v>2006423.6838880535</v>
      </c>
      <c r="Y36" s="31">
        <f>IF($B36=0,0, (INDEX(Option2!Y$106:Y$117, MATCH($D36, Option2!$G$106:$G$117,0)))*conv_2026*Y$7)</f>
        <v>2006423.6838880535</v>
      </c>
      <c r="Z36" s="31">
        <f>IF($B36=0,0, (INDEX(Option2!Z$106:Z$117, MATCH($D36, Option2!$G$106:$G$117,0)))*conv_2026*Z$7)</f>
        <v>2006423.6838880535</v>
      </c>
      <c r="AA36" s="31">
        <f>IF($B36=0,0, (INDEX(Option2!AA$106:AA$117, MATCH($D36, Option2!$G$106:$G$117,0)))*conv_2026*AA$7)</f>
        <v>2006423.6838880535</v>
      </c>
      <c r="AB36" s="31">
        <f>IF($B36=0,0, (INDEX(Option2!AB$106:AB$117, MATCH($D36, Option2!$G$106:$G$117,0)))*conv_2026*AB$7)</f>
        <v>2006423.6838880535</v>
      </c>
      <c r="AC36" s="31">
        <f>IF($B36=0,0, (INDEX(Option2!AC$106:AC$117, MATCH($D36, Option2!$G$106:$G$117,0)))*conv_2026*AC$7)</f>
        <v>0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2" t="s">
        <v>131</v>
      </c>
      <c r="B37" s="252" t="str">
        <f>Option2!A117</f>
        <v>sens</v>
      </c>
      <c r="C37" s="252">
        <f>Option2!C117</f>
        <v>0</v>
      </c>
      <c r="D37" s="252" t="str">
        <f t="shared" si="2"/>
        <v>Option 2sens</v>
      </c>
      <c r="E37" s="253"/>
      <c r="F37" s="31">
        <f t="shared" si="3"/>
        <v>33208533.832419094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-91099.381517305927</v>
      </c>
      <c r="K37" s="31">
        <f>IF($B37=0,0, (INDEX(Option2!K$106:K$117, MATCH($D37, Option2!$G$106:$G$117,0)))*conv_2026*K$7)</f>
        <v>10901378.010372702</v>
      </c>
      <c r="L37" s="31">
        <f>IF($B37=0,0, (INDEX(Option2!L$106:L$117, MATCH($D37, Option2!$G$106:$G$117,0)))*conv_2026*L$7)</f>
        <v>2006423.6838880535</v>
      </c>
      <c r="M37" s="31">
        <f>IF($B37=0,0, (INDEX(Option2!M$106:M$117, MATCH($D37, Option2!$G$106:$G$117,0)))*conv_2026*M$7)</f>
        <v>2006423.6838880535</v>
      </c>
      <c r="N37" s="31">
        <f>IF($B37=0,0, (INDEX(Option2!N$106:N$117, MATCH($D37, Option2!$G$106:$G$117,0)))*conv_2026*N$7)</f>
        <v>2006423.6838880535</v>
      </c>
      <c r="O37" s="31">
        <f>IF($B37=0,0, (INDEX(Option2!O$106:O$117, MATCH($D37, Option2!$G$106:$G$117,0)))*conv_2026*O$7)</f>
        <v>2006423.6838880535</v>
      </c>
      <c r="P37" s="31">
        <f>IF($B37=0,0, (INDEX(Option2!P$106:P$117, MATCH($D37, Option2!$G$106:$G$117,0)))*conv_2026*P$7)</f>
        <v>2006423.6838880535</v>
      </c>
      <c r="Q37" s="31">
        <f>IF($B37=0,0, (INDEX(Option2!Q$106:Q$117, MATCH($D37, Option2!$G$106:$G$117,0)))*conv_2026*Q$7)</f>
        <v>2006423.6838880535</v>
      </c>
      <c r="R37" s="31">
        <f>IF($B37=0,0, (INDEX(Option2!R$106:R$117, MATCH($D37, Option2!$G$106:$G$117,0)))*conv_2026*R$7)</f>
        <v>2006423.6838880535</v>
      </c>
      <c r="S37" s="31">
        <f>IF($B37=0,0, (INDEX(Option2!S$106:S$117, MATCH($D37, Option2!$G$106:$G$117,0)))*conv_2026*S$7)</f>
        <v>2006423.6838880535</v>
      </c>
      <c r="T37" s="31">
        <f>IF($B37=0,0, (INDEX(Option2!T$106:T$117, MATCH($D37, Option2!$G$106:$G$117,0)))*conv_2026*T$7)</f>
        <v>2006423.6838880535</v>
      </c>
      <c r="U37" s="31">
        <f>IF($B37=0,0, (INDEX(Option2!U$106:U$117, MATCH($D37, Option2!$G$106:$G$117,0)))*conv_2026*U$7)</f>
        <v>2006423.6838880535</v>
      </c>
      <c r="V37" s="31">
        <f>IF($B37=0,0, (INDEX(Option2!V$106:V$117, MATCH($D37, Option2!$G$106:$G$117,0)))*conv_2026*V$7)</f>
        <v>2006423.6838880535</v>
      </c>
      <c r="W37" s="31">
        <f>IF($B37=0,0, (INDEX(Option2!W$106:W$117, MATCH($D37, Option2!$G$106:$G$117,0)))*conv_2026*W$7)</f>
        <v>2006423.6838880535</v>
      </c>
      <c r="X37" s="31">
        <f>IF($B37=0,0, (INDEX(Option2!X$106:X$117, MATCH($D37, Option2!$G$106:$G$117,0)))*conv_2026*X$7)</f>
        <v>2006423.6838880535</v>
      </c>
      <c r="Y37" s="31">
        <f>IF($B37=0,0, (INDEX(Option2!Y$106:Y$117, MATCH($D37, Option2!$G$106:$G$117,0)))*conv_2026*Y$7)</f>
        <v>2006423.6838880535</v>
      </c>
      <c r="Z37" s="31">
        <f>IF($B37=0,0, (INDEX(Option2!Z$106:Z$117, MATCH($D37, Option2!$G$106:$G$117,0)))*conv_2026*Z$7)</f>
        <v>2006423.6838880535</v>
      </c>
      <c r="AA37" s="31">
        <f>IF($B37=0,0, (INDEX(Option2!AA$106:AA$117, MATCH($D37, Option2!$G$106:$G$117,0)))*conv_2026*AA$7)</f>
        <v>2006423.6838880535</v>
      </c>
      <c r="AB37" s="31">
        <f>IF($B37=0,0, (INDEX(Option2!AB$106:AB$117, MATCH($D37, Option2!$G$106:$G$117,0)))*conv_2026*AB$7)</f>
        <v>2006423.6838880535</v>
      </c>
      <c r="AC37" s="31">
        <f>IF($B37=0,0, (INDEX(Option2!AC$106:AC$117, MATCH($D37, Option2!$G$106:$G$117,0)))*conv_2026*AC$7)</f>
        <v>0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2"/>
      <c r="B38" s="252"/>
      <c r="C38" s="252"/>
      <c r="D38" s="252"/>
      <c r="E38" s="252"/>
      <c r="F38" s="31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</row>
    <row r="39" spans="1:35" s="8" customFormat="1" x14ac:dyDescent="0.2">
      <c r="A39" s="252"/>
      <c r="B39" s="252"/>
      <c r="C39" s="252"/>
      <c r="D39" s="252"/>
      <c r="E39" s="252"/>
      <c r="F39" s="31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</row>
    <row r="40" spans="1:35" s="8" customFormat="1" x14ac:dyDescent="0.2">
      <c r="A40" s="252"/>
      <c r="B40" s="252"/>
      <c r="C40" s="252"/>
      <c r="D40" s="252"/>
      <c r="E40" s="252"/>
      <c r="F40" s="31"/>
      <c r="H40" s="31">
        <f>Consol!H50</f>
        <v>0</v>
      </c>
      <c r="I40" s="31">
        <f>Consol!I50</f>
        <v>0</v>
      </c>
      <c r="J40" s="31">
        <f>Consol!J50</f>
        <v>-41516.645222730556</v>
      </c>
      <c r="K40" s="31">
        <f>Consol!K50</f>
        <v>10796993.302384125</v>
      </c>
      <c r="L40" s="31">
        <f>Consol!L50</f>
        <v>1902038.9758994735</v>
      </c>
      <c r="M40" s="31">
        <f>Consol!M50</f>
        <v>1902038.9758994735</v>
      </c>
      <c r="N40" s="31">
        <f>Consol!N50</f>
        <v>1902038.9758994735</v>
      </c>
      <c r="O40" s="31">
        <f>Consol!O50</f>
        <v>1902038.9758994735</v>
      </c>
      <c r="P40" s="31">
        <f>Consol!P50</f>
        <v>1902038.9758994735</v>
      </c>
      <c r="Q40" s="31">
        <f>Consol!Q50</f>
        <v>1902038.9758994735</v>
      </c>
      <c r="R40" s="31">
        <f>Consol!R50</f>
        <v>1902038.9758994735</v>
      </c>
      <c r="S40" s="31">
        <f>Consol!S50</f>
        <v>1902038.9758994735</v>
      </c>
      <c r="T40" s="31">
        <f>Consol!T50</f>
        <v>1902038.9758994735</v>
      </c>
      <c r="U40" s="31">
        <f>Consol!U50</f>
        <v>1902038.9758994735</v>
      </c>
      <c r="V40" s="31">
        <f>Consol!V50</f>
        <v>1902038.9758994735</v>
      </c>
      <c r="W40" s="31">
        <f>Consol!W50</f>
        <v>1902038.9758994735</v>
      </c>
      <c r="X40" s="31">
        <f>Consol!X50</f>
        <v>1902038.9758994735</v>
      </c>
      <c r="Y40" s="31">
        <f>Consol!Y50</f>
        <v>1902038.9758994735</v>
      </c>
      <c r="Z40" s="31">
        <f>Consol!Z50</f>
        <v>1902038.9758994735</v>
      </c>
      <c r="AA40" s="31">
        <f>Consol!AA50</f>
        <v>1902038.9758994735</v>
      </c>
      <c r="AB40" s="31">
        <f>Consol!AB50</f>
        <v>1902038.9758994735</v>
      </c>
      <c r="AC40" s="31">
        <f>Consol!AC50</f>
        <v>0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2"/>
      <c r="B41" s="252"/>
      <c r="C41" s="252"/>
      <c r="D41" s="252"/>
      <c r="E41" s="252"/>
      <c r="F41" s="31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</row>
    <row r="42" spans="1:35" s="8" customFormat="1" x14ac:dyDescent="0.2">
      <c r="A42" s="252" t="s">
        <v>132</v>
      </c>
      <c r="B42" s="252" t="s">
        <v>119</v>
      </c>
      <c r="C42" s="252" t="s">
        <v>186</v>
      </c>
      <c r="D42" s="252" t="str">
        <f>A42&amp;B42</f>
        <v>Option 3NPV</v>
      </c>
      <c r="E42" s="253"/>
      <c r="F42" s="31">
        <f t="shared" ref="F42:F51" si="4">SUMPRODUCT($H42:$AG42, $H$5:$AG$5)</f>
        <v>31948065.760378189</v>
      </c>
      <c r="G42" s="245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-41516.645222730556</v>
      </c>
      <c r="K42" s="31">
        <f>(INDEX(Option3!K$106:K$117, MATCH($D42, Option3!$G$106:$G$117,0)))*conv_2026*K$7</f>
        <v>10796993.302384123</v>
      </c>
      <c r="L42" s="31">
        <f>(INDEX(Option3!L$106:L$117, MATCH($D42, Option3!$G$106:$G$117,0)))*conv_2026*L$7</f>
        <v>1902038.9758994738</v>
      </c>
      <c r="M42" s="31">
        <f>(INDEX(Option3!M$106:M$117, MATCH($D42, Option3!$G$106:$G$117,0)))*conv_2026*M$7</f>
        <v>1902038.9758994738</v>
      </c>
      <c r="N42" s="31">
        <f>(INDEX(Option3!N$106:N$117, MATCH($D42, Option3!$G$106:$G$117,0)))*conv_2026*N$7</f>
        <v>1902038.9758994738</v>
      </c>
      <c r="O42" s="31">
        <f>(INDEX(Option3!O$106:O$117, MATCH($D42, Option3!$G$106:$G$117,0)))*conv_2026*O$7</f>
        <v>1902038.9758994738</v>
      </c>
      <c r="P42" s="31">
        <f>(INDEX(Option3!P$106:P$117, MATCH($D42, Option3!$G$106:$G$117,0)))*conv_2026*P$7</f>
        <v>1902038.9758994738</v>
      </c>
      <c r="Q42" s="31">
        <f>(INDEX(Option3!Q$106:Q$117, MATCH($D42, Option3!$G$106:$G$117,0)))*conv_2026*Q$7</f>
        <v>1902038.9758994738</v>
      </c>
      <c r="R42" s="31">
        <f>(INDEX(Option3!R$106:R$117, MATCH($D42, Option3!$G$106:$G$117,0)))*conv_2026*R$7</f>
        <v>1902038.9758994738</v>
      </c>
      <c r="S42" s="31">
        <f>(INDEX(Option3!S$106:S$117, MATCH($D42, Option3!$G$106:$G$117,0)))*conv_2026*S$7</f>
        <v>1902038.9758994738</v>
      </c>
      <c r="T42" s="31">
        <f>(INDEX(Option3!T$106:T$117, MATCH($D42, Option3!$G$106:$G$117,0)))*conv_2026*T$7</f>
        <v>1902038.9758994738</v>
      </c>
      <c r="U42" s="31">
        <f>(INDEX(Option3!U$106:U$117, MATCH($D42, Option3!$G$106:$G$117,0)))*conv_2026*U$7</f>
        <v>1902038.9758994738</v>
      </c>
      <c r="V42" s="31">
        <f>(INDEX(Option3!V$106:V$117, MATCH($D42, Option3!$G$106:$G$117,0)))*conv_2026*V$7</f>
        <v>1902038.9758994738</v>
      </c>
      <c r="W42" s="31">
        <f>(INDEX(Option3!W$106:W$117, MATCH($D42, Option3!$G$106:$G$117,0)))*conv_2026*W$7</f>
        <v>1902038.9758994738</v>
      </c>
      <c r="X42" s="31">
        <f>(INDEX(Option3!X$106:X$117, MATCH($D42, Option3!$G$106:$G$117,0)))*conv_2026*X$7</f>
        <v>1902038.9758994738</v>
      </c>
      <c r="Y42" s="31">
        <f>(INDEX(Option3!Y$106:Y$117, MATCH($D42, Option3!$G$106:$G$117,0)))*conv_2026*Y$7</f>
        <v>1902038.9758994738</v>
      </c>
      <c r="Z42" s="31">
        <f>(INDEX(Option3!Z$106:Z$117, MATCH($D42, Option3!$G$106:$G$117,0)))*conv_2026*Z$7</f>
        <v>1902038.9758994738</v>
      </c>
      <c r="AA42" s="31">
        <f>(INDEX(Option3!AA$106:AA$117, MATCH($D42, Option3!$G$106:$G$117,0)))*conv_2026*AA$7</f>
        <v>1902038.9758994738</v>
      </c>
      <c r="AB42" s="31">
        <f>(INDEX(Option3!AB$106:AB$117, MATCH($D42, Option3!$G$106:$G$117,0)))*conv_2026*AB$7</f>
        <v>1902038.9758994738</v>
      </c>
      <c r="AC42" s="31">
        <f>(INDEX(Option3!AC$106:AC$117, MATCH($D42, Option3!$G$106:$G$117,0)))*conv_2026*AC$7</f>
        <v>0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4"/>
      <c r="B43" s="244"/>
      <c r="C43" s="244"/>
      <c r="D43" s="244"/>
      <c r="E43" s="244"/>
      <c r="F43" s="244"/>
      <c r="G43" s="245"/>
      <c r="H43" s="245"/>
      <c r="I43" s="245"/>
      <c r="J43" s="245"/>
      <c r="K43" s="245"/>
      <c r="L43" s="245"/>
      <c r="M43" s="245"/>
      <c r="N43" s="245"/>
      <c r="O43" s="245"/>
      <c r="P43" s="245"/>
      <c r="Q43" s="245"/>
      <c r="R43" s="245"/>
      <c r="S43" s="245"/>
      <c r="T43" s="245"/>
      <c r="U43" s="245"/>
      <c r="V43" s="245"/>
      <c r="W43" s="245"/>
      <c r="X43" s="245"/>
      <c r="Y43" s="245"/>
      <c r="Z43" s="245"/>
      <c r="AA43" s="245"/>
      <c r="AB43" s="245"/>
      <c r="AC43" s="245"/>
      <c r="AD43" s="245"/>
      <c r="AE43" s="245"/>
      <c r="AF43" s="245"/>
      <c r="AG43" s="245"/>
      <c r="AH43" s="7"/>
      <c r="AI43" s="7"/>
    </row>
    <row r="44" spans="1:35" s="8" customFormat="1" x14ac:dyDescent="0.2">
      <c r="A44" s="252" t="s">
        <v>132</v>
      </c>
      <c r="B44" s="252" t="str">
        <f>Option3!A110</f>
        <v>sens1</v>
      </c>
      <c r="C44" s="252" t="str">
        <f>Option3!C110</f>
        <v>Capex 10% higher</v>
      </c>
      <c r="D44" s="252" t="str">
        <f t="shared" ref="D44:D51" si="5">A44&amp;B44</f>
        <v>Option 3sens1</v>
      </c>
      <c r="E44" s="253"/>
      <c r="F44" s="31">
        <f t="shared" si="4"/>
        <v>31528081.99327172</v>
      </c>
      <c r="G44" s="245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-45668.309745003615</v>
      </c>
      <c r="K44" s="31">
        <f>(INDEX(Option3!K$106:K$117, MATCH($D44, Option3!$G$106:$G$117,0)))*conv_2026*K$7</f>
        <v>10763779.986205939</v>
      </c>
      <c r="L44" s="31">
        <f>(INDEX(Option3!L$106:L$117, MATCH($D44, Option3!$G$106:$G$117,0)))*conv_2026*L$7</f>
        <v>1868825.6597212893</v>
      </c>
      <c r="M44" s="31">
        <f>(INDEX(Option3!M$106:M$117, MATCH($D44, Option3!$G$106:$G$117,0)))*conv_2026*M$7</f>
        <v>1868825.6597212893</v>
      </c>
      <c r="N44" s="31">
        <f>(INDEX(Option3!N$106:N$117, MATCH($D44, Option3!$G$106:$G$117,0)))*conv_2026*N$7</f>
        <v>1868825.6597212893</v>
      </c>
      <c r="O44" s="31">
        <f>(INDEX(Option3!O$106:O$117, MATCH($D44, Option3!$G$106:$G$117,0)))*conv_2026*O$7</f>
        <v>1868825.6597212893</v>
      </c>
      <c r="P44" s="31">
        <f>(INDEX(Option3!P$106:P$117, MATCH($D44, Option3!$G$106:$G$117,0)))*conv_2026*P$7</f>
        <v>1868825.6597212893</v>
      </c>
      <c r="Q44" s="31">
        <f>(INDEX(Option3!Q$106:Q$117, MATCH($D44, Option3!$G$106:$G$117,0)))*conv_2026*Q$7</f>
        <v>1868825.6597212893</v>
      </c>
      <c r="R44" s="31">
        <f>(INDEX(Option3!R$106:R$117, MATCH($D44, Option3!$G$106:$G$117,0)))*conv_2026*R$7</f>
        <v>1868825.6597212893</v>
      </c>
      <c r="S44" s="31">
        <f>(INDEX(Option3!S$106:S$117, MATCH($D44, Option3!$G$106:$G$117,0)))*conv_2026*S$7</f>
        <v>1868825.6597212893</v>
      </c>
      <c r="T44" s="31">
        <f>(INDEX(Option3!T$106:T$117, MATCH($D44, Option3!$G$106:$G$117,0)))*conv_2026*T$7</f>
        <v>1868825.6597212893</v>
      </c>
      <c r="U44" s="31">
        <f>(INDEX(Option3!U$106:U$117, MATCH($D44, Option3!$G$106:$G$117,0)))*conv_2026*U$7</f>
        <v>1868825.6597212893</v>
      </c>
      <c r="V44" s="31">
        <f>(INDEX(Option3!V$106:V$117, MATCH($D44, Option3!$G$106:$G$117,0)))*conv_2026*V$7</f>
        <v>1868825.6597212893</v>
      </c>
      <c r="W44" s="31">
        <f>(INDEX(Option3!W$106:W$117, MATCH($D44, Option3!$G$106:$G$117,0)))*conv_2026*W$7</f>
        <v>1868825.6597212893</v>
      </c>
      <c r="X44" s="31">
        <f>(INDEX(Option3!X$106:X$117, MATCH($D44, Option3!$G$106:$G$117,0)))*conv_2026*X$7</f>
        <v>1868825.6597212893</v>
      </c>
      <c r="Y44" s="31">
        <f>(INDEX(Option3!Y$106:Y$117, MATCH($D44, Option3!$G$106:$G$117,0)))*conv_2026*Y$7</f>
        <v>1868825.6597212893</v>
      </c>
      <c r="Z44" s="31">
        <f>(INDEX(Option3!Z$106:Z$117, MATCH($D44, Option3!$G$106:$G$117,0)))*conv_2026*Z$7</f>
        <v>1868825.6597212893</v>
      </c>
      <c r="AA44" s="31">
        <f>(INDEX(Option3!AA$106:AA$117, MATCH($D44, Option3!$G$106:$G$117,0)))*conv_2026*AA$7</f>
        <v>1868825.6597212893</v>
      </c>
      <c r="AB44" s="31">
        <f>(INDEX(Option3!AB$106:AB$117, MATCH($D44, Option3!$G$106:$G$117,0)))*conv_2026*AB$7</f>
        <v>1868825.6597212893</v>
      </c>
      <c r="AC44" s="31">
        <f>(INDEX(Option3!AC$106:AC$117, MATCH($D44, Option3!$G$106:$G$117,0)))*conv_2026*AC$7</f>
        <v>0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2" t="s">
        <v>132</v>
      </c>
      <c r="B45" s="252" t="str">
        <f>Option3!A111</f>
        <v>sens2</v>
      </c>
      <c r="C45" s="252" t="str">
        <f>Option3!C111</f>
        <v>Capex 10% lower</v>
      </c>
      <c r="D45" s="252" t="str">
        <f t="shared" si="5"/>
        <v>Option 3sens2</v>
      </c>
      <c r="E45" s="253"/>
      <c r="F45" s="31">
        <f t="shared" si="4"/>
        <v>32368049.527484659</v>
      </c>
      <c r="G45" s="252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-37364.98070045749</v>
      </c>
      <c r="K45" s="31">
        <f>(INDEX(Option3!K$106:K$117, MATCH($D45, Option3!$G$106:$G$117,0)))*conv_2026*K$7</f>
        <v>10830206.618562309</v>
      </c>
      <c r="L45" s="31">
        <f>(INDEX(Option3!L$106:L$117, MATCH($D45, Option3!$G$106:$G$117,0)))*conv_2026*L$7</f>
        <v>1935252.2920776582</v>
      </c>
      <c r="M45" s="31">
        <f>(INDEX(Option3!M$106:M$117, MATCH($D45, Option3!$G$106:$G$117,0)))*conv_2026*M$7</f>
        <v>1935252.2920776582</v>
      </c>
      <c r="N45" s="31">
        <f>(INDEX(Option3!N$106:N$117, MATCH($D45, Option3!$G$106:$G$117,0)))*conv_2026*N$7</f>
        <v>1935252.2920776582</v>
      </c>
      <c r="O45" s="31">
        <f>(INDEX(Option3!O$106:O$117, MATCH($D45, Option3!$G$106:$G$117,0)))*conv_2026*O$7</f>
        <v>1935252.2920776582</v>
      </c>
      <c r="P45" s="31">
        <f>(INDEX(Option3!P$106:P$117, MATCH($D45, Option3!$G$106:$G$117,0)))*conv_2026*P$7</f>
        <v>1935252.2920776582</v>
      </c>
      <c r="Q45" s="31">
        <f>(INDEX(Option3!Q$106:Q$117, MATCH($D45, Option3!$G$106:$G$117,0)))*conv_2026*Q$7</f>
        <v>1935252.2920776582</v>
      </c>
      <c r="R45" s="31">
        <f>(INDEX(Option3!R$106:R$117, MATCH($D45, Option3!$G$106:$G$117,0)))*conv_2026*R$7</f>
        <v>1935252.2920776582</v>
      </c>
      <c r="S45" s="31">
        <f>(INDEX(Option3!S$106:S$117, MATCH($D45, Option3!$G$106:$G$117,0)))*conv_2026*S$7</f>
        <v>1935252.2920776582</v>
      </c>
      <c r="T45" s="31">
        <f>(INDEX(Option3!T$106:T$117, MATCH($D45, Option3!$G$106:$G$117,0)))*conv_2026*T$7</f>
        <v>1935252.2920776582</v>
      </c>
      <c r="U45" s="31">
        <f>(INDEX(Option3!U$106:U$117, MATCH($D45, Option3!$G$106:$G$117,0)))*conv_2026*U$7</f>
        <v>1935252.2920776582</v>
      </c>
      <c r="V45" s="31">
        <f>(INDEX(Option3!V$106:V$117, MATCH($D45, Option3!$G$106:$G$117,0)))*conv_2026*V$7</f>
        <v>1935252.2920776582</v>
      </c>
      <c r="W45" s="31">
        <f>(INDEX(Option3!W$106:W$117, MATCH($D45, Option3!$G$106:$G$117,0)))*conv_2026*W$7</f>
        <v>1935252.2920776582</v>
      </c>
      <c r="X45" s="31">
        <f>(INDEX(Option3!X$106:X$117, MATCH($D45, Option3!$G$106:$G$117,0)))*conv_2026*X$7</f>
        <v>1935252.2920776582</v>
      </c>
      <c r="Y45" s="31">
        <f>(INDEX(Option3!Y$106:Y$117, MATCH($D45, Option3!$G$106:$G$117,0)))*conv_2026*Y$7</f>
        <v>1935252.2920776582</v>
      </c>
      <c r="Z45" s="31">
        <f>(INDEX(Option3!Z$106:Z$117, MATCH($D45, Option3!$G$106:$G$117,0)))*conv_2026*Z$7</f>
        <v>1935252.2920776582</v>
      </c>
      <c r="AA45" s="31">
        <f>(INDEX(Option3!AA$106:AA$117, MATCH($D45, Option3!$G$106:$G$117,0)))*conv_2026*AA$7</f>
        <v>1935252.2920776582</v>
      </c>
      <c r="AB45" s="31">
        <f>(INDEX(Option3!AB$106:AB$117, MATCH($D45, Option3!$G$106:$G$117,0)))*conv_2026*AB$7</f>
        <v>1935252.2920776582</v>
      </c>
      <c r="AC45" s="31">
        <f>(INDEX(Option3!AC$106:AC$117, MATCH($D45, Option3!$G$106:$G$117,0)))*conv_2026*AC$7</f>
        <v>0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2" t="s">
        <v>132</v>
      </c>
      <c r="B46" s="252" t="str">
        <f>Option3!A112</f>
        <v>sens3</v>
      </c>
      <c r="C46" s="252" t="str">
        <f>Option3!C112</f>
        <v>Total benefits 10% higher</v>
      </c>
      <c r="D46" s="252" t="str">
        <f t="shared" si="5"/>
        <v>Option 3sens3</v>
      </c>
      <c r="E46" s="253"/>
      <c r="F46" s="31">
        <f t="shared" si="4"/>
        <v>35562856.103522472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-41516.645222730556</v>
      </c>
      <c r="K46" s="31">
        <f>(INDEX(Option3!K$106:K$117, MATCH($D46, Option3!$G$106:$G$117,0)))*conv_2026*K$7</f>
        <v>11909905.94880072</v>
      </c>
      <c r="L46" s="31">
        <f>(INDEX(Option3!L$106:L$117, MATCH($D46, Option3!$G$106:$G$117,0)))*conv_2026*L$7</f>
        <v>2125456.1896676058</v>
      </c>
      <c r="M46" s="31">
        <f>(INDEX(Option3!M$106:M$117, MATCH($D46, Option3!$G$106:$G$117,0)))*conv_2026*M$7</f>
        <v>2125456.1896676058</v>
      </c>
      <c r="N46" s="31">
        <f>(INDEX(Option3!N$106:N$117, MATCH($D46, Option3!$G$106:$G$117,0)))*conv_2026*N$7</f>
        <v>2125456.1896676058</v>
      </c>
      <c r="O46" s="31">
        <f>(INDEX(Option3!O$106:O$117, MATCH($D46, Option3!$G$106:$G$117,0)))*conv_2026*O$7</f>
        <v>2125456.1896676058</v>
      </c>
      <c r="P46" s="31">
        <f>(INDEX(Option3!P$106:P$117, MATCH($D46, Option3!$G$106:$G$117,0)))*conv_2026*P$7</f>
        <v>2125456.1896676058</v>
      </c>
      <c r="Q46" s="31">
        <f>(INDEX(Option3!Q$106:Q$117, MATCH($D46, Option3!$G$106:$G$117,0)))*conv_2026*Q$7</f>
        <v>2125456.1896676058</v>
      </c>
      <c r="R46" s="31">
        <f>(INDEX(Option3!R$106:R$117, MATCH($D46, Option3!$G$106:$G$117,0)))*conv_2026*R$7</f>
        <v>2125456.1896676058</v>
      </c>
      <c r="S46" s="31">
        <f>(INDEX(Option3!S$106:S$117, MATCH($D46, Option3!$G$106:$G$117,0)))*conv_2026*S$7</f>
        <v>2125456.1896676058</v>
      </c>
      <c r="T46" s="31">
        <f>(INDEX(Option3!T$106:T$117, MATCH($D46, Option3!$G$106:$G$117,0)))*conv_2026*T$7</f>
        <v>2125456.1896676058</v>
      </c>
      <c r="U46" s="31">
        <f>(INDEX(Option3!U$106:U$117, MATCH($D46, Option3!$G$106:$G$117,0)))*conv_2026*U$7</f>
        <v>2125456.1896676058</v>
      </c>
      <c r="V46" s="31">
        <f>(INDEX(Option3!V$106:V$117, MATCH($D46, Option3!$G$106:$G$117,0)))*conv_2026*V$7</f>
        <v>2125456.1896676058</v>
      </c>
      <c r="W46" s="31">
        <f>(INDEX(Option3!W$106:W$117, MATCH($D46, Option3!$G$106:$G$117,0)))*conv_2026*W$7</f>
        <v>2125456.1896676058</v>
      </c>
      <c r="X46" s="31">
        <f>(INDEX(Option3!X$106:X$117, MATCH($D46, Option3!$G$106:$G$117,0)))*conv_2026*X$7</f>
        <v>2125456.1896676058</v>
      </c>
      <c r="Y46" s="31">
        <f>(INDEX(Option3!Y$106:Y$117, MATCH($D46, Option3!$G$106:$G$117,0)))*conv_2026*Y$7</f>
        <v>2125456.1896676058</v>
      </c>
      <c r="Z46" s="31">
        <f>(INDEX(Option3!Z$106:Z$117, MATCH($D46, Option3!$G$106:$G$117,0)))*conv_2026*Z$7</f>
        <v>2125456.1896676058</v>
      </c>
      <c r="AA46" s="31">
        <f>(INDEX(Option3!AA$106:AA$117, MATCH($D46, Option3!$G$106:$G$117,0)))*conv_2026*AA$7</f>
        <v>2125456.1896676058</v>
      </c>
      <c r="AB46" s="31">
        <f>(INDEX(Option3!AB$106:AB$117, MATCH($D46, Option3!$G$106:$G$117,0)))*conv_2026*AB$7</f>
        <v>2125456.1896676058</v>
      </c>
      <c r="AC46" s="31">
        <f>(INDEX(Option3!AC$106:AC$117, MATCH($D46, Option3!$G$106:$G$117,0)))*conv_2026*AC$7</f>
        <v>0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2" t="s">
        <v>132</v>
      </c>
      <c r="B47" s="252" t="str">
        <f>Option3!A113</f>
        <v>sens4</v>
      </c>
      <c r="C47" s="252" t="str">
        <f>Option3!C113</f>
        <v>Total benefits 10% lower</v>
      </c>
      <c r="D47" s="252" t="str">
        <f t="shared" si="5"/>
        <v>Option 3sens4</v>
      </c>
      <c r="E47" s="253"/>
      <c r="F47" s="31">
        <f t="shared" si="4"/>
        <v>28333275.417233899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-41516.645222730556</v>
      </c>
      <c r="K47" s="31">
        <f>(INDEX(Option3!K$106:K$117, MATCH($D47, Option3!$G$106:$G$117,0)))*conv_2026*K$7</f>
        <v>9684080.655967528</v>
      </c>
      <c r="L47" s="31">
        <f>(INDEX(Option3!L$106:L$117, MATCH($D47, Option3!$G$106:$G$117,0)))*conv_2026*L$7</f>
        <v>1678621.762131342</v>
      </c>
      <c r="M47" s="31">
        <f>(INDEX(Option3!M$106:M$117, MATCH($D47, Option3!$G$106:$G$117,0)))*conv_2026*M$7</f>
        <v>1678621.762131342</v>
      </c>
      <c r="N47" s="31">
        <f>(INDEX(Option3!N$106:N$117, MATCH($D47, Option3!$G$106:$G$117,0)))*conv_2026*N$7</f>
        <v>1678621.762131342</v>
      </c>
      <c r="O47" s="31">
        <f>(INDEX(Option3!O$106:O$117, MATCH($D47, Option3!$G$106:$G$117,0)))*conv_2026*O$7</f>
        <v>1678621.762131342</v>
      </c>
      <c r="P47" s="31">
        <f>(INDEX(Option3!P$106:P$117, MATCH($D47, Option3!$G$106:$G$117,0)))*conv_2026*P$7</f>
        <v>1678621.762131342</v>
      </c>
      <c r="Q47" s="31">
        <f>(INDEX(Option3!Q$106:Q$117, MATCH($D47, Option3!$G$106:$G$117,0)))*conv_2026*Q$7</f>
        <v>1678621.762131342</v>
      </c>
      <c r="R47" s="31">
        <f>(INDEX(Option3!R$106:R$117, MATCH($D47, Option3!$G$106:$G$117,0)))*conv_2026*R$7</f>
        <v>1678621.762131342</v>
      </c>
      <c r="S47" s="31">
        <f>(INDEX(Option3!S$106:S$117, MATCH($D47, Option3!$G$106:$G$117,0)))*conv_2026*S$7</f>
        <v>1678621.762131342</v>
      </c>
      <c r="T47" s="31">
        <f>(INDEX(Option3!T$106:T$117, MATCH($D47, Option3!$G$106:$G$117,0)))*conv_2026*T$7</f>
        <v>1678621.762131342</v>
      </c>
      <c r="U47" s="31">
        <f>(INDEX(Option3!U$106:U$117, MATCH($D47, Option3!$G$106:$G$117,0)))*conv_2026*U$7</f>
        <v>1678621.762131342</v>
      </c>
      <c r="V47" s="31">
        <f>(INDEX(Option3!V$106:V$117, MATCH($D47, Option3!$G$106:$G$117,0)))*conv_2026*V$7</f>
        <v>1678621.762131342</v>
      </c>
      <c r="W47" s="31">
        <f>(INDEX(Option3!W$106:W$117, MATCH($D47, Option3!$G$106:$G$117,0)))*conv_2026*W$7</f>
        <v>1678621.762131342</v>
      </c>
      <c r="X47" s="31">
        <f>(INDEX(Option3!X$106:X$117, MATCH($D47, Option3!$G$106:$G$117,0)))*conv_2026*X$7</f>
        <v>1678621.762131342</v>
      </c>
      <c r="Y47" s="31">
        <f>(INDEX(Option3!Y$106:Y$117, MATCH($D47, Option3!$G$106:$G$117,0)))*conv_2026*Y$7</f>
        <v>1678621.762131342</v>
      </c>
      <c r="Z47" s="31">
        <f>(INDEX(Option3!Z$106:Z$117, MATCH($D47, Option3!$G$106:$G$117,0)))*conv_2026*Z$7</f>
        <v>1678621.762131342</v>
      </c>
      <c r="AA47" s="31">
        <f>(INDEX(Option3!AA$106:AA$117, MATCH($D47, Option3!$G$106:$G$117,0)))*conv_2026*AA$7</f>
        <v>1678621.762131342</v>
      </c>
      <c r="AB47" s="31">
        <f>(INDEX(Option3!AB$106:AB$117, MATCH($D47, Option3!$G$106:$G$117,0)))*conv_2026*AB$7</f>
        <v>1678621.762131342</v>
      </c>
      <c r="AC47" s="31">
        <f>(INDEX(Option3!AC$106:AC$117, MATCH($D47, Option3!$G$106:$G$117,0)))*conv_2026*AC$7</f>
        <v>0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2" t="s">
        <v>132</v>
      </c>
      <c r="B48" s="252" t="str">
        <f>Option3!A114</f>
        <v>sens5</v>
      </c>
      <c r="C48" s="252" t="str">
        <f>Option3!C114</f>
        <v>Capex 10% higher &amp; Total benefits 10% lower</v>
      </c>
      <c r="D48" s="252" t="str">
        <f t="shared" si="5"/>
        <v>Option 3sens5</v>
      </c>
      <c r="E48" s="253"/>
      <c r="F48" s="31">
        <f t="shared" si="4"/>
        <v>27913291.65012743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-45668.309745003615</v>
      </c>
      <c r="K48" s="31">
        <f>(INDEX(Option3!K$106:K$117, MATCH($D48, Option3!$G$106:$G$117,0)))*conv_2026*K$7</f>
        <v>9650867.3397893421</v>
      </c>
      <c r="L48" s="31">
        <f>(INDEX(Option3!L$106:L$117, MATCH($D48, Option3!$G$106:$G$117,0)))*conv_2026*L$7</f>
        <v>1645408.4459531575</v>
      </c>
      <c r="M48" s="31">
        <f>(INDEX(Option3!M$106:M$117, MATCH($D48, Option3!$G$106:$G$117,0)))*conv_2026*M$7</f>
        <v>1645408.4459531575</v>
      </c>
      <c r="N48" s="31">
        <f>(INDEX(Option3!N$106:N$117, MATCH($D48, Option3!$G$106:$G$117,0)))*conv_2026*N$7</f>
        <v>1645408.4459531575</v>
      </c>
      <c r="O48" s="31">
        <f>(INDEX(Option3!O$106:O$117, MATCH($D48, Option3!$G$106:$G$117,0)))*conv_2026*O$7</f>
        <v>1645408.4459531575</v>
      </c>
      <c r="P48" s="31">
        <f>(INDEX(Option3!P$106:P$117, MATCH($D48, Option3!$G$106:$G$117,0)))*conv_2026*P$7</f>
        <v>1645408.4459531575</v>
      </c>
      <c r="Q48" s="31">
        <f>(INDEX(Option3!Q$106:Q$117, MATCH($D48, Option3!$G$106:$G$117,0)))*conv_2026*Q$7</f>
        <v>1645408.4459531575</v>
      </c>
      <c r="R48" s="31">
        <f>(INDEX(Option3!R$106:R$117, MATCH($D48, Option3!$G$106:$G$117,0)))*conv_2026*R$7</f>
        <v>1645408.4459531575</v>
      </c>
      <c r="S48" s="31">
        <f>(INDEX(Option3!S$106:S$117, MATCH($D48, Option3!$G$106:$G$117,0)))*conv_2026*S$7</f>
        <v>1645408.4459531575</v>
      </c>
      <c r="T48" s="31">
        <f>(INDEX(Option3!T$106:T$117, MATCH($D48, Option3!$G$106:$G$117,0)))*conv_2026*T$7</f>
        <v>1645408.4459531575</v>
      </c>
      <c r="U48" s="31">
        <f>(INDEX(Option3!U$106:U$117, MATCH($D48, Option3!$G$106:$G$117,0)))*conv_2026*U$7</f>
        <v>1645408.4459531575</v>
      </c>
      <c r="V48" s="31">
        <f>(INDEX(Option3!V$106:V$117, MATCH($D48, Option3!$G$106:$G$117,0)))*conv_2026*V$7</f>
        <v>1645408.4459531575</v>
      </c>
      <c r="W48" s="31">
        <f>(INDEX(Option3!W$106:W$117, MATCH($D48, Option3!$G$106:$G$117,0)))*conv_2026*W$7</f>
        <v>1645408.4459531575</v>
      </c>
      <c r="X48" s="31">
        <f>(INDEX(Option3!X$106:X$117, MATCH($D48, Option3!$G$106:$G$117,0)))*conv_2026*X$7</f>
        <v>1645408.4459531575</v>
      </c>
      <c r="Y48" s="31">
        <f>(INDEX(Option3!Y$106:Y$117, MATCH($D48, Option3!$G$106:$G$117,0)))*conv_2026*Y$7</f>
        <v>1645408.4459531575</v>
      </c>
      <c r="Z48" s="31">
        <f>(INDEX(Option3!Z$106:Z$117, MATCH($D48, Option3!$G$106:$G$117,0)))*conv_2026*Z$7</f>
        <v>1645408.4459531575</v>
      </c>
      <c r="AA48" s="31">
        <f>(INDEX(Option3!AA$106:AA$117, MATCH($D48, Option3!$G$106:$G$117,0)))*conv_2026*AA$7</f>
        <v>1645408.4459531575</v>
      </c>
      <c r="AB48" s="31">
        <f>(INDEX(Option3!AB$106:AB$117, MATCH($D48, Option3!$G$106:$G$117,0)))*conv_2026*AB$7</f>
        <v>1645408.4459531575</v>
      </c>
      <c r="AC48" s="31">
        <f>(INDEX(Option3!AC$106:AC$117, MATCH($D48, Option3!$G$106:$G$117,0)))*conv_2026*AC$7</f>
        <v>0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2" t="s">
        <v>132</v>
      </c>
      <c r="B49" s="252" t="str">
        <f>Option3!A115</f>
        <v>sens</v>
      </c>
      <c r="C49" s="252">
        <f>Option3!C115</f>
        <v>0</v>
      </c>
      <c r="D49" s="252" t="str">
        <f t="shared" si="5"/>
        <v>Option 3sens</v>
      </c>
      <c r="E49" s="253"/>
      <c r="F49" s="31">
        <f t="shared" si="4"/>
        <v>31948065.760378189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-41516.645222730556</v>
      </c>
      <c r="K49" s="31">
        <f>(INDEX(Option3!K$106:K$117, MATCH($D49, Option3!$G$106:$G$117,0)))*conv_2026*K$7</f>
        <v>10796993.302384123</v>
      </c>
      <c r="L49" s="31">
        <f>(INDEX(Option3!L$106:L$117, MATCH($D49, Option3!$G$106:$G$117,0)))*conv_2026*L$7</f>
        <v>1902038.9758994738</v>
      </c>
      <c r="M49" s="31">
        <f>(INDEX(Option3!M$106:M$117, MATCH($D49, Option3!$G$106:$G$117,0)))*conv_2026*M$7</f>
        <v>1902038.9758994738</v>
      </c>
      <c r="N49" s="31">
        <f>(INDEX(Option3!N$106:N$117, MATCH($D49, Option3!$G$106:$G$117,0)))*conv_2026*N$7</f>
        <v>1902038.9758994738</v>
      </c>
      <c r="O49" s="31">
        <f>(INDEX(Option3!O$106:O$117, MATCH($D49, Option3!$G$106:$G$117,0)))*conv_2026*O$7</f>
        <v>1902038.9758994738</v>
      </c>
      <c r="P49" s="31">
        <f>(INDEX(Option3!P$106:P$117, MATCH($D49, Option3!$G$106:$G$117,0)))*conv_2026*P$7</f>
        <v>1902038.9758994738</v>
      </c>
      <c r="Q49" s="31">
        <f>(INDEX(Option3!Q$106:Q$117, MATCH($D49, Option3!$G$106:$G$117,0)))*conv_2026*Q$7</f>
        <v>1902038.9758994738</v>
      </c>
      <c r="R49" s="31">
        <f>(INDEX(Option3!R$106:R$117, MATCH($D49, Option3!$G$106:$G$117,0)))*conv_2026*R$7</f>
        <v>1902038.9758994738</v>
      </c>
      <c r="S49" s="31">
        <f>(INDEX(Option3!S$106:S$117, MATCH($D49, Option3!$G$106:$G$117,0)))*conv_2026*S$7</f>
        <v>1902038.9758994738</v>
      </c>
      <c r="T49" s="31">
        <f>(INDEX(Option3!T$106:T$117, MATCH($D49, Option3!$G$106:$G$117,0)))*conv_2026*T$7</f>
        <v>1902038.9758994738</v>
      </c>
      <c r="U49" s="31">
        <f>(INDEX(Option3!U$106:U$117, MATCH($D49, Option3!$G$106:$G$117,0)))*conv_2026*U$7</f>
        <v>1902038.9758994738</v>
      </c>
      <c r="V49" s="31">
        <f>(INDEX(Option3!V$106:V$117, MATCH($D49, Option3!$G$106:$G$117,0)))*conv_2026*V$7</f>
        <v>1902038.9758994738</v>
      </c>
      <c r="W49" s="31">
        <f>(INDEX(Option3!W$106:W$117, MATCH($D49, Option3!$G$106:$G$117,0)))*conv_2026*W$7</f>
        <v>1902038.9758994738</v>
      </c>
      <c r="X49" s="31">
        <f>(INDEX(Option3!X$106:X$117, MATCH($D49, Option3!$G$106:$G$117,0)))*conv_2026*X$7</f>
        <v>1902038.9758994738</v>
      </c>
      <c r="Y49" s="31">
        <f>(INDEX(Option3!Y$106:Y$117, MATCH($D49, Option3!$G$106:$G$117,0)))*conv_2026*Y$7</f>
        <v>1902038.9758994738</v>
      </c>
      <c r="Z49" s="31">
        <f>(INDEX(Option3!Z$106:Z$117, MATCH($D49, Option3!$G$106:$G$117,0)))*conv_2026*Z$7</f>
        <v>1902038.9758994738</v>
      </c>
      <c r="AA49" s="31">
        <f>(INDEX(Option3!AA$106:AA$117, MATCH($D49, Option3!$G$106:$G$117,0)))*conv_2026*AA$7</f>
        <v>1902038.9758994738</v>
      </c>
      <c r="AB49" s="31">
        <f>(INDEX(Option3!AB$106:AB$117, MATCH($D49, Option3!$G$106:$G$117,0)))*conv_2026*AB$7</f>
        <v>1902038.9758994738</v>
      </c>
      <c r="AC49" s="31">
        <f>(INDEX(Option3!AC$106:AC$117, MATCH($D49, Option3!$G$106:$G$117,0)))*conv_2026*AC$7</f>
        <v>0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2" t="s">
        <v>132</v>
      </c>
      <c r="B50" s="252" t="str">
        <f>Option3!A116</f>
        <v>sens</v>
      </c>
      <c r="C50" s="252">
        <f>Option3!C116</f>
        <v>0</v>
      </c>
      <c r="D50" s="252" t="str">
        <f t="shared" si="5"/>
        <v>Option 3sens</v>
      </c>
      <c r="E50" s="253"/>
      <c r="F50" s="31">
        <f t="shared" si="4"/>
        <v>31948065.760378189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-41516.645222730556</v>
      </c>
      <c r="K50" s="31">
        <f>(INDEX(Option3!K$106:K$117, MATCH($D50, Option3!$G$106:$G$117,0)))*conv_2026*K$7</f>
        <v>10796993.302384123</v>
      </c>
      <c r="L50" s="31">
        <f>(INDEX(Option3!L$106:L$117, MATCH($D50, Option3!$G$106:$G$117,0)))*conv_2026*L$7</f>
        <v>1902038.9758994738</v>
      </c>
      <c r="M50" s="31">
        <f>(INDEX(Option3!M$106:M$117, MATCH($D50, Option3!$G$106:$G$117,0)))*conv_2026*M$7</f>
        <v>1902038.9758994738</v>
      </c>
      <c r="N50" s="31">
        <f>(INDEX(Option3!N$106:N$117, MATCH($D50, Option3!$G$106:$G$117,0)))*conv_2026*N$7</f>
        <v>1902038.9758994738</v>
      </c>
      <c r="O50" s="31">
        <f>(INDEX(Option3!O$106:O$117, MATCH($D50, Option3!$G$106:$G$117,0)))*conv_2026*O$7</f>
        <v>1902038.9758994738</v>
      </c>
      <c r="P50" s="31">
        <f>(INDEX(Option3!P$106:P$117, MATCH($D50, Option3!$G$106:$G$117,0)))*conv_2026*P$7</f>
        <v>1902038.9758994738</v>
      </c>
      <c r="Q50" s="31">
        <f>(INDEX(Option3!Q$106:Q$117, MATCH($D50, Option3!$G$106:$G$117,0)))*conv_2026*Q$7</f>
        <v>1902038.9758994738</v>
      </c>
      <c r="R50" s="31">
        <f>(INDEX(Option3!R$106:R$117, MATCH($D50, Option3!$G$106:$G$117,0)))*conv_2026*R$7</f>
        <v>1902038.9758994738</v>
      </c>
      <c r="S50" s="31">
        <f>(INDEX(Option3!S$106:S$117, MATCH($D50, Option3!$G$106:$G$117,0)))*conv_2026*S$7</f>
        <v>1902038.9758994738</v>
      </c>
      <c r="T50" s="31">
        <f>(INDEX(Option3!T$106:T$117, MATCH($D50, Option3!$G$106:$G$117,0)))*conv_2026*T$7</f>
        <v>1902038.9758994738</v>
      </c>
      <c r="U50" s="31">
        <f>(INDEX(Option3!U$106:U$117, MATCH($D50, Option3!$G$106:$G$117,0)))*conv_2026*U$7</f>
        <v>1902038.9758994738</v>
      </c>
      <c r="V50" s="31">
        <f>(INDEX(Option3!V$106:V$117, MATCH($D50, Option3!$G$106:$G$117,0)))*conv_2026*V$7</f>
        <v>1902038.9758994738</v>
      </c>
      <c r="W50" s="31">
        <f>(INDEX(Option3!W$106:W$117, MATCH($D50, Option3!$G$106:$G$117,0)))*conv_2026*W$7</f>
        <v>1902038.9758994738</v>
      </c>
      <c r="X50" s="31">
        <f>(INDEX(Option3!X$106:X$117, MATCH($D50, Option3!$G$106:$G$117,0)))*conv_2026*X$7</f>
        <v>1902038.9758994738</v>
      </c>
      <c r="Y50" s="31">
        <f>(INDEX(Option3!Y$106:Y$117, MATCH($D50, Option3!$G$106:$G$117,0)))*conv_2026*Y$7</f>
        <v>1902038.9758994738</v>
      </c>
      <c r="Z50" s="31">
        <f>(INDEX(Option3!Z$106:Z$117, MATCH($D50, Option3!$G$106:$G$117,0)))*conv_2026*Z$7</f>
        <v>1902038.9758994738</v>
      </c>
      <c r="AA50" s="31">
        <f>(INDEX(Option3!AA$106:AA$117, MATCH($D50, Option3!$G$106:$G$117,0)))*conv_2026*AA$7</f>
        <v>1902038.9758994738</v>
      </c>
      <c r="AB50" s="31">
        <f>(INDEX(Option3!AB$106:AB$117, MATCH($D50, Option3!$G$106:$G$117,0)))*conv_2026*AB$7</f>
        <v>1902038.9758994738</v>
      </c>
      <c r="AC50" s="31">
        <f>(INDEX(Option3!AC$106:AC$117, MATCH($D50, Option3!$G$106:$G$117,0)))*conv_2026*AC$7</f>
        <v>0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2" t="s">
        <v>132</v>
      </c>
      <c r="B51" s="252" t="str">
        <f>Option3!A117</f>
        <v>sens</v>
      </c>
      <c r="C51" s="252">
        <f>Option3!C117</f>
        <v>0</v>
      </c>
      <c r="D51" s="252" t="str">
        <f t="shared" si="5"/>
        <v>Option 3sens</v>
      </c>
      <c r="E51" s="253"/>
      <c r="F51" s="31">
        <f t="shared" si="4"/>
        <v>31948065.760378189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-41516.645222730556</v>
      </c>
      <c r="K51" s="31">
        <f>(INDEX(Option3!K$106:K$117, MATCH($D51, Option3!$G$106:$G$117,0)))*conv_2026*K$7</f>
        <v>10796993.302384123</v>
      </c>
      <c r="L51" s="31">
        <f>(INDEX(Option3!L$106:L$117, MATCH($D51, Option3!$G$106:$G$117,0)))*conv_2026*L$7</f>
        <v>1902038.9758994738</v>
      </c>
      <c r="M51" s="31">
        <f>(INDEX(Option3!M$106:M$117, MATCH($D51, Option3!$G$106:$G$117,0)))*conv_2026*M$7</f>
        <v>1902038.9758994738</v>
      </c>
      <c r="N51" s="31">
        <f>(INDEX(Option3!N$106:N$117, MATCH($D51, Option3!$G$106:$G$117,0)))*conv_2026*N$7</f>
        <v>1902038.9758994738</v>
      </c>
      <c r="O51" s="31">
        <f>(INDEX(Option3!O$106:O$117, MATCH($D51, Option3!$G$106:$G$117,0)))*conv_2026*O$7</f>
        <v>1902038.9758994738</v>
      </c>
      <c r="P51" s="31">
        <f>(INDEX(Option3!P$106:P$117, MATCH($D51, Option3!$G$106:$G$117,0)))*conv_2026*P$7</f>
        <v>1902038.9758994738</v>
      </c>
      <c r="Q51" s="31">
        <f>(INDEX(Option3!Q$106:Q$117, MATCH($D51, Option3!$G$106:$G$117,0)))*conv_2026*Q$7</f>
        <v>1902038.9758994738</v>
      </c>
      <c r="R51" s="31">
        <f>(INDEX(Option3!R$106:R$117, MATCH($D51, Option3!$G$106:$G$117,0)))*conv_2026*R$7</f>
        <v>1902038.9758994738</v>
      </c>
      <c r="S51" s="31">
        <f>(INDEX(Option3!S$106:S$117, MATCH($D51, Option3!$G$106:$G$117,0)))*conv_2026*S$7</f>
        <v>1902038.9758994738</v>
      </c>
      <c r="T51" s="31">
        <f>(INDEX(Option3!T$106:T$117, MATCH($D51, Option3!$G$106:$G$117,0)))*conv_2026*T$7</f>
        <v>1902038.9758994738</v>
      </c>
      <c r="U51" s="31">
        <f>(INDEX(Option3!U$106:U$117, MATCH($D51, Option3!$G$106:$G$117,0)))*conv_2026*U$7</f>
        <v>1902038.9758994738</v>
      </c>
      <c r="V51" s="31">
        <f>(INDEX(Option3!V$106:V$117, MATCH($D51, Option3!$G$106:$G$117,0)))*conv_2026*V$7</f>
        <v>1902038.9758994738</v>
      </c>
      <c r="W51" s="31">
        <f>(INDEX(Option3!W$106:W$117, MATCH($D51, Option3!$G$106:$G$117,0)))*conv_2026*W$7</f>
        <v>1902038.9758994738</v>
      </c>
      <c r="X51" s="31">
        <f>(INDEX(Option3!X$106:X$117, MATCH($D51, Option3!$G$106:$G$117,0)))*conv_2026*X$7</f>
        <v>1902038.9758994738</v>
      </c>
      <c r="Y51" s="31">
        <f>(INDEX(Option3!Y$106:Y$117, MATCH($D51, Option3!$G$106:$G$117,0)))*conv_2026*Y$7</f>
        <v>1902038.9758994738</v>
      </c>
      <c r="Z51" s="31">
        <f>(INDEX(Option3!Z$106:Z$117, MATCH($D51, Option3!$G$106:$G$117,0)))*conv_2026*Z$7</f>
        <v>1902038.9758994738</v>
      </c>
      <c r="AA51" s="31">
        <f>(INDEX(Option3!AA$106:AA$117, MATCH($D51, Option3!$G$106:$G$117,0)))*conv_2026*AA$7</f>
        <v>1902038.9758994738</v>
      </c>
      <c r="AB51" s="31">
        <f>(INDEX(Option3!AB$106:AB$117, MATCH($D51, Option3!$G$106:$G$117,0)))*conv_2026*AB$7</f>
        <v>1902038.9758994738</v>
      </c>
      <c r="AC51" s="31">
        <f>(INDEX(Option3!AC$106:AC$117, MATCH($D51, Option3!$G$106:$G$117,0)))*conv_2026*AC$7</f>
        <v>0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2"/>
      <c r="B52" s="252"/>
      <c r="C52" s="252"/>
      <c r="D52" s="252"/>
      <c r="E52" s="252"/>
      <c r="F52" s="31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</row>
    <row r="53" spans="1:35" s="8" customFormat="1" x14ac:dyDescent="0.2">
      <c r="A53" s="252"/>
      <c r="B53" s="252"/>
      <c r="C53" s="252"/>
      <c r="D53" s="252"/>
      <c r="E53" s="252"/>
      <c r="F53" s="31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</row>
    <row r="54" spans="1:35" s="8" customFormat="1" x14ac:dyDescent="0.2">
      <c r="A54" s="252"/>
      <c r="B54" s="252"/>
      <c r="C54" s="252"/>
      <c r="D54" s="252"/>
      <c r="E54" s="252"/>
      <c r="F54" s="31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</row>
    <row r="55" spans="1:35" s="8" customFormat="1" x14ac:dyDescent="0.2">
      <c r="A55" s="252"/>
      <c r="B55" s="252"/>
      <c r="C55" s="252"/>
      <c r="D55" s="252"/>
      <c r="E55" s="252"/>
      <c r="F55" s="31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</row>
    <row r="56" spans="1:35" s="8" customFormat="1" x14ac:dyDescent="0.2">
      <c r="A56" s="252" t="s">
        <v>133</v>
      </c>
      <c r="B56" s="252" t="s">
        <v>119</v>
      </c>
      <c r="C56" s="252" t="s">
        <v>186</v>
      </c>
      <c r="D56" s="252" t="str">
        <f>A56&amp;B56</f>
        <v>Option 4NPV</v>
      </c>
      <c r="E56" s="253"/>
      <c r="F56" s="31">
        <f t="shared" ref="F56:F65" si="6">SUMPRODUCT($H56:$AG56, $H$5:$AG$5)</f>
        <v>26832839.870780818</v>
      </c>
      <c r="G56" s="245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-74691.90843009371</v>
      </c>
      <c r="K56" s="31">
        <f>(INDEX(Option4!K$106:K$117, MATCH($D56, Option4!$G$106:$G$117,0)))*conv_2026*K$7</f>
        <v>10479094.418964358</v>
      </c>
      <c r="L56" s="31">
        <f>(INDEX(Option4!L$106:L$117, MATCH($D56, Option4!$G$106:$G$117,0)))*conv_2026*L$7</f>
        <v>1489244.9033991813</v>
      </c>
      <c r="M56" s="31">
        <f>(INDEX(Option4!M$106:M$117, MATCH($D56, Option4!$G$106:$G$117,0)))*conv_2026*M$7</f>
        <v>1489244.9033991813</v>
      </c>
      <c r="N56" s="31">
        <f>(INDEX(Option4!N$106:N$117, MATCH($D56, Option4!$G$106:$G$117,0)))*conv_2026*N$7</f>
        <v>1489244.9033991813</v>
      </c>
      <c r="O56" s="31">
        <f>(INDEX(Option4!O$106:O$117, MATCH($D56, Option4!$G$106:$G$117,0)))*conv_2026*O$7</f>
        <v>1489244.9033991813</v>
      </c>
      <c r="P56" s="31">
        <f>(INDEX(Option4!P$106:P$117, MATCH($D56, Option4!$G$106:$G$117,0)))*conv_2026*P$7</f>
        <v>1489244.9033991813</v>
      </c>
      <c r="Q56" s="31">
        <f>(INDEX(Option4!Q$106:Q$117, MATCH($D56, Option4!$G$106:$G$117,0)))*conv_2026*Q$7</f>
        <v>1489244.9033991813</v>
      </c>
      <c r="R56" s="31">
        <f>(INDEX(Option4!R$106:R$117, MATCH($D56, Option4!$G$106:$G$117,0)))*conv_2026*R$7</f>
        <v>1489244.9033991813</v>
      </c>
      <c r="S56" s="31">
        <f>(INDEX(Option4!S$106:S$117, MATCH($D56, Option4!$G$106:$G$117,0)))*conv_2026*S$7</f>
        <v>1489244.9033991813</v>
      </c>
      <c r="T56" s="31">
        <f>(INDEX(Option4!T$106:T$117, MATCH($D56, Option4!$G$106:$G$117,0)))*conv_2026*T$7</f>
        <v>1489244.9033991813</v>
      </c>
      <c r="U56" s="31">
        <f>(INDEX(Option4!U$106:U$117, MATCH($D56, Option4!$G$106:$G$117,0)))*conv_2026*U$7</f>
        <v>1489244.9033991813</v>
      </c>
      <c r="V56" s="31">
        <f>(INDEX(Option4!V$106:V$117, MATCH($D56, Option4!$G$106:$G$117,0)))*conv_2026*V$7</f>
        <v>1489244.9033991813</v>
      </c>
      <c r="W56" s="31">
        <f>(INDEX(Option4!W$106:W$117, MATCH($D56, Option4!$G$106:$G$117,0)))*conv_2026*W$7</f>
        <v>1489244.9033991813</v>
      </c>
      <c r="X56" s="31">
        <f>(INDEX(Option4!X$106:X$117, MATCH($D56, Option4!$G$106:$G$117,0)))*conv_2026*X$7</f>
        <v>1489244.9033991813</v>
      </c>
      <c r="Y56" s="31">
        <f>(INDEX(Option4!Y$106:Y$117, MATCH($D56, Option4!$G$106:$G$117,0)))*conv_2026*Y$7</f>
        <v>1489244.9033991813</v>
      </c>
      <c r="Z56" s="31">
        <f>(INDEX(Option4!Z$106:Z$117, MATCH($D56, Option4!$G$106:$G$117,0)))*conv_2026*Z$7</f>
        <v>1489244.9033991813</v>
      </c>
      <c r="AA56" s="31">
        <f>(INDEX(Option4!AA$106:AA$117, MATCH($D56, Option4!$G$106:$G$117,0)))*conv_2026*AA$7</f>
        <v>1489244.9033991813</v>
      </c>
      <c r="AB56" s="31">
        <f>(INDEX(Option4!AB$106:AB$117, MATCH($D56, Option4!$G$106:$G$117,0)))*conv_2026*AB$7</f>
        <v>1489244.9033991813</v>
      </c>
      <c r="AC56" s="31">
        <f>(INDEX(Option4!AC$106:AC$117, MATCH($D56, Option4!$G$106:$G$117,0)))*conv_2026*AC$7</f>
        <v>0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4"/>
      <c r="B57" s="244"/>
      <c r="C57" s="244"/>
      <c r="D57" s="244"/>
      <c r="E57" s="244"/>
      <c r="F57" s="244"/>
      <c r="G57" s="245"/>
      <c r="H57" s="245"/>
      <c r="I57" s="245"/>
      <c r="J57" s="245"/>
      <c r="K57" s="245"/>
      <c r="L57" s="245"/>
      <c r="M57" s="245"/>
      <c r="N57" s="245"/>
      <c r="O57" s="245"/>
      <c r="P57" s="245"/>
      <c r="Q57" s="245"/>
      <c r="R57" s="245"/>
      <c r="S57" s="245"/>
      <c r="T57" s="245"/>
      <c r="U57" s="245"/>
      <c r="V57" s="245"/>
      <c r="W57" s="245"/>
      <c r="X57" s="245"/>
      <c r="Y57" s="245"/>
      <c r="Z57" s="245"/>
      <c r="AA57" s="245"/>
      <c r="AB57" s="245"/>
      <c r="AC57" s="245"/>
      <c r="AD57" s="245"/>
      <c r="AE57" s="245"/>
      <c r="AF57" s="245"/>
      <c r="AG57" s="245"/>
      <c r="AH57" s="7"/>
      <c r="AI57" s="7"/>
    </row>
    <row r="58" spans="1:35" s="8" customFormat="1" x14ac:dyDescent="0.2">
      <c r="A58" s="252" t="s">
        <v>133</v>
      </c>
      <c r="B58" s="252" t="str">
        <f>Option4!A110</f>
        <v>sens1</v>
      </c>
      <c r="C58" s="252" t="str">
        <f>Option4!C110</f>
        <v>Capex 10% higher</v>
      </c>
      <c r="D58" s="252" t="str">
        <f t="shared" ref="D58:D65" si="7">A58&amp;B58</f>
        <v>Option 4sens1</v>
      </c>
      <c r="E58" s="253"/>
      <c r="F58" s="31">
        <f t="shared" si="6"/>
        <v>25901333.514714606</v>
      </c>
      <c r="G58" s="245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-82161.099273103086</v>
      </c>
      <c r="K58" s="31">
        <f>(INDEX(Option4!K$106:K$117, MATCH($D58, Option4!$G$106:$G$117,0)))*conv_2026*K$7</f>
        <v>10414091.214444196</v>
      </c>
      <c r="L58" s="31">
        <f>(INDEX(Option4!L$106:L$117, MATCH($D58, Option4!$G$106:$G$117,0)))*conv_2026*L$7</f>
        <v>1414752.1799709676</v>
      </c>
      <c r="M58" s="31">
        <f>(INDEX(Option4!M$106:M$117, MATCH($D58, Option4!$G$106:$G$117,0)))*conv_2026*M$7</f>
        <v>1414752.1799709676</v>
      </c>
      <c r="N58" s="31">
        <f>(INDEX(Option4!N$106:N$117, MATCH($D58, Option4!$G$106:$G$117,0)))*conv_2026*N$7</f>
        <v>1414752.1799709676</v>
      </c>
      <c r="O58" s="31">
        <f>(INDEX(Option4!O$106:O$117, MATCH($D58, Option4!$G$106:$G$117,0)))*conv_2026*O$7</f>
        <v>1414752.1799709676</v>
      </c>
      <c r="P58" s="31">
        <f>(INDEX(Option4!P$106:P$117, MATCH($D58, Option4!$G$106:$G$117,0)))*conv_2026*P$7</f>
        <v>1414752.1799709676</v>
      </c>
      <c r="Q58" s="31">
        <f>(INDEX(Option4!Q$106:Q$117, MATCH($D58, Option4!$G$106:$G$117,0)))*conv_2026*Q$7</f>
        <v>1414752.1799709676</v>
      </c>
      <c r="R58" s="31">
        <f>(INDEX(Option4!R$106:R$117, MATCH($D58, Option4!$G$106:$G$117,0)))*conv_2026*R$7</f>
        <v>1414752.1799709676</v>
      </c>
      <c r="S58" s="31">
        <f>(INDEX(Option4!S$106:S$117, MATCH($D58, Option4!$G$106:$G$117,0)))*conv_2026*S$7</f>
        <v>1414752.1799709676</v>
      </c>
      <c r="T58" s="31">
        <f>(INDEX(Option4!T$106:T$117, MATCH($D58, Option4!$G$106:$G$117,0)))*conv_2026*T$7</f>
        <v>1414752.1799709676</v>
      </c>
      <c r="U58" s="31">
        <f>(INDEX(Option4!U$106:U$117, MATCH($D58, Option4!$G$106:$G$117,0)))*conv_2026*U$7</f>
        <v>1414752.1799709676</v>
      </c>
      <c r="V58" s="31">
        <f>(INDEX(Option4!V$106:V$117, MATCH($D58, Option4!$G$106:$G$117,0)))*conv_2026*V$7</f>
        <v>1414752.1799709676</v>
      </c>
      <c r="W58" s="31">
        <f>(INDEX(Option4!W$106:W$117, MATCH($D58, Option4!$G$106:$G$117,0)))*conv_2026*W$7</f>
        <v>1414752.1799709676</v>
      </c>
      <c r="X58" s="31">
        <f>(INDEX(Option4!X$106:X$117, MATCH($D58, Option4!$G$106:$G$117,0)))*conv_2026*X$7</f>
        <v>1414752.1799709676</v>
      </c>
      <c r="Y58" s="31">
        <f>(INDEX(Option4!Y$106:Y$117, MATCH($D58, Option4!$G$106:$G$117,0)))*conv_2026*Y$7</f>
        <v>1414752.1799709676</v>
      </c>
      <c r="Z58" s="31">
        <f>(INDEX(Option4!Z$106:Z$117, MATCH($D58, Option4!$G$106:$G$117,0)))*conv_2026*Z$7</f>
        <v>1414752.1799709676</v>
      </c>
      <c r="AA58" s="31">
        <f>(INDEX(Option4!AA$106:AA$117, MATCH($D58, Option4!$G$106:$G$117,0)))*conv_2026*AA$7</f>
        <v>1414752.1799709676</v>
      </c>
      <c r="AB58" s="31">
        <f>(INDEX(Option4!AB$106:AB$117, MATCH($D58, Option4!$G$106:$G$117,0)))*conv_2026*AB$7</f>
        <v>1414752.1799709676</v>
      </c>
      <c r="AC58" s="31">
        <f>(INDEX(Option4!AC$106:AC$117, MATCH($D58, Option4!$G$106:$G$117,0)))*conv_2026*AC$7</f>
        <v>0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2" t="s">
        <v>133</v>
      </c>
      <c r="B59" s="252" t="str">
        <f>Option4!A111</f>
        <v>sens2</v>
      </c>
      <c r="C59" s="252" t="str">
        <f>Option4!C111</f>
        <v>Capex 10% lower</v>
      </c>
      <c r="D59" s="252" t="str">
        <f t="shared" si="7"/>
        <v>Option 4sens2</v>
      </c>
      <c r="E59" s="253"/>
      <c r="F59" s="31">
        <f t="shared" si="6"/>
        <v>27764346.226847015</v>
      </c>
      <c r="G59" s="252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-67222.717587084335</v>
      </c>
      <c r="K59" s="31">
        <f>(INDEX(Option4!K$106:K$117, MATCH($D59, Option4!$G$106:$G$117,0)))*conv_2026*K$7</f>
        <v>10544097.623484518</v>
      </c>
      <c r="L59" s="31">
        <f>(INDEX(Option4!L$106:L$117, MATCH($D59, Option4!$G$106:$G$117,0)))*conv_2026*L$7</f>
        <v>1563737.6268273948</v>
      </c>
      <c r="M59" s="31">
        <f>(INDEX(Option4!M$106:M$117, MATCH($D59, Option4!$G$106:$G$117,0)))*conv_2026*M$7</f>
        <v>1563737.6268273948</v>
      </c>
      <c r="N59" s="31">
        <f>(INDEX(Option4!N$106:N$117, MATCH($D59, Option4!$G$106:$G$117,0)))*conv_2026*N$7</f>
        <v>1563737.6268273948</v>
      </c>
      <c r="O59" s="31">
        <f>(INDEX(Option4!O$106:O$117, MATCH($D59, Option4!$G$106:$G$117,0)))*conv_2026*O$7</f>
        <v>1563737.6268273948</v>
      </c>
      <c r="P59" s="31">
        <f>(INDEX(Option4!P$106:P$117, MATCH($D59, Option4!$G$106:$G$117,0)))*conv_2026*P$7</f>
        <v>1563737.6268273948</v>
      </c>
      <c r="Q59" s="31">
        <f>(INDEX(Option4!Q$106:Q$117, MATCH($D59, Option4!$G$106:$G$117,0)))*conv_2026*Q$7</f>
        <v>1563737.6268273948</v>
      </c>
      <c r="R59" s="31">
        <f>(INDEX(Option4!R$106:R$117, MATCH($D59, Option4!$G$106:$G$117,0)))*conv_2026*R$7</f>
        <v>1563737.6268273948</v>
      </c>
      <c r="S59" s="31">
        <f>(INDEX(Option4!S$106:S$117, MATCH($D59, Option4!$G$106:$G$117,0)))*conv_2026*S$7</f>
        <v>1563737.6268273948</v>
      </c>
      <c r="T59" s="31">
        <f>(INDEX(Option4!T$106:T$117, MATCH($D59, Option4!$G$106:$G$117,0)))*conv_2026*T$7</f>
        <v>1563737.6268273948</v>
      </c>
      <c r="U59" s="31">
        <f>(INDEX(Option4!U$106:U$117, MATCH($D59, Option4!$G$106:$G$117,0)))*conv_2026*U$7</f>
        <v>1563737.6268273948</v>
      </c>
      <c r="V59" s="31">
        <f>(INDEX(Option4!V$106:V$117, MATCH($D59, Option4!$G$106:$G$117,0)))*conv_2026*V$7</f>
        <v>1563737.6268273948</v>
      </c>
      <c r="W59" s="31">
        <f>(INDEX(Option4!W$106:W$117, MATCH($D59, Option4!$G$106:$G$117,0)))*conv_2026*W$7</f>
        <v>1563737.6268273948</v>
      </c>
      <c r="X59" s="31">
        <f>(INDEX(Option4!X$106:X$117, MATCH($D59, Option4!$G$106:$G$117,0)))*conv_2026*X$7</f>
        <v>1563737.6268273948</v>
      </c>
      <c r="Y59" s="31">
        <f>(INDEX(Option4!Y$106:Y$117, MATCH($D59, Option4!$G$106:$G$117,0)))*conv_2026*Y$7</f>
        <v>1563737.6268273948</v>
      </c>
      <c r="Z59" s="31">
        <f>(INDEX(Option4!Z$106:Z$117, MATCH($D59, Option4!$G$106:$G$117,0)))*conv_2026*Z$7</f>
        <v>1563737.6268273948</v>
      </c>
      <c r="AA59" s="31">
        <f>(INDEX(Option4!AA$106:AA$117, MATCH($D59, Option4!$G$106:$G$117,0)))*conv_2026*AA$7</f>
        <v>1563737.6268273948</v>
      </c>
      <c r="AB59" s="31">
        <f>(INDEX(Option4!AB$106:AB$117, MATCH($D59, Option4!$G$106:$G$117,0)))*conv_2026*AB$7</f>
        <v>1563737.6268273948</v>
      </c>
      <c r="AC59" s="31">
        <f>(INDEX(Option4!AC$106:AC$117, MATCH($D59, Option4!$G$106:$G$117,0)))*conv_2026*AC$7</f>
        <v>0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2" t="s">
        <v>133</v>
      </c>
      <c r="B60" s="252" t="str">
        <f>Option4!A112</f>
        <v>sens3</v>
      </c>
      <c r="C60" s="252" t="str">
        <f>Option4!C112</f>
        <v>Total benefits 10% higher</v>
      </c>
      <c r="D60" s="252" t="str">
        <f t="shared" si="7"/>
        <v>Option 4sens3</v>
      </c>
      <c r="E60" s="253"/>
      <c r="F60" s="31">
        <f t="shared" si="6"/>
        <v>30447630.213925093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-74691.90843009371</v>
      </c>
      <c r="K60" s="31">
        <f>(INDEX(Option4!K$106:K$117, MATCH($D60, Option4!$G$106:$G$117,0)))*conv_2026*K$7</f>
        <v>11592007.065380955</v>
      </c>
      <c r="L60" s="31">
        <f>(INDEX(Option4!L$106:L$117, MATCH($D60, Option4!$G$106:$G$117,0)))*conv_2026*L$7</f>
        <v>1712662.1171673131</v>
      </c>
      <c r="M60" s="31">
        <f>(INDEX(Option4!M$106:M$117, MATCH($D60, Option4!$G$106:$G$117,0)))*conv_2026*M$7</f>
        <v>1712662.1171673131</v>
      </c>
      <c r="N60" s="31">
        <f>(INDEX(Option4!N$106:N$117, MATCH($D60, Option4!$G$106:$G$117,0)))*conv_2026*N$7</f>
        <v>1712662.1171673131</v>
      </c>
      <c r="O60" s="31">
        <f>(INDEX(Option4!O$106:O$117, MATCH($D60, Option4!$G$106:$G$117,0)))*conv_2026*O$7</f>
        <v>1712662.1171673131</v>
      </c>
      <c r="P60" s="31">
        <f>(INDEX(Option4!P$106:P$117, MATCH($D60, Option4!$G$106:$G$117,0)))*conv_2026*P$7</f>
        <v>1712662.1171673131</v>
      </c>
      <c r="Q60" s="31">
        <f>(INDEX(Option4!Q$106:Q$117, MATCH($D60, Option4!$G$106:$G$117,0)))*conv_2026*Q$7</f>
        <v>1712662.1171673131</v>
      </c>
      <c r="R60" s="31">
        <f>(INDEX(Option4!R$106:R$117, MATCH($D60, Option4!$G$106:$G$117,0)))*conv_2026*R$7</f>
        <v>1712662.1171673131</v>
      </c>
      <c r="S60" s="31">
        <f>(INDEX(Option4!S$106:S$117, MATCH($D60, Option4!$G$106:$G$117,0)))*conv_2026*S$7</f>
        <v>1712662.1171673131</v>
      </c>
      <c r="T60" s="31">
        <f>(INDEX(Option4!T$106:T$117, MATCH($D60, Option4!$G$106:$G$117,0)))*conv_2026*T$7</f>
        <v>1712662.1171673131</v>
      </c>
      <c r="U60" s="31">
        <f>(INDEX(Option4!U$106:U$117, MATCH($D60, Option4!$G$106:$G$117,0)))*conv_2026*U$7</f>
        <v>1712662.1171673131</v>
      </c>
      <c r="V60" s="31">
        <f>(INDEX(Option4!V$106:V$117, MATCH($D60, Option4!$G$106:$G$117,0)))*conv_2026*V$7</f>
        <v>1712662.1171673131</v>
      </c>
      <c r="W60" s="31">
        <f>(INDEX(Option4!W$106:W$117, MATCH($D60, Option4!$G$106:$G$117,0)))*conv_2026*W$7</f>
        <v>1712662.1171673131</v>
      </c>
      <c r="X60" s="31">
        <f>(INDEX(Option4!X$106:X$117, MATCH($D60, Option4!$G$106:$G$117,0)))*conv_2026*X$7</f>
        <v>1712662.1171673131</v>
      </c>
      <c r="Y60" s="31">
        <f>(INDEX(Option4!Y$106:Y$117, MATCH($D60, Option4!$G$106:$G$117,0)))*conv_2026*Y$7</f>
        <v>1712662.1171673131</v>
      </c>
      <c r="Z60" s="31">
        <f>(INDEX(Option4!Z$106:Z$117, MATCH($D60, Option4!$G$106:$G$117,0)))*conv_2026*Z$7</f>
        <v>1712662.1171673131</v>
      </c>
      <c r="AA60" s="31">
        <f>(INDEX(Option4!AA$106:AA$117, MATCH($D60, Option4!$G$106:$G$117,0)))*conv_2026*AA$7</f>
        <v>1712662.1171673131</v>
      </c>
      <c r="AB60" s="31">
        <f>(INDEX(Option4!AB$106:AB$117, MATCH($D60, Option4!$G$106:$G$117,0)))*conv_2026*AB$7</f>
        <v>1712662.1171673131</v>
      </c>
      <c r="AC60" s="31">
        <f>(INDEX(Option4!AC$106:AC$117, MATCH($D60, Option4!$G$106:$G$117,0)))*conv_2026*AC$7</f>
        <v>0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2" t="s">
        <v>133</v>
      </c>
      <c r="B61" s="252" t="str">
        <f>Option4!A113</f>
        <v>sens4</v>
      </c>
      <c r="C61" s="252" t="str">
        <f>Option4!C113</f>
        <v>Total benefits 10% lower</v>
      </c>
      <c r="D61" s="252" t="str">
        <f t="shared" si="7"/>
        <v>Option 4sens4</v>
      </c>
      <c r="E61" s="253"/>
      <c r="F61" s="31">
        <f t="shared" si="6"/>
        <v>23218049.527636532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-74691.90843009371</v>
      </c>
      <c r="K61" s="31">
        <f>(INDEX(Option4!K$106:K$117, MATCH($D61, Option4!$G$106:$G$117,0)))*conv_2026*K$7</f>
        <v>9366181.772547761</v>
      </c>
      <c r="L61" s="31">
        <f>(INDEX(Option4!L$106:L$117, MATCH($D61, Option4!$G$106:$G$117,0)))*conv_2026*L$7</f>
        <v>1265827.6896310493</v>
      </c>
      <c r="M61" s="31">
        <f>(INDEX(Option4!M$106:M$117, MATCH($D61, Option4!$G$106:$G$117,0)))*conv_2026*M$7</f>
        <v>1265827.6896310493</v>
      </c>
      <c r="N61" s="31">
        <f>(INDEX(Option4!N$106:N$117, MATCH($D61, Option4!$G$106:$G$117,0)))*conv_2026*N$7</f>
        <v>1265827.6896310493</v>
      </c>
      <c r="O61" s="31">
        <f>(INDEX(Option4!O$106:O$117, MATCH($D61, Option4!$G$106:$G$117,0)))*conv_2026*O$7</f>
        <v>1265827.6896310493</v>
      </c>
      <c r="P61" s="31">
        <f>(INDEX(Option4!P$106:P$117, MATCH($D61, Option4!$G$106:$G$117,0)))*conv_2026*P$7</f>
        <v>1265827.6896310493</v>
      </c>
      <c r="Q61" s="31">
        <f>(INDEX(Option4!Q$106:Q$117, MATCH($D61, Option4!$G$106:$G$117,0)))*conv_2026*Q$7</f>
        <v>1265827.6896310493</v>
      </c>
      <c r="R61" s="31">
        <f>(INDEX(Option4!R$106:R$117, MATCH($D61, Option4!$G$106:$G$117,0)))*conv_2026*R$7</f>
        <v>1265827.6896310493</v>
      </c>
      <c r="S61" s="31">
        <f>(INDEX(Option4!S$106:S$117, MATCH($D61, Option4!$G$106:$G$117,0)))*conv_2026*S$7</f>
        <v>1265827.6896310493</v>
      </c>
      <c r="T61" s="31">
        <f>(INDEX(Option4!T$106:T$117, MATCH($D61, Option4!$G$106:$G$117,0)))*conv_2026*T$7</f>
        <v>1265827.6896310493</v>
      </c>
      <c r="U61" s="31">
        <f>(INDEX(Option4!U$106:U$117, MATCH($D61, Option4!$G$106:$G$117,0)))*conv_2026*U$7</f>
        <v>1265827.6896310493</v>
      </c>
      <c r="V61" s="31">
        <f>(INDEX(Option4!V$106:V$117, MATCH($D61, Option4!$G$106:$G$117,0)))*conv_2026*V$7</f>
        <v>1265827.6896310493</v>
      </c>
      <c r="W61" s="31">
        <f>(INDEX(Option4!W$106:W$117, MATCH($D61, Option4!$G$106:$G$117,0)))*conv_2026*W$7</f>
        <v>1265827.6896310493</v>
      </c>
      <c r="X61" s="31">
        <f>(INDEX(Option4!X$106:X$117, MATCH($D61, Option4!$G$106:$G$117,0)))*conv_2026*X$7</f>
        <v>1265827.6896310493</v>
      </c>
      <c r="Y61" s="31">
        <f>(INDEX(Option4!Y$106:Y$117, MATCH($D61, Option4!$G$106:$G$117,0)))*conv_2026*Y$7</f>
        <v>1265827.6896310493</v>
      </c>
      <c r="Z61" s="31">
        <f>(INDEX(Option4!Z$106:Z$117, MATCH($D61, Option4!$G$106:$G$117,0)))*conv_2026*Z$7</f>
        <v>1265827.6896310493</v>
      </c>
      <c r="AA61" s="31">
        <f>(INDEX(Option4!AA$106:AA$117, MATCH($D61, Option4!$G$106:$G$117,0)))*conv_2026*AA$7</f>
        <v>1265827.6896310493</v>
      </c>
      <c r="AB61" s="31">
        <f>(INDEX(Option4!AB$106:AB$117, MATCH($D61, Option4!$G$106:$G$117,0)))*conv_2026*AB$7</f>
        <v>1265827.6896310493</v>
      </c>
      <c r="AC61" s="31">
        <f>(INDEX(Option4!AC$106:AC$117, MATCH($D61, Option4!$G$106:$G$117,0)))*conv_2026*AC$7</f>
        <v>0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2" t="s">
        <v>133</v>
      </c>
      <c r="B62" s="252" t="str">
        <f>Option4!A114</f>
        <v>sens5</v>
      </c>
      <c r="C62" s="252" t="str">
        <f>Option4!C114</f>
        <v>Capex 10% higher &amp; Total benefits 10% lower</v>
      </c>
      <c r="D62" s="252" t="str">
        <f t="shared" si="7"/>
        <v>Option 4sens5</v>
      </c>
      <c r="E62" s="253"/>
      <c r="F62" s="31">
        <f t="shared" si="6"/>
        <v>22286543.171570323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-82161.099273103086</v>
      </c>
      <c r="K62" s="31">
        <f>(INDEX(Option4!K$106:K$117, MATCH($D62, Option4!$G$106:$G$117,0)))*conv_2026*K$7</f>
        <v>9301178.5680275988</v>
      </c>
      <c r="L62" s="31">
        <f>(INDEX(Option4!L$106:L$117, MATCH($D62, Option4!$G$106:$G$117,0)))*conv_2026*L$7</f>
        <v>1191334.9662028358</v>
      </c>
      <c r="M62" s="31">
        <f>(INDEX(Option4!M$106:M$117, MATCH($D62, Option4!$G$106:$G$117,0)))*conv_2026*M$7</f>
        <v>1191334.9662028358</v>
      </c>
      <c r="N62" s="31">
        <f>(INDEX(Option4!N$106:N$117, MATCH($D62, Option4!$G$106:$G$117,0)))*conv_2026*N$7</f>
        <v>1191334.9662028358</v>
      </c>
      <c r="O62" s="31">
        <f>(INDEX(Option4!O$106:O$117, MATCH($D62, Option4!$G$106:$G$117,0)))*conv_2026*O$7</f>
        <v>1191334.9662028358</v>
      </c>
      <c r="P62" s="31">
        <f>(INDEX(Option4!P$106:P$117, MATCH($D62, Option4!$G$106:$G$117,0)))*conv_2026*P$7</f>
        <v>1191334.9662028358</v>
      </c>
      <c r="Q62" s="31">
        <f>(INDEX(Option4!Q$106:Q$117, MATCH($D62, Option4!$G$106:$G$117,0)))*conv_2026*Q$7</f>
        <v>1191334.9662028358</v>
      </c>
      <c r="R62" s="31">
        <f>(INDEX(Option4!R$106:R$117, MATCH($D62, Option4!$G$106:$G$117,0)))*conv_2026*R$7</f>
        <v>1191334.9662028358</v>
      </c>
      <c r="S62" s="31">
        <f>(INDEX(Option4!S$106:S$117, MATCH($D62, Option4!$G$106:$G$117,0)))*conv_2026*S$7</f>
        <v>1191334.9662028358</v>
      </c>
      <c r="T62" s="31">
        <f>(INDEX(Option4!T$106:T$117, MATCH($D62, Option4!$G$106:$G$117,0)))*conv_2026*T$7</f>
        <v>1191334.9662028358</v>
      </c>
      <c r="U62" s="31">
        <f>(INDEX(Option4!U$106:U$117, MATCH($D62, Option4!$G$106:$G$117,0)))*conv_2026*U$7</f>
        <v>1191334.9662028358</v>
      </c>
      <c r="V62" s="31">
        <f>(INDEX(Option4!V$106:V$117, MATCH($D62, Option4!$G$106:$G$117,0)))*conv_2026*V$7</f>
        <v>1191334.9662028358</v>
      </c>
      <c r="W62" s="31">
        <f>(INDEX(Option4!W$106:W$117, MATCH($D62, Option4!$G$106:$G$117,0)))*conv_2026*W$7</f>
        <v>1191334.9662028358</v>
      </c>
      <c r="X62" s="31">
        <f>(INDEX(Option4!X$106:X$117, MATCH($D62, Option4!$G$106:$G$117,0)))*conv_2026*X$7</f>
        <v>1191334.9662028358</v>
      </c>
      <c r="Y62" s="31">
        <f>(INDEX(Option4!Y$106:Y$117, MATCH($D62, Option4!$G$106:$G$117,0)))*conv_2026*Y$7</f>
        <v>1191334.9662028358</v>
      </c>
      <c r="Z62" s="31">
        <f>(INDEX(Option4!Z$106:Z$117, MATCH($D62, Option4!$G$106:$G$117,0)))*conv_2026*Z$7</f>
        <v>1191334.9662028358</v>
      </c>
      <c r="AA62" s="31">
        <f>(INDEX(Option4!AA$106:AA$117, MATCH($D62, Option4!$G$106:$G$117,0)))*conv_2026*AA$7</f>
        <v>1191334.9662028358</v>
      </c>
      <c r="AB62" s="31">
        <f>(INDEX(Option4!AB$106:AB$117, MATCH($D62, Option4!$G$106:$G$117,0)))*conv_2026*AB$7</f>
        <v>1191334.9662028358</v>
      </c>
      <c r="AC62" s="31">
        <f>(INDEX(Option4!AC$106:AC$117, MATCH($D62, Option4!$G$106:$G$117,0)))*conv_2026*AC$7</f>
        <v>0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2" t="s">
        <v>133</v>
      </c>
      <c r="B63" s="252" t="str">
        <f>Option4!A115</f>
        <v>sens</v>
      </c>
      <c r="C63" s="252">
        <f>Option4!C115</f>
        <v>0</v>
      </c>
      <c r="D63" s="252" t="str">
        <f t="shared" si="7"/>
        <v>Option 4sens</v>
      </c>
      <c r="E63" s="253"/>
      <c r="F63" s="31">
        <f t="shared" si="6"/>
        <v>26832839.870780818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-74691.90843009371</v>
      </c>
      <c r="K63" s="31">
        <f>(INDEX(Option4!K$106:K$117, MATCH($D63, Option4!$G$106:$G$117,0)))*conv_2026*K$7</f>
        <v>10479094.418964358</v>
      </c>
      <c r="L63" s="31">
        <f>(INDEX(Option4!L$106:L$117, MATCH($D63, Option4!$G$106:$G$117,0)))*conv_2026*L$7</f>
        <v>1489244.9033991813</v>
      </c>
      <c r="M63" s="31">
        <f>(INDEX(Option4!M$106:M$117, MATCH($D63, Option4!$G$106:$G$117,0)))*conv_2026*M$7</f>
        <v>1489244.9033991813</v>
      </c>
      <c r="N63" s="31">
        <f>(INDEX(Option4!N$106:N$117, MATCH($D63, Option4!$G$106:$G$117,0)))*conv_2026*N$7</f>
        <v>1489244.9033991813</v>
      </c>
      <c r="O63" s="31">
        <f>(INDEX(Option4!O$106:O$117, MATCH($D63, Option4!$G$106:$G$117,0)))*conv_2026*O$7</f>
        <v>1489244.9033991813</v>
      </c>
      <c r="P63" s="31">
        <f>(INDEX(Option4!P$106:P$117, MATCH($D63, Option4!$G$106:$G$117,0)))*conv_2026*P$7</f>
        <v>1489244.9033991813</v>
      </c>
      <c r="Q63" s="31">
        <f>(INDEX(Option4!Q$106:Q$117, MATCH($D63, Option4!$G$106:$G$117,0)))*conv_2026*Q$7</f>
        <v>1489244.9033991813</v>
      </c>
      <c r="R63" s="31">
        <f>(INDEX(Option4!R$106:R$117, MATCH($D63, Option4!$G$106:$G$117,0)))*conv_2026*R$7</f>
        <v>1489244.9033991813</v>
      </c>
      <c r="S63" s="31">
        <f>(INDEX(Option4!S$106:S$117, MATCH($D63, Option4!$G$106:$G$117,0)))*conv_2026*S$7</f>
        <v>1489244.9033991813</v>
      </c>
      <c r="T63" s="31">
        <f>(INDEX(Option4!T$106:T$117, MATCH($D63, Option4!$G$106:$G$117,0)))*conv_2026*T$7</f>
        <v>1489244.9033991813</v>
      </c>
      <c r="U63" s="31">
        <f>(INDEX(Option4!U$106:U$117, MATCH($D63, Option4!$G$106:$G$117,0)))*conv_2026*U$7</f>
        <v>1489244.9033991813</v>
      </c>
      <c r="V63" s="31">
        <f>(INDEX(Option4!V$106:V$117, MATCH($D63, Option4!$G$106:$G$117,0)))*conv_2026*V$7</f>
        <v>1489244.9033991813</v>
      </c>
      <c r="W63" s="31">
        <f>(INDEX(Option4!W$106:W$117, MATCH($D63, Option4!$G$106:$G$117,0)))*conv_2026*W$7</f>
        <v>1489244.9033991813</v>
      </c>
      <c r="X63" s="31">
        <f>(INDEX(Option4!X$106:X$117, MATCH($D63, Option4!$G$106:$G$117,0)))*conv_2026*X$7</f>
        <v>1489244.9033991813</v>
      </c>
      <c r="Y63" s="31">
        <f>(INDEX(Option4!Y$106:Y$117, MATCH($D63, Option4!$G$106:$G$117,0)))*conv_2026*Y$7</f>
        <v>1489244.9033991813</v>
      </c>
      <c r="Z63" s="31">
        <f>(INDEX(Option4!Z$106:Z$117, MATCH($D63, Option4!$G$106:$G$117,0)))*conv_2026*Z$7</f>
        <v>1489244.9033991813</v>
      </c>
      <c r="AA63" s="31">
        <f>(INDEX(Option4!AA$106:AA$117, MATCH($D63, Option4!$G$106:$G$117,0)))*conv_2026*AA$7</f>
        <v>1489244.9033991813</v>
      </c>
      <c r="AB63" s="31">
        <f>(INDEX(Option4!AB$106:AB$117, MATCH($D63, Option4!$G$106:$G$117,0)))*conv_2026*AB$7</f>
        <v>1489244.9033991813</v>
      </c>
      <c r="AC63" s="31">
        <f>(INDEX(Option4!AC$106:AC$117, MATCH($D63, Option4!$G$106:$G$117,0)))*conv_2026*AC$7</f>
        <v>0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2" t="s">
        <v>133</v>
      </c>
      <c r="B64" s="252" t="str">
        <f>Option4!A116</f>
        <v>sens</v>
      </c>
      <c r="C64" s="252">
        <f>Option4!C116</f>
        <v>0</v>
      </c>
      <c r="D64" s="252" t="str">
        <f t="shared" si="7"/>
        <v>Option 4sens</v>
      </c>
      <c r="E64" s="253"/>
      <c r="F64" s="31">
        <f t="shared" si="6"/>
        <v>26832839.870780818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-74691.90843009371</v>
      </c>
      <c r="K64" s="31">
        <f>(INDEX(Option4!K$106:K$117, MATCH($D64, Option4!$G$106:$G$117,0)))*conv_2026*K$7</f>
        <v>10479094.418964358</v>
      </c>
      <c r="L64" s="31">
        <f>(INDEX(Option4!L$106:L$117, MATCH($D64, Option4!$G$106:$G$117,0)))*conv_2026*L$7</f>
        <v>1489244.9033991813</v>
      </c>
      <c r="M64" s="31">
        <f>(INDEX(Option4!M$106:M$117, MATCH($D64, Option4!$G$106:$G$117,0)))*conv_2026*M$7</f>
        <v>1489244.9033991813</v>
      </c>
      <c r="N64" s="31">
        <f>(INDEX(Option4!N$106:N$117, MATCH($D64, Option4!$G$106:$G$117,0)))*conv_2026*N$7</f>
        <v>1489244.9033991813</v>
      </c>
      <c r="O64" s="31">
        <f>(INDEX(Option4!O$106:O$117, MATCH($D64, Option4!$G$106:$G$117,0)))*conv_2026*O$7</f>
        <v>1489244.9033991813</v>
      </c>
      <c r="P64" s="31">
        <f>(INDEX(Option4!P$106:P$117, MATCH($D64, Option4!$G$106:$G$117,0)))*conv_2026*P$7</f>
        <v>1489244.9033991813</v>
      </c>
      <c r="Q64" s="31">
        <f>(INDEX(Option4!Q$106:Q$117, MATCH($D64, Option4!$G$106:$G$117,0)))*conv_2026*Q$7</f>
        <v>1489244.9033991813</v>
      </c>
      <c r="R64" s="31">
        <f>(INDEX(Option4!R$106:R$117, MATCH($D64, Option4!$G$106:$G$117,0)))*conv_2026*R$7</f>
        <v>1489244.9033991813</v>
      </c>
      <c r="S64" s="31">
        <f>(INDEX(Option4!S$106:S$117, MATCH($D64, Option4!$G$106:$G$117,0)))*conv_2026*S$7</f>
        <v>1489244.9033991813</v>
      </c>
      <c r="T64" s="31">
        <f>(INDEX(Option4!T$106:T$117, MATCH($D64, Option4!$G$106:$G$117,0)))*conv_2026*T$7</f>
        <v>1489244.9033991813</v>
      </c>
      <c r="U64" s="31">
        <f>(INDEX(Option4!U$106:U$117, MATCH($D64, Option4!$G$106:$G$117,0)))*conv_2026*U$7</f>
        <v>1489244.9033991813</v>
      </c>
      <c r="V64" s="31">
        <f>(INDEX(Option4!V$106:V$117, MATCH($D64, Option4!$G$106:$G$117,0)))*conv_2026*V$7</f>
        <v>1489244.9033991813</v>
      </c>
      <c r="W64" s="31">
        <f>(INDEX(Option4!W$106:W$117, MATCH($D64, Option4!$G$106:$G$117,0)))*conv_2026*W$7</f>
        <v>1489244.9033991813</v>
      </c>
      <c r="X64" s="31">
        <f>(INDEX(Option4!X$106:X$117, MATCH($D64, Option4!$G$106:$G$117,0)))*conv_2026*X$7</f>
        <v>1489244.9033991813</v>
      </c>
      <c r="Y64" s="31">
        <f>(INDEX(Option4!Y$106:Y$117, MATCH($D64, Option4!$G$106:$G$117,0)))*conv_2026*Y$7</f>
        <v>1489244.9033991813</v>
      </c>
      <c r="Z64" s="31">
        <f>(INDEX(Option4!Z$106:Z$117, MATCH($D64, Option4!$G$106:$G$117,0)))*conv_2026*Z$7</f>
        <v>1489244.9033991813</v>
      </c>
      <c r="AA64" s="31">
        <f>(INDEX(Option4!AA$106:AA$117, MATCH($D64, Option4!$G$106:$G$117,0)))*conv_2026*AA$7</f>
        <v>1489244.9033991813</v>
      </c>
      <c r="AB64" s="31">
        <f>(INDEX(Option4!AB$106:AB$117, MATCH($D64, Option4!$G$106:$G$117,0)))*conv_2026*AB$7</f>
        <v>1489244.9033991813</v>
      </c>
      <c r="AC64" s="31">
        <f>(INDEX(Option4!AC$106:AC$117, MATCH($D64, Option4!$G$106:$G$117,0)))*conv_2026*AC$7</f>
        <v>0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2" t="s">
        <v>133</v>
      </c>
      <c r="B65" s="252" t="str">
        <f>Option4!A117</f>
        <v>sens</v>
      </c>
      <c r="C65" s="252">
        <f>Option4!C117</f>
        <v>0</v>
      </c>
      <c r="D65" s="252" t="str">
        <f t="shared" si="7"/>
        <v>Option 4sens</v>
      </c>
      <c r="E65" s="253"/>
      <c r="F65" s="31">
        <f t="shared" si="6"/>
        <v>26832839.870780818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-74691.90843009371</v>
      </c>
      <c r="K65" s="31">
        <f>(INDEX(Option4!K$106:K$117, MATCH($D65, Option4!$G$106:$G$117,0)))*conv_2026*K$7</f>
        <v>10479094.418964358</v>
      </c>
      <c r="L65" s="31">
        <f>(INDEX(Option4!L$106:L$117, MATCH($D65, Option4!$G$106:$G$117,0)))*conv_2026*L$7</f>
        <v>1489244.9033991813</v>
      </c>
      <c r="M65" s="31">
        <f>(INDEX(Option4!M$106:M$117, MATCH($D65, Option4!$G$106:$G$117,0)))*conv_2026*M$7</f>
        <v>1489244.9033991813</v>
      </c>
      <c r="N65" s="31">
        <f>(INDEX(Option4!N$106:N$117, MATCH($D65, Option4!$G$106:$G$117,0)))*conv_2026*N$7</f>
        <v>1489244.9033991813</v>
      </c>
      <c r="O65" s="31">
        <f>(INDEX(Option4!O$106:O$117, MATCH($D65, Option4!$G$106:$G$117,0)))*conv_2026*O$7</f>
        <v>1489244.9033991813</v>
      </c>
      <c r="P65" s="31">
        <f>(INDEX(Option4!P$106:P$117, MATCH($D65, Option4!$G$106:$G$117,0)))*conv_2026*P$7</f>
        <v>1489244.9033991813</v>
      </c>
      <c r="Q65" s="31">
        <f>(INDEX(Option4!Q$106:Q$117, MATCH($D65, Option4!$G$106:$G$117,0)))*conv_2026*Q$7</f>
        <v>1489244.9033991813</v>
      </c>
      <c r="R65" s="31">
        <f>(INDEX(Option4!R$106:R$117, MATCH($D65, Option4!$G$106:$G$117,0)))*conv_2026*R$7</f>
        <v>1489244.9033991813</v>
      </c>
      <c r="S65" s="31">
        <f>(INDEX(Option4!S$106:S$117, MATCH($D65, Option4!$G$106:$G$117,0)))*conv_2026*S$7</f>
        <v>1489244.9033991813</v>
      </c>
      <c r="T65" s="31">
        <f>(INDEX(Option4!T$106:T$117, MATCH($D65, Option4!$G$106:$G$117,0)))*conv_2026*T$7</f>
        <v>1489244.9033991813</v>
      </c>
      <c r="U65" s="31">
        <f>(INDEX(Option4!U$106:U$117, MATCH($D65, Option4!$G$106:$G$117,0)))*conv_2026*U$7</f>
        <v>1489244.9033991813</v>
      </c>
      <c r="V65" s="31">
        <f>(INDEX(Option4!V$106:V$117, MATCH($D65, Option4!$G$106:$G$117,0)))*conv_2026*V$7</f>
        <v>1489244.9033991813</v>
      </c>
      <c r="W65" s="31">
        <f>(INDEX(Option4!W$106:W$117, MATCH($D65, Option4!$G$106:$G$117,0)))*conv_2026*W$7</f>
        <v>1489244.9033991813</v>
      </c>
      <c r="X65" s="31">
        <f>(INDEX(Option4!X$106:X$117, MATCH($D65, Option4!$G$106:$G$117,0)))*conv_2026*X$7</f>
        <v>1489244.9033991813</v>
      </c>
      <c r="Y65" s="31">
        <f>(INDEX(Option4!Y$106:Y$117, MATCH($D65, Option4!$G$106:$G$117,0)))*conv_2026*Y$7</f>
        <v>1489244.9033991813</v>
      </c>
      <c r="Z65" s="31">
        <f>(INDEX(Option4!Z$106:Z$117, MATCH($D65, Option4!$G$106:$G$117,0)))*conv_2026*Z$7</f>
        <v>1489244.9033991813</v>
      </c>
      <c r="AA65" s="31">
        <f>(INDEX(Option4!AA$106:AA$117, MATCH($D65, Option4!$G$106:$G$117,0)))*conv_2026*AA$7</f>
        <v>1489244.9033991813</v>
      </c>
      <c r="AB65" s="31">
        <f>(INDEX(Option4!AB$106:AB$117, MATCH($D65, Option4!$G$106:$G$117,0)))*conv_2026*AB$7</f>
        <v>1489244.9033991813</v>
      </c>
      <c r="AC65" s="31">
        <f>(INDEX(Option4!AC$106:AC$117, MATCH($D65, Option4!$G$106:$G$117,0)))*conv_2026*AC$7</f>
        <v>0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2"/>
      <c r="B66" s="252"/>
      <c r="C66" s="252"/>
      <c r="D66" s="252"/>
      <c r="E66" s="252"/>
      <c r="F66" s="31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</row>
    <row r="67" spans="1:35" s="8" customFormat="1" x14ac:dyDescent="0.2">
      <c r="A67" s="252"/>
      <c r="B67" s="252"/>
      <c r="C67" s="252"/>
      <c r="D67" s="252"/>
      <c r="E67" s="252"/>
      <c r="F67" s="31"/>
      <c r="H67" s="252"/>
      <c r="I67" s="252"/>
      <c r="J67" s="252"/>
      <c r="K67" s="252"/>
      <c r="L67" s="252"/>
      <c r="M67" s="252"/>
      <c r="N67" s="252"/>
      <c r="O67" s="252"/>
      <c r="P67" s="252"/>
      <c r="Q67" s="252"/>
      <c r="R67" s="252"/>
      <c r="S67" s="252"/>
      <c r="T67" s="252"/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</row>
    <row r="68" spans="1:35" s="8" customFormat="1" x14ac:dyDescent="0.2">
      <c r="A68" s="252"/>
      <c r="B68" s="252"/>
      <c r="C68" s="252"/>
      <c r="D68" s="252"/>
      <c r="E68" s="252"/>
      <c r="F68" s="31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</row>
    <row r="69" spans="1:35" s="8" customFormat="1" x14ac:dyDescent="0.2">
      <c r="A69" s="252"/>
      <c r="B69" s="252"/>
      <c r="C69" s="252"/>
      <c r="D69" s="252"/>
      <c r="E69" s="252"/>
      <c r="F69" s="31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</row>
    <row r="70" spans="1:35" s="8" customFormat="1" x14ac:dyDescent="0.2">
      <c r="A70" s="252" t="s">
        <v>153</v>
      </c>
      <c r="B70" s="252" t="s">
        <v>119</v>
      </c>
      <c r="C70" s="252" t="s">
        <v>186</v>
      </c>
      <c r="D70" s="252" t="str">
        <f>A70&amp;B70</f>
        <v>Option 5NPV</v>
      </c>
      <c r="E70" s="253"/>
      <c r="F70" s="31">
        <f t="shared" ref="F70:F79" si="8">SUMPRODUCT($H70:$AG70, $H$5:$AG$5)</f>
        <v>9369110.5877162982</v>
      </c>
      <c r="G70" s="245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-427028.35086237144</v>
      </c>
      <c r="K70" s="31">
        <f>(INDEX(Option5!K$106:K$117, MATCH($D70, Option5!$G$106:$G$117,0)))*conv_2026*K$7</f>
        <v>9399661.6431733631</v>
      </c>
      <c r="L70" s="31">
        <f>(INDEX(Option5!L$106:L$117, MATCH($D70, Option5!$G$106:$G$117,0)))*conv_2026*L$7</f>
        <v>99030.383369460906</v>
      </c>
      <c r="M70" s="31">
        <f>(INDEX(Option5!M$106:M$117, MATCH($D70, Option5!$G$106:$G$117,0)))*conv_2026*M$7</f>
        <v>99030.383369460906</v>
      </c>
      <c r="N70" s="31">
        <f>(INDEX(Option5!N$106:N$117, MATCH($D70, Option5!$G$106:$G$117,0)))*conv_2026*N$7</f>
        <v>99030.383369460906</v>
      </c>
      <c r="O70" s="31">
        <f>(INDEX(Option5!O$106:O$117, MATCH($D70, Option5!$G$106:$G$117,0)))*conv_2026*O$7</f>
        <v>99030.383369460906</v>
      </c>
      <c r="P70" s="31">
        <f>(INDEX(Option5!P$106:P$117, MATCH($D70, Option5!$G$106:$G$117,0)))*conv_2026*P$7</f>
        <v>99030.383369460906</v>
      </c>
      <c r="Q70" s="31">
        <f>(INDEX(Option5!Q$106:Q$117, MATCH($D70, Option5!$G$106:$G$117,0)))*conv_2026*Q$7</f>
        <v>99030.383369460906</v>
      </c>
      <c r="R70" s="31">
        <f>(INDEX(Option5!R$106:R$117, MATCH($D70, Option5!$G$106:$G$117,0)))*conv_2026*R$7</f>
        <v>99030.383369460906</v>
      </c>
      <c r="S70" s="31">
        <f>(INDEX(Option5!S$106:S$117, MATCH($D70, Option5!$G$106:$G$117,0)))*conv_2026*S$7</f>
        <v>99030.383369460906</v>
      </c>
      <c r="T70" s="31">
        <f>(INDEX(Option5!T$106:T$117, MATCH($D70, Option5!$G$106:$G$117,0)))*conv_2026*T$7</f>
        <v>99030.383369460906</v>
      </c>
      <c r="U70" s="31">
        <f>(INDEX(Option5!U$106:U$117, MATCH($D70, Option5!$G$106:$G$117,0)))*conv_2026*U$7</f>
        <v>99030.383369460906</v>
      </c>
      <c r="V70" s="31">
        <f>(INDEX(Option5!V$106:V$117, MATCH($D70, Option5!$G$106:$G$117,0)))*conv_2026*V$7</f>
        <v>99030.383369460906</v>
      </c>
      <c r="W70" s="31">
        <f>(INDEX(Option5!W$106:W$117, MATCH($D70, Option5!$G$106:$G$117,0)))*conv_2026*W$7</f>
        <v>99030.383369460906</v>
      </c>
      <c r="X70" s="31">
        <f>(INDEX(Option5!X$106:X$117, MATCH($D70, Option5!$G$106:$G$117,0)))*conv_2026*X$7</f>
        <v>99030.383369460906</v>
      </c>
      <c r="Y70" s="31">
        <f>(INDEX(Option5!Y$106:Y$117, MATCH($D70, Option5!$G$106:$G$117,0)))*conv_2026*Y$7</f>
        <v>99030.383369460906</v>
      </c>
      <c r="Z70" s="31">
        <f>(INDEX(Option5!Z$106:Z$117, MATCH($D70, Option5!$G$106:$G$117,0)))*conv_2026*Z$7</f>
        <v>99030.383369460906</v>
      </c>
      <c r="AA70" s="31">
        <f>(INDEX(Option5!AA$106:AA$117, MATCH($D70, Option5!$G$106:$G$117,0)))*conv_2026*AA$7</f>
        <v>99030.383369460906</v>
      </c>
      <c r="AB70" s="31">
        <f>(INDEX(Option5!AB$106:AB$117, MATCH($D70, Option5!$G$106:$G$117,0)))*conv_2026*AB$7</f>
        <v>99030.383369460906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4"/>
      <c r="B71" s="244"/>
      <c r="C71" s="244"/>
      <c r="D71" s="244"/>
      <c r="E71" s="244"/>
      <c r="F71" s="244"/>
      <c r="G71" s="245"/>
      <c r="H71" s="245"/>
      <c r="I71" s="245"/>
      <c r="J71" s="245"/>
      <c r="K71" s="245"/>
      <c r="L71" s="245"/>
      <c r="M71" s="245"/>
      <c r="N71" s="245"/>
      <c r="O71" s="245"/>
      <c r="P71" s="245"/>
      <c r="Q71" s="245"/>
      <c r="R71" s="245"/>
      <c r="S71" s="245"/>
      <c r="T71" s="245"/>
      <c r="U71" s="245"/>
      <c r="V71" s="245"/>
      <c r="W71" s="245"/>
      <c r="X71" s="245"/>
      <c r="Y71" s="245"/>
      <c r="Z71" s="245"/>
      <c r="AA71" s="245"/>
      <c r="AB71" s="245"/>
      <c r="AC71" s="245"/>
      <c r="AD71" s="245"/>
      <c r="AE71" s="245"/>
      <c r="AF71" s="245"/>
      <c r="AG71" s="245"/>
      <c r="AH71" s="7"/>
      <c r="AI71" s="7"/>
    </row>
    <row r="72" spans="1:35" s="8" customFormat="1" x14ac:dyDescent="0.2">
      <c r="A72" s="252" t="s">
        <v>153</v>
      </c>
      <c r="B72" s="252" t="str">
        <f>Option5!A110</f>
        <v>sens1</v>
      </c>
      <c r="C72" s="252" t="str">
        <f>Option5!C110</f>
        <v>Capex 10% higher</v>
      </c>
      <c r="D72" s="252" t="str">
        <f t="shared" ref="D72:D79" si="9">A72&amp;B72</f>
        <v>Option 5sens1</v>
      </c>
      <c r="E72" s="253"/>
      <c r="F72" s="31">
        <f t="shared" si="8"/>
        <v>6691231.3033436425</v>
      </c>
      <c r="G72" s="245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-469731.18594860856</v>
      </c>
      <c r="K72" s="31">
        <f>(INDEX(Option5!K$106:K$117, MATCH($D72, Option5!$G$106:$G$117,0)))*conv_2026*K$7</f>
        <v>9226715.1610741019</v>
      </c>
      <c r="L72" s="31">
        <f>(INDEX(Option5!L$106:L$117, MATCH($D72, Option5!$G$106:$G$117,0)))*conv_2026*L$7</f>
        <v>-114483.79206172483</v>
      </c>
      <c r="M72" s="31">
        <f>(INDEX(Option5!M$106:M$117, MATCH($D72, Option5!$G$106:$G$117,0)))*conv_2026*M$7</f>
        <v>-114483.79206172483</v>
      </c>
      <c r="N72" s="31">
        <f>(INDEX(Option5!N$106:N$117, MATCH($D72, Option5!$G$106:$G$117,0)))*conv_2026*N$7</f>
        <v>-114483.79206172483</v>
      </c>
      <c r="O72" s="31">
        <f>(INDEX(Option5!O$106:O$117, MATCH($D72, Option5!$G$106:$G$117,0)))*conv_2026*O$7</f>
        <v>-114483.79206172483</v>
      </c>
      <c r="P72" s="31">
        <f>(INDEX(Option5!P$106:P$117, MATCH($D72, Option5!$G$106:$G$117,0)))*conv_2026*P$7</f>
        <v>-114483.79206172483</v>
      </c>
      <c r="Q72" s="31">
        <f>(INDEX(Option5!Q$106:Q$117, MATCH($D72, Option5!$G$106:$G$117,0)))*conv_2026*Q$7</f>
        <v>-114483.79206172483</v>
      </c>
      <c r="R72" s="31">
        <f>(INDEX(Option5!R$106:R$117, MATCH($D72, Option5!$G$106:$G$117,0)))*conv_2026*R$7</f>
        <v>-114483.79206172483</v>
      </c>
      <c r="S72" s="31">
        <f>(INDEX(Option5!S$106:S$117, MATCH($D72, Option5!$G$106:$G$117,0)))*conv_2026*S$7</f>
        <v>-114483.79206172483</v>
      </c>
      <c r="T72" s="31">
        <f>(INDEX(Option5!T$106:T$117, MATCH($D72, Option5!$G$106:$G$117,0)))*conv_2026*T$7</f>
        <v>-114483.79206172483</v>
      </c>
      <c r="U72" s="31">
        <f>(INDEX(Option5!U$106:U$117, MATCH($D72, Option5!$G$106:$G$117,0)))*conv_2026*U$7</f>
        <v>-114483.79206172483</v>
      </c>
      <c r="V72" s="31">
        <f>(INDEX(Option5!V$106:V$117, MATCH($D72, Option5!$G$106:$G$117,0)))*conv_2026*V$7</f>
        <v>-114483.79206172483</v>
      </c>
      <c r="W72" s="31">
        <f>(INDEX(Option5!W$106:W$117, MATCH($D72, Option5!$G$106:$G$117,0)))*conv_2026*W$7</f>
        <v>-114483.79206172483</v>
      </c>
      <c r="X72" s="31">
        <f>(INDEX(Option5!X$106:X$117, MATCH($D72, Option5!$G$106:$G$117,0)))*conv_2026*X$7</f>
        <v>-114483.79206172483</v>
      </c>
      <c r="Y72" s="31">
        <f>(INDEX(Option5!Y$106:Y$117, MATCH($D72, Option5!$G$106:$G$117,0)))*conv_2026*Y$7</f>
        <v>-114483.79206172483</v>
      </c>
      <c r="Z72" s="31">
        <f>(INDEX(Option5!Z$106:Z$117, MATCH($D72, Option5!$G$106:$G$117,0)))*conv_2026*Z$7</f>
        <v>-114483.79206172483</v>
      </c>
      <c r="AA72" s="31">
        <f>(INDEX(Option5!AA$106:AA$117, MATCH($D72, Option5!$G$106:$G$117,0)))*conv_2026*AA$7</f>
        <v>-114483.79206172483</v>
      </c>
      <c r="AB72" s="31">
        <f>(INDEX(Option5!AB$106:AB$117, MATCH($D72, Option5!$G$106:$G$117,0)))*conv_2026*AB$7</f>
        <v>-114483.79206172483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2" t="s">
        <v>153</v>
      </c>
      <c r="B73" s="252" t="str">
        <f>Option5!A111</f>
        <v>sens2</v>
      </c>
      <c r="C73" s="252" t="str">
        <f>Option5!C111</f>
        <v>Capex 10% lower</v>
      </c>
      <c r="D73" s="252" t="str">
        <f t="shared" si="9"/>
        <v>Option 5sens2</v>
      </c>
      <c r="E73" s="253"/>
      <c r="F73" s="31">
        <f t="shared" si="8"/>
        <v>12046989.872088954</v>
      </c>
      <c r="G73" s="252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-384325.51577613433</v>
      </c>
      <c r="K73" s="31">
        <f>(INDEX(Option5!K$106:K$117, MATCH($D73, Option5!$G$106:$G$117,0)))*conv_2026*K$7</f>
        <v>9572608.1252726242</v>
      </c>
      <c r="L73" s="31">
        <f>(INDEX(Option5!L$106:L$117, MATCH($D73, Option5!$G$106:$G$117,0)))*conv_2026*L$7</f>
        <v>312544.55880064657</v>
      </c>
      <c r="M73" s="31">
        <f>(INDEX(Option5!M$106:M$117, MATCH($D73, Option5!$G$106:$G$117,0)))*conv_2026*M$7</f>
        <v>312544.55880064657</v>
      </c>
      <c r="N73" s="31">
        <f>(INDEX(Option5!N$106:N$117, MATCH($D73, Option5!$G$106:$G$117,0)))*conv_2026*N$7</f>
        <v>312544.55880064657</v>
      </c>
      <c r="O73" s="31">
        <f>(INDEX(Option5!O$106:O$117, MATCH($D73, Option5!$G$106:$G$117,0)))*conv_2026*O$7</f>
        <v>312544.55880064657</v>
      </c>
      <c r="P73" s="31">
        <f>(INDEX(Option5!P$106:P$117, MATCH($D73, Option5!$G$106:$G$117,0)))*conv_2026*P$7</f>
        <v>312544.55880064657</v>
      </c>
      <c r="Q73" s="31">
        <f>(INDEX(Option5!Q$106:Q$117, MATCH($D73, Option5!$G$106:$G$117,0)))*conv_2026*Q$7</f>
        <v>312544.55880064657</v>
      </c>
      <c r="R73" s="31">
        <f>(INDEX(Option5!R$106:R$117, MATCH($D73, Option5!$G$106:$G$117,0)))*conv_2026*R$7</f>
        <v>312544.55880064657</v>
      </c>
      <c r="S73" s="31">
        <f>(INDEX(Option5!S$106:S$117, MATCH($D73, Option5!$G$106:$G$117,0)))*conv_2026*S$7</f>
        <v>312544.55880064657</v>
      </c>
      <c r="T73" s="31">
        <f>(INDEX(Option5!T$106:T$117, MATCH($D73, Option5!$G$106:$G$117,0)))*conv_2026*T$7</f>
        <v>312544.55880064657</v>
      </c>
      <c r="U73" s="31">
        <f>(INDEX(Option5!U$106:U$117, MATCH($D73, Option5!$G$106:$G$117,0)))*conv_2026*U$7</f>
        <v>312544.55880064657</v>
      </c>
      <c r="V73" s="31">
        <f>(INDEX(Option5!V$106:V$117, MATCH($D73, Option5!$G$106:$G$117,0)))*conv_2026*V$7</f>
        <v>312544.55880064657</v>
      </c>
      <c r="W73" s="31">
        <f>(INDEX(Option5!W$106:W$117, MATCH($D73, Option5!$G$106:$G$117,0)))*conv_2026*W$7</f>
        <v>312544.55880064657</v>
      </c>
      <c r="X73" s="31">
        <f>(INDEX(Option5!X$106:X$117, MATCH($D73, Option5!$G$106:$G$117,0)))*conv_2026*X$7</f>
        <v>312544.55880064657</v>
      </c>
      <c r="Y73" s="31">
        <f>(INDEX(Option5!Y$106:Y$117, MATCH($D73, Option5!$G$106:$G$117,0)))*conv_2026*Y$7</f>
        <v>312544.55880064657</v>
      </c>
      <c r="Z73" s="31">
        <f>(INDEX(Option5!Z$106:Z$117, MATCH($D73, Option5!$G$106:$G$117,0)))*conv_2026*Z$7</f>
        <v>312544.55880064657</v>
      </c>
      <c r="AA73" s="31">
        <f>(INDEX(Option5!AA$106:AA$117, MATCH($D73, Option5!$G$106:$G$117,0)))*conv_2026*AA$7</f>
        <v>312544.55880064657</v>
      </c>
      <c r="AB73" s="31">
        <f>(INDEX(Option5!AB$106:AB$117, MATCH($D73, Option5!$G$106:$G$117,0)))*conv_2026*AB$7</f>
        <v>312544.55880064657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2" t="s">
        <v>153</v>
      </c>
      <c r="B74" s="252" t="str">
        <f>Option5!A112</f>
        <v>sens3</v>
      </c>
      <c r="C74" s="252" t="str">
        <f>Option5!C112</f>
        <v>Total benefits 10% higher</v>
      </c>
      <c r="D74" s="252" t="str">
        <f t="shared" si="9"/>
        <v>Option 5sens3</v>
      </c>
      <c r="E74" s="253"/>
      <c r="F74" s="31">
        <f t="shared" si="8"/>
        <v>12983900.930860585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-427028.35086237144</v>
      </c>
      <c r="K74" s="31">
        <f>(INDEX(Option5!K$106:K$117, MATCH($D74, Option5!$G$106:$G$117,0)))*conv_2026*K$7</f>
        <v>10512574.28958996</v>
      </c>
      <c r="L74" s="31">
        <f>(INDEX(Option5!L$106:L$117, MATCH($D74, Option5!$G$106:$G$117,0)))*conv_2026*L$7</f>
        <v>322447.59713759273</v>
      </c>
      <c r="M74" s="31">
        <f>(INDEX(Option5!M$106:M$117, MATCH($D74, Option5!$G$106:$G$117,0)))*conv_2026*M$7</f>
        <v>322447.59713759273</v>
      </c>
      <c r="N74" s="31">
        <f>(INDEX(Option5!N$106:N$117, MATCH($D74, Option5!$G$106:$G$117,0)))*conv_2026*N$7</f>
        <v>322447.59713759273</v>
      </c>
      <c r="O74" s="31">
        <f>(INDEX(Option5!O$106:O$117, MATCH($D74, Option5!$G$106:$G$117,0)))*conv_2026*O$7</f>
        <v>322447.59713759273</v>
      </c>
      <c r="P74" s="31">
        <f>(INDEX(Option5!P$106:P$117, MATCH($D74, Option5!$G$106:$G$117,0)))*conv_2026*P$7</f>
        <v>322447.59713759273</v>
      </c>
      <c r="Q74" s="31">
        <f>(INDEX(Option5!Q$106:Q$117, MATCH($D74, Option5!$G$106:$G$117,0)))*conv_2026*Q$7</f>
        <v>322447.59713759273</v>
      </c>
      <c r="R74" s="31">
        <f>(INDEX(Option5!R$106:R$117, MATCH($D74, Option5!$G$106:$G$117,0)))*conv_2026*R$7</f>
        <v>322447.59713759273</v>
      </c>
      <c r="S74" s="31">
        <f>(INDEX(Option5!S$106:S$117, MATCH($D74, Option5!$G$106:$G$117,0)))*conv_2026*S$7</f>
        <v>322447.59713759273</v>
      </c>
      <c r="T74" s="31">
        <f>(INDEX(Option5!T$106:T$117, MATCH($D74, Option5!$G$106:$G$117,0)))*conv_2026*T$7</f>
        <v>322447.59713759273</v>
      </c>
      <c r="U74" s="31">
        <f>(INDEX(Option5!U$106:U$117, MATCH($D74, Option5!$G$106:$G$117,0)))*conv_2026*U$7</f>
        <v>322447.59713759273</v>
      </c>
      <c r="V74" s="31">
        <f>(INDEX(Option5!V$106:V$117, MATCH($D74, Option5!$G$106:$G$117,0)))*conv_2026*V$7</f>
        <v>322447.59713759273</v>
      </c>
      <c r="W74" s="31">
        <f>(INDEX(Option5!W$106:W$117, MATCH($D74, Option5!$G$106:$G$117,0)))*conv_2026*W$7</f>
        <v>322447.59713759273</v>
      </c>
      <c r="X74" s="31">
        <f>(INDEX(Option5!X$106:X$117, MATCH($D74, Option5!$G$106:$G$117,0)))*conv_2026*X$7</f>
        <v>322447.59713759273</v>
      </c>
      <c r="Y74" s="31">
        <f>(INDEX(Option5!Y$106:Y$117, MATCH($D74, Option5!$G$106:$G$117,0)))*conv_2026*Y$7</f>
        <v>322447.59713759273</v>
      </c>
      <c r="Z74" s="31">
        <f>(INDEX(Option5!Z$106:Z$117, MATCH($D74, Option5!$G$106:$G$117,0)))*conv_2026*Z$7</f>
        <v>322447.59713759273</v>
      </c>
      <c r="AA74" s="31">
        <f>(INDEX(Option5!AA$106:AA$117, MATCH($D74, Option5!$G$106:$G$117,0)))*conv_2026*AA$7</f>
        <v>322447.59713759273</v>
      </c>
      <c r="AB74" s="31">
        <f>(INDEX(Option5!AB$106:AB$117, MATCH($D74, Option5!$G$106:$G$117,0)))*conv_2026*AB$7</f>
        <v>322447.59713759273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2" t="s">
        <v>153</v>
      </c>
      <c r="B75" s="252" t="str">
        <f>Option5!A113</f>
        <v>sens4</v>
      </c>
      <c r="C75" s="252" t="str">
        <f>Option5!C113</f>
        <v>Total benefits 10% lower</v>
      </c>
      <c r="D75" s="252" t="str">
        <f t="shared" si="9"/>
        <v>Option 5sens4</v>
      </c>
      <c r="E75" s="253"/>
      <c r="F75" s="31">
        <f t="shared" si="8"/>
        <v>5754320.2445720127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-427028.35086237144</v>
      </c>
      <c r="K75" s="31">
        <f>(INDEX(Option5!K$106:K$117, MATCH($D75, Option5!$G$106:$G$117,0)))*conv_2026*K$7</f>
        <v>8286748.996756766</v>
      </c>
      <c r="L75" s="31">
        <f>(INDEX(Option5!L$106:L$117, MATCH($D75, Option5!$G$106:$G$117,0)))*conv_2026*L$7</f>
        <v>-124386.83039867091</v>
      </c>
      <c r="M75" s="31">
        <f>(INDEX(Option5!M$106:M$117, MATCH($D75, Option5!$G$106:$G$117,0)))*conv_2026*M$7</f>
        <v>-124386.83039867091</v>
      </c>
      <c r="N75" s="31">
        <f>(INDEX(Option5!N$106:N$117, MATCH($D75, Option5!$G$106:$G$117,0)))*conv_2026*N$7</f>
        <v>-124386.83039867091</v>
      </c>
      <c r="O75" s="31">
        <f>(INDEX(Option5!O$106:O$117, MATCH($D75, Option5!$G$106:$G$117,0)))*conv_2026*O$7</f>
        <v>-124386.83039867091</v>
      </c>
      <c r="P75" s="31">
        <f>(INDEX(Option5!P$106:P$117, MATCH($D75, Option5!$G$106:$G$117,0)))*conv_2026*P$7</f>
        <v>-124386.83039867091</v>
      </c>
      <c r="Q75" s="31">
        <f>(INDEX(Option5!Q$106:Q$117, MATCH($D75, Option5!$G$106:$G$117,0)))*conv_2026*Q$7</f>
        <v>-124386.83039867091</v>
      </c>
      <c r="R75" s="31">
        <f>(INDEX(Option5!R$106:R$117, MATCH($D75, Option5!$G$106:$G$117,0)))*conv_2026*R$7</f>
        <v>-124386.83039867091</v>
      </c>
      <c r="S75" s="31">
        <f>(INDEX(Option5!S$106:S$117, MATCH($D75, Option5!$G$106:$G$117,0)))*conv_2026*S$7</f>
        <v>-124386.83039867091</v>
      </c>
      <c r="T75" s="31">
        <f>(INDEX(Option5!T$106:T$117, MATCH($D75, Option5!$G$106:$G$117,0)))*conv_2026*T$7</f>
        <v>-124386.83039867091</v>
      </c>
      <c r="U75" s="31">
        <f>(INDEX(Option5!U$106:U$117, MATCH($D75, Option5!$G$106:$G$117,0)))*conv_2026*U$7</f>
        <v>-124386.83039867091</v>
      </c>
      <c r="V75" s="31">
        <f>(INDEX(Option5!V$106:V$117, MATCH($D75, Option5!$G$106:$G$117,0)))*conv_2026*V$7</f>
        <v>-124386.83039867091</v>
      </c>
      <c r="W75" s="31">
        <f>(INDEX(Option5!W$106:W$117, MATCH($D75, Option5!$G$106:$G$117,0)))*conv_2026*W$7</f>
        <v>-124386.83039867091</v>
      </c>
      <c r="X75" s="31">
        <f>(INDEX(Option5!X$106:X$117, MATCH($D75, Option5!$G$106:$G$117,0)))*conv_2026*X$7</f>
        <v>-124386.83039867091</v>
      </c>
      <c r="Y75" s="31">
        <f>(INDEX(Option5!Y$106:Y$117, MATCH($D75, Option5!$G$106:$G$117,0)))*conv_2026*Y$7</f>
        <v>-124386.83039867091</v>
      </c>
      <c r="Z75" s="31">
        <f>(INDEX(Option5!Z$106:Z$117, MATCH($D75, Option5!$G$106:$G$117,0)))*conv_2026*Z$7</f>
        <v>-124386.83039867091</v>
      </c>
      <c r="AA75" s="31">
        <f>(INDEX(Option5!AA$106:AA$117, MATCH($D75, Option5!$G$106:$G$117,0)))*conv_2026*AA$7</f>
        <v>-124386.83039867091</v>
      </c>
      <c r="AB75" s="31">
        <f>(INDEX(Option5!AB$106:AB$117, MATCH($D75, Option5!$G$106:$G$117,0)))*conv_2026*AB$7</f>
        <v>-124386.83039867091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2" t="s">
        <v>153</v>
      </c>
      <c r="B76" s="252" t="str">
        <f>Option5!A114</f>
        <v>sens5</v>
      </c>
      <c r="C76" s="252" t="str">
        <f>Option5!C114</f>
        <v>Capex 10% higher &amp; Total benefits 10% lower</v>
      </c>
      <c r="D76" s="252" t="str">
        <f t="shared" si="9"/>
        <v>Option 5sens5</v>
      </c>
      <c r="E76" s="253"/>
      <c r="F76" s="31">
        <f t="shared" si="8"/>
        <v>3076440.9601993565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-469731.18594860856</v>
      </c>
      <c r="K76" s="31">
        <f>(INDEX(Option5!K$106:K$117, MATCH($D76, Option5!$G$106:$G$117,0)))*conv_2026*K$7</f>
        <v>8113802.5146575058</v>
      </c>
      <c r="L76" s="31">
        <f>(INDEX(Option5!L$106:L$117, MATCH($D76, Option5!$G$106:$G$117,0)))*conv_2026*L$7</f>
        <v>-337901.00582985661</v>
      </c>
      <c r="M76" s="31">
        <f>(INDEX(Option5!M$106:M$117, MATCH($D76, Option5!$G$106:$G$117,0)))*conv_2026*M$7</f>
        <v>-337901.00582985661</v>
      </c>
      <c r="N76" s="31">
        <f>(INDEX(Option5!N$106:N$117, MATCH($D76, Option5!$G$106:$G$117,0)))*conv_2026*N$7</f>
        <v>-337901.00582985661</v>
      </c>
      <c r="O76" s="31">
        <f>(INDEX(Option5!O$106:O$117, MATCH($D76, Option5!$G$106:$G$117,0)))*conv_2026*O$7</f>
        <v>-337901.00582985661</v>
      </c>
      <c r="P76" s="31">
        <f>(INDEX(Option5!P$106:P$117, MATCH($D76, Option5!$G$106:$G$117,0)))*conv_2026*P$7</f>
        <v>-337901.00582985661</v>
      </c>
      <c r="Q76" s="31">
        <f>(INDEX(Option5!Q$106:Q$117, MATCH($D76, Option5!$G$106:$G$117,0)))*conv_2026*Q$7</f>
        <v>-337901.00582985661</v>
      </c>
      <c r="R76" s="31">
        <f>(INDEX(Option5!R$106:R$117, MATCH($D76, Option5!$G$106:$G$117,0)))*conv_2026*R$7</f>
        <v>-337901.00582985661</v>
      </c>
      <c r="S76" s="31">
        <f>(INDEX(Option5!S$106:S$117, MATCH($D76, Option5!$G$106:$G$117,0)))*conv_2026*S$7</f>
        <v>-337901.00582985661</v>
      </c>
      <c r="T76" s="31">
        <f>(INDEX(Option5!T$106:T$117, MATCH($D76, Option5!$G$106:$G$117,0)))*conv_2026*T$7</f>
        <v>-337901.00582985661</v>
      </c>
      <c r="U76" s="31">
        <f>(INDEX(Option5!U$106:U$117, MATCH($D76, Option5!$G$106:$G$117,0)))*conv_2026*U$7</f>
        <v>-337901.00582985661</v>
      </c>
      <c r="V76" s="31">
        <f>(INDEX(Option5!V$106:V$117, MATCH($D76, Option5!$G$106:$G$117,0)))*conv_2026*V$7</f>
        <v>-337901.00582985661</v>
      </c>
      <c r="W76" s="31">
        <f>(INDEX(Option5!W$106:W$117, MATCH($D76, Option5!$G$106:$G$117,0)))*conv_2026*W$7</f>
        <v>-337901.00582985661</v>
      </c>
      <c r="X76" s="31">
        <f>(INDEX(Option5!X$106:X$117, MATCH($D76, Option5!$G$106:$G$117,0)))*conv_2026*X$7</f>
        <v>-337901.00582985661</v>
      </c>
      <c r="Y76" s="31">
        <f>(INDEX(Option5!Y$106:Y$117, MATCH($D76, Option5!$G$106:$G$117,0)))*conv_2026*Y$7</f>
        <v>-337901.00582985661</v>
      </c>
      <c r="Z76" s="31">
        <f>(INDEX(Option5!Z$106:Z$117, MATCH($D76, Option5!$G$106:$G$117,0)))*conv_2026*Z$7</f>
        <v>-337901.00582985661</v>
      </c>
      <c r="AA76" s="31">
        <f>(INDEX(Option5!AA$106:AA$117, MATCH($D76, Option5!$G$106:$G$117,0)))*conv_2026*AA$7</f>
        <v>-337901.00582985661</v>
      </c>
      <c r="AB76" s="31">
        <f>(INDEX(Option5!AB$106:AB$117, MATCH($D76, Option5!$G$106:$G$117,0)))*conv_2026*AB$7</f>
        <v>-337901.00582985661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2" t="s">
        <v>153</v>
      </c>
      <c r="B77" s="252" t="str">
        <f>Option5!A115</f>
        <v>sens</v>
      </c>
      <c r="C77" s="252">
        <f>Option5!C115</f>
        <v>0</v>
      </c>
      <c r="D77" s="252" t="str">
        <f t="shared" si="9"/>
        <v>Option 5sens</v>
      </c>
      <c r="E77" s="253"/>
      <c r="F77" s="31">
        <f t="shared" si="8"/>
        <v>9369110.5877162982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-427028.35086237144</v>
      </c>
      <c r="K77" s="31">
        <f>(INDEX(Option5!K$106:K$117, MATCH($D77, Option5!$G$106:$G$117,0)))*conv_2026*K$7</f>
        <v>9399661.6431733631</v>
      </c>
      <c r="L77" s="31">
        <f>(INDEX(Option5!L$106:L$117, MATCH($D77, Option5!$G$106:$G$117,0)))*conv_2026*L$7</f>
        <v>99030.383369460906</v>
      </c>
      <c r="M77" s="31">
        <f>(INDEX(Option5!M$106:M$117, MATCH($D77, Option5!$G$106:$G$117,0)))*conv_2026*M$7</f>
        <v>99030.383369460906</v>
      </c>
      <c r="N77" s="31">
        <f>(INDEX(Option5!N$106:N$117, MATCH($D77, Option5!$G$106:$G$117,0)))*conv_2026*N$7</f>
        <v>99030.383369460906</v>
      </c>
      <c r="O77" s="31">
        <f>(INDEX(Option5!O$106:O$117, MATCH($D77, Option5!$G$106:$G$117,0)))*conv_2026*O$7</f>
        <v>99030.383369460906</v>
      </c>
      <c r="P77" s="31">
        <f>(INDEX(Option5!P$106:P$117, MATCH($D77, Option5!$G$106:$G$117,0)))*conv_2026*P$7</f>
        <v>99030.383369460906</v>
      </c>
      <c r="Q77" s="31">
        <f>(INDEX(Option5!Q$106:Q$117, MATCH($D77, Option5!$G$106:$G$117,0)))*conv_2026*Q$7</f>
        <v>99030.383369460906</v>
      </c>
      <c r="R77" s="31">
        <f>(INDEX(Option5!R$106:R$117, MATCH($D77, Option5!$G$106:$G$117,0)))*conv_2026*R$7</f>
        <v>99030.383369460906</v>
      </c>
      <c r="S77" s="31">
        <f>(INDEX(Option5!S$106:S$117, MATCH($D77, Option5!$G$106:$G$117,0)))*conv_2026*S$7</f>
        <v>99030.383369460906</v>
      </c>
      <c r="T77" s="31">
        <f>(INDEX(Option5!T$106:T$117, MATCH($D77, Option5!$G$106:$G$117,0)))*conv_2026*T$7</f>
        <v>99030.383369460906</v>
      </c>
      <c r="U77" s="31">
        <f>(INDEX(Option5!U$106:U$117, MATCH($D77, Option5!$G$106:$G$117,0)))*conv_2026*U$7</f>
        <v>99030.383369460906</v>
      </c>
      <c r="V77" s="31">
        <f>(INDEX(Option5!V$106:V$117, MATCH($D77, Option5!$G$106:$G$117,0)))*conv_2026*V$7</f>
        <v>99030.383369460906</v>
      </c>
      <c r="W77" s="31">
        <f>(INDEX(Option5!W$106:W$117, MATCH($D77, Option5!$G$106:$G$117,0)))*conv_2026*W$7</f>
        <v>99030.383369460906</v>
      </c>
      <c r="X77" s="31">
        <f>(INDEX(Option5!X$106:X$117, MATCH($D77, Option5!$G$106:$G$117,0)))*conv_2026*X$7</f>
        <v>99030.383369460906</v>
      </c>
      <c r="Y77" s="31">
        <f>(INDEX(Option5!Y$106:Y$117, MATCH($D77, Option5!$G$106:$G$117,0)))*conv_2026*Y$7</f>
        <v>99030.383369460906</v>
      </c>
      <c r="Z77" s="31">
        <f>(INDEX(Option5!Z$106:Z$117, MATCH($D77, Option5!$G$106:$G$117,0)))*conv_2026*Z$7</f>
        <v>99030.383369460906</v>
      </c>
      <c r="AA77" s="31">
        <f>(INDEX(Option5!AA$106:AA$117, MATCH($D77, Option5!$G$106:$G$117,0)))*conv_2026*AA$7</f>
        <v>99030.383369460906</v>
      </c>
      <c r="AB77" s="31">
        <f>(INDEX(Option5!AB$106:AB$117, MATCH($D77, Option5!$G$106:$G$117,0)))*conv_2026*AB$7</f>
        <v>99030.383369460906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2" t="s">
        <v>153</v>
      </c>
      <c r="B78" s="252" t="str">
        <f>Option5!A116</f>
        <v>sens</v>
      </c>
      <c r="C78" s="252">
        <f>Option5!C116</f>
        <v>0</v>
      </c>
      <c r="D78" s="252" t="str">
        <f t="shared" si="9"/>
        <v>Option 5sens</v>
      </c>
      <c r="E78" s="253"/>
      <c r="F78" s="31">
        <f t="shared" si="8"/>
        <v>9369110.5877162982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-427028.35086237144</v>
      </c>
      <c r="K78" s="31">
        <f>(INDEX(Option5!K$106:K$117, MATCH($D78, Option5!$G$106:$G$117,0)))*conv_2026*K$7</f>
        <v>9399661.6431733631</v>
      </c>
      <c r="L78" s="31">
        <f>(INDEX(Option5!L$106:L$117, MATCH($D78, Option5!$G$106:$G$117,0)))*conv_2026*L$7</f>
        <v>99030.383369460906</v>
      </c>
      <c r="M78" s="31">
        <f>(INDEX(Option5!M$106:M$117, MATCH($D78, Option5!$G$106:$G$117,0)))*conv_2026*M$7</f>
        <v>99030.383369460906</v>
      </c>
      <c r="N78" s="31">
        <f>(INDEX(Option5!N$106:N$117, MATCH($D78, Option5!$G$106:$G$117,0)))*conv_2026*N$7</f>
        <v>99030.383369460906</v>
      </c>
      <c r="O78" s="31">
        <f>(INDEX(Option5!O$106:O$117, MATCH($D78, Option5!$G$106:$G$117,0)))*conv_2026*O$7</f>
        <v>99030.383369460906</v>
      </c>
      <c r="P78" s="31">
        <f>(INDEX(Option5!P$106:P$117, MATCH($D78, Option5!$G$106:$G$117,0)))*conv_2026*P$7</f>
        <v>99030.383369460906</v>
      </c>
      <c r="Q78" s="31">
        <f>(INDEX(Option5!Q$106:Q$117, MATCH($D78, Option5!$G$106:$G$117,0)))*conv_2026*Q$7</f>
        <v>99030.383369460906</v>
      </c>
      <c r="R78" s="31">
        <f>(INDEX(Option5!R$106:R$117, MATCH($D78, Option5!$G$106:$G$117,0)))*conv_2026*R$7</f>
        <v>99030.383369460906</v>
      </c>
      <c r="S78" s="31">
        <f>(INDEX(Option5!S$106:S$117, MATCH($D78, Option5!$G$106:$G$117,0)))*conv_2026*S$7</f>
        <v>99030.383369460906</v>
      </c>
      <c r="T78" s="31">
        <f>(INDEX(Option5!T$106:T$117, MATCH($D78, Option5!$G$106:$G$117,0)))*conv_2026*T$7</f>
        <v>99030.383369460906</v>
      </c>
      <c r="U78" s="31">
        <f>(INDEX(Option5!U$106:U$117, MATCH($D78, Option5!$G$106:$G$117,0)))*conv_2026*U$7</f>
        <v>99030.383369460906</v>
      </c>
      <c r="V78" s="31">
        <f>(INDEX(Option5!V$106:V$117, MATCH($D78, Option5!$G$106:$G$117,0)))*conv_2026*V$7</f>
        <v>99030.383369460906</v>
      </c>
      <c r="W78" s="31">
        <f>(INDEX(Option5!W$106:W$117, MATCH($D78, Option5!$G$106:$G$117,0)))*conv_2026*W$7</f>
        <v>99030.383369460906</v>
      </c>
      <c r="X78" s="31">
        <f>(INDEX(Option5!X$106:X$117, MATCH($D78, Option5!$G$106:$G$117,0)))*conv_2026*X$7</f>
        <v>99030.383369460906</v>
      </c>
      <c r="Y78" s="31">
        <f>(INDEX(Option5!Y$106:Y$117, MATCH($D78, Option5!$G$106:$G$117,0)))*conv_2026*Y$7</f>
        <v>99030.383369460906</v>
      </c>
      <c r="Z78" s="31">
        <f>(INDEX(Option5!Z$106:Z$117, MATCH($D78, Option5!$G$106:$G$117,0)))*conv_2026*Z$7</f>
        <v>99030.383369460906</v>
      </c>
      <c r="AA78" s="31">
        <f>(INDEX(Option5!AA$106:AA$117, MATCH($D78, Option5!$G$106:$G$117,0)))*conv_2026*AA$7</f>
        <v>99030.383369460906</v>
      </c>
      <c r="AB78" s="31">
        <f>(INDEX(Option5!AB$106:AB$117, MATCH($D78, Option5!$G$106:$G$117,0)))*conv_2026*AB$7</f>
        <v>99030.383369460906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2" t="s">
        <v>153</v>
      </c>
      <c r="B79" s="252" t="str">
        <f>Option5!A117</f>
        <v>sens</v>
      </c>
      <c r="C79" s="252">
        <f>Option5!C117</f>
        <v>0</v>
      </c>
      <c r="D79" s="252" t="str">
        <f t="shared" si="9"/>
        <v>Option 5sens</v>
      </c>
      <c r="E79" s="253"/>
      <c r="F79" s="31">
        <f t="shared" si="8"/>
        <v>9369110.5877162982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-427028.35086237144</v>
      </c>
      <c r="K79" s="31">
        <f>(INDEX(Option5!K$106:K$117, MATCH($D79, Option5!$G$106:$G$117,0)))*conv_2026*K$7</f>
        <v>9399661.6431733631</v>
      </c>
      <c r="L79" s="31">
        <f>(INDEX(Option5!L$106:L$117, MATCH($D79, Option5!$G$106:$G$117,0)))*conv_2026*L$7</f>
        <v>99030.383369460906</v>
      </c>
      <c r="M79" s="31">
        <f>(INDEX(Option5!M$106:M$117, MATCH($D79, Option5!$G$106:$G$117,0)))*conv_2026*M$7</f>
        <v>99030.383369460906</v>
      </c>
      <c r="N79" s="31">
        <f>(INDEX(Option5!N$106:N$117, MATCH($D79, Option5!$G$106:$G$117,0)))*conv_2026*N$7</f>
        <v>99030.383369460906</v>
      </c>
      <c r="O79" s="31">
        <f>(INDEX(Option5!O$106:O$117, MATCH($D79, Option5!$G$106:$G$117,0)))*conv_2026*O$7</f>
        <v>99030.383369460906</v>
      </c>
      <c r="P79" s="31">
        <f>(INDEX(Option5!P$106:P$117, MATCH($D79, Option5!$G$106:$G$117,0)))*conv_2026*P$7</f>
        <v>99030.383369460906</v>
      </c>
      <c r="Q79" s="31">
        <f>(INDEX(Option5!Q$106:Q$117, MATCH($D79, Option5!$G$106:$G$117,0)))*conv_2026*Q$7</f>
        <v>99030.383369460906</v>
      </c>
      <c r="R79" s="31">
        <f>(INDEX(Option5!R$106:R$117, MATCH($D79, Option5!$G$106:$G$117,0)))*conv_2026*R$7</f>
        <v>99030.383369460906</v>
      </c>
      <c r="S79" s="31">
        <f>(INDEX(Option5!S$106:S$117, MATCH($D79, Option5!$G$106:$G$117,0)))*conv_2026*S$7</f>
        <v>99030.383369460906</v>
      </c>
      <c r="T79" s="31">
        <f>(INDEX(Option5!T$106:T$117, MATCH($D79, Option5!$G$106:$G$117,0)))*conv_2026*T$7</f>
        <v>99030.383369460906</v>
      </c>
      <c r="U79" s="31">
        <f>(INDEX(Option5!U$106:U$117, MATCH($D79, Option5!$G$106:$G$117,0)))*conv_2026*U$7</f>
        <v>99030.383369460906</v>
      </c>
      <c r="V79" s="31">
        <f>(INDEX(Option5!V$106:V$117, MATCH($D79, Option5!$G$106:$G$117,0)))*conv_2026*V$7</f>
        <v>99030.383369460906</v>
      </c>
      <c r="W79" s="31">
        <f>(INDEX(Option5!W$106:W$117, MATCH($D79, Option5!$G$106:$G$117,0)))*conv_2026*W$7</f>
        <v>99030.383369460906</v>
      </c>
      <c r="X79" s="31">
        <f>(INDEX(Option5!X$106:X$117, MATCH($D79, Option5!$G$106:$G$117,0)))*conv_2026*X$7</f>
        <v>99030.383369460906</v>
      </c>
      <c r="Y79" s="31">
        <f>(INDEX(Option5!Y$106:Y$117, MATCH($D79, Option5!$G$106:$G$117,0)))*conv_2026*Y$7</f>
        <v>99030.383369460906</v>
      </c>
      <c r="Z79" s="31">
        <f>(INDEX(Option5!Z$106:Z$117, MATCH($D79, Option5!$G$106:$G$117,0)))*conv_2026*Z$7</f>
        <v>99030.383369460906</v>
      </c>
      <c r="AA79" s="31">
        <f>(INDEX(Option5!AA$106:AA$117, MATCH($D79, Option5!$G$106:$G$117,0)))*conv_2026*AA$7</f>
        <v>99030.383369460906</v>
      </c>
      <c r="AB79" s="31">
        <f>(INDEX(Option5!AB$106:AB$117, MATCH($D79, Option5!$G$106:$G$117,0)))*conv_2026*AB$7</f>
        <v>99030.383369460906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8"/>
    </row>
    <row r="81" spans="1:34" s="8" customFormat="1" x14ac:dyDescent="0.2">
      <c r="F81" s="248"/>
    </row>
    <row r="82" spans="1:34" s="8" customFormat="1" x14ac:dyDescent="0.2">
      <c r="F82" s="248"/>
    </row>
    <row r="83" spans="1:34" s="8" customFormat="1" x14ac:dyDescent="0.2">
      <c r="F83" s="248"/>
    </row>
    <row r="84" spans="1:34" s="8" customFormat="1" ht="15" x14ac:dyDescent="0.25">
      <c r="A84" s="201" t="s">
        <v>157</v>
      </c>
      <c r="B84" s="54"/>
      <c r="C84" s="19"/>
      <c r="D84" s="19"/>
      <c r="E84" s="83"/>
      <c r="F84" s="19"/>
      <c r="G84" s="222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0"/>
      <c r="AH84" s="10"/>
    </row>
    <row r="85" spans="1:34" s="8" customFormat="1" x14ac:dyDescent="0.2">
      <c r="F85" s="248"/>
    </row>
    <row r="86" spans="1:34" s="8" customFormat="1" x14ac:dyDescent="0.2">
      <c r="F86" s="248"/>
    </row>
    <row r="87" spans="1:34" s="8" customFormat="1" x14ac:dyDescent="0.2">
      <c r="E87" s="248"/>
    </row>
    <row r="88" spans="1:34" s="8" customFormat="1" x14ac:dyDescent="0.2">
      <c r="C88" s="274" t="b" cm="1">
        <f t="array" ref="C88:G88">TRANSPOSE(Data!F9:F13)</f>
        <v>1</v>
      </c>
      <c r="D88" s="274" t="b">
        <v>0</v>
      </c>
      <c r="E88" s="275" t="b">
        <v>0</v>
      </c>
      <c r="F88" s="274" t="b">
        <v>0</v>
      </c>
      <c r="G88" s="274" t="b">
        <v>0</v>
      </c>
      <c r="K88" s="8" t="b">
        <f>AND(_xlfn.ANCHORARRAY(C88))</f>
        <v>0</v>
      </c>
    </row>
    <row r="89" spans="1:34" s="8" customFormat="1" x14ac:dyDescent="0.2">
      <c r="A89" s="59"/>
      <c r="B89" s="59"/>
      <c r="C89" s="276" t="str" cm="1">
        <f t="array" ref="C89:G89">TRANSPOSE(options)</f>
        <v>Option 1 (base case)</v>
      </c>
      <c r="D89" s="276" t="str">
        <v>Option 2</v>
      </c>
      <c r="E89" s="276" t="str">
        <v>Option 3</v>
      </c>
      <c r="F89" s="276" t="str">
        <v>Option 4</v>
      </c>
      <c r="G89" s="276" t="str">
        <v>Option 5</v>
      </c>
      <c r="I89" s="276" t="s">
        <v>226</v>
      </c>
      <c r="K89" s="282" t="s">
        <v>227</v>
      </c>
    </row>
    <row r="90" spans="1:34" s="8" customFormat="1" x14ac:dyDescent="0.2">
      <c r="A90" s="260" t="s">
        <v>119</v>
      </c>
      <c r="B90" s="260" t="s">
        <v>217</v>
      </c>
      <c r="C90" s="105" t="str">
        <f t="shared" ref="C90:G98" si="10">IF(OR($B90=0,C$88),"", INDEX($F$14:$F$81, MATCH(C$89&amp;$A90,$D$14:$D$81,0))/10^6)</f>
        <v/>
      </c>
      <c r="D90" s="105">
        <f t="shared" si="10"/>
        <v>33.208533832419093</v>
      </c>
      <c r="E90" s="105">
        <f t="shared" si="10"/>
        <v>31.948065760378189</v>
      </c>
      <c r="F90" s="105">
        <f t="shared" si="10"/>
        <v>26.83283987078082</v>
      </c>
      <c r="G90" s="105">
        <f t="shared" si="10"/>
        <v>9.3691105877162979</v>
      </c>
      <c r="H90" s="185"/>
      <c r="I90" s="105">
        <f t="shared" ref="I90:I98" si="11">_xlfn.MAXIFS(C90:G90,_xlfn.ANCHORARRAY( C$88),FALSE)</f>
        <v>33.208533832419093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0" t="str">
        <f>"sens"&amp;Assumptions!B111</f>
        <v>sens1</v>
      </c>
      <c r="B91" s="260" t="str">
        <f>Assumptions!C111</f>
        <v>Capex 10% higher</v>
      </c>
      <c r="C91" s="105" t="str">
        <f t="shared" si="10"/>
        <v/>
      </c>
      <c r="D91" s="105">
        <f t="shared" si="10"/>
        <v>32.914596872516725</v>
      </c>
      <c r="E91" s="105">
        <f t="shared" si="10"/>
        <v>31.528081993271719</v>
      </c>
      <c r="F91" s="105">
        <f t="shared" si="10"/>
        <v>25.901333514714604</v>
      </c>
      <c r="G91" s="105">
        <f t="shared" si="10"/>
        <v>6.6912313033436428</v>
      </c>
      <c r="H91" s="185"/>
      <c r="I91" s="105">
        <f t="shared" si="11"/>
        <v>32.914596872516725</v>
      </c>
      <c r="K91" s="8" t="str">
        <f t="shared" si="12"/>
        <v>Option 2</v>
      </c>
    </row>
    <row r="92" spans="1:34" s="8" customFormat="1" x14ac:dyDescent="0.2">
      <c r="A92" s="260" t="str">
        <f>"sens"&amp;Assumptions!B112</f>
        <v>sens2</v>
      </c>
      <c r="B92" s="260" t="str">
        <f>Assumptions!C112</f>
        <v>Capex 10% lower</v>
      </c>
      <c r="C92" s="105" t="str">
        <f t="shared" si="10"/>
        <v/>
      </c>
      <c r="D92" s="105">
        <f t="shared" si="10"/>
        <v>33.502470792321475</v>
      </c>
      <c r="E92" s="105">
        <f t="shared" si="10"/>
        <v>32.368049527484658</v>
      </c>
      <c r="F92" s="105">
        <f t="shared" si="10"/>
        <v>27.764346226847014</v>
      </c>
      <c r="G92" s="105">
        <f t="shared" si="10"/>
        <v>12.046989872088954</v>
      </c>
      <c r="H92" s="185"/>
      <c r="I92" s="105">
        <f t="shared" si="11"/>
        <v>33.502470792321475</v>
      </c>
      <c r="K92" s="8" t="str">
        <f t="shared" si="12"/>
        <v>Option 2</v>
      </c>
    </row>
    <row r="93" spans="1:34" s="8" customFormat="1" x14ac:dyDescent="0.2">
      <c r="A93" s="260" t="str">
        <f>"sens"&amp;Assumptions!B113</f>
        <v>sens3</v>
      </c>
      <c r="B93" s="260" t="str">
        <f>Assumptions!C113</f>
        <v>Total benefits 10% higher</v>
      </c>
      <c r="C93" s="105" t="str">
        <f t="shared" si="10"/>
        <v/>
      </c>
      <c r="D93" s="105">
        <f t="shared" si="10"/>
        <v>36.823324175563378</v>
      </c>
      <c r="E93" s="105">
        <f t="shared" si="10"/>
        <v>35.562856103522471</v>
      </c>
      <c r="F93" s="105">
        <f t="shared" si="10"/>
        <v>30.447630213925095</v>
      </c>
      <c r="G93" s="105">
        <f t="shared" si="10"/>
        <v>12.983900930860585</v>
      </c>
      <c r="H93" s="185"/>
      <c r="I93" s="105">
        <f t="shared" si="11"/>
        <v>36.823324175563378</v>
      </c>
      <c r="K93" s="8" t="str">
        <f t="shared" si="12"/>
        <v>Option 2</v>
      </c>
    </row>
    <row r="94" spans="1:34" s="8" customFormat="1" x14ac:dyDescent="0.2">
      <c r="A94" s="260" t="str">
        <f>"sens"&amp;Assumptions!B114</f>
        <v>sens4</v>
      </c>
      <c r="B94" s="260" t="str">
        <f>Assumptions!C114</f>
        <v>Total benefits 10% lower</v>
      </c>
      <c r="C94" s="105" t="str">
        <f t="shared" si="10"/>
        <v/>
      </c>
      <c r="D94" s="105">
        <f t="shared" si="10"/>
        <v>29.593743489274818</v>
      </c>
      <c r="E94" s="105">
        <f t="shared" si="10"/>
        <v>28.333275417233899</v>
      </c>
      <c r="F94" s="105">
        <f t="shared" si="10"/>
        <v>23.218049527636531</v>
      </c>
      <c r="G94" s="105">
        <f t="shared" si="10"/>
        <v>5.7543202445720123</v>
      </c>
      <c r="H94" s="185"/>
      <c r="I94" s="105">
        <f t="shared" si="11"/>
        <v>29.593743489274818</v>
      </c>
      <c r="K94" s="8" t="str">
        <f t="shared" si="12"/>
        <v>Option 2</v>
      </c>
    </row>
    <row r="95" spans="1:34" s="8" customFormat="1" x14ac:dyDescent="0.2">
      <c r="A95" s="260" t="str">
        <f>"sens"&amp;Assumptions!B115</f>
        <v>sens5</v>
      </c>
      <c r="B95" s="260" t="str">
        <f>Assumptions!C115</f>
        <v>Capex 10% higher &amp; Total benefits 10% lower</v>
      </c>
      <c r="C95" s="105" t="str">
        <f t="shared" si="10"/>
        <v/>
      </c>
      <c r="D95" s="105">
        <f t="shared" si="10"/>
        <v>29.299806529372443</v>
      </c>
      <c r="E95" s="105">
        <f t="shared" si="10"/>
        <v>27.91329165012743</v>
      </c>
      <c r="F95" s="105">
        <f t="shared" si="10"/>
        <v>22.286543171570322</v>
      </c>
      <c r="G95" s="105">
        <f t="shared" si="10"/>
        <v>3.0764409601993568</v>
      </c>
      <c r="H95" s="185"/>
      <c r="I95" s="105">
        <f t="shared" si="11"/>
        <v>29.299806529372443</v>
      </c>
      <c r="K95" s="8" t="str">
        <f t="shared" si="12"/>
        <v>Option 2</v>
      </c>
    </row>
    <row r="96" spans="1:34" s="8" customFormat="1" x14ac:dyDescent="0.2">
      <c r="A96" s="260" t="str">
        <f>"sens"&amp;Assumptions!B116</f>
        <v>sens</v>
      </c>
      <c r="B96" s="260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5"/>
      <c r="I96" s="105">
        <f t="shared" si="11"/>
        <v>0</v>
      </c>
      <c r="K96" s="8" t="str">
        <f t="shared" si="12"/>
        <v/>
      </c>
    </row>
    <row r="97" spans="1:11" x14ac:dyDescent="0.2">
      <c r="A97" s="260" t="str">
        <f>"sens"&amp;Assumptions!B117</f>
        <v>sens</v>
      </c>
      <c r="B97" s="260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1"/>
      <c r="I97" s="105">
        <f t="shared" si="11"/>
        <v>0</v>
      </c>
      <c r="K97" s="8" t="str">
        <f t="shared" si="12"/>
        <v/>
      </c>
    </row>
    <row r="98" spans="1:11" x14ac:dyDescent="0.2">
      <c r="A98" s="260" t="str">
        <f>"sens"&amp;Assumptions!B118</f>
        <v>sens</v>
      </c>
      <c r="B98" s="260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1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F65A3-D361-46BC-9355-B2517EEE0ABD}">
  <sheetPr codeName="Sheet4">
    <tabColor rgb="FFFFFF00"/>
  </sheetPr>
  <dimension ref="A1:AC13"/>
  <sheetViews>
    <sheetView showGridLines="0" zoomScale="90" zoomScaleNormal="90" workbookViewId="0"/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7.625" style="1" customWidth="1"/>
    <col min="5" max="5" width="25" style="1" customWidth="1"/>
    <col min="6" max="6" width="8.875" style="1" customWidth="1"/>
    <col min="7" max="7" width="15.125" style="1" customWidth="1"/>
    <col min="8" max="8" width="14" style="1" customWidth="1"/>
    <col min="9" max="9" width="14.75" style="1" customWidth="1"/>
    <col min="10" max="11" width="8.625" style="1" customWidth="1"/>
    <col min="12" max="12" width="11.375" style="1" customWidth="1"/>
    <col min="13" max="29" width="8.625" style="1" customWidth="1"/>
    <col min="30" max="16384" width="8" style="1"/>
  </cols>
  <sheetData>
    <row r="1" spans="1:29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8.75" x14ac:dyDescent="0.3">
      <c r="A2" s="56" t="str">
        <f>proj</f>
        <v>REFCL WIN compliance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8.75" x14ac:dyDescent="0.3">
      <c r="A3" s="5" t="s">
        <v>246</v>
      </c>
      <c r="B3" s="329"/>
      <c r="C3" s="5"/>
      <c r="D3" s="5"/>
    </row>
    <row r="5" spans="1:29" ht="15" x14ac:dyDescent="0.2">
      <c r="A5" s="330"/>
      <c r="B5" s="330"/>
      <c r="C5" s="330"/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</row>
    <row r="6" spans="1:29" x14ac:dyDescent="0.2">
      <c r="C6" s="3"/>
      <c r="D6" s="3"/>
    </row>
    <row r="7" spans="1:29" x14ac:dyDescent="0.2">
      <c r="E7" s="1" t="s">
        <v>247</v>
      </c>
    </row>
    <row r="8" spans="1:29" x14ac:dyDescent="0.2">
      <c r="E8" s="1" t="s">
        <v>248</v>
      </c>
      <c r="H8" s="331">
        <f>$F$10*F9</f>
        <v>10000000</v>
      </c>
      <c r="I8" s="1" t="s">
        <v>249</v>
      </c>
    </row>
    <row r="9" spans="1:29" x14ac:dyDescent="0.2">
      <c r="E9" s="1" t="s">
        <v>254</v>
      </c>
      <c r="F9" s="333">
        <v>2000000</v>
      </c>
    </row>
    <row r="10" spans="1:29" x14ac:dyDescent="0.2">
      <c r="E10" s="1" t="str">
        <f>MID(proj, 7,3)&amp;" points:"</f>
        <v>WIN points:</v>
      </c>
      <c r="F10" s="332">
        <v>5</v>
      </c>
    </row>
    <row r="12" spans="1:29" x14ac:dyDescent="0.2">
      <c r="E12" s="1" t="s">
        <v>250</v>
      </c>
      <c r="H12" s="331">
        <f>365*5500</f>
        <v>2007500</v>
      </c>
      <c r="I12" s="1" t="s">
        <v>249</v>
      </c>
    </row>
    <row r="13" spans="1:29" x14ac:dyDescent="0.2">
      <c r="E13" s="1" t="s">
        <v>251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REFCL WIN compliance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199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184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185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1"/>
    </row>
    <row r="20" spans="1:34" x14ac:dyDescent="0.2">
      <c r="B20" s="81"/>
      <c r="D20" s="41"/>
    </row>
    <row r="21" spans="1:34" x14ac:dyDescent="0.2">
      <c r="B21" s="80" t="s">
        <v>210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211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212</v>
      </c>
      <c r="D23" s="41">
        <f>D22/D21</f>
        <v>1</v>
      </c>
    </row>
    <row r="25" spans="1:34" x14ac:dyDescent="0.2">
      <c r="B25" s="81" t="s">
        <v>235</v>
      </c>
      <c r="C25" s="8" t="str">
        <f>start</f>
        <v>2026-27</v>
      </c>
    </row>
    <row r="28" spans="1:34" s="1" customFormat="1" ht="15" x14ac:dyDescent="0.2">
      <c r="A28" s="18" t="s">
        <v>208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1" t="s">
        <v>1</v>
      </c>
      <c r="C31" s="192" t="s">
        <v>191</v>
      </c>
      <c r="D31" s="193" t="s">
        <v>198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4" t="s">
        <v>131</v>
      </c>
      <c r="C32" s="190">
        <f>Option2!$G$92</f>
        <v>1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4" t="s">
        <v>132</v>
      </c>
      <c r="C33" s="190">
        <f>Option3!$G$92</f>
        <v>1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4" t="s">
        <v>133</v>
      </c>
      <c r="C34" s="190">
        <f>Option4!$G$92</f>
        <v>1</v>
      </c>
      <c r="D34" s="10" t="b">
        <f>NOT(Data!C12)</f>
        <v>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4" t="s">
        <v>153</v>
      </c>
      <c r="C35" s="190">
        <f>Option5!$G$92</f>
        <v>1</v>
      </c>
      <c r="D35" s="10" t="b">
        <f>NOT(Data!C13)</f>
        <v>1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4" t="s">
        <v>191</v>
      </c>
      <c r="C38" s="194" cm="1">
        <f t="array" ref="C38">IF(OR(NOT(Data!$C$10:$C$13)), _xlfn.MINIFS($C$32:$C$35,$D$32:$D$35,TRUE), 0)</f>
        <v>1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240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142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153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162</v>
      </c>
      <c r="B70" s="238" t="s">
        <v>209</v>
      </c>
    </row>
    <row r="74" spans="1:4" x14ac:dyDescent="0.2">
      <c r="B74" s="237" t="str">
        <f>IF(AND(SUM(E73:AC73)&lt;&gt;0, A74=0), "!", "")</f>
        <v/>
      </c>
    </row>
    <row r="76" spans="1:4" x14ac:dyDescent="0.2">
      <c r="B76" t="s">
        <v>207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topLeftCell="A50" zoomScale="80" zoomScaleNormal="80" workbookViewId="0">
      <selection activeCell="A50" sqref="A50"/>
    </sheetView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5"/>
      <c r="V1"/>
      <c r="W1"/>
    </row>
    <row r="2" spans="1:27" ht="18.75" x14ac:dyDescent="0.3">
      <c r="A2" s="56" t="str">
        <f>proj</f>
        <v>REFCL WIN compliance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197</v>
      </c>
      <c r="F8" s="8" t="s">
        <v>225</v>
      </c>
      <c r="T8"/>
      <c r="U8"/>
      <c r="V8"/>
    </row>
    <row r="9" spans="1:27" x14ac:dyDescent="0.2">
      <c r="A9" s="27" t="s">
        <v>143</v>
      </c>
      <c r="B9" s="86" t="s">
        <v>142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1</v>
      </c>
      <c r="T9"/>
      <c r="U9"/>
      <c r="V9"/>
      <c r="W9"/>
    </row>
    <row r="10" spans="1:27" x14ac:dyDescent="0.2">
      <c r="A10" s="27" t="s">
        <v>144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145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146</v>
      </c>
      <c r="B12" s="86" t="s">
        <v>133</v>
      </c>
      <c r="C12" s="87" t="b">
        <f>SUM(Option4!I$17:AB$17, Option4!I$19:AB$19)=0</f>
        <v>0</v>
      </c>
      <c r="D12" s="8" t="str">
        <f>IF(C12, $C$8, "")</f>
        <v/>
      </c>
      <c r="F12" s="8" t="b">
        <f>C12</f>
        <v>0</v>
      </c>
      <c r="T12"/>
      <c r="U12"/>
      <c r="V12"/>
      <c r="W12"/>
      <c r="Z12"/>
      <c r="AA12"/>
    </row>
    <row r="13" spans="1:27" x14ac:dyDescent="0.2">
      <c r="A13" s="27" t="s">
        <v>154</v>
      </c>
      <c r="B13" s="86" t="s">
        <v>153</v>
      </c>
      <c r="C13" s="87" t="b">
        <f>SUM(Option5!I$17:AB$17, Option5!I$19:AB$19)=0</f>
        <v>0</v>
      </c>
      <c r="D13" s="8" t="str">
        <f>IF(C13, $C$8, "")</f>
        <v/>
      </c>
      <c r="F13" s="8" t="b">
        <f>C13</f>
        <v>0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221</v>
      </c>
      <c r="D16" s="23" t="s">
        <v>223</v>
      </c>
      <c r="E16" s="8" t="b">
        <f>Assumptions!E20=Data!D16</f>
        <v>1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219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139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186</v>
      </c>
      <c r="C35" s="23">
        <v>1</v>
      </c>
      <c r="T35"/>
      <c r="U35"/>
      <c r="V35"/>
      <c r="W35"/>
    </row>
    <row r="36" spans="1:23" x14ac:dyDescent="0.2">
      <c r="B36" s="23" t="s">
        <v>170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E58"/>
      <c r="F58"/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3</v>
      </c>
      <c r="E59"/>
      <c r="F59"/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151432.81740793545</v>
      </c>
      <c r="E60"/>
      <c r="F60"/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24590</v>
      </c>
      <c r="E61"/>
      <c r="F61"/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88.357719508603083</v>
      </c>
      <c r="E62"/>
      <c r="F62"/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/>
      <c r="F63"/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0.35181336539087127</v>
      </c>
      <c r="E64"/>
      <c r="F64"/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0.35181336539087127</v>
      </c>
      <c r="E65"/>
      <c r="F65"/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/>
      <c r="F66"/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/>
      <c r="F67"/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158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159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160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162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162</v>
      </c>
      <c r="C75" s="152" t="s">
        <v>161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189</v>
      </c>
      <c r="C78" s="8" t="s">
        <v>190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4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4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4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4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4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4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4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4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176</v>
      </c>
      <c r="F92" s="154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177</v>
      </c>
      <c r="F93" s="154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4" t="s">
        <v>156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4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4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158</v>
      </c>
      <c r="R106" s="8" t="s">
        <v>27</v>
      </c>
      <c r="T106" s="8" t="s">
        <v>222</v>
      </c>
      <c r="U106"/>
      <c r="V106" s="8" t="s">
        <v>232</v>
      </c>
      <c r="W106"/>
      <c r="Y106"/>
    </row>
    <row r="107" spans="1:25" x14ac:dyDescent="0.2">
      <c r="B107" s="25" t="s">
        <v>42</v>
      </c>
      <c r="C107" s="130" t="s">
        <v>136</v>
      </c>
      <c r="D107" s="130" t="s">
        <v>228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224</v>
      </c>
      <c r="U107"/>
      <c r="V107" s="23" t="s">
        <v>19</v>
      </c>
      <c r="W107"/>
    </row>
    <row r="108" spans="1:25" x14ac:dyDescent="0.2">
      <c r="B108" s="25" t="s">
        <v>3</v>
      </c>
      <c r="C108" s="130" t="s">
        <v>137</v>
      </c>
      <c r="D108" s="130" t="s">
        <v>229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223</v>
      </c>
      <c r="U108"/>
      <c r="V108" s="23" t="s">
        <v>47</v>
      </c>
      <c r="W108"/>
    </row>
    <row r="109" spans="1:25" x14ac:dyDescent="0.2">
      <c r="B109" s="25" t="s">
        <v>43</v>
      </c>
      <c r="C109" s="130" t="s">
        <v>138</v>
      </c>
      <c r="D109" s="130" t="s">
        <v>230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233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49"/>
      <c r="W113"/>
      <c r="X113"/>
      <c r="Y113"/>
    </row>
    <row r="114" spans="18:25" x14ac:dyDescent="0.2">
      <c r="R114" s="23"/>
      <c r="U114"/>
      <c r="V114" s="249"/>
      <c r="W114"/>
      <c r="X114"/>
      <c r="Y114"/>
    </row>
    <row r="115" spans="18:25" x14ac:dyDescent="0.2">
      <c r="U115"/>
      <c r="V115" s="249"/>
      <c r="W115"/>
      <c r="X115"/>
      <c r="Y115"/>
    </row>
    <row r="116" spans="18:25" x14ac:dyDescent="0.2">
      <c r="U116"/>
      <c r="V116" s="250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Workings_risks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2025-01-28T02:34:42Z</dcterms:modified>
</cp:coreProperties>
</file>