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/>
  <xr:revisionPtr revIDLastSave="0" documentId="13_ncr:1_{70964966-855D-43DF-BEA1-C1A1D9533D54}" xr6:coauthVersionLast="47" xr6:coauthVersionMax="47" xr10:uidLastSave="{00000000-0000-0000-0000-000000000000}"/>
  <bookViews>
    <workbookView xWindow="-120" yWindow="-120" windowWidth="29040" windowHeight="15720" tabRatio="684" xr2:uid="{00000000-000D-0000-FFFF-FFFF00000000}"/>
  </bookViews>
  <sheets>
    <sheet name="Cover" sheetId="86" r:id="rId1"/>
    <sheet name="Summary" sheetId="33" r:id="rId2"/>
    <sheet name="Assumptions" sheetId="43" r:id="rId3"/>
    <sheet name="Option1 (base case)" sheetId="68" r:id="rId4"/>
    <sheet name="Option2" sheetId="81" r:id="rId5"/>
    <sheet name="Option3" sheetId="72" r:id="rId6"/>
    <sheet name="Option4" sheetId="73" r:id="rId7"/>
    <sheet name="Option5" sheetId="82" r:id="rId8"/>
    <sheet name="Consol" sheetId="75" r:id="rId9"/>
    <sheet name="Sensitivity_calcs" sheetId="85" r:id="rId10"/>
    <sheet name="Workings_costs" sheetId="87" r:id="rId11"/>
    <sheet name="Workings_risks" sheetId="88" r:id="rId12"/>
    <sheet name="Misc_calcs" sheetId="62" r:id="rId13"/>
    <sheet name="Data" sheetId="47" r:id="rId14"/>
  </sheets>
  <definedNames>
    <definedName name="bus">Assumptions!$E$6</definedName>
    <definedName name="compliance">Data!$E$16</definedName>
    <definedName name="conv_2026">Misc_calcs!$D$19</definedName>
    <definedName name="custval_date">Assumptions!$G$34</definedName>
    <definedName name="CY_years">Misc_calcs!$H$6:$M$6</definedName>
    <definedName name="first_year">Misc_calcs!$C$38</definedName>
    <definedName name="hy_dates">Misc_calcs!$H$11:$R$11</definedName>
    <definedName name="hy_escalation">Misc_calcs!$H$15:$R$15</definedName>
    <definedName name="input_dollars">Assumptions!$G$27</definedName>
    <definedName name="list">list_start:OFFSET(list_start, 0,0,count, 1)</definedName>
    <definedName name="mill_conv">Data!$C$71</definedName>
    <definedName name="options">Data!$B$9:$B$13</definedName>
    <definedName name="output_dollars">Assumptions!$G$33</definedName>
    <definedName name="preferred">Summary!$C$18</definedName>
    <definedName name="_xlnm.Print_Area" localSheetId="2">Assumptions!$A$1:$P$118</definedName>
    <definedName name="proj">Assumptions!$E$8</definedName>
    <definedName name="real_disc">Assumptions!$G$28</definedName>
    <definedName name="sheets">Cover!$A$40</definedName>
    <definedName name="start">Assumptions!$E$22</definedName>
    <definedName name="start_year">Misc_calcs!$C$25</definedName>
    <definedName name="thous_conv">Data!$C$70</definedName>
    <definedName name="vcr_date">Assumptions!$G$29</definedName>
    <definedName name="vcr_esc">Misc_calcs!$D$23</definedName>
    <definedName name="years">Assumptions!$G$31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2" i="88" l="1"/>
  <c r="E75" i="88"/>
  <c r="E53" i="88"/>
  <c r="E32" i="88"/>
  <c r="E33" i="88" s="1"/>
  <c r="B10" i="88"/>
  <c r="B23" i="88"/>
  <c r="B42" i="88"/>
  <c r="B63" i="88"/>
  <c r="B85" i="88"/>
  <c r="E99" i="88"/>
  <c r="E95" i="88"/>
  <c r="E88" i="88"/>
  <c r="E73" i="88"/>
  <c r="E71" i="88"/>
  <c r="E70" i="88"/>
  <c r="E49" i="88"/>
  <c r="E30" i="88"/>
  <c r="E27" i="88"/>
  <c r="E17" i="88"/>
  <c r="B64" i="87" l="1"/>
  <c r="B48" i="87"/>
  <c r="B14" i="87"/>
  <c r="B26" i="87"/>
  <c r="A40" i="86"/>
  <c r="AB19" i="72"/>
  <c r="AC19" i="72"/>
  <c r="AD19" i="72"/>
  <c r="AE19" i="72"/>
  <c r="AF19" i="72"/>
  <c r="AG19" i="72"/>
  <c r="Y19" i="73"/>
  <c r="Z19" i="73"/>
  <c r="AA19" i="73"/>
  <c r="AB19" i="73"/>
  <c r="AC19" i="73"/>
  <c r="AD19" i="73"/>
  <c r="AE19" i="73"/>
  <c r="AF19" i="73"/>
  <c r="AG19" i="73"/>
  <c r="AC28" i="72"/>
  <c r="AD28" i="72"/>
  <c r="AE28" i="72"/>
  <c r="AF28" i="72"/>
  <c r="AG28" i="72"/>
  <c r="AC33" i="72"/>
  <c r="AD33" i="72"/>
  <c r="AE33" i="72"/>
  <c r="AF33" i="72"/>
  <c r="AG33" i="72"/>
  <c r="AC28" i="81"/>
  <c r="AD28" i="81"/>
  <c r="AE28" i="81"/>
  <c r="AF28" i="81"/>
  <c r="AG28" i="81"/>
  <c r="J42" i="68"/>
  <c r="K42" i="68"/>
  <c r="L42" i="68"/>
  <c r="M42" i="68"/>
  <c r="N42" i="68"/>
  <c r="O42" i="68"/>
  <c r="P42" i="68"/>
  <c r="Q42" i="68"/>
  <c r="R42" i="68"/>
  <c r="S42" i="68"/>
  <c r="T42" i="68"/>
  <c r="U42" i="68"/>
  <c r="V42" i="68"/>
  <c r="W42" i="68"/>
  <c r="X42" i="68"/>
  <c r="Y42" i="68"/>
  <c r="Z42" i="68"/>
  <c r="AA42" i="68"/>
  <c r="AB42" i="68"/>
  <c r="AC42" i="68"/>
  <c r="AD42" i="68"/>
  <c r="AE42" i="68"/>
  <c r="AF42" i="68"/>
  <c r="AG42" i="68"/>
  <c r="I42" i="68"/>
  <c r="AC33" i="82"/>
  <c r="AD33" i="82"/>
  <c r="AE33" i="82"/>
  <c r="AF33" i="82"/>
  <c r="AG33" i="82"/>
  <c r="AC28" i="82"/>
  <c r="AD28" i="82"/>
  <c r="AE28" i="82"/>
  <c r="AF28" i="82"/>
  <c r="AG28" i="82"/>
  <c r="Y19" i="82"/>
  <c r="Z19" i="82"/>
  <c r="AA19" i="82"/>
  <c r="AB19" i="82"/>
  <c r="AC19" i="82"/>
  <c r="AD19" i="82"/>
  <c r="AE19" i="82"/>
  <c r="AF19" i="82"/>
  <c r="AG19" i="82"/>
  <c r="K15" i="82"/>
  <c r="L15" i="82"/>
  <c r="M15" i="82"/>
  <c r="N15" i="82"/>
  <c r="O15" i="82"/>
  <c r="P15" i="82"/>
  <c r="Q15" i="82"/>
  <c r="R15" i="82"/>
  <c r="S15" i="82"/>
  <c r="T15" i="82"/>
  <c r="U15" i="82"/>
  <c r="V15" i="82"/>
  <c r="W15" i="82"/>
  <c r="X15" i="82"/>
  <c r="Y15" i="82"/>
  <c r="Z15" i="82"/>
  <c r="AA15" i="82"/>
  <c r="AB15" i="82"/>
  <c r="AC15" i="82"/>
  <c r="AD15" i="82"/>
  <c r="AE15" i="82"/>
  <c r="AF15" i="82"/>
  <c r="AG15" i="82"/>
  <c r="K14" i="82"/>
  <c r="L14" i="82"/>
  <c r="M14" i="82"/>
  <c r="N14" i="82"/>
  <c r="O14" i="82"/>
  <c r="P14" i="82"/>
  <c r="Q14" i="82"/>
  <c r="R14" i="82"/>
  <c r="S14" i="82"/>
  <c r="T14" i="82"/>
  <c r="U14" i="82"/>
  <c r="V14" i="82"/>
  <c r="W14" i="82"/>
  <c r="X14" i="82"/>
  <c r="Y14" i="82"/>
  <c r="Z14" i="82"/>
  <c r="AA14" i="82"/>
  <c r="AB14" i="82"/>
  <c r="AC14" i="82"/>
  <c r="AD14" i="82"/>
  <c r="AE14" i="82"/>
  <c r="AF14" i="82"/>
  <c r="AG14" i="82"/>
  <c r="AC33" i="73"/>
  <c r="AD33" i="73"/>
  <c r="AE33" i="73"/>
  <c r="AF33" i="73"/>
  <c r="AG33" i="73"/>
  <c r="AC28" i="73"/>
  <c r="AD28" i="73"/>
  <c r="AE28" i="73"/>
  <c r="AF28" i="73"/>
  <c r="AG28" i="73"/>
  <c r="K14" i="73"/>
  <c r="L14" i="73"/>
  <c r="M14" i="73"/>
  <c r="N14" i="73"/>
  <c r="O14" i="73"/>
  <c r="P14" i="73"/>
  <c r="Q14" i="73"/>
  <c r="R14" i="73"/>
  <c r="S14" i="73"/>
  <c r="T14" i="73"/>
  <c r="U14" i="73"/>
  <c r="V14" i="73"/>
  <c r="W14" i="73"/>
  <c r="X14" i="73"/>
  <c r="Y14" i="73"/>
  <c r="Z14" i="73"/>
  <c r="AA14" i="73"/>
  <c r="AB14" i="73"/>
  <c r="AC14" i="73"/>
  <c r="AD14" i="73"/>
  <c r="AE14" i="73"/>
  <c r="AF14" i="73"/>
  <c r="AG14" i="73"/>
  <c r="N14" i="72"/>
  <c r="O14" i="72"/>
  <c r="P14" i="72"/>
  <c r="Q14" i="72"/>
  <c r="R14" i="72"/>
  <c r="S14" i="72"/>
  <c r="T14" i="72"/>
  <c r="U14" i="72"/>
  <c r="V14" i="72"/>
  <c r="W14" i="72"/>
  <c r="X14" i="72"/>
  <c r="Y14" i="72"/>
  <c r="Z14" i="72"/>
  <c r="AA14" i="72"/>
  <c r="AB14" i="72"/>
  <c r="AC14" i="72"/>
  <c r="AD14" i="72"/>
  <c r="AE14" i="72"/>
  <c r="AF14" i="72"/>
  <c r="AG14" i="72"/>
  <c r="AC33" i="81"/>
  <c r="AD33" i="81"/>
  <c r="AE33" i="81"/>
  <c r="AF33" i="81"/>
  <c r="AG33" i="81"/>
  <c r="K14" i="81"/>
  <c r="L14" i="81"/>
  <c r="M14" i="81"/>
  <c r="N14" i="81"/>
  <c r="O14" i="81"/>
  <c r="P14" i="81"/>
  <c r="Q14" i="81"/>
  <c r="R14" i="81"/>
  <c r="S14" i="81"/>
  <c r="T14" i="81"/>
  <c r="U14" i="81"/>
  <c r="V14" i="81"/>
  <c r="W14" i="81"/>
  <c r="X14" i="81"/>
  <c r="Y14" i="81"/>
  <c r="Z14" i="81"/>
  <c r="AA14" i="81"/>
  <c r="AB14" i="81"/>
  <c r="AC14" i="81"/>
  <c r="AD14" i="81"/>
  <c r="AE14" i="81"/>
  <c r="AF14" i="81"/>
  <c r="AG14" i="81"/>
  <c r="J33" i="68"/>
  <c r="K33" i="68"/>
  <c r="L33" i="68"/>
  <c r="M33" i="68"/>
  <c r="N33" i="68"/>
  <c r="O33" i="68"/>
  <c r="P33" i="68"/>
  <c r="Q33" i="68"/>
  <c r="R33" i="68"/>
  <c r="S33" i="68"/>
  <c r="T33" i="68"/>
  <c r="U33" i="68"/>
  <c r="V33" i="68"/>
  <c r="W33" i="68"/>
  <c r="X33" i="68"/>
  <c r="Y33" i="68"/>
  <c r="Z33" i="68"/>
  <c r="AA33" i="68"/>
  <c r="AB33" i="68"/>
  <c r="AC33" i="68"/>
  <c r="AD33" i="68"/>
  <c r="AE33" i="68"/>
  <c r="AF33" i="68"/>
  <c r="AG33" i="68"/>
  <c r="I33" i="68"/>
  <c r="E72" i="88"/>
  <c r="AG36" i="81" l="1"/>
  <c r="AF36" i="81"/>
  <c r="AE36" i="81"/>
  <c r="AD36" i="81"/>
  <c r="AC36" i="81"/>
  <c r="J107" i="88"/>
  <c r="K107" i="88" s="1"/>
  <c r="L107" i="88" s="1"/>
  <c r="M107" i="88" s="1"/>
  <c r="N107" i="88" s="1"/>
  <c r="O107" i="88" s="1"/>
  <c r="P107" i="88" s="1"/>
  <c r="Q107" i="88" s="1"/>
  <c r="R107" i="88" s="1"/>
  <c r="S107" i="88" s="1"/>
  <c r="T107" i="88" s="1"/>
  <c r="U107" i="88" s="1"/>
  <c r="V107" i="88" s="1"/>
  <c r="W107" i="88" s="1"/>
  <c r="X107" i="88" s="1"/>
  <c r="E98" i="88"/>
  <c r="E96" i="88"/>
  <c r="E94" i="88"/>
  <c r="J80" i="88"/>
  <c r="K80" i="88" s="1"/>
  <c r="L80" i="88" s="1"/>
  <c r="M80" i="88" s="1"/>
  <c r="N80" i="88" s="1"/>
  <c r="O80" i="88" s="1"/>
  <c r="P80" i="88" s="1"/>
  <c r="Q80" i="88" s="1"/>
  <c r="R80" i="88" s="1"/>
  <c r="S80" i="88" s="1"/>
  <c r="T80" i="88" s="1"/>
  <c r="U80" i="88" s="1"/>
  <c r="V80" i="88" s="1"/>
  <c r="W80" i="88" s="1"/>
  <c r="X80" i="88" s="1"/>
  <c r="E76" i="88"/>
  <c r="E81" i="88" s="1"/>
  <c r="J58" i="88"/>
  <c r="K58" i="88" s="1"/>
  <c r="L58" i="88" s="1"/>
  <c r="M58" i="88" s="1"/>
  <c r="N58" i="88" s="1"/>
  <c r="O58" i="88" s="1"/>
  <c r="P58" i="88" s="1"/>
  <c r="Q58" i="88" s="1"/>
  <c r="R58" i="88" s="1"/>
  <c r="S58" i="88" s="1"/>
  <c r="T58" i="88" s="1"/>
  <c r="U58" i="88" s="1"/>
  <c r="V58" i="88" s="1"/>
  <c r="W58" i="88" s="1"/>
  <c r="X58" i="88" s="1"/>
  <c r="E50" i="88"/>
  <c r="E54" i="88"/>
  <c r="J37" i="88"/>
  <c r="K37" i="88" s="1"/>
  <c r="L37" i="88" s="1"/>
  <c r="M37" i="88" s="1"/>
  <c r="N37" i="88" s="1"/>
  <c r="O37" i="88" s="1"/>
  <c r="P37" i="88" s="1"/>
  <c r="Q37" i="88" s="1"/>
  <c r="R37" i="88" s="1"/>
  <c r="S37" i="88" s="1"/>
  <c r="T37" i="88" s="1"/>
  <c r="U37" i="88" s="1"/>
  <c r="V37" i="88" s="1"/>
  <c r="W37" i="88" s="1"/>
  <c r="X37" i="88" s="1"/>
  <c r="E19" i="88"/>
  <c r="E20" i="88" s="1"/>
  <c r="A2" i="88"/>
  <c r="A1" i="88"/>
  <c r="J83" i="87"/>
  <c r="K83" i="87" s="1"/>
  <c r="L83" i="87" s="1"/>
  <c r="M83" i="87" s="1"/>
  <c r="N83" i="87" s="1"/>
  <c r="O83" i="87" s="1"/>
  <c r="P83" i="87" s="1"/>
  <c r="Q83" i="87" s="1"/>
  <c r="R83" i="87" s="1"/>
  <c r="S83" i="87" s="1"/>
  <c r="T83" i="87" s="1"/>
  <c r="U83" i="87" s="1"/>
  <c r="V83" i="87" s="1"/>
  <c r="W83" i="87" s="1"/>
  <c r="X83" i="87" s="1"/>
  <c r="J59" i="87"/>
  <c r="K59" i="87" s="1"/>
  <c r="L59" i="87" s="1"/>
  <c r="M59" i="87" s="1"/>
  <c r="N59" i="87" s="1"/>
  <c r="O59" i="87" s="1"/>
  <c r="P59" i="87" s="1"/>
  <c r="Q59" i="87" s="1"/>
  <c r="R59" i="87" s="1"/>
  <c r="S59" i="87" s="1"/>
  <c r="T59" i="87" s="1"/>
  <c r="U59" i="87" s="1"/>
  <c r="V59" i="87" s="1"/>
  <c r="W59" i="87" s="1"/>
  <c r="X59" i="87" s="1"/>
  <c r="J43" i="87"/>
  <c r="K43" i="87" s="1"/>
  <c r="L43" i="87" s="1"/>
  <c r="M43" i="87" s="1"/>
  <c r="N43" i="87" s="1"/>
  <c r="O43" i="87" s="1"/>
  <c r="P43" i="87" s="1"/>
  <c r="Q43" i="87" s="1"/>
  <c r="R43" i="87" s="1"/>
  <c r="S43" i="87" s="1"/>
  <c r="T43" i="87" s="1"/>
  <c r="U43" i="87" s="1"/>
  <c r="V43" i="87" s="1"/>
  <c r="W43" i="87" s="1"/>
  <c r="X43" i="87" s="1"/>
  <c r="J22" i="87"/>
  <c r="K22" i="87" s="1"/>
  <c r="L22" i="87" s="1"/>
  <c r="M22" i="87" s="1"/>
  <c r="N22" i="87" s="1"/>
  <c r="O22" i="87" s="1"/>
  <c r="P22" i="87" s="1"/>
  <c r="Q22" i="87" s="1"/>
  <c r="R22" i="87" s="1"/>
  <c r="S22" i="87" s="1"/>
  <c r="T22" i="87" s="1"/>
  <c r="U22" i="87" s="1"/>
  <c r="V22" i="87" s="1"/>
  <c r="W22" i="87" s="1"/>
  <c r="X22" i="87" s="1"/>
  <c r="E76" i="87"/>
  <c r="E77" i="87" s="1"/>
  <c r="E85" i="87" s="1"/>
  <c r="I14" i="82" s="1"/>
  <c r="A2" i="87"/>
  <c r="A1" i="87"/>
  <c r="F81" i="88" l="1"/>
  <c r="I33" i="73"/>
  <c r="E90" i="88"/>
  <c r="E91" i="88" s="1"/>
  <c r="E97" i="88"/>
  <c r="E18" i="87"/>
  <c r="F23" i="87" s="1"/>
  <c r="J14" i="81" s="1"/>
  <c r="E36" i="87"/>
  <c r="E70" i="87"/>
  <c r="E52" i="87"/>
  <c r="E73" i="87"/>
  <c r="E39" i="87"/>
  <c r="E55" i="87"/>
  <c r="E37" i="87"/>
  <c r="E71" i="87"/>
  <c r="E53" i="87"/>
  <c r="E54" i="87"/>
  <c r="E38" i="87"/>
  <c r="E72" i="87"/>
  <c r="E77" i="88"/>
  <c r="E51" i="88"/>
  <c r="E55" i="88" s="1"/>
  <c r="E34" i="88"/>
  <c r="F85" i="87"/>
  <c r="J14" i="82" s="1"/>
  <c r="E38" i="88"/>
  <c r="E46" i="88"/>
  <c r="E59" i="88"/>
  <c r="I33" i="72" s="1"/>
  <c r="E67" i="88"/>
  <c r="E104" i="88" l="1"/>
  <c r="E109" i="88" s="1"/>
  <c r="F109" i="88" s="1"/>
  <c r="T28" i="68"/>
  <c r="U28" i="68"/>
  <c r="V28" i="68"/>
  <c r="W28" i="68"/>
  <c r="X28" i="68"/>
  <c r="Y28" i="68"/>
  <c r="Z28" i="68"/>
  <c r="AA28" i="68"/>
  <c r="AC28" i="68"/>
  <c r="J28" i="68"/>
  <c r="AE28" i="68"/>
  <c r="L28" i="68"/>
  <c r="AG28" i="68"/>
  <c r="N28" i="68"/>
  <c r="I28" i="68"/>
  <c r="O28" i="68"/>
  <c r="Q28" i="68"/>
  <c r="R28" i="68"/>
  <c r="AB28" i="68"/>
  <c r="AD28" i="68"/>
  <c r="K28" i="68"/>
  <c r="AF28" i="68"/>
  <c r="M28" i="68"/>
  <c r="P28" i="68"/>
  <c r="S28" i="68"/>
  <c r="E60" i="88"/>
  <c r="I28" i="72" s="1"/>
  <c r="F59" i="88"/>
  <c r="J33" i="72" s="1"/>
  <c r="X60" i="88"/>
  <c r="AB28" i="72" s="1"/>
  <c r="E82" i="88"/>
  <c r="F38" i="88"/>
  <c r="I33" i="81"/>
  <c r="G81" i="88"/>
  <c r="J33" i="73"/>
  <c r="E103" i="88"/>
  <c r="E108" i="88" s="1"/>
  <c r="E39" i="88"/>
  <c r="E100" i="88"/>
  <c r="T61" i="87"/>
  <c r="X19" i="73" s="1"/>
  <c r="E23" i="87"/>
  <c r="I14" i="81" s="1"/>
  <c r="O45" i="87"/>
  <c r="S19" i="72" s="1"/>
  <c r="S45" i="87"/>
  <c r="W19" i="72" s="1"/>
  <c r="N45" i="87"/>
  <c r="R19" i="72" s="1"/>
  <c r="M45" i="87"/>
  <c r="Q19" i="72" s="1"/>
  <c r="L45" i="87"/>
  <c r="P19" i="72" s="1"/>
  <c r="K45" i="87"/>
  <c r="O19" i="72" s="1"/>
  <c r="J45" i="87"/>
  <c r="N19" i="72" s="1"/>
  <c r="R45" i="87"/>
  <c r="V19" i="72" s="1"/>
  <c r="P45" i="87"/>
  <c r="T19" i="72" s="1"/>
  <c r="Q45" i="87"/>
  <c r="U19" i="72" s="1"/>
  <c r="E60" i="87"/>
  <c r="I14" i="73" s="1"/>
  <c r="F60" i="87"/>
  <c r="J14" i="73" s="1"/>
  <c r="G45" i="87"/>
  <c r="K19" i="72" s="1"/>
  <c r="F45" i="87"/>
  <c r="J19" i="72" s="1"/>
  <c r="E45" i="87"/>
  <c r="I19" i="72" s="1"/>
  <c r="I45" i="87"/>
  <c r="M19" i="72" s="1"/>
  <c r="W45" i="87"/>
  <c r="AA19" i="72" s="1"/>
  <c r="V45" i="87"/>
  <c r="Z19" i="72" s="1"/>
  <c r="U45" i="87"/>
  <c r="Y19" i="72" s="1"/>
  <c r="T45" i="87"/>
  <c r="X19" i="72" s="1"/>
  <c r="H45" i="87"/>
  <c r="L19" i="72" s="1"/>
  <c r="E84" i="87"/>
  <c r="I15" i="82" s="1"/>
  <c r="F84" i="87"/>
  <c r="J15" i="82" s="1"/>
  <c r="E79" i="87"/>
  <c r="M86" i="87"/>
  <c r="Q19" i="82" s="1"/>
  <c r="E86" i="87"/>
  <c r="I19" i="82" s="1"/>
  <c r="Q86" i="87"/>
  <c r="U19" i="82" s="1"/>
  <c r="P86" i="87"/>
  <c r="T19" i="82" s="1"/>
  <c r="L86" i="87"/>
  <c r="P19" i="82" s="1"/>
  <c r="K86" i="87"/>
  <c r="O19" i="82" s="1"/>
  <c r="S86" i="87"/>
  <c r="W19" i="82" s="1"/>
  <c r="R86" i="87"/>
  <c r="V19" i="82" s="1"/>
  <c r="J86" i="87"/>
  <c r="N19" i="82" s="1"/>
  <c r="I86" i="87"/>
  <c r="M19" i="82" s="1"/>
  <c r="F86" i="87"/>
  <c r="J19" i="82" s="1"/>
  <c r="T86" i="87"/>
  <c r="X19" i="82" s="1"/>
  <c r="H86" i="87"/>
  <c r="L19" i="82" s="1"/>
  <c r="G86" i="87"/>
  <c r="K19" i="82" s="1"/>
  <c r="O86" i="87"/>
  <c r="S19" i="82" s="1"/>
  <c r="N86" i="87"/>
  <c r="R19" i="82" s="1"/>
  <c r="G44" i="87"/>
  <c r="K14" i="72" s="1"/>
  <c r="I44" i="87"/>
  <c r="M14" i="72" s="1"/>
  <c r="E44" i="87"/>
  <c r="I14" i="72" s="1"/>
  <c r="F44" i="87"/>
  <c r="J14" i="72" s="1"/>
  <c r="H44" i="87"/>
  <c r="L14" i="72" s="1"/>
  <c r="O61" i="87"/>
  <c r="S19" i="73" s="1"/>
  <c r="N61" i="87"/>
  <c r="R19" i="73" s="1"/>
  <c r="E61" i="87"/>
  <c r="I19" i="73" s="1"/>
  <c r="M61" i="87"/>
  <c r="Q19" i="73" s="1"/>
  <c r="L61" i="87"/>
  <c r="P19" i="73" s="1"/>
  <c r="K61" i="87"/>
  <c r="O19" i="73" s="1"/>
  <c r="I61" i="87"/>
  <c r="M19" i="73" s="1"/>
  <c r="R61" i="87"/>
  <c r="V19" i="73" s="1"/>
  <c r="J61" i="87"/>
  <c r="N19" i="73" s="1"/>
  <c r="H61" i="87"/>
  <c r="L19" i="73" s="1"/>
  <c r="F61" i="87"/>
  <c r="J19" i="73" s="1"/>
  <c r="S61" i="87"/>
  <c r="W19" i="73" s="1"/>
  <c r="G61" i="87"/>
  <c r="K19" i="73" s="1"/>
  <c r="P61" i="87"/>
  <c r="T19" i="73" s="1"/>
  <c r="Q61" i="87"/>
  <c r="U19" i="73" s="1"/>
  <c r="I28" i="82" l="1"/>
  <c r="F39" i="88"/>
  <c r="I28" i="81"/>
  <c r="W60" i="88"/>
  <c r="AA28" i="72" s="1"/>
  <c r="F60" i="88"/>
  <c r="J28" i="72" s="1"/>
  <c r="H81" i="88"/>
  <c r="K33" i="73"/>
  <c r="G38" i="88"/>
  <c r="J33" i="81"/>
  <c r="G59" i="88"/>
  <c r="K33" i="72" s="1"/>
  <c r="F82" i="88"/>
  <c r="I28" i="73"/>
  <c r="G109" i="88"/>
  <c r="J28" i="82"/>
  <c r="F108" i="88"/>
  <c r="I33" i="82"/>
  <c r="V60" i="88" l="1"/>
  <c r="Z28" i="72" s="1"/>
  <c r="G60" i="88"/>
  <c r="K28" i="72" s="1"/>
  <c r="G39" i="88"/>
  <c r="J28" i="81"/>
  <c r="J36" i="81" s="1"/>
  <c r="H109" i="88"/>
  <c r="K28" i="82"/>
  <c r="H59" i="88"/>
  <c r="L33" i="72" s="1"/>
  <c r="G82" i="88"/>
  <c r="J28" i="73"/>
  <c r="H38" i="88"/>
  <c r="K33" i="81"/>
  <c r="I81" i="88"/>
  <c r="L33" i="73"/>
  <c r="G108" i="88"/>
  <c r="J33" i="82"/>
  <c r="U60" i="88" l="1"/>
  <c r="Y28" i="72" s="1"/>
  <c r="H60" i="88"/>
  <c r="L28" i="72" s="1"/>
  <c r="H39" i="88"/>
  <c r="K28" i="81"/>
  <c r="K36" i="81" s="1"/>
  <c r="J81" i="88"/>
  <c r="M33" i="73"/>
  <c r="I38" i="88"/>
  <c r="L33" i="81"/>
  <c r="H82" i="88"/>
  <c r="K28" i="73"/>
  <c r="I59" i="88"/>
  <c r="M33" i="72" s="1"/>
  <c r="I109" i="88"/>
  <c r="L28" i="82"/>
  <c r="H108" i="88"/>
  <c r="K33" i="82"/>
  <c r="I9" i="68"/>
  <c r="I60" i="88" l="1"/>
  <c r="T60" i="88"/>
  <c r="X28" i="72" s="1"/>
  <c r="J60" i="88"/>
  <c r="M28" i="72"/>
  <c r="I39" i="88"/>
  <c r="L28" i="81"/>
  <c r="L36" i="81" s="1"/>
  <c r="J109" i="88"/>
  <c r="M28" i="82"/>
  <c r="I82" i="88"/>
  <c r="L28" i="73"/>
  <c r="J59" i="88"/>
  <c r="N33" i="72" s="1"/>
  <c r="J38" i="88"/>
  <c r="M33" i="81"/>
  <c r="K81" i="88"/>
  <c r="N33" i="73"/>
  <c r="I108" i="88"/>
  <c r="L33" i="82"/>
  <c r="H9" i="68"/>
  <c r="H9" i="75" s="1"/>
  <c r="H5" i="75" s="1"/>
  <c r="C25" i="62"/>
  <c r="A2" i="43"/>
  <c r="J39" i="88" l="1"/>
  <c r="M28" i="81"/>
  <c r="M36" i="81" s="1"/>
  <c r="K60" i="88"/>
  <c r="N28" i="72"/>
  <c r="L81" i="88"/>
  <c r="O33" i="73"/>
  <c r="K38" i="88"/>
  <c r="N33" i="81"/>
  <c r="K59" i="88"/>
  <c r="O33" i="72" s="1"/>
  <c r="J82" i="88"/>
  <c r="M28" i="73"/>
  <c r="K109" i="88"/>
  <c r="N28" i="82"/>
  <c r="J108" i="88"/>
  <c r="M33" i="82"/>
  <c r="C111" i="43"/>
  <c r="C112" i="43"/>
  <c r="C113" i="43"/>
  <c r="C114" i="43"/>
  <c r="C115" i="43"/>
  <c r="L60" i="88" l="1"/>
  <c r="O28" i="72"/>
  <c r="K39" i="88"/>
  <c r="N28" i="81"/>
  <c r="N36" i="81" s="1"/>
  <c r="L59" i="88"/>
  <c r="P33" i="72" s="1"/>
  <c r="L109" i="88"/>
  <c r="O28" i="82"/>
  <c r="K82" i="88"/>
  <c r="N28" i="73"/>
  <c r="L38" i="88"/>
  <c r="O33" i="81"/>
  <c r="M81" i="88"/>
  <c r="P33" i="73"/>
  <c r="K108" i="88"/>
  <c r="N33" i="82"/>
  <c r="A92" i="85"/>
  <c r="A93" i="85"/>
  <c r="A94" i="85"/>
  <c r="A95" i="85"/>
  <c r="A96" i="85"/>
  <c r="A97" i="85"/>
  <c r="A98" i="85"/>
  <c r="A91" i="85"/>
  <c r="B92" i="85"/>
  <c r="B93" i="85"/>
  <c r="B94" i="85"/>
  <c r="B95" i="85"/>
  <c r="B96" i="85"/>
  <c r="B97" i="85"/>
  <c r="B98" i="85"/>
  <c r="B91" i="85"/>
  <c r="G106" i="82"/>
  <c r="G106" i="73"/>
  <c r="G106" i="72"/>
  <c r="G106" i="81"/>
  <c r="G106" i="68"/>
  <c r="E117" i="82"/>
  <c r="D117" i="82"/>
  <c r="C117" i="82"/>
  <c r="A117" i="82"/>
  <c r="G117" i="82" s="1"/>
  <c r="E116" i="82"/>
  <c r="D116" i="82"/>
  <c r="C116" i="82"/>
  <c r="A116" i="82"/>
  <c r="G116" i="82" s="1"/>
  <c r="E115" i="82"/>
  <c r="D115" i="82"/>
  <c r="C115" i="82"/>
  <c r="A115" i="82"/>
  <c r="G115" i="82" s="1"/>
  <c r="E114" i="82"/>
  <c r="D114" i="82"/>
  <c r="C114" i="82"/>
  <c r="A114" i="82"/>
  <c r="G114" i="82" s="1"/>
  <c r="E113" i="82"/>
  <c r="D113" i="82"/>
  <c r="C113" i="82"/>
  <c r="A113" i="82"/>
  <c r="G113" i="82" s="1"/>
  <c r="E112" i="82"/>
  <c r="D112" i="82"/>
  <c r="C112" i="82"/>
  <c r="A112" i="82"/>
  <c r="G112" i="82" s="1"/>
  <c r="E111" i="82"/>
  <c r="D111" i="82"/>
  <c r="C111" i="82"/>
  <c r="A111" i="82"/>
  <c r="G111" i="82" s="1"/>
  <c r="E110" i="82"/>
  <c r="D110" i="82"/>
  <c r="C110" i="82"/>
  <c r="A110" i="82"/>
  <c r="G110" i="82" s="1"/>
  <c r="E109" i="82"/>
  <c r="D109" i="82"/>
  <c r="E117" i="73"/>
  <c r="D117" i="73"/>
  <c r="C117" i="73"/>
  <c r="A117" i="73"/>
  <c r="G117" i="73" s="1"/>
  <c r="E116" i="73"/>
  <c r="D116" i="73"/>
  <c r="C116" i="73"/>
  <c r="A116" i="73"/>
  <c r="G116" i="73" s="1"/>
  <c r="E115" i="73"/>
  <c r="D115" i="73"/>
  <c r="C115" i="73"/>
  <c r="A115" i="73"/>
  <c r="G115" i="73" s="1"/>
  <c r="E114" i="73"/>
  <c r="D114" i="73"/>
  <c r="C114" i="73"/>
  <c r="A114" i="73"/>
  <c r="G114" i="73" s="1"/>
  <c r="E113" i="73"/>
  <c r="D113" i="73"/>
  <c r="C113" i="73"/>
  <c r="A113" i="73"/>
  <c r="G113" i="73" s="1"/>
  <c r="E112" i="73"/>
  <c r="D112" i="73"/>
  <c r="C112" i="73"/>
  <c r="A112" i="73"/>
  <c r="G112" i="73" s="1"/>
  <c r="E111" i="73"/>
  <c r="D111" i="73"/>
  <c r="C111" i="73"/>
  <c r="A111" i="73"/>
  <c r="G111" i="73" s="1"/>
  <c r="E110" i="73"/>
  <c r="D110" i="73"/>
  <c r="C110" i="73"/>
  <c r="A110" i="73"/>
  <c r="G110" i="73" s="1"/>
  <c r="E109" i="73"/>
  <c r="D109" i="73"/>
  <c r="E117" i="72"/>
  <c r="D117" i="72"/>
  <c r="C117" i="72"/>
  <c r="A117" i="72"/>
  <c r="G117" i="72" s="1"/>
  <c r="E116" i="72"/>
  <c r="D116" i="72"/>
  <c r="C116" i="72"/>
  <c r="A116" i="72"/>
  <c r="G116" i="72" s="1"/>
  <c r="E115" i="72"/>
  <c r="D115" i="72"/>
  <c r="C115" i="72"/>
  <c r="A115" i="72"/>
  <c r="G115" i="72" s="1"/>
  <c r="E114" i="72"/>
  <c r="D114" i="72"/>
  <c r="C114" i="72"/>
  <c r="A114" i="72"/>
  <c r="G114" i="72" s="1"/>
  <c r="E113" i="72"/>
  <c r="D113" i="72"/>
  <c r="C113" i="72"/>
  <c r="A113" i="72"/>
  <c r="G113" i="72" s="1"/>
  <c r="E112" i="72"/>
  <c r="D112" i="72"/>
  <c r="C112" i="72"/>
  <c r="A112" i="72"/>
  <c r="G112" i="72" s="1"/>
  <c r="E111" i="72"/>
  <c r="D111" i="72"/>
  <c r="C111" i="72"/>
  <c r="A111" i="72"/>
  <c r="G111" i="72" s="1"/>
  <c r="E110" i="72"/>
  <c r="D110" i="72"/>
  <c r="C110" i="72"/>
  <c r="A110" i="72"/>
  <c r="G110" i="72" s="1"/>
  <c r="E109" i="72"/>
  <c r="D109" i="72"/>
  <c r="E117" i="68"/>
  <c r="D117" i="68"/>
  <c r="C117" i="68"/>
  <c r="A117" i="68"/>
  <c r="G117" i="68" s="1"/>
  <c r="E116" i="68"/>
  <c r="D116" i="68"/>
  <c r="C116" i="68"/>
  <c r="A116" i="68"/>
  <c r="G116" i="68" s="1"/>
  <c r="E115" i="68"/>
  <c r="D115" i="68"/>
  <c r="C115" i="68"/>
  <c r="A115" i="68"/>
  <c r="G115" i="68" s="1"/>
  <c r="E114" i="68"/>
  <c r="D114" i="68"/>
  <c r="C114" i="68"/>
  <c r="A114" i="68"/>
  <c r="G114" i="68" s="1"/>
  <c r="E113" i="68"/>
  <c r="D113" i="68"/>
  <c r="C113" i="68"/>
  <c r="A113" i="68"/>
  <c r="G113" i="68" s="1"/>
  <c r="E112" i="68"/>
  <c r="D112" i="68"/>
  <c r="C112" i="68"/>
  <c r="A112" i="68"/>
  <c r="G112" i="68" s="1"/>
  <c r="E111" i="68"/>
  <c r="D111" i="68"/>
  <c r="C111" i="68"/>
  <c r="A111" i="68"/>
  <c r="G111" i="68" s="1"/>
  <c r="E110" i="68"/>
  <c r="D110" i="68"/>
  <c r="C110" i="68"/>
  <c r="A110" i="68"/>
  <c r="G110" i="68" s="1"/>
  <c r="E109" i="68"/>
  <c r="D109" i="68"/>
  <c r="A111" i="81"/>
  <c r="A112" i="81"/>
  <c r="A113" i="81"/>
  <c r="A114" i="81"/>
  <c r="A115" i="81"/>
  <c r="A116" i="81"/>
  <c r="A117" i="81"/>
  <c r="A110" i="81"/>
  <c r="E109" i="81"/>
  <c r="D109" i="81"/>
  <c r="C117" i="81"/>
  <c r="C116" i="81"/>
  <c r="C115" i="81"/>
  <c r="D115" i="81"/>
  <c r="E115" i="81"/>
  <c r="D116" i="81"/>
  <c r="E116" i="81"/>
  <c r="D117" i="81"/>
  <c r="E117" i="81"/>
  <c r="E114" i="81"/>
  <c r="D114" i="81"/>
  <c r="E113" i="81"/>
  <c r="D113" i="81"/>
  <c r="E112" i="81"/>
  <c r="D112" i="81"/>
  <c r="E111" i="81"/>
  <c r="D111" i="81"/>
  <c r="E110" i="81"/>
  <c r="D110" i="81"/>
  <c r="L39" i="88" l="1"/>
  <c r="O28" i="81"/>
  <c r="O36" i="81" s="1"/>
  <c r="M60" i="88"/>
  <c r="P28" i="72"/>
  <c r="M109" i="88"/>
  <c r="P28" i="82"/>
  <c r="N81" i="88"/>
  <c r="Q33" i="73"/>
  <c r="M38" i="88"/>
  <c r="P33" i="81"/>
  <c r="L82" i="88"/>
  <c r="O28" i="73"/>
  <c r="M59" i="88"/>
  <c r="Q33" i="72" s="1"/>
  <c r="L108" i="88"/>
  <c r="O33" i="82"/>
  <c r="J78" i="68"/>
  <c r="K78" i="68"/>
  <c r="L78" i="68"/>
  <c r="M78" i="68"/>
  <c r="N78" i="68"/>
  <c r="O78" i="68"/>
  <c r="P78" i="68"/>
  <c r="Q78" i="68"/>
  <c r="R78" i="68"/>
  <c r="S78" i="68"/>
  <c r="T78" i="68"/>
  <c r="U78" i="68"/>
  <c r="V78" i="68"/>
  <c r="W78" i="68"/>
  <c r="X78" i="68"/>
  <c r="Y78" i="68"/>
  <c r="Z78" i="68"/>
  <c r="AA78" i="68"/>
  <c r="AB78" i="68"/>
  <c r="AC78" i="68"/>
  <c r="AD78" i="68"/>
  <c r="AE78" i="68"/>
  <c r="AF78" i="68"/>
  <c r="AG78" i="68"/>
  <c r="J79" i="68"/>
  <c r="K79" i="68"/>
  <c r="L79" i="68"/>
  <c r="M79" i="68"/>
  <c r="N79" i="68"/>
  <c r="O79" i="68"/>
  <c r="P79" i="68"/>
  <c r="Q79" i="68"/>
  <c r="R79" i="68"/>
  <c r="S79" i="68"/>
  <c r="T79" i="68"/>
  <c r="U79" i="68"/>
  <c r="V79" i="68"/>
  <c r="W79" i="68"/>
  <c r="X79" i="68"/>
  <c r="Y79" i="68"/>
  <c r="Z79" i="68"/>
  <c r="AA79" i="68"/>
  <c r="AB79" i="68"/>
  <c r="AC79" i="68"/>
  <c r="AD79" i="68"/>
  <c r="AE79" i="68"/>
  <c r="AF79" i="68"/>
  <c r="AG79" i="68"/>
  <c r="I79" i="68"/>
  <c r="I78" i="68"/>
  <c r="I77" i="68"/>
  <c r="J79" i="82"/>
  <c r="K79" i="82"/>
  <c r="L79" i="82"/>
  <c r="M79" i="82"/>
  <c r="N79" i="82"/>
  <c r="O79" i="82"/>
  <c r="P79" i="82"/>
  <c r="Q79" i="82"/>
  <c r="R79" i="82"/>
  <c r="S79" i="82"/>
  <c r="T79" i="82"/>
  <c r="U79" i="82"/>
  <c r="V79" i="82"/>
  <c r="W79" i="82"/>
  <c r="X79" i="82"/>
  <c r="Y79" i="82"/>
  <c r="Z79" i="82"/>
  <c r="AA79" i="82"/>
  <c r="AB79" i="82"/>
  <c r="AC79" i="82"/>
  <c r="AD79" i="82"/>
  <c r="AE79" i="82"/>
  <c r="AF79" i="82"/>
  <c r="AG79" i="82"/>
  <c r="I79" i="82"/>
  <c r="I78" i="82"/>
  <c r="I77" i="82"/>
  <c r="J78" i="73"/>
  <c r="K78" i="73"/>
  <c r="L78" i="73"/>
  <c r="M78" i="73"/>
  <c r="N78" i="73"/>
  <c r="O78" i="73"/>
  <c r="P78" i="73"/>
  <c r="Q78" i="73"/>
  <c r="R78" i="73"/>
  <c r="S78" i="73"/>
  <c r="T78" i="73"/>
  <c r="U78" i="73"/>
  <c r="V78" i="73"/>
  <c r="W78" i="73"/>
  <c r="X78" i="73"/>
  <c r="Y78" i="73"/>
  <c r="Z78" i="73"/>
  <c r="AA78" i="73"/>
  <c r="AB78" i="73"/>
  <c r="AC78" i="73"/>
  <c r="AD78" i="73"/>
  <c r="AE78" i="73"/>
  <c r="AF78" i="73"/>
  <c r="AG78" i="73"/>
  <c r="J79" i="73"/>
  <c r="K79" i="73"/>
  <c r="L79" i="73"/>
  <c r="M79" i="73"/>
  <c r="N79" i="73"/>
  <c r="O79" i="73"/>
  <c r="P79" i="73"/>
  <c r="Q79" i="73"/>
  <c r="R79" i="73"/>
  <c r="S79" i="73"/>
  <c r="T79" i="73"/>
  <c r="U79" i="73"/>
  <c r="V79" i="73"/>
  <c r="W79" i="73"/>
  <c r="X79" i="73"/>
  <c r="Y79" i="73"/>
  <c r="Z79" i="73"/>
  <c r="AA79" i="73"/>
  <c r="AB79" i="73"/>
  <c r="AC79" i="73"/>
  <c r="AD79" i="73"/>
  <c r="AE79" i="73"/>
  <c r="AF79" i="73"/>
  <c r="AG79" i="73"/>
  <c r="I79" i="73"/>
  <c r="I78" i="73"/>
  <c r="I77" i="73"/>
  <c r="J79" i="72"/>
  <c r="K79" i="72"/>
  <c r="L79" i="72"/>
  <c r="M79" i="72"/>
  <c r="N79" i="72"/>
  <c r="O79" i="72"/>
  <c r="P79" i="72"/>
  <c r="Q79" i="72"/>
  <c r="R79" i="72"/>
  <c r="S79" i="72"/>
  <c r="T79" i="72"/>
  <c r="U79" i="72"/>
  <c r="V79" i="72"/>
  <c r="W79" i="72"/>
  <c r="X79" i="72"/>
  <c r="Y79" i="72"/>
  <c r="Z79" i="72"/>
  <c r="AA79" i="72"/>
  <c r="AB79" i="72"/>
  <c r="AC79" i="72"/>
  <c r="AD79" i="72"/>
  <c r="AE79" i="72"/>
  <c r="AF79" i="72"/>
  <c r="AG79" i="72"/>
  <c r="I79" i="72"/>
  <c r="I78" i="72"/>
  <c r="I77" i="72"/>
  <c r="J79" i="81"/>
  <c r="K79" i="81"/>
  <c r="L79" i="81"/>
  <c r="M79" i="81"/>
  <c r="N79" i="81"/>
  <c r="O79" i="81"/>
  <c r="P79" i="81"/>
  <c r="Q79" i="81"/>
  <c r="R79" i="81"/>
  <c r="S79" i="81"/>
  <c r="T79" i="81"/>
  <c r="U79" i="81"/>
  <c r="V79" i="81"/>
  <c r="W79" i="81"/>
  <c r="X79" i="81"/>
  <c r="Y79" i="81"/>
  <c r="Z79" i="81"/>
  <c r="AA79" i="81"/>
  <c r="AB79" i="81"/>
  <c r="AC79" i="81"/>
  <c r="AD79" i="81"/>
  <c r="AE79" i="81"/>
  <c r="AF79" i="81"/>
  <c r="AG79" i="81"/>
  <c r="I79" i="81"/>
  <c r="I78" i="81"/>
  <c r="I77" i="81"/>
  <c r="H9" i="85"/>
  <c r="H98" i="75"/>
  <c r="R108" i="47"/>
  <c r="R109" i="47" s="1"/>
  <c r="R110" i="47" s="1"/>
  <c r="R111" i="47" s="1"/>
  <c r="R112" i="47" s="1"/>
  <c r="R113" i="47" s="1"/>
  <c r="N60" i="88" l="1"/>
  <c r="Q28" i="72"/>
  <c r="M39" i="88"/>
  <c r="P28" i="81"/>
  <c r="P36" i="81" s="1"/>
  <c r="O81" i="88"/>
  <c r="R33" i="73"/>
  <c r="M82" i="88"/>
  <c r="P28" i="73"/>
  <c r="N59" i="88"/>
  <c r="R33" i="72" s="1"/>
  <c r="N38" i="88"/>
  <c r="Q33" i="81"/>
  <c r="N109" i="88"/>
  <c r="Q28" i="82"/>
  <c r="M108" i="88"/>
  <c r="P33" i="82"/>
  <c r="D38" i="33"/>
  <c r="E16" i="47"/>
  <c r="F9" i="47" s="1"/>
  <c r="N39" i="88" l="1"/>
  <c r="Q28" i="81"/>
  <c r="Q36" i="81" s="1"/>
  <c r="O60" i="88"/>
  <c r="R28" i="72"/>
  <c r="O38" i="88"/>
  <c r="R33" i="81"/>
  <c r="O109" i="88"/>
  <c r="R28" i="82"/>
  <c r="O59" i="88"/>
  <c r="S33" i="72" s="1"/>
  <c r="N82" i="88"/>
  <c r="Q28" i="73"/>
  <c r="P81" i="88"/>
  <c r="S33" i="73"/>
  <c r="N108" i="88"/>
  <c r="Q33" i="82"/>
  <c r="C22" i="85"/>
  <c r="C20" i="85"/>
  <c r="C18" i="85"/>
  <c r="C16" i="85"/>
  <c r="D48" i="33"/>
  <c r="C39" i="33"/>
  <c r="C89" i="85" a="1"/>
  <c r="C89" i="85" s="1"/>
  <c r="F38" i="33" s="1"/>
  <c r="C44" i="33"/>
  <c r="C46" i="33"/>
  <c r="H40" i="85"/>
  <c r="G37" i="75"/>
  <c r="D14" i="85"/>
  <c r="D70" i="85"/>
  <c r="D56" i="85"/>
  <c r="C78" i="85"/>
  <c r="C76" i="85"/>
  <c r="C74" i="85"/>
  <c r="C72" i="85"/>
  <c r="C64" i="85"/>
  <c r="C62" i="85"/>
  <c r="C60" i="85"/>
  <c r="C58" i="85"/>
  <c r="C50" i="85"/>
  <c r="C48" i="85"/>
  <c r="C46" i="85"/>
  <c r="C44" i="85"/>
  <c r="D42" i="85"/>
  <c r="P60" i="88" l="1"/>
  <c r="S28" i="72"/>
  <c r="O39" i="88"/>
  <c r="R28" i="81"/>
  <c r="R36" i="81" s="1"/>
  <c r="P109" i="88"/>
  <c r="S28" i="82"/>
  <c r="Q81" i="88"/>
  <c r="T33" i="73"/>
  <c r="O82" i="88"/>
  <c r="R28" i="73"/>
  <c r="P59" i="88"/>
  <c r="T33" i="72" s="1"/>
  <c r="P38" i="88"/>
  <c r="S33" i="81"/>
  <c r="O108" i="88"/>
  <c r="R33" i="82"/>
  <c r="B65" i="85"/>
  <c r="D65" i="85" s="1"/>
  <c r="B59" i="85"/>
  <c r="D59" i="85" s="1"/>
  <c r="B75" i="85"/>
  <c r="D75" i="85" s="1"/>
  <c r="B61" i="85"/>
  <c r="D61" i="85" s="1"/>
  <c r="B62" i="85"/>
  <c r="D62" i="85" s="1"/>
  <c r="K46" i="33"/>
  <c r="D47" i="33"/>
  <c r="H38" i="33"/>
  <c r="I38" i="33"/>
  <c r="J38" i="33"/>
  <c r="G38" i="33"/>
  <c r="B76" i="85"/>
  <c r="D76" i="85" s="1"/>
  <c r="B73" i="85"/>
  <c r="D73" i="85" s="1"/>
  <c r="B63" i="85"/>
  <c r="D63" i="85" s="1"/>
  <c r="B60" i="85"/>
  <c r="D60" i="85" s="1"/>
  <c r="B64" i="85"/>
  <c r="D64" i="85" s="1"/>
  <c r="B77" i="85"/>
  <c r="D77" i="85" s="1"/>
  <c r="B74" i="85"/>
  <c r="D74" i="85" s="1"/>
  <c r="B78" i="85"/>
  <c r="D78" i="85" s="1"/>
  <c r="B79" i="85"/>
  <c r="D79" i="85" s="1"/>
  <c r="B58" i="85"/>
  <c r="D58" i="85" s="1"/>
  <c r="B72" i="85"/>
  <c r="D72" i="85" s="1"/>
  <c r="C112" i="81"/>
  <c r="C114" i="81"/>
  <c r="C36" i="85"/>
  <c r="C110" i="81"/>
  <c r="C23" i="85"/>
  <c r="C21" i="85"/>
  <c r="P39" i="88" l="1"/>
  <c r="S28" i="81"/>
  <c r="S36" i="81" s="1"/>
  <c r="Q60" i="88"/>
  <c r="T28" i="72"/>
  <c r="Q38" i="88"/>
  <c r="T33" i="81"/>
  <c r="Q59" i="88"/>
  <c r="U33" i="72" s="1"/>
  <c r="P82" i="88"/>
  <c r="S28" i="73"/>
  <c r="R81" i="88"/>
  <c r="U33" i="73"/>
  <c r="Q109" i="88"/>
  <c r="T28" i="82"/>
  <c r="P108" i="88"/>
  <c r="S33" i="82"/>
  <c r="C30" i="85"/>
  <c r="C32" i="85"/>
  <c r="C34" i="85"/>
  <c r="C19" i="85"/>
  <c r="C111" i="81"/>
  <c r="C17" i="85"/>
  <c r="C40" i="33"/>
  <c r="C42" i="33"/>
  <c r="C113" i="81"/>
  <c r="C61" i="85"/>
  <c r="C47" i="85"/>
  <c r="C75" i="85"/>
  <c r="C63" i="85"/>
  <c r="C49" i="85"/>
  <c r="C77" i="85"/>
  <c r="C45" i="85"/>
  <c r="C73" i="85"/>
  <c r="C59" i="85"/>
  <c r="C35" i="85"/>
  <c r="C51" i="85"/>
  <c r="C65" i="85"/>
  <c r="C79" i="85"/>
  <c r="C37" i="85"/>
  <c r="G70" i="75"/>
  <c r="G56" i="75"/>
  <c r="G42" i="75"/>
  <c r="G28" i="75"/>
  <c r="G14" i="75"/>
  <c r="R60" i="88" l="1"/>
  <c r="U28" i="72"/>
  <c r="Q39" i="88"/>
  <c r="T28" i="81"/>
  <c r="T36" i="81" s="1"/>
  <c r="R109" i="88"/>
  <c r="U28" i="82"/>
  <c r="R59" i="88"/>
  <c r="V33" i="72" s="1"/>
  <c r="Q82" i="88"/>
  <c r="T28" i="73"/>
  <c r="S81" i="88"/>
  <c r="V33" i="73"/>
  <c r="R38" i="88"/>
  <c r="U33" i="81"/>
  <c r="Q108" i="88"/>
  <c r="T33" i="82"/>
  <c r="C31" i="85"/>
  <c r="C33" i="85"/>
  <c r="C45" i="33"/>
  <c r="A6" i="85"/>
  <c r="A2" i="85"/>
  <c r="A1" i="85"/>
  <c r="R39" i="88" l="1"/>
  <c r="U28" i="81"/>
  <c r="U36" i="81" s="1"/>
  <c r="S60" i="88"/>
  <c r="W28" i="72" s="1"/>
  <c r="V28" i="72"/>
  <c r="S38" i="88"/>
  <c r="V33" i="81"/>
  <c r="W33" i="73"/>
  <c r="T81" i="88"/>
  <c r="R82" i="88"/>
  <c r="U28" i="73"/>
  <c r="S59" i="88"/>
  <c r="W33" i="72" s="1"/>
  <c r="S109" i="88"/>
  <c r="V28" i="82"/>
  <c r="R108" i="88"/>
  <c r="U33" i="82"/>
  <c r="C43" i="33"/>
  <c r="C41" i="33"/>
  <c r="C21" i="62"/>
  <c r="B74" i="62"/>
  <c r="C67" i="62"/>
  <c r="C66" i="62"/>
  <c r="C65" i="62"/>
  <c r="C62" i="62"/>
  <c r="C63" i="62"/>
  <c r="C61" i="62"/>
  <c r="C58" i="62"/>
  <c r="C59" i="62"/>
  <c r="C57" i="62"/>
  <c r="C55" i="62"/>
  <c r="C54" i="62"/>
  <c r="C53" i="62"/>
  <c r="C51" i="62"/>
  <c r="C50" i="62"/>
  <c r="C49" i="62"/>
  <c r="A1" i="81"/>
  <c r="A2" i="81"/>
  <c r="A1" i="68"/>
  <c r="A2" i="68"/>
  <c r="A2" i="72"/>
  <c r="A2" i="73"/>
  <c r="A2" i="82"/>
  <c r="A1" i="72"/>
  <c r="A1" i="73"/>
  <c r="A1" i="82"/>
  <c r="A1" i="75"/>
  <c r="A2" i="75"/>
  <c r="E9" i="47"/>
  <c r="I6" i="68"/>
  <c r="C9" i="33" a="1"/>
  <c r="C9" i="33" s="1"/>
  <c r="S39" i="88" l="1"/>
  <c r="V28" i="81"/>
  <c r="V36" i="81" s="1"/>
  <c r="T109" i="88"/>
  <c r="W28" i="82"/>
  <c r="T59" i="88"/>
  <c r="X33" i="72" s="1"/>
  <c r="S82" i="88"/>
  <c r="V28" i="73"/>
  <c r="U81" i="88"/>
  <c r="X33" i="73"/>
  <c r="T38" i="88"/>
  <c r="W33" i="81"/>
  <c r="S108" i="88"/>
  <c r="V33" i="82"/>
  <c r="D65" i="62"/>
  <c r="C4" i="82" s="1"/>
  <c r="D57" i="62"/>
  <c r="C4" i="72" s="1"/>
  <c r="D53" i="62"/>
  <c r="C4" i="81" s="1"/>
  <c r="D61" i="62"/>
  <c r="C4" i="73" s="1"/>
  <c r="D49" i="62"/>
  <c r="C4" i="68" s="1"/>
  <c r="D92" i="75"/>
  <c r="T39" i="88" l="1"/>
  <c r="W28" i="81"/>
  <c r="W36" i="81" s="1"/>
  <c r="U59" i="88"/>
  <c r="Y33" i="72" s="1"/>
  <c r="U38" i="88"/>
  <c r="X33" i="81"/>
  <c r="V81" i="88"/>
  <c r="Y33" i="73"/>
  <c r="T82" i="88"/>
  <c r="W28" i="73"/>
  <c r="U109" i="88"/>
  <c r="X28" i="82"/>
  <c r="T108" i="88"/>
  <c r="W33" i="82"/>
  <c r="D9" i="47"/>
  <c r="A6" i="75"/>
  <c r="U39" i="88" l="1"/>
  <c r="X28" i="81"/>
  <c r="X36" i="81" s="1"/>
  <c r="V109" i="88"/>
  <c r="Y28" i="82"/>
  <c r="U82" i="88"/>
  <c r="X28" i="73"/>
  <c r="Z33" i="73"/>
  <c r="W81" i="88"/>
  <c r="V38" i="88"/>
  <c r="Y33" i="81"/>
  <c r="V59" i="88"/>
  <c r="Z33" i="72" s="1"/>
  <c r="U108" i="88"/>
  <c r="X33" i="82"/>
  <c r="I6" i="75"/>
  <c r="I6" i="85" s="1"/>
  <c r="H6" i="75"/>
  <c r="H6" i="85" s="1"/>
  <c r="H11" i="85" s="1" a="1"/>
  <c r="H11" i="85" s="1"/>
  <c r="G17" i="33"/>
  <c r="D29" i="33"/>
  <c r="I8" i="33"/>
  <c r="H8" i="33"/>
  <c r="A15" i="75"/>
  <c r="A29" i="75"/>
  <c r="A43" i="75"/>
  <c r="A57" i="75"/>
  <c r="A71" i="75"/>
  <c r="AG17" i="81"/>
  <c r="AF17" i="81"/>
  <c r="AE17" i="81"/>
  <c r="AD17" i="81"/>
  <c r="AC17" i="81"/>
  <c r="AB17" i="81"/>
  <c r="AA17" i="81"/>
  <c r="Z17" i="81"/>
  <c r="Y17" i="81"/>
  <c r="X17" i="81"/>
  <c r="W17" i="81"/>
  <c r="V17" i="81"/>
  <c r="U17" i="81"/>
  <c r="T17" i="81"/>
  <c r="S17" i="81"/>
  <c r="R17" i="81"/>
  <c r="Q17" i="81"/>
  <c r="P17" i="81"/>
  <c r="O17" i="81"/>
  <c r="N17" i="81"/>
  <c r="M17" i="81"/>
  <c r="L17" i="81"/>
  <c r="K17" i="81"/>
  <c r="J17" i="81"/>
  <c r="I17" i="81"/>
  <c r="AG31" i="82" a="1"/>
  <c r="AG31" i="82" s="1"/>
  <c r="AF31" i="82" a="1"/>
  <c r="AF31" i="82" s="1"/>
  <c r="AE31" i="82" a="1"/>
  <c r="AE31" i="82" s="1"/>
  <c r="AD31" i="82" a="1"/>
  <c r="AD31" i="82" s="1"/>
  <c r="AC31" i="82" a="1"/>
  <c r="AC31" i="82" s="1"/>
  <c r="AB31" i="82" a="1"/>
  <c r="AB31" i="82" s="1"/>
  <c r="AA31" i="82" a="1"/>
  <c r="AA31" i="82" s="1"/>
  <c r="Z31" i="82" a="1"/>
  <c r="Z31" i="82" s="1"/>
  <c r="Y31" i="82" a="1"/>
  <c r="Y31" i="82" s="1"/>
  <c r="X31" i="82" a="1"/>
  <c r="X31" i="82" s="1"/>
  <c r="W31" i="82" a="1"/>
  <c r="W31" i="82" s="1"/>
  <c r="V31" i="82" a="1"/>
  <c r="V31" i="82" s="1"/>
  <c r="U31" i="82" a="1"/>
  <c r="U31" i="82" s="1"/>
  <c r="T31" i="82" a="1"/>
  <c r="T31" i="82" s="1"/>
  <c r="S31" i="82" a="1"/>
  <c r="S31" i="82" s="1"/>
  <c r="R31" i="82" a="1"/>
  <c r="R31" i="82" s="1"/>
  <c r="Q31" i="82" a="1"/>
  <c r="Q31" i="82" s="1"/>
  <c r="P31" i="82" a="1"/>
  <c r="P31" i="82" s="1"/>
  <c r="O31" i="82" a="1"/>
  <c r="O31" i="82" s="1"/>
  <c r="N31" i="82" a="1"/>
  <c r="N31" i="82" s="1"/>
  <c r="M31" i="82" a="1"/>
  <c r="M31" i="82" s="1"/>
  <c r="L31" i="82" a="1"/>
  <c r="L31" i="82" s="1"/>
  <c r="K31" i="82" a="1"/>
  <c r="K31" i="82" s="1"/>
  <c r="J31" i="82" a="1"/>
  <c r="J31" i="82" s="1"/>
  <c r="I31" i="82" a="1"/>
  <c r="I31" i="82" s="1"/>
  <c r="AG17" i="82"/>
  <c r="AF17" i="82"/>
  <c r="AE17" i="82"/>
  <c r="AD17" i="82"/>
  <c r="AC17" i="82"/>
  <c r="AB17" i="82"/>
  <c r="AA17" i="82"/>
  <c r="Z17" i="82"/>
  <c r="Y17" i="82"/>
  <c r="X17" i="82"/>
  <c r="W17" i="82"/>
  <c r="V17" i="82"/>
  <c r="U17" i="82"/>
  <c r="T17" i="82"/>
  <c r="S17" i="82"/>
  <c r="R17" i="82"/>
  <c r="Q17" i="82"/>
  <c r="P17" i="82"/>
  <c r="O17" i="82"/>
  <c r="N17" i="82"/>
  <c r="M17" i="82"/>
  <c r="L17" i="82"/>
  <c r="K17" i="82"/>
  <c r="J17" i="82"/>
  <c r="I17" i="82"/>
  <c r="AG31" i="73" a="1"/>
  <c r="AG31" i="73" s="1"/>
  <c r="AF31" i="73" a="1"/>
  <c r="AF31" i="73" s="1"/>
  <c r="AE31" i="73" a="1"/>
  <c r="AE31" i="73" s="1"/>
  <c r="AD31" i="73" a="1"/>
  <c r="AD31" i="73" s="1"/>
  <c r="AC31" i="73" a="1"/>
  <c r="AC31" i="73" s="1"/>
  <c r="AB31" i="73" a="1"/>
  <c r="AB31" i="73" s="1"/>
  <c r="AA31" i="73" a="1"/>
  <c r="AA31" i="73" s="1"/>
  <c r="Z31" i="73" a="1"/>
  <c r="Z31" i="73" s="1"/>
  <c r="Y31" i="73" a="1"/>
  <c r="Y31" i="73" s="1"/>
  <c r="X31" i="73" a="1"/>
  <c r="X31" i="73" s="1"/>
  <c r="W31" i="73" a="1"/>
  <c r="W31" i="73" s="1"/>
  <c r="V31" i="73" a="1"/>
  <c r="V31" i="73" s="1"/>
  <c r="U31" i="73" a="1"/>
  <c r="U31" i="73" s="1"/>
  <c r="T31" i="73" a="1"/>
  <c r="T31" i="73" s="1"/>
  <c r="S31" i="73" a="1"/>
  <c r="S31" i="73" s="1"/>
  <c r="R31" i="73" a="1"/>
  <c r="R31" i="73" s="1"/>
  <c r="Q31" i="73" a="1"/>
  <c r="Q31" i="73" s="1"/>
  <c r="P31" i="73" a="1"/>
  <c r="P31" i="73" s="1"/>
  <c r="O31" i="73" a="1"/>
  <c r="O31" i="73" s="1"/>
  <c r="N31" i="73" a="1"/>
  <c r="N31" i="73" s="1"/>
  <c r="M31" i="73" a="1"/>
  <c r="M31" i="73" s="1"/>
  <c r="L31" i="73" a="1"/>
  <c r="L31" i="73" s="1"/>
  <c r="K31" i="73" a="1"/>
  <c r="K31" i="73" s="1"/>
  <c r="J31" i="73" a="1"/>
  <c r="J31" i="73" s="1"/>
  <c r="I31" i="73" a="1"/>
  <c r="I31" i="73" s="1"/>
  <c r="AG17" i="73"/>
  <c r="AF17" i="73"/>
  <c r="AE17" i="73"/>
  <c r="AD17" i="73"/>
  <c r="AC17" i="73"/>
  <c r="AB17" i="73"/>
  <c r="AA17" i="73"/>
  <c r="Z17" i="73"/>
  <c r="Y17" i="73"/>
  <c r="X17" i="73"/>
  <c r="W17" i="73"/>
  <c r="V17" i="73"/>
  <c r="U17" i="73"/>
  <c r="T17" i="73"/>
  <c r="S17" i="73"/>
  <c r="R17" i="73"/>
  <c r="Q17" i="73"/>
  <c r="P17" i="73"/>
  <c r="O17" i="73"/>
  <c r="N17" i="73"/>
  <c r="M17" i="73"/>
  <c r="L17" i="73"/>
  <c r="K17" i="73"/>
  <c r="J17" i="73"/>
  <c r="I17" i="73"/>
  <c r="AG83" i="81"/>
  <c r="AG69" i="81"/>
  <c r="AG68" i="81"/>
  <c r="AG67" i="81"/>
  <c r="AG83" i="72"/>
  <c r="AG69" i="72"/>
  <c r="AG68" i="72"/>
  <c r="AG67" i="72"/>
  <c r="AG17" i="72"/>
  <c r="AG83" i="73"/>
  <c r="AG69" i="73"/>
  <c r="AG68" i="73"/>
  <c r="AG67" i="73"/>
  <c r="AG83" i="82"/>
  <c r="AG69" i="82"/>
  <c r="AG68" i="82"/>
  <c r="AG67" i="82"/>
  <c r="AG84" i="68"/>
  <c r="AG83" i="68"/>
  <c r="AG69" i="68"/>
  <c r="AG68" i="68"/>
  <c r="AG67" i="68"/>
  <c r="AG98" i="75"/>
  <c r="AG17" i="68"/>
  <c r="AF83" i="81"/>
  <c r="AF69" i="81"/>
  <c r="AF68" i="81"/>
  <c r="AF67" i="81"/>
  <c r="AF83" i="72"/>
  <c r="AF69" i="72"/>
  <c r="AF68" i="72"/>
  <c r="AF67" i="72"/>
  <c r="AF17" i="72"/>
  <c r="AF83" i="73"/>
  <c r="AF69" i="73"/>
  <c r="AF68" i="73"/>
  <c r="AF67" i="73"/>
  <c r="AF83" i="82"/>
  <c r="AF69" i="82"/>
  <c r="AF68" i="82"/>
  <c r="AF67" i="82"/>
  <c r="AF84" i="68"/>
  <c r="AF83" i="68"/>
  <c r="AF69" i="68"/>
  <c r="AF68" i="68"/>
  <c r="AF67" i="68"/>
  <c r="AF98" i="75"/>
  <c r="AF17" i="68"/>
  <c r="AE83" i="81"/>
  <c r="AE69" i="81"/>
  <c r="AE68" i="81"/>
  <c r="AE67" i="81"/>
  <c r="AE83" i="72"/>
  <c r="AE69" i="72"/>
  <c r="AE68" i="72"/>
  <c r="AE67" i="72"/>
  <c r="AE17" i="72"/>
  <c r="AE83" i="73"/>
  <c r="AE69" i="73"/>
  <c r="AE68" i="73"/>
  <c r="AE67" i="73"/>
  <c r="AE83" i="82"/>
  <c r="AE69" i="82"/>
  <c r="AE68" i="82"/>
  <c r="AE67" i="82"/>
  <c r="AE84" i="68"/>
  <c r="AE83" i="68"/>
  <c r="AE69" i="68"/>
  <c r="AE68" i="68"/>
  <c r="AE67" i="68"/>
  <c r="AE98" i="75"/>
  <c r="AE17" i="68"/>
  <c r="AD83" i="81"/>
  <c r="AD69" i="81"/>
  <c r="AD68" i="81"/>
  <c r="AD67" i="81"/>
  <c r="AD83" i="72"/>
  <c r="AD69" i="72"/>
  <c r="AD68" i="72"/>
  <c r="AD67" i="72"/>
  <c r="AD17" i="72"/>
  <c r="AD83" i="73"/>
  <c r="AD69" i="73"/>
  <c r="AD68" i="73"/>
  <c r="AD67" i="73"/>
  <c r="AD83" i="82"/>
  <c r="AD69" i="82"/>
  <c r="AD68" i="82"/>
  <c r="AD67" i="82"/>
  <c r="AD84" i="68"/>
  <c r="AD83" i="68"/>
  <c r="AD69" i="68"/>
  <c r="AD68" i="68"/>
  <c r="AD67" i="68"/>
  <c r="AD98" i="75"/>
  <c r="AD17" i="68"/>
  <c r="AC83" i="81"/>
  <c r="AC69" i="81"/>
  <c r="AC68" i="81"/>
  <c r="AC67" i="81"/>
  <c r="AC83" i="72"/>
  <c r="AC69" i="72"/>
  <c r="AC68" i="72"/>
  <c r="AC67" i="72"/>
  <c r="AC17" i="72"/>
  <c r="AC83" i="73"/>
  <c r="AC69" i="73"/>
  <c r="AC68" i="73"/>
  <c r="AC67" i="73"/>
  <c r="AC83" i="82"/>
  <c r="AC69" i="82"/>
  <c r="AC68" i="82"/>
  <c r="AC67" i="82"/>
  <c r="AC84" i="68"/>
  <c r="AC83" i="68"/>
  <c r="AC69" i="68"/>
  <c r="AC68" i="68"/>
  <c r="AC67" i="68"/>
  <c r="AC98" i="75"/>
  <c r="AC17" i="68"/>
  <c r="G81" i="75"/>
  <c r="G80" i="75"/>
  <c r="G79" i="75"/>
  <c r="G67" i="75"/>
  <c r="G66" i="75"/>
  <c r="G65" i="75"/>
  <c r="G53" i="75"/>
  <c r="G52" i="75"/>
  <c r="G51" i="75"/>
  <c r="G39" i="75"/>
  <c r="G38" i="75"/>
  <c r="G23" i="75"/>
  <c r="G24" i="75"/>
  <c r="G25" i="75"/>
  <c r="V39" i="88" l="1"/>
  <c r="Y28" i="81"/>
  <c r="Y36" i="81" s="1"/>
  <c r="W59" i="88"/>
  <c r="AA33" i="72" s="1"/>
  <c r="W38" i="88"/>
  <c r="Z33" i="81"/>
  <c r="X81" i="88"/>
  <c r="AB33" i="73" s="1"/>
  <c r="AA33" i="73"/>
  <c r="V82" i="88"/>
  <c r="Y28" i="73"/>
  <c r="W109" i="88"/>
  <c r="Z28" i="82"/>
  <c r="V108" i="88"/>
  <c r="Y33" i="82"/>
  <c r="A30" i="75"/>
  <c r="A31" i="75" s="1"/>
  <c r="A32" i="75" s="1"/>
  <c r="A33" i="75" s="1"/>
  <c r="A34" i="75" s="1"/>
  <c r="A35" i="75" s="1"/>
  <c r="A36" i="75" s="1"/>
  <c r="A37" i="75" s="1"/>
  <c r="A38" i="75" s="1"/>
  <c r="A39" i="75" s="1"/>
  <c r="A28" i="75"/>
  <c r="D28" i="75" s="1"/>
  <c r="A16" i="75"/>
  <c r="A92" i="75" s="1"/>
  <c r="A14" i="75"/>
  <c r="D14" i="75" s="1"/>
  <c r="A72" i="75"/>
  <c r="A73" i="75" s="1"/>
  <c r="A74" i="75" s="1"/>
  <c r="A75" i="75" s="1"/>
  <c r="A76" i="75" s="1"/>
  <c r="A77" i="75" s="1"/>
  <c r="A78" i="75" s="1"/>
  <c r="A79" i="75" s="1"/>
  <c r="A80" i="75" s="1"/>
  <c r="A81" i="75" s="1"/>
  <c r="A70" i="75"/>
  <c r="D70" i="75" s="1"/>
  <c r="A58" i="75"/>
  <c r="A59" i="75" s="1"/>
  <c r="A60" i="75" s="1"/>
  <c r="A61" i="75" s="1"/>
  <c r="A62" i="75" s="1"/>
  <c r="A63" i="75" s="1"/>
  <c r="A64" i="75" s="1"/>
  <c r="A65" i="75" s="1"/>
  <c r="A66" i="75" s="1"/>
  <c r="A67" i="75" s="1"/>
  <c r="A56" i="75"/>
  <c r="D56" i="75" s="1"/>
  <c r="A44" i="75"/>
  <c r="A45" i="75" s="1"/>
  <c r="A46" i="75" s="1"/>
  <c r="A47" i="75" s="1"/>
  <c r="A48" i="75" s="1"/>
  <c r="A49" i="75" s="1"/>
  <c r="A50" i="75" s="1"/>
  <c r="A51" i="75" s="1"/>
  <c r="A52" i="75" s="1"/>
  <c r="A53" i="75" s="1"/>
  <c r="A42" i="75"/>
  <c r="D42" i="75" s="1"/>
  <c r="H5" i="85"/>
  <c r="H11" i="75" a="1"/>
  <c r="H11" i="75" s="1"/>
  <c r="G90" i="73" a="1"/>
  <c r="G90" i="73" s="1"/>
  <c r="AF15" i="75"/>
  <c r="AG15" i="75"/>
  <c r="AE15" i="75"/>
  <c r="AD15" i="75"/>
  <c r="AC15" i="75"/>
  <c r="AB17" i="72"/>
  <c r="AA17" i="72"/>
  <c r="Z17" i="72"/>
  <c r="Y17" i="72"/>
  <c r="X17" i="72"/>
  <c r="W17" i="72"/>
  <c r="V17" i="72"/>
  <c r="U17" i="72"/>
  <c r="T17" i="72"/>
  <c r="S17" i="72"/>
  <c r="R17" i="72"/>
  <c r="Q17" i="72"/>
  <c r="P17" i="72"/>
  <c r="O17" i="72"/>
  <c r="N17" i="72"/>
  <c r="M17" i="72"/>
  <c r="L17" i="72"/>
  <c r="K17" i="72"/>
  <c r="J17" i="72"/>
  <c r="I17" i="72"/>
  <c r="W39" i="88" l="1"/>
  <c r="Z28" i="81"/>
  <c r="Z36" i="81" s="1"/>
  <c r="X109" i="88"/>
  <c r="AB28" i="82" s="1"/>
  <c r="AA28" i="82"/>
  <c r="W82" i="88"/>
  <c r="Z28" i="73"/>
  <c r="X38" i="88"/>
  <c r="AB33" i="81" s="1"/>
  <c r="AA33" i="81"/>
  <c r="X59" i="88"/>
  <c r="AB33" i="72" s="1"/>
  <c r="W108" i="88"/>
  <c r="Z33" i="82"/>
  <c r="A17" i="75"/>
  <c r="A18" i="75" s="1"/>
  <c r="A19" i="75" s="1"/>
  <c r="A20" i="75" s="1"/>
  <c r="A21" i="75" s="1"/>
  <c r="A22" i="75" s="1"/>
  <c r="A23" i="75" s="1"/>
  <c r="C54" i="43"/>
  <c r="G63" i="43"/>
  <c r="G62" i="43"/>
  <c r="G61" i="43"/>
  <c r="G60" i="43"/>
  <c r="G59" i="43"/>
  <c r="G58" i="43"/>
  <c r="G57" i="43"/>
  <c r="G56" i="43"/>
  <c r="G55" i="43"/>
  <c r="C56" i="43"/>
  <c r="C57" i="43"/>
  <c r="C58" i="43"/>
  <c r="C59" i="43"/>
  <c r="C60" i="43"/>
  <c r="C61" i="43"/>
  <c r="C62" i="43"/>
  <c r="C63" i="43"/>
  <c r="C55" i="43"/>
  <c r="X39" i="88" l="1"/>
  <c r="AB28" i="81" s="1"/>
  <c r="AB36" i="81" s="1"/>
  <c r="AA28" i="81"/>
  <c r="AA36" i="81" s="1"/>
  <c r="X82" i="88"/>
  <c r="AB28" i="73" s="1"/>
  <c r="AA28" i="73"/>
  <c r="X108" i="88"/>
  <c r="AB33" i="82" s="1"/>
  <c r="AA33" i="82"/>
  <c r="A24" i="75"/>
  <c r="A25" i="75" s="1"/>
  <c r="A99" i="75"/>
  <c r="H99" i="75" s="1"/>
  <c r="D91" i="75"/>
  <c r="N7" i="68" l="1"/>
  <c r="O7" i="68" s="1"/>
  <c r="P7" i="68" s="1"/>
  <c r="Q7" i="68" s="1"/>
  <c r="R7" i="68" s="1"/>
  <c r="S7" i="68" s="1"/>
  <c r="T7" i="68" s="1"/>
  <c r="U7" i="68" s="1"/>
  <c r="V7" i="68" s="1"/>
  <c r="W7" i="68" s="1"/>
  <c r="X7" i="68" s="1"/>
  <c r="Y7" i="68" s="1"/>
  <c r="Z7" i="68" s="1"/>
  <c r="AA7" i="68" s="1"/>
  <c r="AB7" i="68" s="1"/>
  <c r="AC7" i="68" s="1"/>
  <c r="M7" i="68"/>
  <c r="L7" i="68"/>
  <c r="K7" i="68"/>
  <c r="J7" i="68"/>
  <c r="I7" i="68"/>
  <c r="AC7" i="81" l="1"/>
  <c r="AC42" i="81" s="1"/>
  <c r="AC7" i="73"/>
  <c r="AC42" i="73" s="1"/>
  <c r="AD7" i="68"/>
  <c r="AC7" i="82"/>
  <c r="AC7" i="72"/>
  <c r="AC42" i="72" s="1"/>
  <c r="AC42" i="82" l="1"/>
  <c r="AD7" i="81"/>
  <c r="AD42" i="81" s="1"/>
  <c r="AD7" i="73"/>
  <c r="AD42" i="73" s="1"/>
  <c r="AE7" i="68"/>
  <c r="AD7" i="82"/>
  <c r="AD7" i="72"/>
  <c r="AD42" i="72" s="1"/>
  <c r="AE7" i="81" l="1"/>
  <c r="AE42" i="81" s="1"/>
  <c r="AF7" i="68"/>
  <c r="AE7" i="82"/>
  <c r="AE7" i="73"/>
  <c r="AE7" i="72"/>
  <c r="AE42" i="72" s="1"/>
  <c r="AD42" i="82"/>
  <c r="G44" i="75"/>
  <c r="C44" i="75"/>
  <c r="G58" i="75"/>
  <c r="C58" i="75"/>
  <c r="G72" i="75"/>
  <c r="C72" i="75"/>
  <c r="AE42" i="73" l="1"/>
  <c r="AE42" i="82"/>
  <c r="AF7" i="81"/>
  <c r="AF42" i="81" s="1"/>
  <c r="AG7" i="68"/>
  <c r="AF7" i="73"/>
  <c r="AF42" i="73" s="1"/>
  <c r="AF7" i="82"/>
  <c r="AF7" i="72"/>
  <c r="AF42" i="72" s="1"/>
  <c r="G30" i="75"/>
  <c r="C30" i="75"/>
  <c r="C16" i="75"/>
  <c r="G16" i="75"/>
  <c r="AG7" i="81" l="1"/>
  <c r="AG42" i="81" s="1"/>
  <c r="AG7" i="73"/>
  <c r="AG7" i="82"/>
  <c r="AG7" i="72"/>
  <c r="AG42" i="72" s="1"/>
  <c r="AF42" i="82"/>
  <c r="D17" i="75"/>
  <c r="H92" i="75"/>
  <c r="D16" i="75"/>
  <c r="AG42" i="73" l="1"/>
  <c r="AG42" i="82"/>
  <c r="AB84" i="68" l="1"/>
  <c r="AA84" i="68"/>
  <c r="Z84" i="68"/>
  <c r="Y84" i="68"/>
  <c r="X84" i="68"/>
  <c r="W84" i="68"/>
  <c r="V84" i="68"/>
  <c r="U84" i="68"/>
  <c r="T84" i="68"/>
  <c r="S84" i="68"/>
  <c r="R84" i="68"/>
  <c r="Q84" i="68"/>
  <c r="P84" i="68"/>
  <c r="O84" i="68"/>
  <c r="N84" i="68"/>
  <c r="M84" i="68"/>
  <c r="L84" i="68"/>
  <c r="K84" i="68"/>
  <c r="J84" i="68"/>
  <c r="I84" i="68"/>
  <c r="AB83" i="68"/>
  <c r="AA83" i="68"/>
  <c r="Z83" i="68"/>
  <c r="Y83" i="68"/>
  <c r="X83" i="68"/>
  <c r="W83" i="68"/>
  <c r="V83" i="68"/>
  <c r="U83" i="68"/>
  <c r="T83" i="68"/>
  <c r="S83" i="68"/>
  <c r="R83" i="68"/>
  <c r="Q83" i="68"/>
  <c r="P83" i="68"/>
  <c r="O83" i="68"/>
  <c r="N83" i="68"/>
  <c r="M83" i="68"/>
  <c r="L83" i="68"/>
  <c r="K83" i="68"/>
  <c r="J83" i="68"/>
  <c r="I83" i="68"/>
  <c r="AB83" i="81"/>
  <c r="AA83" i="81"/>
  <c r="Z83" i="81"/>
  <c r="Y83" i="81"/>
  <c r="X83" i="81"/>
  <c r="W83" i="81"/>
  <c r="V83" i="81"/>
  <c r="U83" i="81"/>
  <c r="T83" i="81"/>
  <c r="S83" i="81"/>
  <c r="R83" i="81"/>
  <c r="Q83" i="81"/>
  <c r="P83" i="81"/>
  <c r="O83" i="81"/>
  <c r="N83" i="81"/>
  <c r="M83" i="81"/>
  <c r="L83" i="81"/>
  <c r="K83" i="81"/>
  <c r="J83" i="81"/>
  <c r="I83" i="81"/>
  <c r="AB83" i="82"/>
  <c r="AA83" i="82"/>
  <c r="Z83" i="82"/>
  <c r="Y83" i="82"/>
  <c r="X83" i="82"/>
  <c r="W83" i="82"/>
  <c r="V83" i="82"/>
  <c r="U83" i="82"/>
  <c r="T83" i="82"/>
  <c r="S83" i="82"/>
  <c r="R83" i="82"/>
  <c r="Q83" i="82"/>
  <c r="P83" i="82"/>
  <c r="O83" i="82"/>
  <c r="N83" i="82"/>
  <c r="M83" i="82"/>
  <c r="L83" i="82"/>
  <c r="K83" i="82"/>
  <c r="J83" i="82"/>
  <c r="I83" i="82"/>
  <c r="J83" i="73"/>
  <c r="K83" i="73"/>
  <c r="L83" i="73"/>
  <c r="M83" i="73"/>
  <c r="N83" i="73"/>
  <c r="O83" i="73"/>
  <c r="P83" i="73"/>
  <c r="Q83" i="73"/>
  <c r="R83" i="73"/>
  <c r="S83" i="73"/>
  <c r="T83" i="73"/>
  <c r="U83" i="73"/>
  <c r="V83" i="73"/>
  <c r="W83" i="73"/>
  <c r="X83" i="73"/>
  <c r="Y83" i="73"/>
  <c r="Z83" i="73"/>
  <c r="AA83" i="73"/>
  <c r="AB83" i="73"/>
  <c r="I83" i="73"/>
  <c r="J83" i="72"/>
  <c r="K83" i="72"/>
  <c r="L83" i="72"/>
  <c r="M83" i="72"/>
  <c r="N83" i="72"/>
  <c r="O83" i="72"/>
  <c r="P83" i="72"/>
  <c r="Q83" i="72"/>
  <c r="R83" i="72"/>
  <c r="S83" i="72"/>
  <c r="T83" i="72"/>
  <c r="U83" i="72"/>
  <c r="V83" i="72"/>
  <c r="W83" i="72"/>
  <c r="X83" i="72"/>
  <c r="Y83" i="72"/>
  <c r="Z83" i="72"/>
  <c r="AA83" i="72"/>
  <c r="AB83" i="72"/>
  <c r="I83" i="72"/>
  <c r="C78" i="75"/>
  <c r="C77" i="75"/>
  <c r="C76" i="75"/>
  <c r="C75" i="75"/>
  <c r="C74" i="75"/>
  <c r="C71" i="75"/>
  <c r="C64" i="75"/>
  <c r="C57" i="75"/>
  <c r="C63" i="75"/>
  <c r="C62" i="75"/>
  <c r="C61" i="75"/>
  <c r="C60" i="75"/>
  <c r="K67" i="82"/>
  <c r="M67" i="81"/>
  <c r="L67" i="81"/>
  <c r="I67" i="81"/>
  <c r="J67" i="81"/>
  <c r="K67" i="81"/>
  <c r="N67" i="81"/>
  <c r="O67" i="81"/>
  <c r="P67" i="81"/>
  <c r="Q67" i="81"/>
  <c r="R67" i="81"/>
  <c r="S67" i="81"/>
  <c r="T67" i="81"/>
  <c r="U67" i="81"/>
  <c r="V67" i="81"/>
  <c r="W67" i="81"/>
  <c r="X67" i="81"/>
  <c r="Y67" i="81"/>
  <c r="Z67" i="81"/>
  <c r="AA67" i="81"/>
  <c r="AB67" i="81"/>
  <c r="J68" i="81"/>
  <c r="K68" i="81"/>
  <c r="L68" i="81"/>
  <c r="M68" i="81"/>
  <c r="N68" i="81"/>
  <c r="O68" i="81"/>
  <c r="P68" i="81"/>
  <c r="Q68" i="81"/>
  <c r="R68" i="81"/>
  <c r="S68" i="81"/>
  <c r="T68" i="81"/>
  <c r="U68" i="81"/>
  <c r="V68" i="81"/>
  <c r="W68" i="81"/>
  <c r="X68" i="81"/>
  <c r="Y68" i="81"/>
  <c r="Z68" i="81"/>
  <c r="AA68" i="81"/>
  <c r="AB68" i="81"/>
  <c r="J69" i="81"/>
  <c r="K69" i="81"/>
  <c r="L69" i="81"/>
  <c r="M69" i="81"/>
  <c r="N69" i="81"/>
  <c r="O69" i="81"/>
  <c r="P69" i="81"/>
  <c r="Q69" i="81"/>
  <c r="R69" i="81"/>
  <c r="S69" i="81"/>
  <c r="T69" i="81"/>
  <c r="U69" i="81"/>
  <c r="V69" i="81"/>
  <c r="W69" i="81"/>
  <c r="X69" i="81"/>
  <c r="Y69" i="81"/>
  <c r="Z69" i="81"/>
  <c r="AA69" i="81"/>
  <c r="AB69" i="81"/>
  <c r="J67" i="72"/>
  <c r="K67" i="72"/>
  <c r="L67" i="72"/>
  <c r="M67" i="72"/>
  <c r="N67" i="72"/>
  <c r="O67" i="72"/>
  <c r="P67" i="72"/>
  <c r="Q67" i="72"/>
  <c r="R67" i="72"/>
  <c r="S67" i="72"/>
  <c r="T67" i="72"/>
  <c r="U67" i="72"/>
  <c r="V67" i="72"/>
  <c r="W67" i="72"/>
  <c r="X67" i="72"/>
  <c r="Y67" i="72"/>
  <c r="Z67" i="72"/>
  <c r="AA67" i="72"/>
  <c r="AB67" i="72"/>
  <c r="J68" i="72"/>
  <c r="K68" i="72"/>
  <c r="L68" i="72"/>
  <c r="M68" i="72"/>
  <c r="N68" i="72"/>
  <c r="O68" i="72"/>
  <c r="P68" i="72"/>
  <c r="Q68" i="72"/>
  <c r="R68" i="72"/>
  <c r="S68" i="72"/>
  <c r="T68" i="72"/>
  <c r="U68" i="72"/>
  <c r="V68" i="72"/>
  <c r="W68" i="72"/>
  <c r="X68" i="72"/>
  <c r="Y68" i="72"/>
  <c r="Z68" i="72"/>
  <c r="AA68" i="72"/>
  <c r="AB68" i="72"/>
  <c r="J69" i="72"/>
  <c r="K69" i="72"/>
  <c r="L69" i="72"/>
  <c r="M69" i="72"/>
  <c r="N69" i="72"/>
  <c r="O69" i="72"/>
  <c r="P69" i="72"/>
  <c r="Q69" i="72"/>
  <c r="R69" i="72"/>
  <c r="S69" i="72"/>
  <c r="T69" i="72"/>
  <c r="U69" i="72"/>
  <c r="V69" i="72"/>
  <c r="W69" i="72"/>
  <c r="X69" i="72"/>
  <c r="Y69" i="72"/>
  <c r="Z69" i="72"/>
  <c r="AA69" i="72"/>
  <c r="AB69" i="72"/>
  <c r="J67" i="73"/>
  <c r="K67" i="73"/>
  <c r="L67" i="73"/>
  <c r="M67" i="73"/>
  <c r="N67" i="73"/>
  <c r="O67" i="73"/>
  <c r="P67" i="73"/>
  <c r="Q67" i="73"/>
  <c r="R67" i="73"/>
  <c r="S67" i="73"/>
  <c r="T67" i="73"/>
  <c r="U67" i="73"/>
  <c r="V67" i="73"/>
  <c r="W67" i="73"/>
  <c r="X67" i="73"/>
  <c r="Y67" i="73"/>
  <c r="Z67" i="73"/>
  <c r="AA67" i="73"/>
  <c r="AB67" i="73"/>
  <c r="J68" i="73"/>
  <c r="K68" i="73"/>
  <c r="L68" i="73"/>
  <c r="M68" i="73"/>
  <c r="N68" i="73"/>
  <c r="O68" i="73"/>
  <c r="P68" i="73"/>
  <c r="Q68" i="73"/>
  <c r="R68" i="73"/>
  <c r="S68" i="73"/>
  <c r="T68" i="73"/>
  <c r="U68" i="73"/>
  <c r="V68" i="73"/>
  <c r="W68" i="73"/>
  <c r="X68" i="73"/>
  <c r="Y68" i="73"/>
  <c r="Z68" i="73"/>
  <c r="AA68" i="73"/>
  <c r="AB68" i="73"/>
  <c r="J69" i="73"/>
  <c r="K69" i="73"/>
  <c r="L69" i="73"/>
  <c r="M69" i="73"/>
  <c r="N69" i="73"/>
  <c r="O69" i="73"/>
  <c r="P69" i="73"/>
  <c r="Q69" i="73"/>
  <c r="R69" i="73"/>
  <c r="S69" i="73"/>
  <c r="T69" i="73"/>
  <c r="U69" i="73"/>
  <c r="V69" i="73"/>
  <c r="W69" i="73"/>
  <c r="X69" i="73"/>
  <c r="Y69" i="73"/>
  <c r="Z69" i="73"/>
  <c r="AA69" i="73"/>
  <c r="AB69" i="73"/>
  <c r="J67" i="82"/>
  <c r="L67" i="82"/>
  <c r="M67" i="82"/>
  <c r="N67" i="82"/>
  <c r="O67" i="82"/>
  <c r="P67" i="82"/>
  <c r="Q67" i="82"/>
  <c r="R67" i="82"/>
  <c r="S67" i="82"/>
  <c r="T67" i="82"/>
  <c r="U67" i="82"/>
  <c r="V67" i="82"/>
  <c r="W67" i="82"/>
  <c r="X67" i="82"/>
  <c r="Y67" i="82"/>
  <c r="Z67" i="82"/>
  <c r="AA67" i="82"/>
  <c r="AB67" i="82"/>
  <c r="J68" i="82"/>
  <c r="K68" i="82"/>
  <c r="L68" i="82"/>
  <c r="M68" i="82"/>
  <c r="N68" i="82"/>
  <c r="O68" i="82"/>
  <c r="P68" i="82"/>
  <c r="Q68" i="82"/>
  <c r="R68" i="82"/>
  <c r="S68" i="82"/>
  <c r="T68" i="82"/>
  <c r="U68" i="82"/>
  <c r="V68" i="82"/>
  <c r="W68" i="82"/>
  <c r="X68" i="82"/>
  <c r="Y68" i="82"/>
  <c r="Z68" i="82"/>
  <c r="AA68" i="82"/>
  <c r="AB68" i="82"/>
  <c r="J69" i="82"/>
  <c r="K69" i="82"/>
  <c r="L69" i="82"/>
  <c r="M69" i="82"/>
  <c r="N69" i="82"/>
  <c r="O69" i="82"/>
  <c r="P69" i="82"/>
  <c r="Q69" i="82"/>
  <c r="R69" i="82"/>
  <c r="S69" i="82"/>
  <c r="T69" i="82"/>
  <c r="U69" i="82"/>
  <c r="V69" i="82"/>
  <c r="W69" i="82"/>
  <c r="X69" i="82"/>
  <c r="Y69" i="82"/>
  <c r="Z69" i="82"/>
  <c r="AA69" i="82"/>
  <c r="AB69" i="82"/>
  <c r="J67" i="68"/>
  <c r="K67" i="68"/>
  <c r="L67" i="68"/>
  <c r="M67" i="68"/>
  <c r="N67" i="68"/>
  <c r="O67" i="68"/>
  <c r="P67" i="68"/>
  <c r="Q67" i="68"/>
  <c r="R67" i="68"/>
  <c r="S67" i="68"/>
  <c r="T67" i="68"/>
  <c r="U67" i="68"/>
  <c r="V67" i="68"/>
  <c r="W67" i="68"/>
  <c r="X67" i="68"/>
  <c r="Y67" i="68"/>
  <c r="Z67" i="68"/>
  <c r="AA67" i="68"/>
  <c r="AB67" i="68"/>
  <c r="J68" i="68"/>
  <c r="K68" i="68"/>
  <c r="L68" i="68"/>
  <c r="M68" i="68"/>
  <c r="N68" i="68"/>
  <c r="O68" i="68"/>
  <c r="P68" i="68"/>
  <c r="Q68" i="68"/>
  <c r="R68" i="68"/>
  <c r="S68" i="68"/>
  <c r="T68" i="68"/>
  <c r="U68" i="68"/>
  <c r="V68" i="68"/>
  <c r="W68" i="68"/>
  <c r="X68" i="68"/>
  <c r="Y68" i="68"/>
  <c r="Z68" i="68"/>
  <c r="AA68" i="68"/>
  <c r="AB68" i="68"/>
  <c r="J69" i="68"/>
  <c r="K69" i="68"/>
  <c r="L69" i="68"/>
  <c r="M69" i="68"/>
  <c r="N69" i="68"/>
  <c r="O69" i="68"/>
  <c r="P69" i="68"/>
  <c r="Q69" i="68"/>
  <c r="R69" i="68"/>
  <c r="S69" i="68"/>
  <c r="T69" i="68"/>
  <c r="U69" i="68"/>
  <c r="V69" i="68"/>
  <c r="W69" i="68"/>
  <c r="X69" i="68"/>
  <c r="Y69" i="68"/>
  <c r="Z69" i="68"/>
  <c r="AA69" i="68"/>
  <c r="AB69" i="68"/>
  <c r="I69" i="81"/>
  <c r="I68" i="81"/>
  <c r="I69" i="72"/>
  <c r="I68" i="72"/>
  <c r="I67" i="72"/>
  <c r="I69" i="73"/>
  <c r="I68" i="73"/>
  <c r="I67" i="73"/>
  <c r="I69" i="82"/>
  <c r="I68" i="82"/>
  <c r="I67" i="82"/>
  <c r="I69" i="68"/>
  <c r="I68" i="68"/>
  <c r="I67" i="68"/>
  <c r="C79" i="81"/>
  <c r="C78" i="81"/>
  <c r="C77" i="81"/>
  <c r="C74" i="81"/>
  <c r="C73" i="81"/>
  <c r="C72" i="81"/>
  <c r="C69" i="81"/>
  <c r="C68" i="81"/>
  <c r="C67" i="81"/>
  <c r="C79" i="72"/>
  <c r="C78" i="72"/>
  <c r="C77" i="72"/>
  <c r="C74" i="72"/>
  <c r="C73" i="72"/>
  <c r="C72" i="72"/>
  <c r="C69" i="72"/>
  <c r="C68" i="72"/>
  <c r="C67" i="72"/>
  <c r="C79" i="73"/>
  <c r="C78" i="73"/>
  <c r="C77" i="73"/>
  <c r="C74" i="73"/>
  <c r="C73" i="73"/>
  <c r="C72" i="73"/>
  <c r="C69" i="73"/>
  <c r="C68" i="73"/>
  <c r="C67" i="73"/>
  <c r="C79" i="82"/>
  <c r="C78" i="82"/>
  <c r="C77" i="82"/>
  <c r="C74" i="82"/>
  <c r="C73" i="82"/>
  <c r="C72" i="82"/>
  <c r="C69" i="82"/>
  <c r="C68" i="82"/>
  <c r="C67" i="82"/>
  <c r="C79" i="68"/>
  <c r="C78" i="68"/>
  <c r="C77" i="68"/>
  <c r="C74" i="68"/>
  <c r="C73" i="68"/>
  <c r="C72" i="68"/>
  <c r="C69" i="68"/>
  <c r="C68" i="68"/>
  <c r="C67" i="68"/>
  <c r="I72" i="68" l="1" a="1"/>
  <c r="I72" i="68" s="1"/>
  <c r="J77" i="68" s="1"/>
  <c r="I73" i="68" a="1"/>
  <c r="I73" i="68" s="1"/>
  <c r="I80" i="68" s="1"/>
  <c r="I82" i="68" s="1"/>
  <c r="I107" i="68" s="1"/>
  <c r="I74" i="68" a="1"/>
  <c r="I74" i="68" s="1"/>
  <c r="W15" i="75"/>
  <c r="O15" i="75"/>
  <c r="Y15" i="75"/>
  <c r="Q15" i="75"/>
  <c r="X15" i="75"/>
  <c r="P15" i="75"/>
  <c r="V15" i="75"/>
  <c r="N15" i="75"/>
  <c r="U15" i="75"/>
  <c r="M15" i="75"/>
  <c r="AB15" i="75"/>
  <c r="T15" i="75"/>
  <c r="L15" i="75"/>
  <c r="S15" i="75"/>
  <c r="AA15" i="75"/>
  <c r="K15" i="75"/>
  <c r="Z15" i="75"/>
  <c r="R15" i="75"/>
  <c r="J15" i="75"/>
  <c r="C50" i="75"/>
  <c r="C49" i="75"/>
  <c r="C48" i="75"/>
  <c r="C47" i="75"/>
  <c r="C46" i="75"/>
  <c r="C43" i="75"/>
  <c r="G50" i="75"/>
  <c r="G49" i="75"/>
  <c r="G48" i="75"/>
  <c r="G47" i="75"/>
  <c r="G46" i="75"/>
  <c r="G43" i="75"/>
  <c r="D41" i="75"/>
  <c r="C64" i="82"/>
  <c r="A7" i="82"/>
  <c r="I6" i="82"/>
  <c r="A6" i="82"/>
  <c r="D82" i="75"/>
  <c r="C36" i="75"/>
  <c r="C22" i="75"/>
  <c r="I72" i="82" l="1" a="1"/>
  <c r="I72" i="82" s="1"/>
  <c r="J77" i="82" s="1"/>
  <c r="I74" i="82" a="1"/>
  <c r="I74" i="82" s="1"/>
  <c r="I73" i="82" a="1"/>
  <c r="I73" i="82" s="1"/>
  <c r="J78" i="82" s="1"/>
  <c r="C13" i="47"/>
  <c r="D43" i="75"/>
  <c r="C64" i="72"/>
  <c r="F13" i="47" l="1"/>
  <c r="D35" i="62"/>
  <c r="D13" i="47"/>
  <c r="A4" i="82" s="1"/>
  <c r="I80" i="82"/>
  <c r="I82" i="82" s="1"/>
  <c r="I107" i="82" s="1"/>
  <c r="D44" i="75"/>
  <c r="C34" i="75" l="1"/>
  <c r="G29" i="33"/>
  <c r="H29" i="33"/>
  <c r="I29" i="33"/>
  <c r="J29" i="33"/>
  <c r="F29" i="33"/>
  <c r="A7" i="81"/>
  <c r="I6" i="81"/>
  <c r="A6" i="81"/>
  <c r="I72" i="81" l="1" a="1"/>
  <c r="I72" i="81" s="1"/>
  <c r="J77" i="81" s="1"/>
  <c r="I73" i="81" a="1"/>
  <c r="I73" i="81" s="1"/>
  <c r="J78" i="81" s="1"/>
  <c r="I74" i="81" a="1"/>
  <c r="I74" i="81" s="1"/>
  <c r="D72" i="75"/>
  <c r="D58" i="75"/>
  <c r="D46" i="75"/>
  <c r="D30" i="75"/>
  <c r="C10" i="47"/>
  <c r="F10" i="47" s="1"/>
  <c r="D32" i="62" l="1"/>
  <c r="D10" i="47"/>
  <c r="A4" i="81" s="1"/>
  <c r="I80" i="81"/>
  <c r="D65" i="75"/>
  <c r="D79" i="75"/>
  <c r="D37" i="75"/>
  <c r="D47" i="75"/>
  <c r="I82" i="81" l="1"/>
  <c r="I107" i="81" s="1"/>
  <c r="D81" i="75"/>
  <c r="D80" i="75"/>
  <c r="D39" i="75"/>
  <c r="D38" i="75"/>
  <c r="D67" i="75"/>
  <c r="D66" i="75"/>
  <c r="D25" i="75"/>
  <c r="D24" i="75"/>
  <c r="D48" i="75"/>
  <c r="D31" i="75"/>
  <c r="A7" i="73"/>
  <c r="I6" i="73"/>
  <c r="A6" i="73"/>
  <c r="A7" i="72"/>
  <c r="I6" i="72"/>
  <c r="A6" i="72"/>
  <c r="I74" i="73" l="1" a="1"/>
  <c r="I74" i="73" s="1"/>
  <c r="I72" i="73" a="1"/>
  <c r="I72" i="73" s="1"/>
  <c r="J77" i="73" s="1"/>
  <c r="I73" i="73" a="1"/>
  <c r="I73" i="73" s="1"/>
  <c r="I72" i="72" a="1"/>
  <c r="I72" i="72" s="1"/>
  <c r="J77" i="72" s="1"/>
  <c r="I74" i="72" a="1"/>
  <c r="I74" i="72" s="1"/>
  <c r="I73" i="72" a="1"/>
  <c r="I73" i="72" s="1"/>
  <c r="J78" i="72" s="1"/>
  <c r="D49" i="75"/>
  <c r="I80" i="73" l="1"/>
  <c r="D51" i="75"/>
  <c r="D50" i="75"/>
  <c r="I82" i="73" l="1"/>
  <c r="I107" i="73" s="1"/>
  <c r="D53" i="75"/>
  <c r="D52" i="75"/>
  <c r="D76" i="75" l="1"/>
  <c r="D62" i="75"/>
  <c r="D34" i="75"/>
  <c r="D26" i="75"/>
  <c r="D27" i="75"/>
  <c r="D59" i="75"/>
  <c r="D69" i="75"/>
  <c r="D73" i="75"/>
  <c r="D23" i="75"/>
  <c r="G78" i="75"/>
  <c r="G77" i="75"/>
  <c r="G76" i="75"/>
  <c r="G75" i="75"/>
  <c r="G74" i="75"/>
  <c r="G71" i="75"/>
  <c r="G64" i="75"/>
  <c r="G63" i="75"/>
  <c r="G62" i="75"/>
  <c r="G61" i="75"/>
  <c r="G60" i="75"/>
  <c r="G57" i="75"/>
  <c r="G36" i="75"/>
  <c r="G35" i="75"/>
  <c r="G34" i="75"/>
  <c r="G33" i="75"/>
  <c r="G32" i="75"/>
  <c r="G29" i="75"/>
  <c r="C20" i="75"/>
  <c r="D20" i="75" s="1"/>
  <c r="G22" i="75"/>
  <c r="G21" i="75"/>
  <c r="G20" i="75"/>
  <c r="G19" i="75"/>
  <c r="G18" i="75"/>
  <c r="G15" i="75"/>
  <c r="J98" i="75" l="1"/>
  <c r="K98" i="75"/>
  <c r="L98" i="75"/>
  <c r="M98" i="75"/>
  <c r="N98" i="75"/>
  <c r="O98" i="75"/>
  <c r="P98" i="75"/>
  <c r="Q98" i="75"/>
  <c r="R98" i="75"/>
  <c r="S98" i="75"/>
  <c r="T98" i="75"/>
  <c r="U98" i="75"/>
  <c r="V98" i="75"/>
  <c r="W98" i="75"/>
  <c r="X98" i="75"/>
  <c r="Y98" i="75"/>
  <c r="Z98" i="75"/>
  <c r="AA98" i="75"/>
  <c r="AB98" i="75"/>
  <c r="C11" i="47" l="1"/>
  <c r="C12" i="47"/>
  <c r="I98" i="75"/>
  <c r="D98" i="75" l="1"/>
  <c r="F12" i="47"/>
  <c r="F11" i="47"/>
  <c r="D33" i="62"/>
  <c r="D34" i="62"/>
  <c r="D12" i="47"/>
  <c r="A4" i="73" s="1"/>
  <c r="G92" i="73" s="1"/>
  <c r="D11" i="47"/>
  <c r="A4" i="72" s="1"/>
  <c r="J7" i="82"/>
  <c r="J42" i="82" s="1"/>
  <c r="K7" i="82"/>
  <c r="K42" i="82" s="1"/>
  <c r="L7" i="82"/>
  <c r="L42" i="82" s="1"/>
  <c r="M7" i="82"/>
  <c r="M42" i="82" s="1"/>
  <c r="N7" i="82"/>
  <c r="N42" i="82" s="1"/>
  <c r="I7" i="82"/>
  <c r="I42" i="82" s="1"/>
  <c r="C88" i="85" l="1" a="1"/>
  <c r="C34" i="62"/>
  <c r="L7" i="81"/>
  <c r="L42" i="81" s="1"/>
  <c r="N7" i="81"/>
  <c r="N42" i="81" s="1"/>
  <c r="M7" i="81"/>
  <c r="M42" i="81" s="1"/>
  <c r="K7" i="81"/>
  <c r="K42" i="81" s="1"/>
  <c r="I7" i="81"/>
  <c r="I42" i="81" s="1"/>
  <c r="J7" i="81"/>
  <c r="J42" i="81" s="1"/>
  <c r="N7" i="73"/>
  <c r="N42" i="73" s="1"/>
  <c r="N7" i="72"/>
  <c r="N42" i="72" s="1"/>
  <c r="M7" i="72"/>
  <c r="M42" i="72" s="1"/>
  <c r="M7" i="73"/>
  <c r="M42" i="73" s="1"/>
  <c r="K7" i="73"/>
  <c r="K42" i="73" s="1"/>
  <c r="K7" i="72"/>
  <c r="K42" i="72" s="1"/>
  <c r="L7" i="73"/>
  <c r="L42" i="73" s="1"/>
  <c r="L7" i="72"/>
  <c r="L42" i="72" s="1"/>
  <c r="I7" i="73"/>
  <c r="I42" i="73" s="1"/>
  <c r="I7" i="72"/>
  <c r="I42" i="72" s="1"/>
  <c r="J7" i="73"/>
  <c r="J42" i="73" s="1"/>
  <c r="J7" i="72"/>
  <c r="J42" i="72" s="1"/>
  <c r="O7" i="82"/>
  <c r="O42" i="82" s="1"/>
  <c r="J17" i="68"/>
  <c r="K17" i="68"/>
  <c r="L17" i="68"/>
  <c r="M17" i="68"/>
  <c r="N17" i="68"/>
  <c r="O17" i="68"/>
  <c r="P17" i="68"/>
  <c r="Q17" i="68"/>
  <c r="R17" i="68"/>
  <c r="S17" i="68"/>
  <c r="T17" i="68"/>
  <c r="U17" i="68"/>
  <c r="V17" i="68"/>
  <c r="W17" i="68"/>
  <c r="X17" i="68"/>
  <c r="Y17" i="68"/>
  <c r="Z17" i="68"/>
  <c r="AA17" i="68"/>
  <c r="AB17" i="68"/>
  <c r="I17" i="68"/>
  <c r="J6" i="68"/>
  <c r="J6" i="75" s="1"/>
  <c r="J6" i="85" s="1"/>
  <c r="D97" i="85" l="1"/>
  <c r="F97" i="85"/>
  <c r="I46" i="33" s="1"/>
  <c r="F96" i="85"/>
  <c r="D98" i="85"/>
  <c r="F98" i="85"/>
  <c r="I47" i="33" s="1"/>
  <c r="E98" i="85"/>
  <c r="D96" i="85"/>
  <c r="E97" i="85"/>
  <c r="G98" i="85"/>
  <c r="J47" i="33" s="1"/>
  <c r="G96" i="85"/>
  <c r="E96" i="85"/>
  <c r="G97" i="85"/>
  <c r="J46" i="33" s="1"/>
  <c r="C88" i="85"/>
  <c r="J74" i="68" a="1"/>
  <c r="J74" i="68" s="1"/>
  <c r="J72" i="68" a="1"/>
  <c r="J72" i="68" s="1"/>
  <c r="K77" i="68" s="1"/>
  <c r="J73" i="68" a="1"/>
  <c r="J73" i="68" s="1"/>
  <c r="J6" i="82"/>
  <c r="K6" i="68"/>
  <c r="K6" i="75" s="1"/>
  <c r="K6" i="85" s="1"/>
  <c r="J6" i="81"/>
  <c r="J6" i="73"/>
  <c r="J6" i="72"/>
  <c r="O7" i="81"/>
  <c r="O42" i="81" s="1"/>
  <c r="O7" i="73"/>
  <c r="O42" i="73" s="1"/>
  <c r="O7" i="72"/>
  <c r="O42" i="72" s="1"/>
  <c r="P7" i="82"/>
  <c r="P42" i="82" s="1"/>
  <c r="K88" i="85" l="1"/>
  <c r="K97" i="85" s="1"/>
  <c r="L46" i="33" s="1"/>
  <c r="C98" i="85"/>
  <c r="F47" i="33" s="1"/>
  <c r="C97" i="85"/>
  <c r="F46" i="33" s="1"/>
  <c r="C96" i="85"/>
  <c r="F45" i="33" s="1"/>
  <c r="K6" i="82"/>
  <c r="K72" i="68" a="1"/>
  <c r="K72" i="68" s="1"/>
  <c r="L77" i="68" s="1"/>
  <c r="K73" i="68" a="1"/>
  <c r="K73" i="68" s="1"/>
  <c r="K74" i="68" a="1"/>
  <c r="K74" i="68" s="1"/>
  <c r="J72" i="82" a="1"/>
  <c r="J72" i="82" s="1"/>
  <c r="K77" i="82" s="1"/>
  <c r="J74" i="82" a="1"/>
  <c r="J74" i="82" s="1"/>
  <c r="J73" i="82" a="1"/>
  <c r="J73" i="82" s="1"/>
  <c r="K78" i="82" s="1"/>
  <c r="J74" i="73" a="1"/>
  <c r="J74" i="73" s="1"/>
  <c r="J73" i="73" a="1"/>
  <c r="J73" i="73" s="1"/>
  <c r="J72" i="73" a="1"/>
  <c r="J72" i="73" s="1"/>
  <c r="K77" i="73" s="1"/>
  <c r="J73" i="81" a="1"/>
  <c r="J73" i="81" s="1"/>
  <c r="K78" i="81" s="1"/>
  <c r="J72" i="81" a="1"/>
  <c r="J72" i="81" s="1"/>
  <c r="K77" i="81" s="1"/>
  <c r="J74" i="81" a="1"/>
  <c r="J74" i="81" s="1"/>
  <c r="J73" i="72" a="1"/>
  <c r="J73" i="72" s="1"/>
  <c r="K78" i="72" s="1"/>
  <c r="J72" i="72" a="1"/>
  <c r="J72" i="72" s="1"/>
  <c r="K77" i="72" s="1"/>
  <c r="J74" i="72" a="1"/>
  <c r="J74" i="72" s="1"/>
  <c r="J80" i="68"/>
  <c r="J82" i="68" s="1"/>
  <c r="J107" i="68" s="1"/>
  <c r="L6" i="68"/>
  <c r="L6" i="75" s="1"/>
  <c r="L6" i="85" s="1"/>
  <c r="K6" i="81"/>
  <c r="G90" i="81" s="1" a="1"/>
  <c r="G90" i="81" s="1"/>
  <c r="G92" i="81" s="1"/>
  <c r="C32" i="62" s="1"/>
  <c r="K6" i="73"/>
  <c r="K6" i="72"/>
  <c r="G90" i="72" s="1" a="1"/>
  <c r="G90" i="72" s="1"/>
  <c r="G92" i="72" s="1"/>
  <c r="C33" i="62" s="1"/>
  <c r="P7" i="81"/>
  <c r="P42" i="81" s="1"/>
  <c r="P7" i="73"/>
  <c r="P42" i="73" s="1"/>
  <c r="P7" i="72"/>
  <c r="P42" i="72" s="1"/>
  <c r="Q7" i="82"/>
  <c r="Q42" i="82" s="1"/>
  <c r="K72" i="72" l="1" a="1"/>
  <c r="K72" i="72" s="1"/>
  <c r="L77" i="72" s="1"/>
  <c r="K73" i="72" a="1"/>
  <c r="K73" i="72" s="1"/>
  <c r="L78" i="72" s="1"/>
  <c r="K74" i="72" a="1"/>
  <c r="K74" i="72" s="1"/>
  <c r="L72" i="68" a="1"/>
  <c r="L72" i="68" s="1"/>
  <c r="M77" i="68" s="1"/>
  <c r="L73" i="68" a="1"/>
  <c r="L73" i="68" s="1"/>
  <c r="L74" i="68" a="1"/>
  <c r="L74" i="68" s="1"/>
  <c r="K74" i="73" a="1"/>
  <c r="K74" i="73" s="1"/>
  <c r="K72" i="73" a="1"/>
  <c r="K72" i="73" s="1"/>
  <c r="L77" i="73" s="1"/>
  <c r="K73" i="73" a="1"/>
  <c r="K73" i="73" s="1"/>
  <c r="K73" i="81" a="1"/>
  <c r="K73" i="81" s="1"/>
  <c r="L78" i="81" s="1"/>
  <c r="K72" i="81" a="1"/>
  <c r="K72" i="81" s="1"/>
  <c r="L77" i="81" s="1"/>
  <c r="K74" i="81" a="1"/>
  <c r="K74" i="81" s="1"/>
  <c r="K73" i="82" a="1"/>
  <c r="K73" i="82" s="1"/>
  <c r="L78" i="82" s="1"/>
  <c r="K72" i="82" a="1"/>
  <c r="K72" i="82" s="1"/>
  <c r="K74" i="82" a="1"/>
  <c r="K74" i="82" s="1"/>
  <c r="J80" i="81"/>
  <c r="K80" i="68"/>
  <c r="K82" i="68" s="1"/>
  <c r="K107" i="68" s="1"/>
  <c r="J80" i="82"/>
  <c r="J82" i="82" s="1"/>
  <c r="J107" i="82" s="1"/>
  <c r="J80" i="73"/>
  <c r="L6" i="82"/>
  <c r="M6" i="68"/>
  <c r="M6" i="75" s="1"/>
  <c r="M6" i="85" s="1"/>
  <c r="L6" i="81"/>
  <c r="L6" i="72"/>
  <c r="L6" i="73"/>
  <c r="Q7" i="81"/>
  <c r="Q42" i="81" s="1"/>
  <c r="Q7" i="73"/>
  <c r="Q42" i="73" s="1"/>
  <c r="Q7" i="72"/>
  <c r="Q42" i="72" s="1"/>
  <c r="R7" i="82"/>
  <c r="R42" i="82" s="1"/>
  <c r="K80" i="82" l="1"/>
  <c r="K82" i="82" s="1"/>
  <c r="K107" i="82" s="1"/>
  <c r="L77" i="82"/>
  <c r="J82" i="73"/>
  <c r="J107" i="73" s="1"/>
  <c r="J82" i="81"/>
  <c r="J107" i="81" s="1"/>
  <c r="L74" i="82" a="1"/>
  <c r="L74" i="82" s="1"/>
  <c r="L72" i="82" a="1"/>
  <c r="L72" i="82" s="1"/>
  <c r="M77" i="82" s="1"/>
  <c r="L73" i="82" a="1"/>
  <c r="L73" i="82" s="1"/>
  <c r="M78" i="82" s="1"/>
  <c r="M72" i="68" a="1"/>
  <c r="M72" i="68" s="1"/>
  <c r="N77" i="68" s="1"/>
  <c r="M74" i="68" a="1"/>
  <c r="M74" i="68" s="1"/>
  <c r="M73" i="68" a="1"/>
  <c r="M73" i="68" s="1"/>
  <c r="L72" i="73" a="1"/>
  <c r="L72" i="73" s="1"/>
  <c r="M77" i="73" s="1"/>
  <c r="L73" i="73" a="1"/>
  <c r="L73" i="73" s="1"/>
  <c r="L74" i="73" a="1"/>
  <c r="L74" i="73" s="1"/>
  <c r="L72" i="72" a="1"/>
  <c r="L72" i="72" s="1"/>
  <c r="M77" i="72" s="1"/>
  <c r="L73" i="72" a="1"/>
  <c r="L73" i="72" s="1"/>
  <c r="M78" i="72" s="1"/>
  <c r="L74" i="72" a="1"/>
  <c r="L74" i="72" s="1"/>
  <c r="L74" i="81" a="1"/>
  <c r="L74" i="81" s="1"/>
  <c r="L72" i="81" a="1"/>
  <c r="L72" i="81" s="1"/>
  <c r="M77" i="81" s="1"/>
  <c r="L73" i="81" a="1"/>
  <c r="L73" i="81" s="1"/>
  <c r="M78" i="81" s="1"/>
  <c r="K80" i="81"/>
  <c r="L80" i="68"/>
  <c r="L82" i="68" s="1"/>
  <c r="L107" i="68" s="1"/>
  <c r="K80" i="73"/>
  <c r="M6" i="82"/>
  <c r="N6" i="68"/>
  <c r="N6" i="75" s="1"/>
  <c r="N6" i="85" s="1"/>
  <c r="M6" i="81"/>
  <c r="M6" i="72"/>
  <c r="M6" i="73"/>
  <c r="R7" i="81"/>
  <c r="R42" i="81" s="1"/>
  <c r="R7" i="73"/>
  <c r="R42" i="73" s="1"/>
  <c r="R7" i="72"/>
  <c r="R42" i="72" s="1"/>
  <c r="S7" i="82"/>
  <c r="S42" i="82" s="1"/>
  <c r="K82" i="73" l="1"/>
  <c r="K107" i="73" s="1"/>
  <c r="K82" i="81"/>
  <c r="K107" i="81" s="1"/>
  <c r="M74" i="82" a="1"/>
  <c r="M74" i="82" s="1"/>
  <c r="M72" i="82" a="1"/>
  <c r="M72" i="82" s="1"/>
  <c r="N77" i="82" s="1"/>
  <c r="M73" i="82" a="1"/>
  <c r="M73" i="82" s="1"/>
  <c r="N78" i="82" s="1"/>
  <c r="M72" i="73" a="1"/>
  <c r="M72" i="73" s="1"/>
  <c r="N77" i="73" s="1"/>
  <c r="M73" i="73" a="1"/>
  <c r="M73" i="73" s="1"/>
  <c r="M74" i="73" a="1"/>
  <c r="M74" i="73" s="1"/>
  <c r="M74" i="81" a="1"/>
  <c r="M74" i="81" s="1"/>
  <c r="M73" i="81" a="1"/>
  <c r="M73" i="81" s="1"/>
  <c r="N78" i="81" s="1"/>
  <c r="M72" i="81" a="1"/>
  <c r="M72" i="81" s="1"/>
  <c r="N77" i="81" s="1"/>
  <c r="M72" i="72" a="1"/>
  <c r="M72" i="72" s="1"/>
  <c r="N77" i="72" s="1"/>
  <c r="M73" i="72" a="1"/>
  <c r="M73" i="72" s="1"/>
  <c r="N78" i="72" s="1"/>
  <c r="M74" i="72" a="1"/>
  <c r="M74" i="72" s="1"/>
  <c r="N74" i="68" a="1"/>
  <c r="N74" i="68" s="1"/>
  <c r="N73" i="68" a="1"/>
  <c r="N73" i="68" s="1"/>
  <c r="N72" i="68" a="1"/>
  <c r="N72" i="68" s="1"/>
  <c r="O77" i="68" s="1"/>
  <c r="L80" i="81"/>
  <c r="M80" i="68"/>
  <c r="M82" i="68" s="1"/>
  <c r="M107" i="68" s="1"/>
  <c r="L80" i="82"/>
  <c r="L82" i="82" s="1"/>
  <c r="L107" i="82" s="1"/>
  <c r="L80" i="73"/>
  <c r="N6" i="82"/>
  <c r="O6" i="68"/>
  <c r="O6" i="75" s="1"/>
  <c r="O6" i="85" s="1"/>
  <c r="N6" i="81"/>
  <c r="N6" i="72"/>
  <c r="N6" i="73"/>
  <c r="S7" i="81"/>
  <c r="S42" i="81" s="1"/>
  <c r="S7" i="73"/>
  <c r="S42" i="73" s="1"/>
  <c r="S7" i="72"/>
  <c r="S42" i="72" s="1"/>
  <c r="T7" i="82"/>
  <c r="T42" i="82" s="1"/>
  <c r="L82" i="73" l="1"/>
  <c r="L107" i="73" s="1"/>
  <c r="L82" i="81"/>
  <c r="L107" i="81" s="1"/>
  <c r="N73" i="72" a="1"/>
  <c r="N73" i="72" s="1"/>
  <c r="O78" i="72" s="1"/>
  <c r="N74" i="72" a="1"/>
  <c r="N74" i="72" s="1"/>
  <c r="N72" i="72" a="1"/>
  <c r="N72" i="72" s="1"/>
  <c r="O77" i="72" s="1"/>
  <c r="N74" i="73" a="1"/>
  <c r="N74" i="73" s="1"/>
  <c r="N72" i="73" a="1"/>
  <c r="N72" i="73" s="1"/>
  <c r="O77" i="73" s="1"/>
  <c r="N73" i="73" a="1"/>
  <c r="N73" i="73" s="1"/>
  <c r="N73" i="81" a="1"/>
  <c r="N73" i="81" s="1"/>
  <c r="O78" i="81" s="1"/>
  <c r="N74" i="81" a="1"/>
  <c r="N74" i="81" s="1"/>
  <c r="N72" i="81" a="1"/>
  <c r="N72" i="81" s="1"/>
  <c r="O77" i="81" s="1"/>
  <c r="O72" i="68" a="1"/>
  <c r="O72" i="68" s="1"/>
  <c r="P77" i="68" s="1"/>
  <c r="O74" i="68" a="1"/>
  <c r="O74" i="68" s="1"/>
  <c r="O73" i="68" a="1"/>
  <c r="O73" i="68" s="1"/>
  <c r="N73" i="82" a="1"/>
  <c r="N73" i="82" s="1"/>
  <c r="O78" i="82" s="1"/>
  <c r="N74" i="82" a="1"/>
  <c r="N74" i="82" s="1"/>
  <c r="N72" i="82" a="1"/>
  <c r="N72" i="82" s="1"/>
  <c r="O77" i="82" s="1"/>
  <c r="M80" i="81"/>
  <c r="N80" i="68"/>
  <c r="N82" i="68" s="1"/>
  <c r="N107" i="68" s="1"/>
  <c r="M80" i="82"/>
  <c r="M82" i="82" s="1"/>
  <c r="M107" i="82" s="1"/>
  <c r="M80" i="73"/>
  <c r="O6" i="82"/>
  <c r="P6" i="68"/>
  <c r="P6" i="75" s="1"/>
  <c r="P6" i="85" s="1"/>
  <c r="O6" i="81"/>
  <c r="O6" i="72"/>
  <c r="O6" i="73"/>
  <c r="T7" i="81"/>
  <c r="T42" i="81" s="1"/>
  <c r="T7" i="73"/>
  <c r="T42" i="73" s="1"/>
  <c r="T7" i="72"/>
  <c r="T42" i="72" s="1"/>
  <c r="U7" i="82"/>
  <c r="U42" i="82" s="1"/>
  <c r="M82" i="73" l="1"/>
  <c r="M107" i="73" s="1"/>
  <c r="M82" i="81"/>
  <c r="M107" i="81" s="1"/>
  <c r="O74" i="72" a="1"/>
  <c r="O74" i="72" s="1"/>
  <c r="O73" i="72" a="1"/>
  <c r="O73" i="72" s="1"/>
  <c r="P78" i="72" s="1"/>
  <c r="O72" i="72" a="1"/>
  <c r="O72" i="72" s="1"/>
  <c r="P77" i="72" s="1"/>
  <c r="O72" i="81" a="1"/>
  <c r="O72" i="81" s="1"/>
  <c r="P77" i="81" s="1"/>
  <c r="O74" i="81" a="1"/>
  <c r="O74" i="81" s="1"/>
  <c r="O73" i="81" a="1"/>
  <c r="O73" i="81" s="1"/>
  <c r="P78" i="81" s="1"/>
  <c r="O73" i="73" a="1"/>
  <c r="O73" i="73" s="1"/>
  <c r="O72" i="73" a="1"/>
  <c r="O72" i="73" s="1"/>
  <c r="P77" i="73" s="1"/>
  <c r="O74" i="73" a="1"/>
  <c r="O74" i="73" s="1"/>
  <c r="P73" i="68" a="1"/>
  <c r="P73" i="68" s="1"/>
  <c r="P74" i="68" a="1"/>
  <c r="P74" i="68" s="1"/>
  <c r="P72" i="68" a="1"/>
  <c r="P72" i="68" s="1"/>
  <c r="Q77" i="68" s="1"/>
  <c r="O72" i="82" a="1"/>
  <c r="O72" i="82" s="1"/>
  <c r="P77" i="82" s="1"/>
  <c r="O73" i="82" a="1"/>
  <c r="O73" i="82" s="1"/>
  <c r="P78" i="82" s="1"/>
  <c r="O74" i="82" a="1"/>
  <c r="O74" i="82" s="1"/>
  <c r="N80" i="81"/>
  <c r="O80" i="68"/>
  <c r="O82" i="68" s="1"/>
  <c r="O107" i="68" s="1"/>
  <c r="N80" i="73"/>
  <c r="N80" i="82"/>
  <c r="N82" i="82" s="1"/>
  <c r="N107" i="82" s="1"/>
  <c r="P6" i="82"/>
  <c r="Q6" i="68"/>
  <c r="Q6" i="75" s="1"/>
  <c r="Q6" i="85" s="1"/>
  <c r="P6" i="81"/>
  <c r="P6" i="72"/>
  <c r="P6" i="73"/>
  <c r="U7" i="81"/>
  <c r="U42" i="81" s="1"/>
  <c r="U7" i="72"/>
  <c r="U42" i="72" s="1"/>
  <c r="U7" i="73"/>
  <c r="U42" i="73" s="1"/>
  <c r="V7" i="82"/>
  <c r="V42" i="82" s="1"/>
  <c r="N82" i="73" l="1"/>
  <c r="N107" i="73" s="1"/>
  <c r="N82" i="81"/>
  <c r="N107" i="81" s="1"/>
  <c r="P73" i="72" a="1"/>
  <c r="P73" i="72" s="1"/>
  <c r="Q78" i="72" s="1"/>
  <c r="P72" i="72" a="1"/>
  <c r="P72" i="72" s="1"/>
  <c r="Q77" i="72" s="1"/>
  <c r="P74" i="72" a="1"/>
  <c r="P74" i="72" s="1"/>
  <c r="P72" i="81" a="1"/>
  <c r="P72" i="81" s="1"/>
  <c r="Q77" i="81" s="1"/>
  <c r="P74" i="81" a="1"/>
  <c r="P74" i="81" s="1"/>
  <c r="P73" i="81" a="1"/>
  <c r="P73" i="81" s="1"/>
  <c r="Q78" i="81" s="1"/>
  <c r="P74" i="73" a="1"/>
  <c r="P74" i="73" s="1"/>
  <c r="P73" i="73" a="1"/>
  <c r="P73" i="73" s="1"/>
  <c r="P72" i="73" a="1"/>
  <c r="P72" i="73" s="1"/>
  <c r="Q77" i="73" s="1"/>
  <c r="P74" i="82" a="1"/>
  <c r="P74" i="82" s="1"/>
  <c r="P73" i="82" a="1"/>
  <c r="P73" i="82" s="1"/>
  <c r="Q78" i="82" s="1"/>
  <c r="P72" i="82" a="1"/>
  <c r="P72" i="82" s="1"/>
  <c r="Q77" i="82" s="1"/>
  <c r="Q72" i="68" a="1"/>
  <c r="Q72" i="68" s="1"/>
  <c r="R77" i="68" s="1"/>
  <c r="Q74" i="68" a="1"/>
  <c r="Q74" i="68" s="1"/>
  <c r="Q73" i="68" a="1"/>
  <c r="Q73" i="68" s="1"/>
  <c r="O80" i="81"/>
  <c r="P80" i="68"/>
  <c r="P82" i="68" s="1"/>
  <c r="P107" i="68" s="1"/>
  <c r="O80" i="82"/>
  <c r="O82" i="82" s="1"/>
  <c r="O107" i="82" s="1"/>
  <c r="O80" i="73"/>
  <c r="Q6" i="82"/>
  <c r="R6" i="68"/>
  <c r="R6" i="75" s="1"/>
  <c r="R6" i="85" s="1"/>
  <c r="Q6" i="81"/>
  <c r="Q6" i="73"/>
  <c r="Q6" i="72"/>
  <c r="V7" i="81"/>
  <c r="V42" i="81" s="1"/>
  <c r="V7" i="73"/>
  <c r="V42" i="73" s="1"/>
  <c r="V7" i="72"/>
  <c r="V42" i="72" s="1"/>
  <c r="W7" i="82"/>
  <c r="W42" i="82" s="1"/>
  <c r="O82" i="73" l="1"/>
  <c r="O107" i="73" s="1"/>
  <c r="O82" i="81"/>
  <c r="O107" i="81" s="1"/>
  <c r="Q73" i="72" a="1"/>
  <c r="Q73" i="72" s="1"/>
  <c r="R78" i="72" s="1"/>
  <c r="Q74" i="72" a="1"/>
  <c r="Q74" i="72" s="1"/>
  <c r="Q72" i="72" a="1"/>
  <c r="Q72" i="72" s="1"/>
  <c r="R77" i="72" s="1"/>
  <c r="Q72" i="73" a="1"/>
  <c r="Q72" i="73" s="1"/>
  <c r="R77" i="73" s="1"/>
  <c r="Q74" i="73" a="1"/>
  <c r="Q74" i="73" s="1"/>
  <c r="Q73" i="73" a="1"/>
  <c r="Q73" i="73" s="1"/>
  <c r="Q73" i="82" a="1"/>
  <c r="Q73" i="82" s="1"/>
  <c r="R78" i="82" s="1"/>
  <c r="Q72" i="82" a="1"/>
  <c r="Q72" i="82" s="1"/>
  <c r="R77" i="82" s="1"/>
  <c r="Q74" i="82" a="1"/>
  <c r="Q74" i="82" s="1"/>
  <c r="Q73" i="81" a="1"/>
  <c r="Q73" i="81" s="1"/>
  <c r="R78" i="81" s="1"/>
  <c r="Q74" i="81" a="1"/>
  <c r="Q74" i="81" s="1"/>
  <c r="Q72" i="81" a="1"/>
  <c r="Q72" i="81" s="1"/>
  <c r="R77" i="81" s="1"/>
  <c r="R74" i="68" a="1"/>
  <c r="R74" i="68" s="1"/>
  <c r="R72" i="68" a="1"/>
  <c r="R72" i="68" s="1"/>
  <c r="S77" i="68" s="1"/>
  <c r="R73" i="68" a="1"/>
  <c r="R73" i="68" s="1"/>
  <c r="P80" i="81"/>
  <c r="Q80" i="68"/>
  <c r="Q82" i="68" s="1"/>
  <c r="Q107" i="68" s="1"/>
  <c r="P80" i="73"/>
  <c r="P80" i="82"/>
  <c r="P82" i="82" s="1"/>
  <c r="P107" i="82" s="1"/>
  <c r="R6" i="82"/>
  <c r="S6" i="68"/>
  <c r="S6" i="75" s="1"/>
  <c r="S6" i="85" s="1"/>
  <c r="R6" i="81"/>
  <c r="R6" i="73"/>
  <c r="R6" i="72"/>
  <c r="W7" i="81"/>
  <c r="W42" i="81" s="1"/>
  <c r="W7" i="73"/>
  <c r="W42" i="73" s="1"/>
  <c r="W7" i="72"/>
  <c r="W42" i="72" s="1"/>
  <c r="X7" i="82"/>
  <c r="X42" i="82" s="1"/>
  <c r="P82" i="73" l="1"/>
  <c r="P107" i="73" s="1"/>
  <c r="P82" i="81"/>
  <c r="P107" i="81" s="1"/>
  <c r="R72" i="82" a="1"/>
  <c r="R72" i="82" s="1"/>
  <c r="S77" i="82" s="1"/>
  <c r="R73" i="82" a="1"/>
  <c r="R73" i="82" s="1"/>
  <c r="S78" i="82" s="1"/>
  <c r="R74" i="82" a="1"/>
  <c r="R74" i="82" s="1"/>
  <c r="R72" i="73" a="1"/>
  <c r="R72" i="73" s="1"/>
  <c r="S77" i="73" s="1"/>
  <c r="R74" i="73" a="1"/>
  <c r="R74" i="73" s="1"/>
  <c r="R73" i="73" a="1"/>
  <c r="R73" i="73" s="1"/>
  <c r="R72" i="81" a="1"/>
  <c r="R72" i="81" s="1"/>
  <c r="S77" i="81" s="1"/>
  <c r="R73" i="81" a="1"/>
  <c r="R73" i="81" s="1"/>
  <c r="S78" i="81" s="1"/>
  <c r="R74" i="81" a="1"/>
  <c r="R74" i="81" s="1"/>
  <c r="R73" i="72" a="1"/>
  <c r="R73" i="72" s="1"/>
  <c r="S78" i="72" s="1"/>
  <c r="R72" i="72" a="1"/>
  <c r="R72" i="72" s="1"/>
  <c r="S77" i="72" s="1"/>
  <c r="R74" i="72" a="1"/>
  <c r="R74" i="72" s="1"/>
  <c r="S72" i="68" a="1"/>
  <c r="S72" i="68" s="1"/>
  <c r="T77" i="68" s="1"/>
  <c r="S74" i="68" a="1"/>
  <c r="S74" i="68" s="1"/>
  <c r="S73" i="68" a="1"/>
  <c r="S73" i="68" s="1"/>
  <c r="Q80" i="81"/>
  <c r="R80" i="68"/>
  <c r="Q80" i="73"/>
  <c r="Q80" i="82"/>
  <c r="Q82" i="82" s="1"/>
  <c r="Q107" i="82" s="1"/>
  <c r="S6" i="82"/>
  <c r="T6" i="68"/>
  <c r="T6" i="75" s="1"/>
  <c r="T6" i="85" s="1"/>
  <c r="S6" i="81"/>
  <c r="S6" i="73"/>
  <c r="S6" i="72"/>
  <c r="X7" i="81"/>
  <c r="X42" i="81" s="1"/>
  <c r="X7" i="73"/>
  <c r="X42" i="73" s="1"/>
  <c r="X7" i="72"/>
  <c r="X42" i="72" s="1"/>
  <c r="Y7" i="82"/>
  <c r="Y42" i="82" s="1"/>
  <c r="R82" i="68" l="1"/>
  <c r="R107" i="68" s="1"/>
  <c r="Q82" i="73"/>
  <c r="Q107" i="73" s="1"/>
  <c r="Q82" i="81"/>
  <c r="Q107" i="81" s="1"/>
  <c r="S74" i="82" a="1"/>
  <c r="S74" i="82" s="1"/>
  <c r="S73" i="82" a="1"/>
  <c r="S73" i="82" s="1"/>
  <c r="T78" i="82" s="1"/>
  <c r="S72" i="82" a="1"/>
  <c r="S72" i="82" s="1"/>
  <c r="T77" i="82" s="1"/>
  <c r="S74" i="72" a="1"/>
  <c r="S74" i="72" s="1"/>
  <c r="S72" i="72" a="1"/>
  <c r="S72" i="72" s="1"/>
  <c r="T77" i="72" s="1"/>
  <c r="S73" i="72" a="1"/>
  <c r="S73" i="72" s="1"/>
  <c r="T78" i="72" s="1"/>
  <c r="S72" i="73" a="1"/>
  <c r="S72" i="73" s="1"/>
  <c r="T77" i="73" s="1"/>
  <c r="S74" i="73" a="1"/>
  <c r="S74" i="73" s="1"/>
  <c r="S73" i="73" a="1"/>
  <c r="S73" i="73" s="1"/>
  <c r="S73" i="81" a="1"/>
  <c r="S73" i="81" s="1"/>
  <c r="T78" i="81" s="1"/>
  <c r="S74" i="81" a="1"/>
  <c r="S74" i="81" s="1"/>
  <c r="S72" i="81" a="1"/>
  <c r="S72" i="81" s="1"/>
  <c r="T77" i="81" s="1"/>
  <c r="T73" i="68" a="1"/>
  <c r="T73" i="68" s="1"/>
  <c r="T74" i="68" a="1"/>
  <c r="T74" i="68" s="1"/>
  <c r="T72" i="68" a="1"/>
  <c r="T72" i="68" s="1"/>
  <c r="U77" i="68" s="1"/>
  <c r="R80" i="81"/>
  <c r="S80" i="68"/>
  <c r="R80" i="73"/>
  <c r="R80" i="82"/>
  <c r="T6" i="82"/>
  <c r="U6" i="68"/>
  <c r="U6" i="75" s="1"/>
  <c r="U6" i="85" s="1"/>
  <c r="T6" i="81"/>
  <c r="T6" i="72"/>
  <c r="T6" i="73"/>
  <c r="Y7" i="81"/>
  <c r="Y42" i="81" s="1"/>
  <c r="Y7" i="73"/>
  <c r="Y42" i="73" s="1"/>
  <c r="Y7" i="72"/>
  <c r="Y42" i="72" s="1"/>
  <c r="Z7" i="82"/>
  <c r="Z42" i="82" s="1"/>
  <c r="R82" i="82" l="1"/>
  <c r="R107" i="82" s="1"/>
  <c r="S82" i="68"/>
  <c r="S107" i="68" s="1"/>
  <c r="R82" i="73"/>
  <c r="R107" i="73" s="1"/>
  <c r="R82" i="81"/>
  <c r="R107" i="81" s="1"/>
  <c r="U72" i="68" a="1"/>
  <c r="U72" i="68" s="1"/>
  <c r="V77" i="68" s="1"/>
  <c r="U74" i="68" a="1"/>
  <c r="U74" i="68" s="1"/>
  <c r="U73" i="68" a="1"/>
  <c r="U73" i="68" s="1"/>
  <c r="T74" i="73" a="1"/>
  <c r="T74" i="73" s="1"/>
  <c r="T72" i="73" a="1"/>
  <c r="T72" i="73" s="1"/>
  <c r="U77" i="73" s="1"/>
  <c r="T73" i="73" a="1"/>
  <c r="T73" i="73" s="1"/>
  <c r="T73" i="72" a="1"/>
  <c r="T73" i="72" s="1"/>
  <c r="U78" i="72" s="1"/>
  <c r="T72" i="72" a="1"/>
  <c r="T72" i="72" s="1"/>
  <c r="U77" i="72" s="1"/>
  <c r="T74" i="72" a="1"/>
  <c r="T74" i="72" s="1"/>
  <c r="T72" i="81" a="1"/>
  <c r="T72" i="81" s="1"/>
  <c r="U77" i="81" s="1"/>
  <c r="T73" i="81" a="1"/>
  <c r="T73" i="81" s="1"/>
  <c r="U78" i="81" s="1"/>
  <c r="T74" i="81" a="1"/>
  <c r="T74" i="81" s="1"/>
  <c r="T72" i="82" a="1"/>
  <c r="T72" i="82" s="1"/>
  <c r="U77" i="82" s="1"/>
  <c r="T73" i="82" a="1"/>
  <c r="T73" i="82" s="1"/>
  <c r="U78" i="82" s="1"/>
  <c r="T74" i="82" a="1"/>
  <c r="T74" i="82" s="1"/>
  <c r="S80" i="81"/>
  <c r="T80" i="68"/>
  <c r="S80" i="82"/>
  <c r="S80" i="73"/>
  <c r="U6" i="82"/>
  <c r="G90" i="82" s="1" a="1"/>
  <c r="G90" i="82" s="1"/>
  <c r="G92" i="82" s="1"/>
  <c r="V6" i="68"/>
  <c r="V6" i="75" s="1"/>
  <c r="V6" i="85" s="1"/>
  <c r="U6" i="81"/>
  <c r="U6" i="72"/>
  <c r="U6" i="73"/>
  <c r="Z7" i="81"/>
  <c r="Z42" i="81" s="1"/>
  <c r="Z7" i="73"/>
  <c r="Z42" i="73" s="1"/>
  <c r="Z7" i="72"/>
  <c r="Z42" i="72" s="1"/>
  <c r="AA7" i="82"/>
  <c r="AA42" i="82" s="1"/>
  <c r="S82" i="82" l="1"/>
  <c r="S107" i="82" s="1"/>
  <c r="T82" i="68"/>
  <c r="T107" i="68" s="1"/>
  <c r="C35" i="62"/>
  <c r="C38" i="62" s="1" a="1"/>
  <c r="C38" i="62" s="1"/>
  <c r="N7" i="75" s="1"/>
  <c r="N7" i="85" s="1"/>
  <c r="S82" i="73"/>
  <c r="S107" i="73" s="1"/>
  <c r="S82" i="81"/>
  <c r="S107" i="81" s="1"/>
  <c r="U74" i="73" a="1"/>
  <c r="U74" i="73" s="1"/>
  <c r="U72" i="73" a="1"/>
  <c r="U72" i="73" s="1"/>
  <c r="V77" i="73" s="1"/>
  <c r="U73" i="73" a="1"/>
  <c r="U73" i="73" s="1"/>
  <c r="U74" i="72" a="1"/>
  <c r="U74" i="72" s="1"/>
  <c r="U72" i="72" a="1"/>
  <c r="U72" i="72" s="1"/>
  <c r="V77" i="72" s="1"/>
  <c r="U73" i="72" a="1"/>
  <c r="U73" i="72" s="1"/>
  <c r="V78" i="72" s="1"/>
  <c r="U74" i="82" a="1"/>
  <c r="U74" i="82" s="1"/>
  <c r="U73" i="82" a="1"/>
  <c r="U73" i="82" s="1"/>
  <c r="V78" i="82" s="1"/>
  <c r="U72" i="82" a="1"/>
  <c r="U72" i="82" s="1"/>
  <c r="V77" i="82" s="1"/>
  <c r="U72" i="81" a="1"/>
  <c r="U72" i="81" s="1"/>
  <c r="V77" i="81" s="1"/>
  <c r="U73" i="81" a="1"/>
  <c r="U73" i="81" s="1"/>
  <c r="V78" i="81" s="1"/>
  <c r="U74" i="81" a="1"/>
  <c r="U74" i="81" s="1"/>
  <c r="V72" i="68" a="1"/>
  <c r="V72" i="68" s="1"/>
  <c r="W77" i="68" s="1"/>
  <c r="V73" i="68" a="1"/>
  <c r="V73" i="68" s="1"/>
  <c r="V74" i="68" a="1"/>
  <c r="V74" i="68" s="1"/>
  <c r="T80" i="81"/>
  <c r="U80" i="68"/>
  <c r="T80" i="73"/>
  <c r="T80" i="82"/>
  <c r="V6" i="82"/>
  <c r="W6" i="68"/>
  <c r="W6" i="75" s="1"/>
  <c r="W6" i="85" s="1"/>
  <c r="V6" i="81"/>
  <c r="V6" i="72"/>
  <c r="V6" i="73"/>
  <c r="AA7" i="81"/>
  <c r="AA42" i="81" s="1"/>
  <c r="AA7" i="73"/>
  <c r="AA42" i="73" s="1"/>
  <c r="AA7" i="72"/>
  <c r="AA42" i="72" s="1"/>
  <c r="AB7" i="82"/>
  <c r="AB42" i="82" s="1"/>
  <c r="T82" i="82" l="1"/>
  <c r="T107" i="82" s="1"/>
  <c r="U82" i="68"/>
  <c r="U107" i="68" s="1"/>
  <c r="V7" i="75"/>
  <c r="V7" i="85" s="1"/>
  <c r="Q7" i="75"/>
  <c r="Q7" i="85" s="1"/>
  <c r="L7" i="75"/>
  <c r="L7" i="85" s="1"/>
  <c r="J7" i="75"/>
  <c r="J7" i="85" s="1"/>
  <c r="M7" i="75"/>
  <c r="M7" i="85" s="1"/>
  <c r="P7" i="75"/>
  <c r="P7" i="85" s="1"/>
  <c r="I7" i="75"/>
  <c r="W7" i="75"/>
  <c r="W7" i="85" s="1"/>
  <c r="H7" i="75"/>
  <c r="H7" i="85" s="1"/>
  <c r="T7" i="75"/>
  <c r="T7" i="85" s="1"/>
  <c r="S7" i="75"/>
  <c r="S7" i="85" s="1"/>
  <c r="K7" i="75"/>
  <c r="K7" i="85" s="1"/>
  <c r="R7" i="75"/>
  <c r="R7" i="85" s="1"/>
  <c r="O7" i="75"/>
  <c r="O7" i="85" s="1"/>
  <c r="U7" i="75"/>
  <c r="U7" i="85" s="1"/>
  <c r="T82" i="73"/>
  <c r="T107" i="73" s="1"/>
  <c r="T82" i="81"/>
  <c r="T107" i="81" s="1"/>
  <c r="V73" i="72" a="1"/>
  <c r="V73" i="72" s="1"/>
  <c r="W78" i="72" s="1"/>
  <c r="V72" i="72" a="1"/>
  <c r="V72" i="72" s="1"/>
  <c r="W77" i="72" s="1"/>
  <c r="V74" i="72" a="1"/>
  <c r="V74" i="72" s="1"/>
  <c r="V72" i="82" a="1"/>
  <c r="V72" i="82" s="1"/>
  <c r="W77" i="82" s="1"/>
  <c r="V73" i="82" a="1"/>
  <c r="V73" i="82" s="1"/>
  <c r="W78" i="82" s="1"/>
  <c r="V74" i="82" a="1"/>
  <c r="V74" i="82" s="1"/>
  <c r="V73" i="73" a="1"/>
  <c r="V73" i="73" s="1"/>
  <c r="V72" i="73" a="1"/>
  <c r="V72" i="73" s="1"/>
  <c r="W77" i="73" s="1"/>
  <c r="V74" i="73" a="1"/>
  <c r="V74" i="73" s="1"/>
  <c r="V74" i="81" a="1"/>
  <c r="V74" i="81" s="1"/>
  <c r="V72" i="81" a="1"/>
  <c r="V72" i="81" s="1"/>
  <c r="W77" i="81" s="1"/>
  <c r="V73" i="81" a="1"/>
  <c r="V73" i="81" s="1"/>
  <c r="W78" i="81" s="1"/>
  <c r="W73" i="68" a="1"/>
  <c r="W73" i="68" s="1"/>
  <c r="W74" i="68" a="1"/>
  <c r="W74" i="68" s="1"/>
  <c r="W72" i="68" a="1"/>
  <c r="W72" i="68" s="1"/>
  <c r="X77" i="68" s="1"/>
  <c r="U80" i="81"/>
  <c r="V80" i="68"/>
  <c r="V82" i="68" s="1"/>
  <c r="V107" i="68" s="1"/>
  <c r="U80" i="73"/>
  <c r="U80" i="82"/>
  <c r="W6" i="82"/>
  <c r="X6" i="68"/>
  <c r="X6" i="75" s="1"/>
  <c r="W6" i="81"/>
  <c r="W6" i="72"/>
  <c r="W6" i="73"/>
  <c r="AB7" i="81"/>
  <c r="AB42" i="81" s="1"/>
  <c r="AB7" i="73"/>
  <c r="AB42" i="73" s="1"/>
  <c r="AB7" i="72"/>
  <c r="AB42" i="72" s="1"/>
  <c r="U82" i="82" l="1"/>
  <c r="U107" i="82" s="1"/>
  <c r="X7" i="75"/>
  <c r="X7" i="85" s="1"/>
  <c r="X6" i="85"/>
  <c r="I7" i="85"/>
  <c r="U82" i="73"/>
  <c r="U107" i="73" s="1"/>
  <c r="U82" i="81"/>
  <c r="U107" i="81" s="1"/>
  <c r="W74" i="82" a="1"/>
  <c r="W74" i="82" s="1"/>
  <c r="W73" i="82" a="1"/>
  <c r="W73" i="82" s="1"/>
  <c r="X78" i="82" s="1"/>
  <c r="W72" i="82" a="1"/>
  <c r="W72" i="82" s="1"/>
  <c r="X77" i="82" s="1"/>
  <c r="W73" i="72" a="1"/>
  <c r="W73" i="72" s="1"/>
  <c r="X78" i="72" s="1"/>
  <c r="W72" i="72" a="1"/>
  <c r="W72" i="72" s="1"/>
  <c r="X77" i="72" s="1"/>
  <c r="W74" i="72" a="1"/>
  <c r="W74" i="72" s="1"/>
  <c r="W73" i="81" a="1"/>
  <c r="W73" i="81" s="1"/>
  <c r="X78" i="81" s="1"/>
  <c r="W72" i="81" a="1"/>
  <c r="W72" i="81" s="1"/>
  <c r="X77" i="81" s="1"/>
  <c r="W74" i="81" a="1"/>
  <c r="W74" i="81" s="1"/>
  <c r="X73" i="68" a="1"/>
  <c r="X73" i="68" s="1"/>
  <c r="X72" i="68" a="1"/>
  <c r="X72" i="68" s="1"/>
  <c r="Y77" i="68" s="1"/>
  <c r="X74" i="68" a="1"/>
  <c r="X74" i="68" s="1"/>
  <c r="W72" i="73" a="1"/>
  <c r="W72" i="73" s="1"/>
  <c r="X77" i="73" s="1"/>
  <c r="W74" i="73" a="1"/>
  <c r="W74" i="73" s="1"/>
  <c r="W73" i="73" a="1"/>
  <c r="W73" i="73" s="1"/>
  <c r="V80" i="81"/>
  <c r="W80" i="68"/>
  <c r="W82" i="68" s="1"/>
  <c r="W107" i="68" s="1"/>
  <c r="V80" i="82"/>
  <c r="V82" i="82" s="1"/>
  <c r="V107" i="82" s="1"/>
  <c r="V80" i="73"/>
  <c r="X6" i="82"/>
  <c r="Y6" i="68"/>
  <c r="Y6" i="75" s="1"/>
  <c r="X6" i="81"/>
  <c r="X6" i="72"/>
  <c r="X6" i="73"/>
  <c r="Y7" i="75" l="1"/>
  <c r="Y7" i="85" s="1"/>
  <c r="Y6" i="85"/>
  <c r="V82" i="73"/>
  <c r="V107" i="73" s="1"/>
  <c r="V82" i="81"/>
  <c r="V107" i="81" s="1"/>
  <c r="X74" i="82" a="1"/>
  <c r="X74" i="82" s="1"/>
  <c r="X72" i="82" a="1"/>
  <c r="X72" i="82" s="1"/>
  <c r="Y77" i="82" s="1"/>
  <c r="X73" i="82" a="1"/>
  <c r="X73" i="82" s="1"/>
  <c r="Y78" i="82" s="1"/>
  <c r="X74" i="73" a="1"/>
  <c r="X74" i="73" s="1"/>
  <c r="X73" i="73" a="1"/>
  <c r="X73" i="73" s="1"/>
  <c r="X72" i="73" a="1"/>
  <c r="X72" i="73" s="1"/>
  <c r="Y77" i="73" s="1"/>
  <c r="X73" i="72" a="1"/>
  <c r="X73" i="72" s="1"/>
  <c r="Y78" i="72" s="1"/>
  <c r="X72" i="72" a="1"/>
  <c r="X72" i="72" s="1"/>
  <c r="Y77" i="72" s="1"/>
  <c r="X74" i="72" a="1"/>
  <c r="X74" i="72" s="1"/>
  <c r="Y74" i="68" a="1"/>
  <c r="Y74" i="68" s="1"/>
  <c r="Y73" i="68" a="1"/>
  <c r="Y73" i="68" s="1"/>
  <c r="Y72" i="68" a="1"/>
  <c r="Y72" i="68" s="1"/>
  <c r="Z77" i="68" s="1"/>
  <c r="X72" i="81" a="1"/>
  <c r="X72" i="81" s="1"/>
  <c r="Y77" i="81" s="1"/>
  <c r="X74" i="81" a="1"/>
  <c r="X74" i="81" s="1"/>
  <c r="X73" i="81" a="1"/>
  <c r="X73" i="81" s="1"/>
  <c r="Y78" i="81" s="1"/>
  <c r="W80" i="81"/>
  <c r="X80" i="68"/>
  <c r="X82" i="68" s="1"/>
  <c r="X107" i="68" s="1"/>
  <c r="W80" i="73"/>
  <c r="W80" i="82"/>
  <c r="W82" i="82" s="1"/>
  <c r="W107" i="82" s="1"/>
  <c r="Y6" i="82"/>
  <c r="Z6" i="68"/>
  <c r="Z6" i="75" s="1"/>
  <c r="Y6" i="81"/>
  <c r="Y6" i="73"/>
  <c r="Y6" i="72"/>
  <c r="Z7" i="75" l="1"/>
  <c r="Z7" i="85" s="1"/>
  <c r="Z6" i="85"/>
  <c r="W82" i="73"/>
  <c r="W107" i="73" s="1"/>
  <c r="W82" i="81"/>
  <c r="W107" i="81" s="1"/>
  <c r="Y72" i="82" a="1"/>
  <c r="Y72" i="82" s="1"/>
  <c r="Z77" i="82" s="1"/>
  <c r="Y73" i="82" a="1"/>
  <c r="Y73" i="82" s="1"/>
  <c r="Z78" i="82" s="1"/>
  <c r="Y74" i="82" a="1"/>
  <c r="Y74" i="82" s="1"/>
  <c r="Y73" i="72" a="1"/>
  <c r="Y73" i="72" s="1"/>
  <c r="Z78" i="72" s="1"/>
  <c r="Y72" i="72" a="1"/>
  <c r="Y72" i="72" s="1"/>
  <c r="Z77" i="72" s="1"/>
  <c r="Y74" i="72" a="1"/>
  <c r="Y74" i="72" s="1"/>
  <c r="Y72" i="73" a="1"/>
  <c r="Y72" i="73" s="1"/>
  <c r="Z77" i="73" s="1"/>
  <c r="Y73" i="73" a="1"/>
  <c r="Y73" i="73" s="1"/>
  <c r="Y74" i="73" a="1"/>
  <c r="Y74" i="73" s="1"/>
  <c r="Y73" i="81" a="1"/>
  <c r="Y73" i="81" s="1"/>
  <c r="Z78" i="81" s="1"/>
  <c r="Y72" i="81" a="1"/>
  <c r="Y72" i="81" s="1"/>
  <c r="Z77" i="81" s="1"/>
  <c r="Y74" i="81" a="1"/>
  <c r="Y74" i="81" s="1"/>
  <c r="Z72" i="68" a="1"/>
  <c r="Z72" i="68" s="1"/>
  <c r="AA77" i="68" s="1"/>
  <c r="Z73" i="68" a="1"/>
  <c r="Z73" i="68" s="1"/>
  <c r="Z74" i="68" a="1"/>
  <c r="Z74" i="68" s="1"/>
  <c r="X80" i="81"/>
  <c r="Y80" i="68"/>
  <c r="Y82" i="68" s="1"/>
  <c r="Y107" i="68" s="1"/>
  <c r="X80" i="73"/>
  <c r="X80" i="82"/>
  <c r="X82" i="82" s="1"/>
  <c r="X107" i="82" s="1"/>
  <c r="Z6" i="82"/>
  <c r="AA6" i="68"/>
  <c r="AA6" i="75" s="1"/>
  <c r="Z6" i="81"/>
  <c r="Z6" i="73"/>
  <c r="Z6" i="72"/>
  <c r="AA7" i="75" l="1"/>
  <c r="AA7" i="85" s="1"/>
  <c r="AA6" i="85"/>
  <c r="X82" i="73"/>
  <c r="X107" i="73" s="1"/>
  <c r="X82" i="81"/>
  <c r="X107" i="81" s="1"/>
  <c r="Z74" i="72" a="1"/>
  <c r="Z74" i="72" s="1"/>
  <c r="Z73" i="72" a="1"/>
  <c r="Z73" i="72" s="1"/>
  <c r="AA78" i="72" s="1"/>
  <c r="Z72" i="72" a="1"/>
  <c r="Z72" i="72" s="1"/>
  <c r="AA77" i="72" s="1"/>
  <c r="Z72" i="82" a="1"/>
  <c r="Z72" i="82" s="1"/>
  <c r="AA77" i="82" s="1"/>
  <c r="Z73" i="82" a="1"/>
  <c r="Z73" i="82" s="1"/>
  <c r="AA78" i="82" s="1"/>
  <c r="Z74" i="82" a="1"/>
  <c r="Z74" i="82" s="1"/>
  <c r="Z74" i="73" a="1"/>
  <c r="Z74" i="73" s="1"/>
  <c r="Z72" i="73" a="1"/>
  <c r="Z72" i="73" s="1"/>
  <c r="AA77" i="73" s="1"/>
  <c r="Z73" i="73" a="1"/>
  <c r="Z73" i="73" s="1"/>
  <c r="Z74" i="81" a="1"/>
  <c r="Z74" i="81" s="1"/>
  <c r="Z72" i="81" a="1"/>
  <c r="Z72" i="81" s="1"/>
  <c r="AA77" i="81" s="1"/>
  <c r="Z73" i="81" a="1"/>
  <c r="Z73" i="81" s="1"/>
  <c r="AA78" i="81" s="1"/>
  <c r="AA72" i="68" a="1"/>
  <c r="AA72" i="68" s="1"/>
  <c r="AB77" i="68" s="1"/>
  <c r="AA73" i="68" a="1"/>
  <c r="AA73" i="68" s="1"/>
  <c r="AA74" i="68" a="1"/>
  <c r="AA74" i="68" s="1"/>
  <c r="Y80" i="81"/>
  <c r="Z80" i="68"/>
  <c r="Z82" i="68" s="1"/>
  <c r="Z107" i="68" s="1"/>
  <c r="Y80" i="73"/>
  <c r="Y80" i="82"/>
  <c r="Y82" i="82" s="1"/>
  <c r="Y107" i="82" s="1"/>
  <c r="AA6" i="82"/>
  <c r="AB6" i="68"/>
  <c r="AB6" i="75" s="1"/>
  <c r="AA6" i="81"/>
  <c r="AA6" i="73"/>
  <c r="AA6" i="72"/>
  <c r="AB7" i="75" l="1"/>
  <c r="AB7" i="85" s="1"/>
  <c r="AB6" i="85"/>
  <c r="Y82" i="73"/>
  <c r="Y107" i="73" s="1"/>
  <c r="Y82" i="81"/>
  <c r="Y107" i="81" s="1"/>
  <c r="AA72" i="73" a="1"/>
  <c r="AA72" i="73" s="1"/>
  <c r="AB77" i="73" s="1"/>
  <c r="AA74" i="73" a="1"/>
  <c r="AA74" i="73" s="1"/>
  <c r="AA73" i="73" a="1"/>
  <c r="AA73" i="73" s="1"/>
  <c r="AA73" i="81" a="1"/>
  <c r="AA73" i="81" s="1"/>
  <c r="AB78" i="81" s="1"/>
  <c r="AA74" i="81" a="1"/>
  <c r="AA74" i="81" s="1"/>
  <c r="AA72" i="81" a="1"/>
  <c r="AA72" i="81" s="1"/>
  <c r="AB77" i="81" s="1"/>
  <c r="AC6" i="68"/>
  <c r="AB74" i="68" a="1"/>
  <c r="AB74" i="68" s="1"/>
  <c r="AB73" i="68" a="1"/>
  <c r="AB73" i="68" s="1"/>
  <c r="AB72" i="68" a="1"/>
  <c r="AB72" i="68" s="1"/>
  <c r="AC77" i="68" s="1"/>
  <c r="AA72" i="72" a="1"/>
  <c r="AA72" i="72" s="1"/>
  <c r="AB77" i="72" s="1"/>
  <c r="AA74" i="72" a="1"/>
  <c r="AA74" i="72" s="1"/>
  <c r="AA73" i="72" a="1"/>
  <c r="AA73" i="72" s="1"/>
  <c r="AB78" i="72" s="1"/>
  <c r="AA74" i="82" a="1"/>
  <c r="AA74" i="82" s="1"/>
  <c r="AA73" i="82" a="1"/>
  <c r="AA73" i="82" s="1"/>
  <c r="AB78" i="82" s="1"/>
  <c r="AA72" i="82" a="1"/>
  <c r="AA72" i="82" s="1"/>
  <c r="AB77" i="82" s="1"/>
  <c r="Z80" i="81"/>
  <c r="AA80" i="68"/>
  <c r="AA82" i="68" s="1"/>
  <c r="AA107" i="68" s="1"/>
  <c r="Z80" i="82"/>
  <c r="Z82" i="82" s="1"/>
  <c r="Z107" i="82" s="1"/>
  <c r="Z80" i="73"/>
  <c r="AB6" i="82"/>
  <c r="AB6" i="81"/>
  <c r="AB6" i="72"/>
  <c r="AB6" i="73"/>
  <c r="Z82" i="73" l="1"/>
  <c r="Z107" i="73" s="1"/>
  <c r="Z82" i="81"/>
  <c r="Z107" i="81" s="1"/>
  <c r="AC6" i="73"/>
  <c r="AC6" i="75"/>
  <c r="AC6" i="82"/>
  <c r="AC73" i="82" s="1" a="1"/>
  <c r="AC73" i="82" s="1"/>
  <c r="AD78" i="82" s="1"/>
  <c r="AC72" i="73" a="1"/>
  <c r="AC72" i="73" s="1"/>
  <c r="AC74" i="73" a="1"/>
  <c r="AC74" i="73" s="1"/>
  <c r="AC73" i="73" a="1"/>
  <c r="AC73" i="73" s="1"/>
  <c r="AC6" i="72"/>
  <c r="AB74" i="82" a="1"/>
  <c r="AB74" i="82" s="1"/>
  <c r="AB73" i="82" a="1"/>
  <c r="AB73" i="82" s="1"/>
  <c r="AC78" i="82" s="1"/>
  <c r="AB72" i="82" a="1"/>
  <c r="AB72" i="82" s="1"/>
  <c r="AC77" i="82" s="1"/>
  <c r="AC72" i="82" a="1"/>
  <c r="AC72" i="82" s="1"/>
  <c r="AC74" i="82" a="1"/>
  <c r="AC74" i="82" s="1"/>
  <c r="AC72" i="68" a="1"/>
  <c r="AC72" i="68" s="1"/>
  <c r="AD77" i="68" s="1"/>
  <c r="AC74" i="68" a="1"/>
  <c r="AC74" i="68" s="1"/>
  <c r="AC73" i="68" a="1"/>
  <c r="AC73" i="68" s="1"/>
  <c r="AC80" i="68" s="1"/>
  <c r="AC82" i="68" s="1"/>
  <c r="AC107" i="68" s="1"/>
  <c r="AC6" i="81"/>
  <c r="AB74" i="73" a="1"/>
  <c r="AB74" i="73" s="1"/>
  <c r="AB73" i="73" a="1"/>
  <c r="AB73" i="73" s="1"/>
  <c r="AB72" i="73" a="1"/>
  <c r="AB72" i="73" s="1"/>
  <c r="AC77" i="73" s="1"/>
  <c r="AD6" i="68"/>
  <c r="AB74" i="72" a="1"/>
  <c r="AB74" i="72" s="1"/>
  <c r="AB72" i="72" a="1"/>
  <c r="AB72" i="72" s="1"/>
  <c r="AC77" i="72" s="1"/>
  <c r="AB73" i="72" a="1"/>
  <c r="AB73" i="72" s="1"/>
  <c r="AC78" i="72" s="1"/>
  <c r="AB74" i="81" a="1"/>
  <c r="AB74" i="81" s="1"/>
  <c r="AB72" i="81" a="1"/>
  <c r="AB72" i="81" s="1"/>
  <c r="AC77" i="81" s="1"/>
  <c r="AB73" i="81" a="1"/>
  <c r="AB73" i="81" s="1"/>
  <c r="AC78" i="81" s="1"/>
  <c r="AA80" i="81"/>
  <c r="AB80" i="68"/>
  <c r="AB82" i="68" s="1"/>
  <c r="AB107" i="68" s="1"/>
  <c r="AD6" i="73"/>
  <c r="AA80" i="82"/>
  <c r="AA82" i="82" s="1"/>
  <c r="AA107" i="82" s="1"/>
  <c r="AA80" i="73"/>
  <c r="I9" i="85"/>
  <c r="AC80" i="82" l="1"/>
  <c r="AC82" i="82" s="1"/>
  <c r="AC107" i="82" s="1"/>
  <c r="AD77" i="82"/>
  <c r="AC80" i="73"/>
  <c r="AC82" i="73" s="1"/>
  <c r="AC107" i="73" s="1"/>
  <c r="AD77" i="73"/>
  <c r="AC7" i="75"/>
  <c r="AC7" i="85" s="1"/>
  <c r="AC6" i="85"/>
  <c r="AA82" i="73"/>
  <c r="AA107" i="73" s="1"/>
  <c r="AA82" i="81"/>
  <c r="AA107" i="81" s="1"/>
  <c r="AE6" i="68"/>
  <c r="AE6" i="75" s="1"/>
  <c r="AD6" i="75"/>
  <c r="AD6" i="81"/>
  <c r="AD73" i="81" s="1" a="1"/>
  <c r="AD73" i="81" s="1"/>
  <c r="AE78" i="81" s="1"/>
  <c r="AD6" i="82"/>
  <c r="AD73" i="82" s="1" a="1"/>
  <c r="AD73" i="82" s="1"/>
  <c r="AE78" i="82" s="1"/>
  <c r="AD6" i="72"/>
  <c r="AD74" i="72" s="1" a="1"/>
  <c r="AD74" i="72" s="1"/>
  <c r="AC73" i="81" a="1"/>
  <c r="AC73" i="81" s="1"/>
  <c r="AD78" i="81" s="1"/>
  <c r="AC74" i="81" a="1"/>
  <c r="AC74" i="81" s="1"/>
  <c r="AC72" i="81" a="1"/>
  <c r="AC72" i="81" s="1"/>
  <c r="AD77" i="81" s="1"/>
  <c r="AE74" i="68" a="1"/>
  <c r="AE74" i="68" s="1"/>
  <c r="AE72" i="68" a="1"/>
  <c r="AE72" i="68" s="1"/>
  <c r="AF77" i="68" s="1"/>
  <c r="AE73" i="68" a="1"/>
  <c r="AE73" i="68" s="1"/>
  <c r="AC72" i="72" a="1"/>
  <c r="AC72" i="72" s="1"/>
  <c r="AD77" i="72" s="1"/>
  <c r="AC73" i="72" a="1"/>
  <c r="AC73" i="72" s="1"/>
  <c r="AD78" i="72" s="1"/>
  <c r="AC74" i="72" a="1"/>
  <c r="AC74" i="72" s="1"/>
  <c r="AD73" i="73" a="1"/>
  <c r="AD73" i="73" s="1"/>
  <c r="AD74" i="73" a="1"/>
  <c r="AD74" i="73" s="1"/>
  <c r="AD72" i="73" a="1"/>
  <c r="AD72" i="73" s="1"/>
  <c r="AD73" i="68" a="1"/>
  <c r="AD73" i="68" s="1"/>
  <c r="AD80" i="68" s="1"/>
  <c r="AD82" i="68" s="1"/>
  <c r="AD107" i="68" s="1"/>
  <c r="AD72" i="68" a="1"/>
  <c r="AD72" i="68" s="1"/>
  <c r="AE77" i="68" s="1"/>
  <c r="AD74" i="68" a="1"/>
  <c r="AD74" i="68" s="1"/>
  <c r="AB80" i="81"/>
  <c r="AE6" i="73"/>
  <c r="AF6" i="68"/>
  <c r="AF6" i="75" s="1"/>
  <c r="AE6" i="81"/>
  <c r="AE6" i="72"/>
  <c r="AE6" i="82"/>
  <c r="AB80" i="73"/>
  <c r="AB80" i="82"/>
  <c r="AB82" i="82" s="1"/>
  <c r="AB107" i="82" s="1"/>
  <c r="I9" i="75"/>
  <c r="I5" i="75" s="1"/>
  <c r="I9" i="82"/>
  <c r="I9" i="81"/>
  <c r="I9" i="73"/>
  <c r="I9" i="72"/>
  <c r="J9" i="68"/>
  <c r="AD80" i="73" l="1"/>
  <c r="AD82" i="73" s="1"/>
  <c r="AD107" i="73" s="1"/>
  <c r="AE77" i="73"/>
  <c r="AE80" i="68"/>
  <c r="AE82" i="68" s="1"/>
  <c r="AE107" i="68" s="1"/>
  <c r="J9" i="85"/>
  <c r="AF7" i="75"/>
  <c r="AF7" i="85" s="1"/>
  <c r="AF6" i="85"/>
  <c r="AE7" i="75"/>
  <c r="AE7" i="85" s="1"/>
  <c r="AE6" i="85"/>
  <c r="AD7" i="75"/>
  <c r="AD7" i="85" s="1"/>
  <c r="AD6" i="85"/>
  <c r="AB82" i="73"/>
  <c r="AB107" i="73" s="1"/>
  <c r="I5" i="85"/>
  <c r="AB82" i="81"/>
  <c r="AB107" i="81" s="1"/>
  <c r="AD74" i="82" a="1"/>
  <c r="AD74" i="82" s="1"/>
  <c r="AD74" i="81" a="1"/>
  <c r="AD74" i="81" s="1"/>
  <c r="AD72" i="81" a="1"/>
  <c r="AD72" i="81" s="1"/>
  <c r="AE77" i="81" s="1"/>
  <c r="AD73" i="72" a="1"/>
  <c r="AD73" i="72" s="1"/>
  <c r="AE78" i="72" s="1"/>
  <c r="AC80" i="81"/>
  <c r="AD72" i="72" a="1"/>
  <c r="AD72" i="72" s="1"/>
  <c r="AE77" i="72" s="1"/>
  <c r="AD72" i="82" a="1"/>
  <c r="AD72" i="82" s="1"/>
  <c r="AE74" i="82" a="1"/>
  <c r="AE74" i="82" s="1"/>
  <c r="AE72" i="82" a="1"/>
  <c r="AE72" i="82" s="1"/>
  <c r="AE73" i="82" a="1"/>
  <c r="AE73" i="82" s="1"/>
  <c r="AF78" i="82" s="1"/>
  <c r="AE72" i="81" a="1"/>
  <c r="AE72" i="81" s="1"/>
  <c r="AF77" i="81" s="1"/>
  <c r="AE74" i="81" a="1"/>
  <c r="AE74" i="81" s="1"/>
  <c r="AE73" i="81" a="1"/>
  <c r="AE73" i="81" s="1"/>
  <c r="AF78" i="81" s="1"/>
  <c r="AF73" i="68" a="1"/>
  <c r="AF73" i="68" s="1"/>
  <c r="AF80" i="68" s="1"/>
  <c r="AF82" i="68" s="1"/>
  <c r="AF107" i="68" s="1"/>
  <c r="AF72" i="68" a="1"/>
  <c r="AF72" i="68" s="1"/>
  <c r="AG77" i="68" s="1"/>
  <c r="AF74" i="68" a="1"/>
  <c r="AF74" i="68" s="1"/>
  <c r="AE73" i="73" a="1"/>
  <c r="AE73" i="73" s="1"/>
  <c r="AE72" i="73" a="1"/>
  <c r="AE72" i="73" s="1"/>
  <c r="AE74" i="73" a="1"/>
  <c r="AE74" i="73" s="1"/>
  <c r="AE72" i="72" a="1"/>
  <c r="AE72" i="72" s="1"/>
  <c r="AF77" i="72" s="1"/>
  <c r="AE74" i="72" a="1"/>
  <c r="AE74" i="72" s="1"/>
  <c r="AE73" i="72" a="1"/>
  <c r="AE73" i="72" s="1"/>
  <c r="AF78" i="72" s="1"/>
  <c r="AF6" i="73"/>
  <c r="AG6" i="68"/>
  <c r="AG6" i="75" s="1"/>
  <c r="AF6" i="81"/>
  <c r="AF6" i="72"/>
  <c r="AF6" i="82"/>
  <c r="I88" i="75"/>
  <c r="I97" i="75" s="1"/>
  <c r="J9" i="75"/>
  <c r="J5" i="75" s="1"/>
  <c r="J9" i="82"/>
  <c r="J9" i="81"/>
  <c r="J9" i="72"/>
  <c r="J9" i="73"/>
  <c r="K9" i="68"/>
  <c r="AF77" i="82" l="1"/>
  <c r="AD80" i="82"/>
  <c r="AD82" i="82" s="1"/>
  <c r="AD107" i="82" s="1"/>
  <c r="AE77" i="82"/>
  <c r="AE80" i="82" s="1"/>
  <c r="AE82" i="82" s="1"/>
  <c r="AE107" i="82" s="1"/>
  <c r="AE80" i="73"/>
  <c r="AF77" i="73"/>
  <c r="K9" i="85"/>
  <c r="AG7" i="75"/>
  <c r="AG7" i="85" s="1"/>
  <c r="AG6" i="85"/>
  <c r="AE82" i="73"/>
  <c r="AE107" i="73" s="1"/>
  <c r="J5" i="85"/>
  <c r="AC82" i="81"/>
  <c r="AC107" i="81" s="1"/>
  <c r="AD80" i="81"/>
  <c r="AF72" i="82" a="1"/>
  <c r="AF72" i="82" s="1"/>
  <c r="AF74" i="82" a="1"/>
  <c r="AF74" i="82" s="1"/>
  <c r="AF73" i="82" a="1"/>
  <c r="AF73" i="82" s="1"/>
  <c r="AG78" i="82" s="1"/>
  <c r="AF74" i="72" a="1"/>
  <c r="AF74" i="72" s="1"/>
  <c r="AF73" i="72" a="1"/>
  <c r="AF73" i="72" s="1"/>
  <c r="AG78" i="72" s="1"/>
  <c r="AF72" i="72" a="1"/>
  <c r="AF72" i="72" s="1"/>
  <c r="AG77" i="72" s="1"/>
  <c r="AF72" i="81" a="1"/>
  <c r="AF72" i="81" s="1"/>
  <c r="AG77" i="81" s="1"/>
  <c r="AF73" i="81" a="1"/>
  <c r="AF73" i="81" s="1"/>
  <c r="AG78" i="81" s="1"/>
  <c r="AF74" i="81" a="1"/>
  <c r="AF74" i="81" s="1"/>
  <c r="AG74" i="68" a="1"/>
  <c r="AG74" i="68" s="1"/>
  <c r="AG73" i="68" a="1"/>
  <c r="AG73" i="68" s="1"/>
  <c r="AG80" i="68" s="1"/>
  <c r="AG82" i="68" s="1"/>
  <c r="AG107" i="68" s="1"/>
  <c r="AG72" i="68" a="1"/>
  <c r="AG72" i="68" s="1"/>
  <c r="AF74" i="73" a="1"/>
  <c r="AF74" i="73" s="1"/>
  <c r="AF73" i="73" a="1"/>
  <c r="AF73" i="73" s="1"/>
  <c r="AF72" i="73" a="1"/>
  <c r="AF72" i="73" s="1"/>
  <c r="AE80" i="81"/>
  <c r="AG6" i="73"/>
  <c r="AG6" i="81"/>
  <c r="AG6" i="72"/>
  <c r="AG6" i="82"/>
  <c r="J88" i="75"/>
  <c r="J97" i="75" s="1"/>
  <c r="K9" i="75"/>
  <c r="K5" i="75" s="1"/>
  <c r="K9" i="82"/>
  <c r="K9" i="81"/>
  <c r="L9" i="68"/>
  <c r="K9" i="72"/>
  <c r="K9" i="73"/>
  <c r="AF80" i="82" l="1"/>
  <c r="AF82" i="82" s="1"/>
  <c r="AF107" i="82" s="1"/>
  <c r="AG77" i="82"/>
  <c r="AF80" i="73"/>
  <c r="AG77" i="73"/>
  <c r="L9" i="85"/>
  <c r="AF82" i="73"/>
  <c r="AF107" i="73" s="1"/>
  <c r="K5" i="85"/>
  <c r="AD82" i="81"/>
  <c r="AD107" i="81" s="1"/>
  <c r="AE82" i="81"/>
  <c r="AE107" i="81" s="1"/>
  <c r="AG74" i="82" a="1"/>
  <c r="AG74" i="82" s="1"/>
  <c r="AG72" i="82" a="1"/>
  <c r="AG72" i="82" s="1"/>
  <c r="AG73" i="82" a="1"/>
  <c r="AG73" i="82" s="1"/>
  <c r="AG72" i="72" a="1"/>
  <c r="AG72" i="72" s="1"/>
  <c r="AG73" i="72" a="1"/>
  <c r="AG73" i="72" s="1"/>
  <c r="AG74" i="72" a="1"/>
  <c r="AG74" i="72" s="1"/>
  <c r="AG72" i="81" a="1"/>
  <c r="AG72" i="81" s="1"/>
  <c r="AG73" i="81" a="1"/>
  <c r="AG73" i="81" s="1"/>
  <c r="AG74" i="81" a="1"/>
  <c r="AG74" i="81" s="1"/>
  <c r="AG73" i="73" a="1"/>
  <c r="AG73" i="73" s="1"/>
  <c r="AG74" i="73" a="1"/>
  <c r="AG74" i="73" s="1"/>
  <c r="AG72" i="73" a="1"/>
  <c r="AG72" i="73" s="1"/>
  <c r="AF80" i="81"/>
  <c r="K88" i="75"/>
  <c r="K97" i="75" s="1"/>
  <c r="L9" i="75"/>
  <c r="L5" i="75" s="1"/>
  <c r="L9" i="82"/>
  <c r="L9" i="81"/>
  <c r="M9" i="68"/>
  <c r="L9" i="73"/>
  <c r="L9" i="72"/>
  <c r="AG80" i="82" l="1"/>
  <c r="AG82" i="82" s="1"/>
  <c r="AG107" i="82" s="1"/>
  <c r="AG80" i="73"/>
  <c r="M9" i="85"/>
  <c r="AG82" i="73"/>
  <c r="AG107" i="73" s="1"/>
  <c r="L5" i="85"/>
  <c r="AF82" i="81"/>
  <c r="AF107" i="81" s="1"/>
  <c r="AG80" i="81"/>
  <c r="L88" i="75"/>
  <c r="L97" i="75" s="1"/>
  <c r="M9" i="75"/>
  <c r="M5" i="75" s="1"/>
  <c r="M9" i="82"/>
  <c r="M9" i="81"/>
  <c r="N9" i="68"/>
  <c r="M9" i="73"/>
  <c r="M9" i="72"/>
  <c r="N9" i="85" l="1"/>
  <c r="M5" i="85"/>
  <c r="AG82" i="81"/>
  <c r="AG107" i="81" s="1"/>
  <c r="M88" i="75"/>
  <c r="M97" i="75" s="1"/>
  <c r="N9" i="75"/>
  <c r="N5" i="75" s="1"/>
  <c r="N9" i="82"/>
  <c r="N9" i="81"/>
  <c r="O9" i="68"/>
  <c r="N9" i="73"/>
  <c r="N9" i="72"/>
  <c r="O9" i="85" l="1"/>
  <c r="N5" i="85"/>
  <c r="N88" i="75"/>
  <c r="N97" i="75" s="1"/>
  <c r="O9" i="75"/>
  <c r="O5" i="75" s="1"/>
  <c r="O9" i="82"/>
  <c r="O9" i="81"/>
  <c r="P9" i="68"/>
  <c r="O9" i="73"/>
  <c r="O9" i="72"/>
  <c r="P9" i="85" l="1"/>
  <c r="O5" i="85"/>
  <c r="O88" i="75"/>
  <c r="O97" i="75" s="1"/>
  <c r="P9" i="75"/>
  <c r="P5" i="75" s="1"/>
  <c r="P9" i="82"/>
  <c r="P9" i="81"/>
  <c r="Q9" i="68"/>
  <c r="P9" i="73"/>
  <c r="P9" i="72"/>
  <c r="Q9" i="85" l="1"/>
  <c r="P5" i="85"/>
  <c r="P88" i="75"/>
  <c r="P97" i="75" s="1"/>
  <c r="Q9" i="75"/>
  <c r="Q5" i="75" s="1"/>
  <c r="Q9" i="82"/>
  <c r="Q9" i="81"/>
  <c r="R9" i="68"/>
  <c r="Q9" i="73"/>
  <c r="Q9" i="72"/>
  <c r="R9" i="85" l="1"/>
  <c r="Q5" i="85"/>
  <c r="Q88" i="75"/>
  <c r="Q97" i="75" s="1"/>
  <c r="R9" i="75"/>
  <c r="R5" i="75" s="1"/>
  <c r="R9" i="82"/>
  <c r="R9" i="81"/>
  <c r="S9" i="68"/>
  <c r="R9" i="72"/>
  <c r="R9" i="73"/>
  <c r="S9" i="85" l="1"/>
  <c r="R5" i="85"/>
  <c r="R88" i="75"/>
  <c r="R97" i="75" s="1"/>
  <c r="S9" i="75"/>
  <c r="S5" i="75" s="1"/>
  <c r="S9" i="82"/>
  <c r="S9" i="81"/>
  <c r="T9" i="68"/>
  <c r="S9" i="72"/>
  <c r="S9" i="73"/>
  <c r="T9" i="85" l="1"/>
  <c r="S5" i="85"/>
  <c r="S88" i="75"/>
  <c r="S97" i="75" s="1"/>
  <c r="T9" i="75"/>
  <c r="T5" i="75" s="1"/>
  <c r="T9" i="82"/>
  <c r="T9" i="81"/>
  <c r="U9" i="68"/>
  <c r="T9" i="73"/>
  <c r="T9" i="72"/>
  <c r="U9" i="85" l="1"/>
  <c r="T5" i="85"/>
  <c r="T88" i="75"/>
  <c r="T97" i="75" s="1"/>
  <c r="U9" i="75"/>
  <c r="U5" i="75" s="1"/>
  <c r="U9" i="82"/>
  <c r="U9" i="81"/>
  <c r="V9" i="68"/>
  <c r="U9" i="72"/>
  <c r="U9" i="73"/>
  <c r="V9" i="85" l="1"/>
  <c r="U5" i="85"/>
  <c r="U88" i="75"/>
  <c r="U97" i="75" s="1"/>
  <c r="V9" i="75"/>
  <c r="V5" i="75" s="1"/>
  <c r="V9" i="82"/>
  <c r="V9" i="81"/>
  <c r="W9" i="68"/>
  <c r="V9" i="73"/>
  <c r="V9" i="72"/>
  <c r="W9" i="85" l="1"/>
  <c r="V5" i="85"/>
  <c r="V88" i="75"/>
  <c r="V97" i="75" s="1"/>
  <c r="W9" i="75"/>
  <c r="W5" i="75" s="1"/>
  <c r="W9" i="82"/>
  <c r="W9" i="81"/>
  <c r="X9" i="68"/>
  <c r="W9" i="73"/>
  <c r="W9" i="72"/>
  <c r="X9" i="85" l="1"/>
  <c r="W5" i="85"/>
  <c r="W88" i="75"/>
  <c r="W97" i="75" s="1"/>
  <c r="X9" i="75"/>
  <c r="X5" i="75" s="1"/>
  <c r="X9" i="82"/>
  <c r="X9" i="81"/>
  <c r="Y9" i="68"/>
  <c r="X9" i="73"/>
  <c r="X9" i="72"/>
  <c r="Y9" i="85" l="1"/>
  <c r="X5" i="85"/>
  <c r="X88" i="75"/>
  <c r="X97" i="75" s="1"/>
  <c r="Y9" i="75"/>
  <c r="Y5" i="75" s="1"/>
  <c r="Y9" i="82"/>
  <c r="Y9" i="81"/>
  <c r="Z9" i="68"/>
  <c r="Y9" i="73"/>
  <c r="Y9" i="72"/>
  <c r="Z9" i="85" l="1"/>
  <c r="Y5" i="85"/>
  <c r="Y88" i="75"/>
  <c r="Y97" i="75" s="1"/>
  <c r="Z9" i="75"/>
  <c r="Z5" i="75" s="1"/>
  <c r="Z9" i="82"/>
  <c r="Z9" i="81"/>
  <c r="AA9" i="68"/>
  <c r="Z9" i="72"/>
  <c r="Z9" i="73"/>
  <c r="AA9" i="85" l="1"/>
  <c r="Z5" i="85"/>
  <c r="Z88" i="75"/>
  <c r="Z97" i="75" s="1"/>
  <c r="AA9" i="75"/>
  <c r="AA5" i="75" s="1"/>
  <c r="AA9" i="82"/>
  <c r="AA9" i="81"/>
  <c r="AB9" i="68"/>
  <c r="AA9" i="72"/>
  <c r="AA9" i="73"/>
  <c r="AB9" i="85" l="1"/>
  <c r="AA5" i="85"/>
  <c r="AC9" i="68"/>
  <c r="AA88" i="75"/>
  <c r="AA97" i="75" s="1"/>
  <c r="AB9" i="75"/>
  <c r="AB5" i="75" s="1"/>
  <c r="AB9" i="82"/>
  <c r="AB9" i="81"/>
  <c r="AB9" i="73"/>
  <c r="AB9" i="72"/>
  <c r="AC9" i="85" l="1"/>
  <c r="AC9" i="75"/>
  <c r="AC88" i="75" s="1"/>
  <c r="AC97" i="75" s="1"/>
  <c r="AC9" i="72"/>
  <c r="AC9" i="73"/>
  <c r="AD9" i="68"/>
  <c r="AC9" i="81"/>
  <c r="AC9" i="82"/>
  <c r="AB88" i="75"/>
  <c r="AB97" i="75" s="1"/>
  <c r="AD9" i="85" l="1"/>
  <c r="AC5" i="75"/>
  <c r="AC5" i="85" s="1"/>
  <c r="AB5" i="85"/>
  <c r="AD9" i="82"/>
  <c r="AD9" i="72"/>
  <c r="AD9" i="75"/>
  <c r="AD9" i="73"/>
  <c r="AD9" i="81"/>
  <c r="AE9" i="68"/>
  <c r="C94" i="43"/>
  <c r="C95" i="43"/>
  <c r="C96" i="43"/>
  <c r="C97" i="43"/>
  <c r="C98" i="43"/>
  <c r="C99" i="43"/>
  <c r="C100" i="43"/>
  <c r="C101" i="43"/>
  <c r="A44" i="47"/>
  <c r="A45" i="47" s="1"/>
  <c r="A46" i="47" s="1"/>
  <c r="A47" i="47" s="1"/>
  <c r="A48" i="47" s="1"/>
  <c r="A49" i="47" s="1"/>
  <c r="A50" i="47" s="1"/>
  <c r="A51" i="47" s="1"/>
  <c r="A52" i="47" s="1"/>
  <c r="A53" i="47" s="1"/>
  <c r="A54" i="47" s="1"/>
  <c r="A55" i="47" s="1"/>
  <c r="AE9" i="85" l="1"/>
  <c r="AD5" i="75"/>
  <c r="AD5" i="85" s="1"/>
  <c r="AD88" i="75"/>
  <c r="AD97" i="75" s="1"/>
  <c r="AE9" i="81"/>
  <c r="AE9" i="82"/>
  <c r="AE9" i="75"/>
  <c r="AE88" i="75" s="1"/>
  <c r="AE97" i="75" s="1"/>
  <c r="AE9" i="72"/>
  <c r="AE9" i="73"/>
  <c r="AF9" i="68"/>
  <c r="G8" i="33"/>
  <c r="AF9" i="85" l="1"/>
  <c r="AE5" i="75"/>
  <c r="AE5" i="85" s="1"/>
  <c r="AF9" i="82"/>
  <c r="AF9" i="81"/>
  <c r="AF9" i="75"/>
  <c r="AF9" i="72"/>
  <c r="AF9" i="73"/>
  <c r="AG9" i="68"/>
  <c r="AG9" i="85" l="1"/>
  <c r="AF5" i="75"/>
  <c r="AF5" i="85" s="1"/>
  <c r="AF88" i="75"/>
  <c r="AF97" i="75" s="1"/>
  <c r="AG9" i="82"/>
  <c r="AG9" i="75"/>
  <c r="AG9" i="81"/>
  <c r="AG9" i="73"/>
  <c r="AG9" i="72"/>
  <c r="AG5" i="75" l="1"/>
  <c r="AG5" i="85" s="1"/>
  <c r="AG88" i="75"/>
  <c r="AG97" i="75" s="1"/>
  <c r="E46" i="81" l="1"/>
  <c r="E47" i="81"/>
  <c r="E49" i="81"/>
  <c r="E50" i="73"/>
  <c r="E49" i="72"/>
  <c r="E46" i="68"/>
  <c r="E48" i="72"/>
  <c r="E52" i="73"/>
  <c r="E52" i="68"/>
  <c r="E46" i="82"/>
  <c r="E48" i="81"/>
  <c r="E49" i="73"/>
  <c r="E51" i="72"/>
  <c r="E50" i="81"/>
  <c r="E49" i="82"/>
  <c r="E47" i="72"/>
  <c r="E51" i="68"/>
  <c r="E52" i="72"/>
  <c r="E47" i="68"/>
  <c r="E50" i="72"/>
  <c r="E52" i="82"/>
  <c r="E48" i="73"/>
  <c r="E50" i="68"/>
  <c r="E48" i="68"/>
  <c r="E51" i="73"/>
  <c r="E51" i="82"/>
  <c r="E47" i="73"/>
  <c r="E46" i="72"/>
  <c r="E49" i="68"/>
  <c r="E46" i="73"/>
  <c r="E51" i="81"/>
  <c r="E50" i="82"/>
  <c r="E52" i="81"/>
  <c r="E48" i="82"/>
  <c r="E47" i="82"/>
  <c r="C14" i="43" a="1"/>
  <c r="G27" i="43"/>
  <c r="H90" i="43"/>
  <c r="C17" i="62"/>
  <c r="H11" i="62"/>
  <c r="I11" i="62"/>
  <c r="I12" i="62" s="1"/>
  <c r="G34" i="82" l="1"/>
  <c r="G33" i="82"/>
  <c r="G14" i="82"/>
  <c r="G31" i="73"/>
  <c r="G55" i="72"/>
  <c r="G19" i="72"/>
  <c r="G33" i="81"/>
  <c r="G15" i="81"/>
  <c r="G17" i="73"/>
  <c r="G55" i="82"/>
  <c r="G55" i="81"/>
  <c r="G33" i="73"/>
  <c r="G54" i="81"/>
  <c r="G32" i="73"/>
  <c r="G34" i="81"/>
  <c r="G32" i="82"/>
  <c r="G28" i="82"/>
  <c r="G30" i="73"/>
  <c r="G54" i="72"/>
  <c r="G17" i="72"/>
  <c r="G32" i="81"/>
  <c r="G14" i="81"/>
  <c r="G54" i="73"/>
  <c r="G14" i="72"/>
  <c r="G34" i="73"/>
  <c r="G19" i="81"/>
  <c r="G15" i="73"/>
  <c r="G15" i="82"/>
  <c r="G16" i="81"/>
  <c r="G31" i="82"/>
  <c r="G57" i="73"/>
  <c r="G28" i="73"/>
  <c r="G28" i="72"/>
  <c r="G16" i="72"/>
  <c r="G31" i="81"/>
  <c r="G55" i="68"/>
  <c r="G33" i="72"/>
  <c r="G17" i="82"/>
  <c r="G32" i="72"/>
  <c r="G16" i="82"/>
  <c r="G17" i="81"/>
  <c r="G30" i="72"/>
  <c r="G30" i="82"/>
  <c r="G55" i="73"/>
  <c r="G19" i="73"/>
  <c r="G34" i="72"/>
  <c r="G15" i="72"/>
  <c r="G30" i="81"/>
  <c r="G54" i="68"/>
  <c r="G19" i="82"/>
  <c r="G28" i="81"/>
  <c r="G16" i="73"/>
  <c r="G54" i="82"/>
  <c r="G31" i="72"/>
  <c r="G14" i="73"/>
  <c r="C22" i="62"/>
  <c r="G34" i="68"/>
  <c r="G16" i="68"/>
  <c r="G33" i="68"/>
  <c r="G17" i="68"/>
  <c r="G14" i="68"/>
  <c r="G32" i="68"/>
  <c r="G31" i="68"/>
  <c r="G30" i="68"/>
  <c r="G28" i="68"/>
  <c r="G15" i="68"/>
  <c r="G19" i="68"/>
  <c r="H12" i="62"/>
  <c r="H13" i="62" s="1"/>
  <c r="G57" i="82"/>
  <c r="G57" i="68"/>
  <c r="G57" i="72"/>
  <c r="G57" i="81"/>
  <c r="G78" i="73"/>
  <c r="G77" i="81"/>
  <c r="G78" i="72"/>
  <c r="G77" i="72"/>
  <c r="G79" i="72"/>
  <c r="G77" i="73"/>
  <c r="G80" i="81"/>
  <c r="G79" i="81"/>
  <c r="G79" i="73"/>
  <c r="G78" i="81"/>
  <c r="H52" i="43"/>
  <c r="H78" i="43"/>
  <c r="H79" i="43"/>
  <c r="G80" i="68"/>
  <c r="G74" i="81"/>
  <c r="G73" i="82"/>
  <c r="G69" i="72"/>
  <c r="G68" i="68"/>
  <c r="G74" i="72"/>
  <c r="G69" i="73"/>
  <c r="G78" i="68"/>
  <c r="G72" i="81"/>
  <c r="G79" i="82"/>
  <c r="G74" i="68"/>
  <c r="G72" i="73"/>
  <c r="G68" i="81"/>
  <c r="G67" i="82"/>
  <c r="G80" i="72"/>
  <c r="G79" i="68"/>
  <c r="G73" i="81"/>
  <c r="G72" i="82"/>
  <c r="G68" i="72"/>
  <c r="G67" i="68"/>
  <c r="G80" i="82"/>
  <c r="G77" i="68"/>
  <c r="G73" i="73"/>
  <c r="G69" i="81"/>
  <c r="G68" i="82"/>
  <c r="G78" i="82"/>
  <c r="G73" i="68"/>
  <c r="G67" i="81"/>
  <c r="G74" i="73"/>
  <c r="G69" i="68"/>
  <c r="G68" i="73"/>
  <c r="G77" i="82"/>
  <c r="G74" i="82"/>
  <c r="G67" i="73"/>
  <c r="G72" i="72"/>
  <c r="G80" i="73"/>
  <c r="G73" i="72"/>
  <c r="G69" i="82"/>
  <c r="G67" i="72"/>
  <c r="G72" i="68"/>
  <c r="G85" i="82"/>
  <c r="G83" i="82"/>
  <c r="G82" i="82"/>
  <c r="G64" i="82"/>
  <c r="G84" i="82"/>
  <c r="G87" i="82"/>
  <c r="G83" i="73"/>
  <c r="G82" i="72"/>
  <c r="G82" i="73"/>
  <c r="G87" i="72"/>
  <c r="G87" i="73"/>
  <c r="G85" i="68"/>
  <c r="G85" i="73"/>
  <c r="G83" i="68"/>
  <c r="G85" i="72"/>
  <c r="G84" i="68"/>
  <c r="G84" i="72"/>
  <c r="G64" i="72"/>
  <c r="G84" i="73"/>
  <c r="G83" i="72"/>
  <c r="G82" i="68"/>
  <c r="G87" i="68"/>
  <c r="G64" i="81"/>
  <c r="G83" i="81"/>
  <c r="G87" i="81"/>
  <c r="G85" i="81"/>
  <c r="G82" i="81"/>
  <c r="G84" i="81"/>
  <c r="E45" i="82"/>
  <c r="E45" i="73"/>
  <c r="E45" i="81"/>
  <c r="E45" i="68"/>
  <c r="E45" i="72"/>
  <c r="G64" i="73"/>
  <c r="G64" i="68"/>
  <c r="C14" i="43"/>
  <c r="C3" i="73" l="1"/>
  <c r="C3" i="82"/>
  <c r="C3" i="81"/>
  <c r="C3" i="72"/>
  <c r="Z57" i="73" a="1"/>
  <c r="Z57" i="73" s="1"/>
  <c r="K57" i="73" a="1"/>
  <c r="K57" i="73" s="1"/>
  <c r="Y57" i="73" a="1"/>
  <c r="Y57" i="73" s="1"/>
  <c r="W57" i="73" a="1"/>
  <c r="W57" i="73" s="1"/>
  <c r="J57" i="73" a="1"/>
  <c r="J57" i="73" s="1"/>
  <c r="S57" i="73" a="1"/>
  <c r="S57" i="73" s="1"/>
  <c r="I57" i="73" a="1"/>
  <c r="I57" i="73" s="1"/>
  <c r="AG57" i="73" a="1"/>
  <c r="AG57" i="73" s="1"/>
  <c r="AE57" i="73" a="1"/>
  <c r="AE57" i="73" s="1"/>
  <c r="AA57" i="73" a="1"/>
  <c r="AA57" i="73" s="1"/>
  <c r="Q57" i="73" a="1"/>
  <c r="Q57" i="73" s="1"/>
  <c r="R57" i="73" a="1"/>
  <c r="R57" i="73" s="1"/>
  <c r="O57" i="73" a="1"/>
  <c r="O57" i="73" s="1"/>
  <c r="AC57" i="73" a="1"/>
  <c r="AC57" i="73" s="1"/>
  <c r="AD57" i="73" a="1"/>
  <c r="AD57" i="73" s="1"/>
  <c r="AF57" i="73" a="1"/>
  <c r="AF57" i="73" s="1"/>
  <c r="L57" i="73" a="1"/>
  <c r="L57" i="73" s="1"/>
  <c r="M57" i="73" a="1"/>
  <c r="M57" i="73" s="1"/>
  <c r="N57" i="73" a="1"/>
  <c r="N57" i="73" s="1"/>
  <c r="P57" i="73" a="1"/>
  <c r="P57" i="73" s="1"/>
  <c r="T57" i="73" a="1"/>
  <c r="T57" i="73" s="1"/>
  <c r="U57" i="73" a="1"/>
  <c r="U57" i="73" s="1"/>
  <c r="V57" i="73" a="1"/>
  <c r="V57" i="73" s="1"/>
  <c r="X57" i="73" a="1"/>
  <c r="X57" i="73" s="1"/>
  <c r="AB57" i="73" a="1"/>
  <c r="AB57" i="73" s="1"/>
  <c r="W57" i="81" a="1"/>
  <c r="W57" i="81" s="1"/>
  <c r="S57" i="81" a="1"/>
  <c r="S57" i="81" s="1"/>
  <c r="Q57" i="81" a="1"/>
  <c r="Q57" i="81" s="1"/>
  <c r="O57" i="81" a="1"/>
  <c r="O57" i="81" s="1"/>
  <c r="AG57" i="81" a="1"/>
  <c r="AG57" i="81" s="1"/>
  <c r="K57" i="81" a="1"/>
  <c r="K57" i="81" s="1"/>
  <c r="AE57" i="81" a="1"/>
  <c r="AE57" i="81" s="1"/>
  <c r="I57" i="81" a="1"/>
  <c r="I57" i="81" s="1"/>
  <c r="AA57" i="81" a="1"/>
  <c r="AA57" i="81" s="1"/>
  <c r="Y57" i="81" a="1"/>
  <c r="Y57" i="81" s="1"/>
  <c r="AC57" i="81" a="1"/>
  <c r="AC57" i="81" s="1"/>
  <c r="AD57" i="81" a="1"/>
  <c r="AD57" i="81" s="1"/>
  <c r="AF57" i="81" a="1"/>
  <c r="AF57" i="81" s="1"/>
  <c r="M57" i="81" a="1"/>
  <c r="M57" i="81" s="1"/>
  <c r="L57" i="81" a="1"/>
  <c r="L57" i="81" s="1"/>
  <c r="N57" i="81" a="1"/>
  <c r="N57" i="81" s="1"/>
  <c r="J57" i="81" a="1"/>
  <c r="J57" i="81" s="1"/>
  <c r="P57" i="81" a="1"/>
  <c r="P57" i="81" s="1"/>
  <c r="R57" i="81" a="1"/>
  <c r="R57" i="81" s="1"/>
  <c r="T57" i="81" a="1"/>
  <c r="T57" i="81" s="1"/>
  <c r="U57" i="81" a="1"/>
  <c r="U57" i="81" s="1"/>
  <c r="V57" i="81" a="1"/>
  <c r="V57" i="81" s="1"/>
  <c r="X57" i="81" a="1"/>
  <c r="X57" i="81" s="1"/>
  <c r="Z57" i="81" a="1"/>
  <c r="Z57" i="81" s="1"/>
  <c r="AB57" i="81" a="1"/>
  <c r="AB57" i="81" s="1"/>
  <c r="W57" i="82" a="1"/>
  <c r="W57" i="82" s="1"/>
  <c r="Q57" i="82" a="1"/>
  <c r="Q57" i="82" s="1"/>
  <c r="O57" i="82" a="1"/>
  <c r="O57" i="82" s="1"/>
  <c r="I57" i="82" a="1"/>
  <c r="I57" i="82" s="1"/>
  <c r="I85" i="82" s="1"/>
  <c r="AG57" i="82" a="1"/>
  <c r="AG57" i="82" s="1"/>
  <c r="AG85" i="82" s="1"/>
  <c r="AE57" i="82" a="1"/>
  <c r="AE57" i="82" s="1"/>
  <c r="AE85" i="82" s="1"/>
  <c r="Y57" i="82" a="1"/>
  <c r="Y57" i="82" s="1"/>
  <c r="AC57" i="82" a="1"/>
  <c r="AC57" i="82" s="1"/>
  <c r="AC85" i="82" s="1"/>
  <c r="AD57" i="82" a="1"/>
  <c r="AD57" i="82" s="1"/>
  <c r="AD85" i="82" s="1"/>
  <c r="AF57" i="82" a="1"/>
  <c r="AF57" i="82" s="1"/>
  <c r="AF85" i="82" s="1"/>
  <c r="K57" i="82" a="1"/>
  <c r="K57" i="82" s="1"/>
  <c r="N57" i="82" a="1"/>
  <c r="N57" i="82" s="1"/>
  <c r="L57" i="82" a="1"/>
  <c r="L57" i="82" s="1"/>
  <c r="J57" i="82" a="1"/>
  <c r="J57" i="82" s="1"/>
  <c r="M57" i="82" a="1"/>
  <c r="M57" i="82" s="1"/>
  <c r="P57" i="82" a="1"/>
  <c r="P57" i="82" s="1"/>
  <c r="R57" i="82" a="1"/>
  <c r="R57" i="82" s="1"/>
  <c r="S57" i="82" a="1"/>
  <c r="S57" i="82" s="1"/>
  <c r="T57" i="82" a="1"/>
  <c r="T57" i="82" s="1"/>
  <c r="U57" i="82" a="1"/>
  <c r="U57" i="82" s="1"/>
  <c r="V57" i="82" a="1"/>
  <c r="V57" i="82" s="1"/>
  <c r="X57" i="82" a="1"/>
  <c r="X57" i="82" s="1"/>
  <c r="Z57" i="82" a="1"/>
  <c r="Z57" i="82" s="1"/>
  <c r="AA57" i="82" a="1"/>
  <c r="AA57" i="82" s="1"/>
  <c r="AB57" i="82" a="1"/>
  <c r="AB57" i="82" s="1"/>
  <c r="AC57" i="72" a="1"/>
  <c r="AC57" i="72" s="1"/>
  <c r="AD57" i="72" a="1"/>
  <c r="AD57" i="72" s="1"/>
  <c r="AE57" i="72" a="1"/>
  <c r="AE57" i="72" s="1"/>
  <c r="AF57" i="72" a="1"/>
  <c r="AF57" i="72" s="1"/>
  <c r="AG57" i="72" a="1"/>
  <c r="AG57" i="72" s="1"/>
  <c r="AC57" i="68" a="1"/>
  <c r="AC57" i="68" s="1"/>
  <c r="AC85" i="68" s="1"/>
  <c r="AC108" i="68" s="1"/>
  <c r="AD57" i="68" a="1"/>
  <c r="AD57" i="68" s="1"/>
  <c r="AD85" i="68" s="1"/>
  <c r="AD108" i="68" s="1"/>
  <c r="AE57" i="68" a="1"/>
  <c r="AE57" i="68" s="1"/>
  <c r="AE85" i="68" s="1"/>
  <c r="AE108" i="68" s="1"/>
  <c r="AF57" i="68" a="1"/>
  <c r="AF57" i="68" s="1"/>
  <c r="AF85" i="68" s="1"/>
  <c r="AF108" i="68" s="1"/>
  <c r="AG57" i="68" a="1"/>
  <c r="AG57" i="68" s="1"/>
  <c r="AG85" i="68" s="1"/>
  <c r="AG108" i="68" s="1"/>
  <c r="X57" i="72" a="1"/>
  <c r="X57" i="72" s="1"/>
  <c r="S57" i="72" a="1"/>
  <c r="S57" i="72" s="1"/>
  <c r="J57" i="72" a="1"/>
  <c r="J57" i="72" s="1"/>
  <c r="R57" i="72" a="1"/>
  <c r="R57" i="72" s="1"/>
  <c r="P57" i="72" a="1"/>
  <c r="P57" i="72" s="1"/>
  <c r="O57" i="72" a="1"/>
  <c r="O57" i="72" s="1"/>
  <c r="Z57" i="72" a="1"/>
  <c r="Z57" i="72" s="1"/>
  <c r="L57" i="72" a="1"/>
  <c r="L57" i="72" s="1"/>
  <c r="K57" i="72" a="1"/>
  <c r="K57" i="72" s="1"/>
  <c r="N57" i="72" a="1"/>
  <c r="N57" i="72" s="1"/>
  <c r="I57" i="72" a="1"/>
  <c r="I57" i="72" s="1"/>
  <c r="M57" i="72" a="1"/>
  <c r="M57" i="72" s="1"/>
  <c r="Q57" i="72" a="1"/>
  <c r="Q57" i="72" s="1"/>
  <c r="T57" i="72" a="1"/>
  <c r="T57" i="72" s="1"/>
  <c r="U57" i="72" a="1"/>
  <c r="U57" i="72" s="1"/>
  <c r="V57" i="72" a="1"/>
  <c r="V57" i="72" s="1"/>
  <c r="W57" i="72" a="1"/>
  <c r="W57" i="72" s="1"/>
  <c r="Y57" i="72" a="1"/>
  <c r="Y57" i="72" s="1"/>
  <c r="AA57" i="72" a="1"/>
  <c r="AA57" i="72" s="1"/>
  <c r="AB57" i="72" a="1"/>
  <c r="AB57" i="72" s="1"/>
  <c r="D13" i="33"/>
  <c r="Q57" i="68" a="1"/>
  <c r="Q57" i="68" s="1"/>
  <c r="Q85" i="68" s="1"/>
  <c r="Q108" i="68" s="1"/>
  <c r="W57" i="68" a="1"/>
  <c r="W57" i="68" s="1"/>
  <c r="W85" i="68" s="1"/>
  <c r="W108" i="68" s="1"/>
  <c r="U57" i="68" a="1"/>
  <c r="U57" i="68" s="1"/>
  <c r="U85" i="68" s="1"/>
  <c r="U108" i="68" s="1"/>
  <c r="P57" i="68" a="1"/>
  <c r="P57" i="68" s="1"/>
  <c r="P85" i="68" s="1"/>
  <c r="P108" i="68" s="1"/>
  <c r="X57" i="68" a="1"/>
  <c r="X57" i="68" s="1"/>
  <c r="X85" i="68" s="1"/>
  <c r="X108" i="68" s="1"/>
  <c r="AB57" i="68" a="1"/>
  <c r="AB57" i="68" s="1"/>
  <c r="AB85" i="68" s="1"/>
  <c r="AB108" i="68" s="1"/>
  <c r="I57" i="68" a="1"/>
  <c r="I57" i="68" s="1"/>
  <c r="I85" i="68" s="1"/>
  <c r="I108" i="68" s="1"/>
  <c r="O57" i="68" a="1"/>
  <c r="O57" i="68" s="1"/>
  <c r="O85" i="68" s="1"/>
  <c r="O108" i="68" s="1"/>
  <c r="Y57" i="68" a="1"/>
  <c r="Y57" i="68" s="1"/>
  <c r="Y85" i="68" s="1"/>
  <c r="Y108" i="68" s="1"/>
  <c r="N57" i="68" a="1"/>
  <c r="N57" i="68" s="1"/>
  <c r="N85" i="68" s="1"/>
  <c r="N108" i="68" s="1"/>
  <c r="T57" i="68" a="1"/>
  <c r="T57" i="68" s="1"/>
  <c r="T85" i="68" s="1"/>
  <c r="T108" i="68" s="1"/>
  <c r="Z57" i="68" a="1"/>
  <c r="Z57" i="68" s="1"/>
  <c r="Z85" i="68" s="1"/>
  <c r="Z108" i="68" s="1"/>
  <c r="M57" i="68" a="1"/>
  <c r="M57" i="68" s="1"/>
  <c r="M85" i="68" s="1"/>
  <c r="M108" i="68" s="1"/>
  <c r="R57" i="68" a="1"/>
  <c r="R57" i="68" s="1"/>
  <c r="R85" i="68" s="1"/>
  <c r="R108" i="68" s="1"/>
  <c r="AA57" i="68" a="1"/>
  <c r="AA57" i="68" s="1"/>
  <c r="AA85" i="68" s="1"/>
  <c r="AA108" i="68" s="1"/>
  <c r="L57" i="68" a="1"/>
  <c r="L57" i="68" s="1"/>
  <c r="L85" i="68" s="1"/>
  <c r="L108" i="68" s="1"/>
  <c r="K57" i="68" a="1"/>
  <c r="K57" i="68" s="1"/>
  <c r="K85" i="68" s="1"/>
  <c r="K108" i="68" s="1"/>
  <c r="S57" i="68" a="1"/>
  <c r="S57" i="68" s="1"/>
  <c r="S85" i="68" s="1"/>
  <c r="S108" i="68" s="1"/>
  <c r="J57" i="68" a="1"/>
  <c r="J57" i="68" s="1"/>
  <c r="J85" i="68" s="1"/>
  <c r="J108" i="68" s="1"/>
  <c r="V57" i="68" a="1"/>
  <c r="V57" i="68" s="1"/>
  <c r="V85" i="68" s="1"/>
  <c r="V108" i="68" s="1"/>
  <c r="D10" i="33"/>
  <c r="D11" i="33"/>
  <c r="D9" i="33"/>
  <c r="D12" i="33"/>
  <c r="H95" i="43"/>
  <c r="H96" i="43"/>
  <c r="H97" i="43"/>
  <c r="H98" i="43"/>
  <c r="H99" i="43"/>
  <c r="H100" i="43"/>
  <c r="H101" i="43"/>
  <c r="H94" i="43"/>
  <c r="U85" i="72" l="1"/>
  <c r="Z85" i="72"/>
  <c r="AC85" i="72"/>
  <c r="T85" i="72"/>
  <c r="O85" i="72"/>
  <c r="Q85" i="72"/>
  <c r="P85" i="72"/>
  <c r="AB85" i="72"/>
  <c r="M85" i="72"/>
  <c r="R85" i="72"/>
  <c r="AE85" i="73"/>
  <c r="AA85" i="72"/>
  <c r="I85" i="72"/>
  <c r="J85" i="72"/>
  <c r="AG85" i="72"/>
  <c r="AF85" i="73"/>
  <c r="AG85" i="73"/>
  <c r="Y85" i="72"/>
  <c r="N85" i="72"/>
  <c r="S85" i="72"/>
  <c r="AF85" i="72"/>
  <c r="AD85" i="73"/>
  <c r="I85" i="73"/>
  <c r="W85" i="72"/>
  <c r="K85" i="72"/>
  <c r="X85" i="72"/>
  <c r="AE85" i="72"/>
  <c r="AC85" i="73"/>
  <c r="V85" i="72"/>
  <c r="L85" i="72"/>
  <c r="AD85" i="72"/>
  <c r="AE85" i="81"/>
  <c r="AC85" i="81"/>
  <c r="AF85" i="81"/>
  <c r="AG85" i="81"/>
  <c r="AD85" i="81"/>
  <c r="Q80" i="72"/>
  <c r="I80" i="72"/>
  <c r="AG87" i="68"/>
  <c r="AG106" i="68" s="1"/>
  <c r="AF87" i="68"/>
  <c r="AF106" i="68" s="1"/>
  <c r="AE87" i="68"/>
  <c r="AE106" i="68" s="1"/>
  <c r="AD87" i="68"/>
  <c r="AD106" i="68" s="1"/>
  <c r="AC87" i="68"/>
  <c r="AC106" i="68" s="1"/>
  <c r="AA85" i="81"/>
  <c r="T85" i="73"/>
  <c r="S85" i="81"/>
  <c r="Y85" i="81"/>
  <c r="W85" i="73"/>
  <c r="Q85" i="73"/>
  <c r="O85" i="73"/>
  <c r="O85" i="82"/>
  <c r="O85" i="81"/>
  <c r="R85" i="81"/>
  <c r="V85" i="73"/>
  <c r="X85" i="73"/>
  <c r="T85" i="82"/>
  <c r="V85" i="82"/>
  <c r="M85" i="81"/>
  <c r="J85" i="81"/>
  <c r="T85" i="81"/>
  <c r="AA85" i="73"/>
  <c r="P85" i="73"/>
  <c r="Q85" i="82"/>
  <c r="J85" i="82"/>
  <c r="K85" i="82"/>
  <c r="J85" i="73"/>
  <c r="V85" i="81"/>
  <c r="K85" i="81"/>
  <c r="I85" i="81"/>
  <c r="U85" i="73"/>
  <c r="U85" i="82"/>
  <c r="AA85" i="82"/>
  <c r="R85" i="82"/>
  <c r="AB85" i="81"/>
  <c r="Z85" i="81"/>
  <c r="W85" i="81"/>
  <c r="N85" i="73"/>
  <c r="Z85" i="73"/>
  <c r="AB85" i="82"/>
  <c r="W85" i="82"/>
  <c r="P85" i="82"/>
  <c r="N85" i="81"/>
  <c r="Q85" i="81"/>
  <c r="L85" i="81"/>
  <c r="X85" i="81"/>
  <c r="M85" i="73"/>
  <c r="K85" i="73"/>
  <c r="Y85" i="82"/>
  <c r="Z85" i="82"/>
  <c r="M85" i="82"/>
  <c r="N85" i="82"/>
  <c r="S85" i="73"/>
  <c r="R85" i="73"/>
  <c r="S85" i="82"/>
  <c r="U85" i="81"/>
  <c r="P85" i="81"/>
  <c r="AB85" i="73"/>
  <c r="L85" i="73"/>
  <c r="Y85" i="73"/>
  <c r="X85" i="82"/>
  <c r="L85" i="82"/>
  <c r="AG117" i="68" l="1" a="1"/>
  <c r="AG117" i="68" s="1"/>
  <c r="AG116" i="68" a="1"/>
  <c r="AG116" i="68" s="1"/>
  <c r="AG115" i="68" a="1"/>
  <c r="AG115" i="68" s="1"/>
  <c r="AG113" i="68" a="1"/>
  <c r="AG113" i="68" s="1"/>
  <c r="AG110" i="68" a="1"/>
  <c r="AG110" i="68" s="1"/>
  <c r="AG111" i="68" a="1"/>
  <c r="AG111" i="68" s="1"/>
  <c r="AG112" i="68" a="1"/>
  <c r="AG112" i="68" s="1"/>
  <c r="AG114" i="68" a="1"/>
  <c r="AG114" i="68" s="1"/>
  <c r="AF117" i="68" a="1"/>
  <c r="AF117" i="68" s="1"/>
  <c r="AF113" i="68" a="1"/>
  <c r="AF113" i="68" s="1"/>
  <c r="AF116" i="68" a="1"/>
  <c r="AF116" i="68" s="1"/>
  <c r="AF115" i="68" a="1"/>
  <c r="AF115" i="68" s="1"/>
  <c r="AF114" i="68" a="1"/>
  <c r="AF114" i="68" s="1"/>
  <c r="AF112" i="68" a="1"/>
  <c r="AF112" i="68" s="1"/>
  <c r="AF111" i="68" a="1"/>
  <c r="AF111" i="68" s="1"/>
  <c r="AF110" i="68" a="1"/>
  <c r="AF110" i="68" s="1"/>
  <c r="AE113" i="68" a="1"/>
  <c r="AE113" i="68" s="1"/>
  <c r="AE117" i="68" a="1"/>
  <c r="AE117" i="68" s="1"/>
  <c r="AE116" i="68" a="1"/>
  <c r="AE116" i="68" s="1"/>
  <c r="AE115" i="68" a="1"/>
  <c r="AE115" i="68" s="1"/>
  <c r="AE114" i="68" a="1"/>
  <c r="AE114" i="68" s="1"/>
  <c r="AE111" i="68" a="1"/>
  <c r="AE111" i="68" s="1"/>
  <c r="AE112" i="68" a="1"/>
  <c r="AE112" i="68" s="1"/>
  <c r="AE110" i="68" a="1"/>
  <c r="AE110" i="68" s="1"/>
  <c r="AC112" i="68" a="1"/>
  <c r="AC112" i="68" s="1"/>
  <c r="AC115" i="68" a="1"/>
  <c r="AC115" i="68" s="1"/>
  <c r="AC116" i="68" a="1"/>
  <c r="AC116" i="68" s="1"/>
  <c r="AC113" i="68" a="1"/>
  <c r="AC113" i="68" s="1"/>
  <c r="AC117" i="68" a="1"/>
  <c r="AC117" i="68" s="1"/>
  <c r="AC111" i="68" a="1"/>
  <c r="AC111" i="68" s="1"/>
  <c r="AC114" i="68" a="1"/>
  <c r="AC114" i="68" s="1"/>
  <c r="AC110" i="68" a="1"/>
  <c r="AC110" i="68" s="1"/>
  <c r="AD112" i="68" a="1"/>
  <c r="AD112" i="68" s="1"/>
  <c r="AD115" i="68" a="1"/>
  <c r="AD115" i="68" s="1"/>
  <c r="AD110" i="68" a="1"/>
  <c r="AD110" i="68" s="1"/>
  <c r="AD113" i="68" a="1"/>
  <c r="AD113" i="68" s="1"/>
  <c r="AD116" i="68" a="1"/>
  <c r="AD116" i="68" s="1"/>
  <c r="AD117" i="68" a="1"/>
  <c r="AD117" i="68" s="1"/>
  <c r="AD114" i="68" a="1"/>
  <c r="AD114" i="68" s="1"/>
  <c r="AD111" i="68" a="1"/>
  <c r="AD111" i="68" s="1"/>
  <c r="I82" i="72"/>
  <c r="I107" i="72" s="1"/>
  <c r="Q82" i="72"/>
  <c r="Q107" i="72" s="1"/>
  <c r="R80" i="72"/>
  <c r="J80" i="72"/>
  <c r="N80" i="72"/>
  <c r="AE80" i="72"/>
  <c r="O80" i="72"/>
  <c r="L80" i="72"/>
  <c r="AG80" i="72"/>
  <c r="AA80" i="72"/>
  <c r="K80" i="72"/>
  <c r="P80" i="72"/>
  <c r="M80" i="72"/>
  <c r="AF80" i="72"/>
  <c r="AD80" i="72"/>
  <c r="V80" i="72"/>
  <c r="U80" i="72"/>
  <c r="AC80" i="72"/>
  <c r="Z80" i="72"/>
  <c r="T80" i="72"/>
  <c r="W80" i="72"/>
  <c r="AB80" i="72"/>
  <c r="Y80" i="72"/>
  <c r="X80" i="72"/>
  <c r="S80" i="72"/>
  <c r="X87" i="68"/>
  <c r="X106" i="68" s="1"/>
  <c r="M87" i="68"/>
  <c r="M106" i="68" s="1"/>
  <c r="K87" i="68"/>
  <c r="K106" i="68" s="1"/>
  <c r="U87" i="68"/>
  <c r="U106" i="68" s="1"/>
  <c r="Q87" i="68"/>
  <c r="Q106" i="68" s="1"/>
  <c r="Z87" i="68"/>
  <c r="Z106" i="68" s="1"/>
  <c r="Y87" i="68"/>
  <c r="Y106" i="68" s="1"/>
  <c r="N87" i="68"/>
  <c r="N106" i="68" s="1"/>
  <c r="AA87" i="68"/>
  <c r="AA106" i="68" s="1"/>
  <c r="V87" i="68"/>
  <c r="V106" i="68" s="1"/>
  <c r="P87" i="68"/>
  <c r="P106" i="68" s="1"/>
  <c r="L87" i="68"/>
  <c r="L106" i="68" s="1"/>
  <c r="O87" i="68"/>
  <c r="O106" i="68" s="1"/>
  <c r="R87" i="68"/>
  <c r="R106" i="68" s="1"/>
  <c r="S87" i="68"/>
  <c r="S106" i="68" s="1"/>
  <c r="T87" i="68"/>
  <c r="T106" i="68" s="1"/>
  <c r="W87" i="68"/>
  <c r="W106" i="68" s="1"/>
  <c r="AB87" i="68"/>
  <c r="AB106" i="68" s="1"/>
  <c r="C16" i="62"/>
  <c r="P117" i="68" l="1" a="1"/>
  <c r="P117" i="68" s="1"/>
  <c r="P111" i="68" a="1"/>
  <c r="P111" i="68" s="1"/>
  <c r="P112" i="68" a="1"/>
  <c r="P112" i="68" s="1"/>
  <c r="P114" i="68" a="1"/>
  <c r="P114" i="68" s="1"/>
  <c r="P116" i="68" a="1"/>
  <c r="P116" i="68" s="1"/>
  <c r="P110" i="68" a="1"/>
  <c r="P110" i="68" s="1"/>
  <c r="P113" i="68" a="1"/>
  <c r="P113" i="68" s="1"/>
  <c r="P115" i="68" a="1"/>
  <c r="P115" i="68" s="1"/>
  <c r="AA112" i="68" a="1"/>
  <c r="AA112" i="68" s="1"/>
  <c r="AA114" i="68" a="1"/>
  <c r="AA114" i="68" s="1"/>
  <c r="AA110" i="68" a="1"/>
  <c r="AA110" i="68" s="1"/>
  <c r="AA113" i="68" a="1"/>
  <c r="AA113" i="68" s="1"/>
  <c r="AA111" i="68" a="1"/>
  <c r="AA111" i="68" s="1"/>
  <c r="AA115" i="68" a="1"/>
  <c r="AA115" i="68" s="1"/>
  <c r="AA117" i="68" a="1"/>
  <c r="AA117" i="68" s="1"/>
  <c r="AA116" i="68" a="1"/>
  <c r="AA116" i="68" s="1"/>
  <c r="W116" i="68" a="1"/>
  <c r="W116" i="68" s="1"/>
  <c r="W113" i="68" a="1"/>
  <c r="W113" i="68" s="1"/>
  <c r="W110" i="68" a="1"/>
  <c r="W110" i="68" s="1"/>
  <c r="W117" i="68" a="1"/>
  <c r="W117" i="68" s="1"/>
  <c r="W111" i="68" a="1"/>
  <c r="W111" i="68" s="1"/>
  <c r="W112" i="68" a="1"/>
  <c r="W112" i="68" s="1"/>
  <c r="W115" i="68" a="1"/>
  <c r="W115" i="68" s="1"/>
  <c r="W114" i="68" a="1"/>
  <c r="W114" i="68" s="1"/>
  <c r="S117" i="68" a="1"/>
  <c r="S117" i="68" s="1"/>
  <c r="S111" i="68" a="1"/>
  <c r="S111" i="68" s="1"/>
  <c r="S114" i="68" a="1"/>
  <c r="S114" i="68" s="1"/>
  <c r="S112" i="68" a="1"/>
  <c r="S112" i="68" s="1"/>
  <c r="S115" i="68" a="1"/>
  <c r="S115" i="68" s="1"/>
  <c r="S116" i="68" a="1"/>
  <c r="S116" i="68" s="1"/>
  <c r="S113" i="68" a="1"/>
  <c r="S113" i="68" s="1"/>
  <c r="S110" i="68" a="1"/>
  <c r="S110" i="68" s="1"/>
  <c r="R117" i="68" a="1"/>
  <c r="R117" i="68" s="1"/>
  <c r="R111" i="68" a="1"/>
  <c r="R111" i="68" s="1"/>
  <c r="R114" i="68" a="1"/>
  <c r="R114" i="68" s="1"/>
  <c r="R112" i="68" a="1"/>
  <c r="R112" i="68" s="1"/>
  <c r="R115" i="68" a="1"/>
  <c r="R115" i="68" s="1"/>
  <c r="R116" i="68" a="1"/>
  <c r="R116" i="68" s="1"/>
  <c r="R110" i="68" a="1"/>
  <c r="R110" i="68" s="1"/>
  <c r="R113" i="68" a="1"/>
  <c r="R113" i="68" s="1"/>
  <c r="O117" i="68" a="1"/>
  <c r="O117" i="68" s="1"/>
  <c r="O111" i="68" a="1"/>
  <c r="O111" i="68" s="1"/>
  <c r="O115" i="68" a="1"/>
  <c r="O115" i="68" s="1"/>
  <c r="O112" i="68" a="1"/>
  <c r="O112" i="68" s="1"/>
  <c r="O113" i="68" a="1"/>
  <c r="O113" i="68" s="1"/>
  <c r="O114" i="68" a="1"/>
  <c r="O114" i="68" s="1"/>
  <c r="O116" i="68" a="1"/>
  <c r="O116" i="68" s="1"/>
  <c r="O110" i="68" a="1"/>
  <c r="O110" i="68" s="1"/>
  <c r="L115" i="68" a="1"/>
  <c r="L115" i="68" s="1"/>
  <c r="L112" i="68" a="1"/>
  <c r="L112" i="68" s="1"/>
  <c r="L116" i="68" a="1"/>
  <c r="L116" i="68" s="1"/>
  <c r="L113" i="68" a="1"/>
  <c r="L113" i="68" s="1"/>
  <c r="L111" i="68" a="1"/>
  <c r="L111" i="68" s="1"/>
  <c r="L117" i="68" a="1"/>
  <c r="L117" i="68" s="1"/>
  <c r="L114" i="68" a="1"/>
  <c r="L114" i="68" s="1"/>
  <c r="L110" i="68" a="1"/>
  <c r="L110" i="68" s="1"/>
  <c r="N115" i="68" a="1"/>
  <c r="N115" i="68" s="1"/>
  <c r="N112" i="68" a="1"/>
  <c r="N112" i="68" s="1"/>
  <c r="N117" i="68" a="1"/>
  <c r="N117" i="68" s="1"/>
  <c r="N111" i="68" a="1"/>
  <c r="N111" i="68" s="1"/>
  <c r="N110" i="68" a="1"/>
  <c r="N110" i="68" s="1"/>
  <c r="N116" i="68" a="1"/>
  <c r="N116" i="68" s="1"/>
  <c r="N114" i="68" a="1"/>
  <c r="N114" i="68" s="1"/>
  <c r="N113" i="68" a="1"/>
  <c r="N113" i="68" s="1"/>
  <c r="Y116" i="68" a="1"/>
  <c r="Y116" i="68" s="1"/>
  <c r="Y113" i="68" a="1"/>
  <c r="Y113" i="68" s="1"/>
  <c r="Y110" i="68" a="1"/>
  <c r="Y110" i="68" s="1"/>
  <c r="Y117" i="68" a="1"/>
  <c r="Y117" i="68" s="1"/>
  <c r="Y111" i="68" a="1"/>
  <c r="Y111" i="68" s="1"/>
  <c r="Y112" i="68" a="1"/>
  <c r="Y112" i="68" s="1"/>
  <c r="Y115" i="68" a="1"/>
  <c r="Y115" i="68" s="1"/>
  <c r="Y114" i="68" a="1"/>
  <c r="Y114" i="68" s="1"/>
  <c r="Q117" i="68" a="1"/>
  <c r="Q117" i="68" s="1"/>
  <c r="Q111" i="68" a="1"/>
  <c r="Q111" i="68" s="1"/>
  <c r="Q115" i="68" a="1"/>
  <c r="Q115" i="68" s="1"/>
  <c r="Q112" i="68" a="1"/>
  <c r="Q112" i="68" s="1"/>
  <c r="Q114" i="68" a="1"/>
  <c r="Q114" i="68" s="1"/>
  <c r="Q116" i="68" a="1"/>
  <c r="Q116" i="68" s="1"/>
  <c r="Q110" i="68" a="1"/>
  <c r="Q110" i="68" s="1"/>
  <c r="Q113" i="68" a="1"/>
  <c r="Q113" i="68" s="1"/>
  <c r="K115" i="68" a="1"/>
  <c r="K115" i="68" s="1"/>
  <c r="K112" i="68" a="1"/>
  <c r="K112" i="68" s="1"/>
  <c r="K116" i="68" a="1"/>
  <c r="K116" i="68" s="1"/>
  <c r="K110" i="68" a="1"/>
  <c r="K110" i="68" s="1"/>
  <c r="K113" i="68" a="1"/>
  <c r="K113" i="68" s="1"/>
  <c r="K111" i="68" a="1"/>
  <c r="K111" i="68" s="1"/>
  <c r="K117" i="68" a="1"/>
  <c r="K117" i="68" s="1"/>
  <c r="K114" i="68" a="1"/>
  <c r="K114" i="68" s="1"/>
  <c r="M115" i="68" a="1"/>
  <c r="M115" i="68" s="1"/>
  <c r="M112" i="68" a="1"/>
  <c r="M112" i="68" s="1"/>
  <c r="M116" i="68" a="1"/>
  <c r="M116" i="68" s="1"/>
  <c r="M113" i="68" a="1"/>
  <c r="M113" i="68" s="1"/>
  <c r="M111" i="68" a="1"/>
  <c r="M111" i="68" s="1"/>
  <c r="M117" i="68" a="1"/>
  <c r="M117" i="68" s="1"/>
  <c r="M114" i="68" a="1"/>
  <c r="M114" i="68" s="1"/>
  <c r="M110" i="68" a="1"/>
  <c r="M110" i="68" s="1"/>
  <c r="U113" i="68" a="1"/>
  <c r="U113" i="68" s="1"/>
  <c r="U110" i="68" a="1"/>
  <c r="U110" i="68" s="1"/>
  <c r="U115" i="68" a="1"/>
  <c r="U115" i="68" s="1"/>
  <c r="U111" i="68" a="1"/>
  <c r="U111" i="68" s="1"/>
  <c r="U116" i="68" a="1"/>
  <c r="U116" i="68" s="1"/>
  <c r="U112" i="68" a="1"/>
  <c r="U112" i="68" s="1"/>
  <c r="U117" i="68" a="1"/>
  <c r="U117" i="68" s="1"/>
  <c r="U114" i="68" a="1"/>
  <c r="U114" i="68" s="1"/>
  <c r="X116" i="68" a="1"/>
  <c r="X116" i="68" s="1"/>
  <c r="X113" i="68" a="1"/>
  <c r="X113" i="68" s="1"/>
  <c r="X110" i="68" a="1"/>
  <c r="X110" i="68" s="1"/>
  <c r="X114" i="68" a="1"/>
  <c r="X114" i="68" s="1"/>
  <c r="X111" i="68" a="1"/>
  <c r="X111" i="68" s="1"/>
  <c r="X112" i="68" a="1"/>
  <c r="X112" i="68" s="1"/>
  <c r="X115" i="68" a="1"/>
  <c r="X115" i="68" s="1"/>
  <c r="X117" i="68" a="1"/>
  <c r="X117" i="68" s="1"/>
  <c r="AB112" i="68" a="1"/>
  <c r="AB112" i="68" s="1"/>
  <c r="AB115" i="68" a="1"/>
  <c r="AB115" i="68" s="1"/>
  <c r="AB116" i="68" a="1"/>
  <c r="AB116" i="68" s="1"/>
  <c r="AB110" i="68" a="1"/>
  <c r="AB110" i="68" s="1"/>
  <c r="AB113" i="68" a="1"/>
  <c r="AB113" i="68" s="1"/>
  <c r="AB117" i="68" a="1"/>
  <c r="AB117" i="68" s="1"/>
  <c r="AB111" i="68" a="1"/>
  <c r="AB111" i="68" s="1"/>
  <c r="AB114" i="68" a="1"/>
  <c r="AB114" i="68" s="1"/>
  <c r="T114" i="68" a="1"/>
  <c r="T114" i="68" s="1"/>
  <c r="T112" i="68" a="1"/>
  <c r="T112" i="68" s="1"/>
  <c r="T117" i="68" a="1"/>
  <c r="T117" i="68" s="1"/>
  <c r="T115" i="68" a="1"/>
  <c r="T115" i="68" s="1"/>
  <c r="T113" i="68" a="1"/>
  <c r="T113" i="68" s="1"/>
  <c r="T116" i="68" a="1"/>
  <c r="T116" i="68" s="1"/>
  <c r="T110" i="68" a="1"/>
  <c r="T110" i="68" s="1"/>
  <c r="T111" i="68" a="1"/>
  <c r="T111" i="68" s="1"/>
  <c r="V116" i="68" a="1"/>
  <c r="V116" i="68" s="1"/>
  <c r="V113" i="68" a="1"/>
  <c r="V113" i="68" s="1"/>
  <c r="V110" i="68" a="1"/>
  <c r="V110" i="68" s="1"/>
  <c r="V115" i="68" a="1"/>
  <c r="V115" i="68" s="1"/>
  <c r="V114" i="68" a="1"/>
  <c r="V114" i="68" s="1"/>
  <c r="V111" i="68" a="1"/>
  <c r="V111" i="68" s="1"/>
  <c r="V117" i="68" a="1"/>
  <c r="V117" i="68" s="1"/>
  <c r="V112" i="68" a="1"/>
  <c r="V112" i="68" s="1"/>
  <c r="Z116" i="68" a="1"/>
  <c r="Z116" i="68" s="1"/>
  <c r="Z113" i="68" a="1"/>
  <c r="Z113" i="68" s="1"/>
  <c r="Z112" i="68" a="1"/>
  <c r="Z112" i="68" s="1"/>
  <c r="Z117" i="68" a="1"/>
  <c r="Z117" i="68" s="1"/>
  <c r="Z111" i="68" a="1"/>
  <c r="Z111" i="68" s="1"/>
  <c r="Z110" i="68" a="1"/>
  <c r="Z110" i="68" s="1"/>
  <c r="Z115" i="68" a="1"/>
  <c r="Z115" i="68" s="1"/>
  <c r="Z114" i="68" a="1"/>
  <c r="Z114" i="68" s="1"/>
  <c r="J82" i="72"/>
  <c r="J107" i="72" s="1"/>
  <c r="K82" i="72"/>
  <c r="K107" i="72" s="1"/>
  <c r="AB82" i="72"/>
  <c r="AB107" i="72" s="1"/>
  <c r="AD82" i="72"/>
  <c r="AD107" i="72" s="1"/>
  <c r="Z82" i="72"/>
  <c r="Z107" i="72" s="1"/>
  <c r="Y82" i="72"/>
  <c r="Y107" i="72" s="1"/>
  <c r="O82" i="72"/>
  <c r="O107" i="72" s="1"/>
  <c r="AF82" i="72"/>
  <c r="AF107" i="72" s="1"/>
  <c r="AE82" i="72"/>
  <c r="AE107" i="72" s="1"/>
  <c r="W82" i="72"/>
  <c r="W107" i="72" s="1"/>
  <c r="M82" i="72"/>
  <c r="M107" i="72" s="1"/>
  <c r="N82" i="72"/>
  <c r="N107" i="72" s="1"/>
  <c r="T82" i="72"/>
  <c r="T107" i="72" s="1"/>
  <c r="P82" i="72"/>
  <c r="P107" i="72" s="1"/>
  <c r="R82" i="72"/>
  <c r="R107" i="72" s="1"/>
  <c r="AC82" i="72"/>
  <c r="AC107" i="72" s="1"/>
  <c r="AA82" i="72"/>
  <c r="AA107" i="72" s="1"/>
  <c r="S82" i="72"/>
  <c r="S107" i="72" s="1"/>
  <c r="U82" i="72"/>
  <c r="U107" i="72" s="1"/>
  <c r="AG82" i="72"/>
  <c r="AG107" i="72" s="1"/>
  <c r="X82" i="72"/>
  <c r="X107" i="72" s="1"/>
  <c r="V82" i="72"/>
  <c r="V107" i="72" s="1"/>
  <c r="L82" i="72"/>
  <c r="L107" i="72" s="1"/>
  <c r="J87" i="68"/>
  <c r="J106" i="68" s="1"/>
  <c r="I87" i="68"/>
  <c r="I106" i="68" s="1"/>
  <c r="A1" i="43"/>
  <c r="A1" i="33"/>
  <c r="J115" i="68" l="1" a="1"/>
  <c r="J115" i="68" s="1"/>
  <c r="J112" i="68" a="1"/>
  <c r="J112" i="68" s="1"/>
  <c r="J113" i="68" a="1"/>
  <c r="J113" i="68" s="1"/>
  <c r="J116" i="68" a="1"/>
  <c r="J116" i="68" s="1"/>
  <c r="J110" i="68" a="1"/>
  <c r="J110" i="68" s="1"/>
  <c r="J111" i="68" a="1"/>
  <c r="J111" i="68" s="1"/>
  <c r="J117" i="68" a="1"/>
  <c r="J117" i="68" s="1"/>
  <c r="J114" i="68" a="1"/>
  <c r="J114" i="68" s="1"/>
  <c r="I115" i="68" a="1"/>
  <c r="I115" i="68" s="1"/>
  <c r="I112" i="68" a="1"/>
  <c r="I112" i="68" s="1"/>
  <c r="I114" i="68" a="1"/>
  <c r="I114" i="68" s="1"/>
  <c r="I116" i="68" a="1"/>
  <c r="I116" i="68" s="1"/>
  <c r="I110" i="68" a="1"/>
  <c r="I110" i="68" s="1"/>
  <c r="I117" i="68" a="1"/>
  <c r="I117" i="68" s="1"/>
  <c r="I111" i="68" a="1"/>
  <c r="I111" i="68" s="1"/>
  <c r="I113" i="68" a="1"/>
  <c r="I113" i="68" s="1"/>
  <c r="A2" i="47"/>
  <c r="A1" i="47"/>
  <c r="A2" i="62"/>
  <c r="A1" i="62"/>
  <c r="I6" i="62"/>
  <c r="I13" i="62" l="1"/>
  <c r="J6" i="62"/>
  <c r="J11" i="62" l="1"/>
  <c r="K6" i="62"/>
  <c r="J12" i="62" l="1"/>
  <c r="J13" i="62" s="1"/>
  <c r="I15" i="62"/>
  <c r="K11" i="62"/>
  <c r="K12" i="62" s="1"/>
  <c r="K13" i="62" s="1"/>
  <c r="L6" i="62"/>
  <c r="J15" i="62" l="1"/>
  <c r="L11" i="62"/>
  <c r="M6" i="62"/>
  <c r="L12" i="62" l="1"/>
  <c r="L13" i="62" s="1"/>
  <c r="K15" i="62"/>
  <c r="M11" i="62"/>
  <c r="M12" i="62" l="1"/>
  <c r="M13" i="62" s="1"/>
  <c r="L15" i="62"/>
  <c r="N11" i="62"/>
  <c r="N12" i="62" l="1"/>
  <c r="N13" i="62" s="1"/>
  <c r="M15" i="62"/>
  <c r="O11" i="62"/>
  <c r="D21" i="62" l="1"/>
  <c r="O12" i="62"/>
  <c r="O13" i="62" s="1"/>
  <c r="P11" i="62"/>
  <c r="P12" i="62" s="1"/>
  <c r="P13" i="62" s="1"/>
  <c r="N15" i="62"/>
  <c r="Q11" i="62" l="1"/>
  <c r="Q12" i="62" s="1"/>
  <c r="Q13" i="62" s="1"/>
  <c r="O15" i="62"/>
  <c r="P15" i="62" l="1"/>
  <c r="R11" i="62"/>
  <c r="Q15" i="62" l="1"/>
  <c r="R12" i="62"/>
  <c r="R13" i="62" s="1"/>
  <c r="D22" i="62" l="1"/>
  <c r="D23" i="62" s="1"/>
  <c r="G71" i="43"/>
  <c r="G70" i="43"/>
  <c r="D16" i="62"/>
  <c r="R15" i="62"/>
  <c r="D17" i="62" s="1"/>
  <c r="D19" i="62" l="1"/>
  <c r="AC14" i="85" s="1"/>
  <c r="W30" i="73" a="1"/>
  <c r="W30" i="73" s="1"/>
  <c r="Q30" i="82" a="1"/>
  <c r="Q30" i="82" s="1"/>
  <c r="AF30" i="82" a="1"/>
  <c r="AF30" i="82" s="1"/>
  <c r="AD30" i="73" a="1"/>
  <c r="AD30" i="73" s="1"/>
  <c r="W30" i="82" a="1"/>
  <c r="W30" i="82" s="1"/>
  <c r="Y30" i="82" a="1"/>
  <c r="Y30" i="82" s="1"/>
  <c r="AF30" i="73" a="1"/>
  <c r="AF30" i="73" s="1"/>
  <c r="AB30" i="73" a="1"/>
  <c r="AB30" i="73" s="1"/>
  <c r="S30" i="73" a="1"/>
  <c r="S30" i="73" s="1"/>
  <c r="AC30" i="73" a="1"/>
  <c r="AC30" i="73" s="1"/>
  <c r="L30" i="73" a="1"/>
  <c r="L30" i="73" s="1"/>
  <c r="AC30" i="82" a="1"/>
  <c r="AC30" i="82" s="1"/>
  <c r="X30" i="82" a="1"/>
  <c r="X30" i="82" s="1"/>
  <c r="T30" i="82" a="1"/>
  <c r="T30" i="82" s="1"/>
  <c r="X30" i="73" a="1"/>
  <c r="X30" i="73" s="1"/>
  <c r="AG30" i="82" a="1"/>
  <c r="AG30" i="82" s="1"/>
  <c r="P30" i="82" a="1"/>
  <c r="P30" i="82" s="1"/>
  <c r="I30" i="73" a="1"/>
  <c r="I30" i="73" s="1"/>
  <c r="O30" i="82" a="1"/>
  <c r="O30" i="82" s="1"/>
  <c r="L30" i="82" a="1"/>
  <c r="L30" i="82" s="1"/>
  <c r="R30" i="73" a="1"/>
  <c r="R30" i="73" s="1"/>
  <c r="I30" i="82" a="1"/>
  <c r="I30" i="82" s="1"/>
  <c r="AB30" i="82" a="1"/>
  <c r="AB30" i="82" s="1"/>
  <c r="AE30" i="73" a="1"/>
  <c r="AE30" i="73" s="1"/>
  <c r="Q30" i="73" a="1"/>
  <c r="Q30" i="73" s="1"/>
  <c r="O30" i="73" a="1"/>
  <c r="O30" i="73" s="1"/>
  <c r="J30" i="82" a="1"/>
  <c r="J30" i="82" s="1"/>
  <c r="AG30" i="73" a="1"/>
  <c r="AG30" i="73" s="1"/>
  <c r="Y30" i="73" a="1"/>
  <c r="Y30" i="73" s="1"/>
  <c r="Z30" i="73" a="1"/>
  <c r="Z30" i="73" s="1"/>
  <c r="M30" i="73" a="1"/>
  <c r="M30" i="73" s="1"/>
  <c r="U30" i="82" a="1"/>
  <c r="U30" i="82" s="1"/>
  <c r="AA30" i="73" a="1"/>
  <c r="AA30" i="73" s="1"/>
  <c r="N30" i="82" a="1"/>
  <c r="N30" i="82" s="1"/>
  <c r="AE30" i="82" a="1"/>
  <c r="AE30" i="82" s="1"/>
  <c r="V30" i="82" a="1"/>
  <c r="V30" i="82" s="1"/>
  <c r="AA30" i="82" a="1"/>
  <c r="AA30" i="82" s="1"/>
  <c r="M30" i="82" a="1"/>
  <c r="M30" i="82" s="1"/>
  <c r="P30" i="73" a="1"/>
  <c r="P30" i="73" s="1"/>
  <c r="AD30" i="82" a="1"/>
  <c r="AD30" i="82" s="1"/>
  <c r="K30" i="82" a="1"/>
  <c r="K30" i="82" s="1"/>
  <c r="U30" i="73" a="1"/>
  <c r="U30" i="73" s="1"/>
  <c r="Z30" i="82" a="1"/>
  <c r="Z30" i="82" s="1"/>
  <c r="T30" i="73" a="1"/>
  <c r="T30" i="73" s="1"/>
  <c r="S30" i="82" a="1"/>
  <c r="S30" i="82" s="1"/>
  <c r="J30" i="73" a="1"/>
  <c r="J30" i="73" s="1"/>
  <c r="R30" i="82" a="1"/>
  <c r="R30" i="82" s="1"/>
  <c r="N30" i="73" a="1"/>
  <c r="N30" i="73" s="1"/>
  <c r="V30" i="73" a="1"/>
  <c r="V30" i="73" s="1"/>
  <c r="K30" i="73" a="1"/>
  <c r="K30" i="73" s="1"/>
  <c r="E28" i="73"/>
  <c r="E28" i="81"/>
  <c r="E28" i="72"/>
  <c r="E28" i="68"/>
  <c r="E28" i="82"/>
  <c r="AG14" i="85"/>
  <c r="AE14" i="85"/>
  <c r="AD14" i="85"/>
  <c r="AF14" i="85"/>
  <c r="AB14" i="85"/>
  <c r="N14" i="85"/>
  <c r="T14" i="85"/>
  <c r="L14" i="85"/>
  <c r="V14" i="85"/>
  <c r="K14" i="85"/>
  <c r="M14" i="85"/>
  <c r="O14" i="85"/>
  <c r="H14" i="85"/>
  <c r="I14" i="85"/>
  <c r="S74" i="75"/>
  <c r="N43" i="75"/>
  <c r="N60" i="75"/>
  <c r="L75" i="75"/>
  <c r="K71" i="75"/>
  <c r="W47" i="75"/>
  <c r="P43" i="75"/>
  <c r="V61" i="75"/>
  <c r="O33" i="75"/>
  <c r="N75" i="75"/>
  <c r="N32" i="75"/>
  <c r="T71" i="75"/>
  <c r="S57" i="75"/>
  <c r="K57" i="75"/>
  <c r="T60" i="75"/>
  <c r="Q32" i="75"/>
  <c r="M60" i="75"/>
  <c r="U71" i="75"/>
  <c r="P75" i="75"/>
  <c r="T43" i="75"/>
  <c r="S33" i="75"/>
  <c r="V33" i="75"/>
  <c r="R74" i="75"/>
  <c r="J60" i="75"/>
  <c r="Q71" i="75"/>
  <c r="M74" i="75"/>
  <c r="W61" i="75"/>
  <c r="S32" i="75"/>
  <c r="O47" i="75"/>
  <c r="N57" i="75"/>
  <c r="V43" i="75"/>
  <c r="L60" i="75"/>
  <c r="T47" i="75"/>
  <c r="P71" i="75"/>
  <c r="W33" i="75"/>
  <c r="V57" i="75"/>
  <c r="O57" i="75"/>
  <c r="L32" i="75"/>
  <c r="T75" i="75"/>
  <c r="S61" i="75"/>
  <c r="K75" i="75"/>
  <c r="R57" i="75"/>
  <c r="R32" i="75"/>
  <c r="J74" i="75"/>
  <c r="Q47" i="75"/>
  <c r="M33" i="75"/>
  <c r="U57" i="75"/>
  <c r="V71" i="75"/>
  <c r="R61" i="75"/>
  <c r="J61" i="75"/>
  <c r="J75" i="75"/>
  <c r="M75" i="75"/>
  <c r="U43" i="75"/>
  <c r="O71" i="75"/>
  <c r="O74" i="75"/>
  <c r="N61" i="75"/>
  <c r="L61" i="75"/>
  <c r="T57" i="75"/>
  <c r="K61" i="75"/>
  <c r="R43" i="75"/>
  <c r="J47" i="75"/>
  <c r="S75" i="75"/>
  <c r="K60" i="75"/>
  <c r="V75" i="75"/>
  <c r="R33" i="75"/>
  <c r="J32" i="75"/>
  <c r="S60" i="75"/>
  <c r="Q74" i="75"/>
  <c r="P47" i="75"/>
  <c r="W75" i="75"/>
  <c r="W43" i="75"/>
  <c r="U74" i="75"/>
  <c r="X47" i="75"/>
  <c r="U32" i="75"/>
  <c r="X43" i="75"/>
  <c r="Y61" i="75"/>
  <c r="Y71" i="75"/>
  <c r="Y57" i="75"/>
  <c r="Y75" i="75"/>
  <c r="Y47" i="75"/>
  <c r="W74" i="75"/>
  <c r="Z71" i="75"/>
  <c r="Z57" i="75"/>
  <c r="W60" i="75"/>
  <c r="Z47" i="75"/>
  <c r="Z33" i="75"/>
  <c r="W32" i="75"/>
  <c r="Z43" i="75"/>
  <c r="X74" i="75"/>
  <c r="Y60" i="75"/>
  <c r="AB71" i="75"/>
  <c r="AB43" i="75"/>
  <c r="AB57" i="75"/>
  <c r="AB61" i="75"/>
  <c r="Y74" i="75"/>
  <c r="Y32" i="75"/>
  <c r="AB75" i="75"/>
  <c r="AB47" i="75"/>
  <c r="AB33" i="75"/>
  <c r="Z74" i="75"/>
  <c r="Z32" i="75"/>
  <c r="AA32" i="75"/>
  <c r="AA60" i="75"/>
  <c r="AC47" i="75"/>
  <c r="AB74" i="75"/>
  <c r="AD33" i="75"/>
  <c r="AF43" i="75"/>
  <c r="AE43" i="75"/>
  <c r="AB60" i="75"/>
  <c r="AD71" i="75"/>
  <c r="AF61" i="75"/>
  <c r="AE57" i="75"/>
  <c r="AE33" i="75"/>
  <c r="AF71" i="75"/>
  <c r="AB32" i="75"/>
  <c r="AF47" i="75"/>
  <c r="AD47" i="75"/>
  <c r="AD57" i="75"/>
  <c r="AD61" i="75"/>
  <c r="AD74" i="75"/>
  <c r="AG75" i="75"/>
  <c r="AC32" i="75"/>
  <c r="AG47" i="75"/>
  <c r="AG57" i="75"/>
  <c r="AG33" i="75"/>
  <c r="AE74" i="75"/>
  <c r="AG43" i="75"/>
  <c r="AG61" i="75"/>
  <c r="AE32" i="75"/>
  <c r="AF60" i="75"/>
  <c r="AF32" i="75"/>
  <c r="AF63" i="75"/>
  <c r="W49" i="75"/>
  <c r="AB49" i="75"/>
  <c r="U49" i="75"/>
  <c r="AG63" i="75"/>
  <c r="K49" i="75"/>
  <c r="AD63" i="75"/>
  <c r="Z49" i="75"/>
  <c r="AE63" i="75"/>
  <c r="Y49" i="75"/>
  <c r="AC49" i="75"/>
  <c r="AD49" i="75"/>
  <c r="AA49" i="75"/>
  <c r="N49" i="75"/>
  <c r="S49" i="75"/>
  <c r="AD35" i="75"/>
  <c r="AC35" i="75"/>
  <c r="AG49" i="75"/>
  <c r="AF49" i="75"/>
  <c r="AG35" i="75"/>
  <c r="AC77" i="75"/>
  <c r="AE77" i="75"/>
  <c r="AG77" i="75"/>
  <c r="AC63" i="75"/>
  <c r="S63" i="75"/>
  <c r="Q63" i="75"/>
  <c r="W35" i="75"/>
  <c r="K35" i="75"/>
  <c r="U63" i="75"/>
  <c r="Q35" i="75"/>
  <c r="U35" i="75"/>
  <c r="T63" i="75"/>
  <c r="W63" i="75"/>
  <c r="Q46" i="75"/>
  <c r="AB63" i="75"/>
  <c r="Z35" i="75"/>
  <c r="N77" i="75"/>
  <c r="L63" i="75"/>
  <c r="AB77" i="75"/>
  <c r="M35" i="75"/>
  <c r="Z63" i="75"/>
  <c r="Y63" i="75"/>
  <c r="W77" i="75"/>
  <c r="K63" i="75"/>
  <c r="M77" i="75"/>
  <c r="P77" i="75"/>
  <c r="AA77" i="75"/>
  <c r="U77" i="75"/>
  <c r="Y77" i="75"/>
  <c r="X77" i="75"/>
  <c r="R63" i="75"/>
  <c r="K77" i="75"/>
  <c r="V77" i="75"/>
  <c r="J63" i="75"/>
  <c r="R77" i="75"/>
  <c r="J77" i="75"/>
  <c r="Q77" i="75"/>
  <c r="S77" i="75"/>
  <c r="O35" i="75"/>
  <c r="Z46" i="75"/>
  <c r="AA46" i="75"/>
  <c r="K46" i="75"/>
  <c r="U46" i="75"/>
  <c r="AG46" i="75"/>
  <c r="O46" i="75"/>
  <c r="AC46" i="75"/>
  <c r="M46" i="75"/>
  <c r="L46" i="75"/>
  <c r="Y46" i="75"/>
  <c r="AF46" i="75"/>
  <c r="AE46" i="75"/>
  <c r="T46" i="75"/>
  <c r="S46" i="75"/>
  <c r="R46" i="75"/>
  <c r="Y29" i="75"/>
  <c r="I43" i="75"/>
  <c r="W29" i="75"/>
  <c r="L29" i="75"/>
  <c r="AE29" i="75"/>
  <c r="AG29" i="75"/>
  <c r="I60" i="75"/>
  <c r="Z29" i="75"/>
  <c r="I75" i="75"/>
  <c r="I74" i="75"/>
  <c r="I57" i="75"/>
  <c r="T29" i="75"/>
  <c r="S29" i="75"/>
  <c r="Q29" i="75"/>
  <c r="I71" i="75"/>
  <c r="AF29" i="75"/>
  <c r="M29" i="75"/>
  <c r="R29" i="75"/>
  <c r="AC29" i="75"/>
  <c r="V29" i="75"/>
  <c r="I61" i="75"/>
  <c r="I49" i="75"/>
  <c r="I21" i="75"/>
  <c r="I77" i="75"/>
  <c r="I35" i="75"/>
  <c r="AC20" i="75"/>
  <c r="AF19" i="75"/>
  <c r="AC19" i="75"/>
  <c r="AE19" i="75"/>
  <c r="AD20" i="75"/>
  <c r="AD18" i="75"/>
  <c r="AE18" i="75"/>
  <c r="AF18" i="75"/>
  <c r="AG21" i="75"/>
  <c r="AC21" i="75"/>
  <c r="AE21" i="75"/>
  <c r="AD21" i="75"/>
  <c r="L20" i="75"/>
  <c r="K20" i="75"/>
  <c r="AB20" i="75"/>
  <c r="N20" i="75"/>
  <c r="O20" i="75"/>
  <c r="X20" i="75"/>
  <c r="S20" i="75"/>
  <c r="V20" i="75"/>
  <c r="Z20" i="75"/>
  <c r="J20" i="75"/>
  <c r="K19" i="75"/>
  <c r="N19" i="75"/>
  <c r="M19" i="75"/>
  <c r="Z19" i="75"/>
  <c r="L19" i="75"/>
  <c r="W19" i="75"/>
  <c r="P19" i="75"/>
  <c r="V19" i="75"/>
  <c r="Q19" i="75"/>
  <c r="R19" i="75"/>
  <c r="AB19" i="75"/>
  <c r="Y19" i="75"/>
  <c r="J19" i="75"/>
  <c r="Q21" i="75"/>
  <c r="Y21" i="75"/>
  <c r="O21" i="75"/>
  <c r="N21" i="75"/>
  <c r="M21" i="75"/>
  <c r="P21" i="75"/>
  <c r="Z21" i="75"/>
  <c r="J21" i="75"/>
  <c r="V21" i="75"/>
  <c r="T21" i="75"/>
  <c r="W21" i="75"/>
  <c r="S21" i="75"/>
  <c r="U21" i="75"/>
  <c r="AB21" i="75"/>
  <c r="X18" i="75"/>
  <c r="Q18" i="75"/>
  <c r="W18" i="75"/>
  <c r="S18" i="75"/>
  <c r="AA18" i="75"/>
  <c r="V18" i="75"/>
  <c r="P18" i="75"/>
  <c r="M18" i="75"/>
  <c r="J18" i="75"/>
  <c r="K18" i="75"/>
  <c r="A2" i="33"/>
  <c r="AA75" i="75" l="1"/>
  <c r="L74" i="75"/>
  <c r="U61" i="75"/>
  <c r="K21" i="75"/>
  <c r="AA20" i="75"/>
  <c r="AC18" i="75"/>
  <c r="AC22" i="75" s="1"/>
  <c r="X29" i="75"/>
  <c r="X46" i="75"/>
  <c r="O63" i="75"/>
  <c r="J49" i="75"/>
  <c r="T49" i="75"/>
  <c r="AF33" i="75"/>
  <c r="AC61" i="75"/>
  <c r="Y33" i="75"/>
  <c r="L71" i="75"/>
  <c r="L43" i="75"/>
  <c r="M71" i="75"/>
  <c r="M43" i="75"/>
  <c r="U14" i="85"/>
  <c r="T19" i="75"/>
  <c r="T20" i="75"/>
  <c r="AB29" i="75"/>
  <c r="I18" i="75"/>
  <c r="X63" i="75"/>
  <c r="L35" i="75"/>
  <c r="L49" i="75"/>
  <c r="AF57" i="75"/>
  <c r="AC33" i="75"/>
  <c r="V60" i="75"/>
  <c r="O75" i="75"/>
  <c r="R60" i="75"/>
  <c r="O61" i="75"/>
  <c r="Q14" i="85"/>
  <c r="AA19" i="75"/>
  <c r="U20" i="75"/>
  <c r="AA29" i="75"/>
  <c r="I15" i="75"/>
  <c r="F15" i="75" s="1"/>
  <c r="L77" i="75"/>
  <c r="T35" i="75"/>
  <c r="AG32" i="75"/>
  <c r="AC57" i="75"/>
  <c r="X33" i="75"/>
  <c r="R47" i="75"/>
  <c r="Q61" i="75"/>
  <c r="AA14" i="85"/>
  <c r="Z18" i="75"/>
  <c r="Z22" i="75" s="1"/>
  <c r="X19" i="75"/>
  <c r="Q20" i="75"/>
  <c r="Q22" i="75" s="1"/>
  <c r="AG19" i="75"/>
  <c r="AD29" i="75"/>
  <c r="I20" i="75"/>
  <c r="M63" i="75"/>
  <c r="S35" i="75"/>
  <c r="R35" i="75"/>
  <c r="AE35" i="75"/>
  <c r="AG74" i="75"/>
  <c r="AF75" i="75"/>
  <c r="AC75" i="75"/>
  <c r="X60" i="75"/>
  <c r="X61" i="75"/>
  <c r="Q33" i="75"/>
  <c r="Q57" i="75"/>
  <c r="K74" i="75"/>
  <c r="P61" i="75"/>
  <c r="J43" i="75"/>
  <c r="Y14" i="85"/>
  <c r="M49" i="75"/>
  <c r="AE61" i="75"/>
  <c r="AC60" i="75"/>
  <c r="V74" i="75"/>
  <c r="T33" i="75"/>
  <c r="M32" i="75"/>
  <c r="L47" i="75"/>
  <c r="S14" i="85"/>
  <c r="U18" i="75"/>
  <c r="O29" i="75"/>
  <c r="AA35" i="75"/>
  <c r="AA57" i="75"/>
  <c r="N47" i="75"/>
  <c r="R18" i="75"/>
  <c r="AD19" i="75"/>
  <c r="AB46" i="75"/>
  <c r="Q49" i="75"/>
  <c r="AA61" i="75"/>
  <c r="N71" i="75"/>
  <c r="Q60" i="75"/>
  <c r="L18" i="75"/>
  <c r="AE20" i="75"/>
  <c r="AE22" i="75" s="1"/>
  <c r="J46" i="75"/>
  <c r="AF77" i="75"/>
  <c r="AD60" i="75"/>
  <c r="AA43" i="75"/>
  <c r="U33" i="75"/>
  <c r="W71" i="75"/>
  <c r="I33" i="75"/>
  <c r="AB18" i="75"/>
  <c r="AB22" i="75" s="1"/>
  <c r="U19" i="75"/>
  <c r="M20" i="75"/>
  <c r="M22" i="75" s="1"/>
  <c r="AF20" i="75"/>
  <c r="K29" i="75"/>
  <c r="I19" i="75"/>
  <c r="X35" i="75"/>
  <c r="N35" i="75"/>
  <c r="P35" i="75"/>
  <c r="AE49" i="75"/>
  <c r="AG60" i="75"/>
  <c r="AD75" i="75"/>
  <c r="AA74" i="75"/>
  <c r="AA47" i="75"/>
  <c r="X71" i="75"/>
  <c r="J57" i="75"/>
  <c r="P33" i="75"/>
  <c r="S71" i="75"/>
  <c r="W57" i="75"/>
  <c r="R71" i="75"/>
  <c r="AC99" i="75"/>
  <c r="J99" i="75"/>
  <c r="AD99" i="75"/>
  <c r="K99" i="75"/>
  <c r="L99" i="75"/>
  <c r="I99" i="75"/>
  <c r="N99" i="75"/>
  <c r="M99" i="75"/>
  <c r="P99" i="75"/>
  <c r="Q99" i="75"/>
  <c r="R99" i="75"/>
  <c r="V99" i="75"/>
  <c r="S99" i="75"/>
  <c r="X99" i="75"/>
  <c r="AB99" i="75"/>
  <c r="Y99" i="75"/>
  <c r="T99" i="75"/>
  <c r="U99" i="75"/>
  <c r="Z99" i="75"/>
  <c r="AA99" i="75"/>
  <c r="O99" i="75"/>
  <c r="W99" i="75"/>
  <c r="H79" i="85"/>
  <c r="H76" i="85"/>
  <c r="H56" i="85"/>
  <c r="H64" i="85"/>
  <c r="H58" i="85"/>
  <c r="H72" i="85"/>
  <c r="H42" i="85"/>
  <c r="H65" i="85"/>
  <c r="H63" i="85"/>
  <c r="H70" i="85"/>
  <c r="H77" i="85"/>
  <c r="H75" i="85"/>
  <c r="H62" i="85"/>
  <c r="H78" i="85"/>
  <c r="H60" i="85"/>
  <c r="H74" i="85"/>
  <c r="H61" i="85"/>
  <c r="H73" i="85"/>
  <c r="H59" i="85"/>
  <c r="I32" i="75"/>
  <c r="X32" i="75"/>
  <c r="W14" i="85"/>
  <c r="T61" i="75"/>
  <c r="R75" i="75"/>
  <c r="U75" i="75"/>
  <c r="N33" i="75"/>
  <c r="K33" i="75"/>
  <c r="O32" i="75"/>
  <c r="U60" i="75"/>
  <c r="Z75" i="75"/>
  <c r="Z60" i="75"/>
  <c r="AE75" i="75"/>
  <c r="AD32" i="75"/>
  <c r="R49" i="75"/>
  <c r="P49" i="75"/>
  <c r="P63" i="75"/>
  <c r="V35" i="75"/>
  <c r="Y35" i="75"/>
  <c r="N46" i="75"/>
  <c r="I29" i="75"/>
  <c r="I46" i="75"/>
  <c r="W20" i="75"/>
  <c r="W22" i="75" s="1"/>
  <c r="O19" i="75"/>
  <c r="X21" i="75"/>
  <c r="N18" i="75"/>
  <c r="N22" i="75" s="1"/>
  <c r="P14" i="85"/>
  <c r="S47" i="75"/>
  <c r="Q43" i="75"/>
  <c r="P74" i="75"/>
  <c r="L33" i="75"/>
  <c r="K43" i="75"/>
  <c r="N74" i="75"/>
  <c r="X75" i="75"/>
  <c r="Z61" i="75"/>
  <c r="Y18" i="75"/>
  <c r="AA21" i="75"/>
  <c r="AA22" i="75" s="1"/>
  <c r="Y20" i="75"/>
  <c r="AG18" i="75"/>
  <c r="J29" i="75"/>
  <c r="U29" i="75"/>
  <c r="W46" i="75"/>
  <c r="N63" i="75"/>
  <c r="V63" i="75"/>
  <c r="J35" i="75"/>
  <c r="X49" i="75"/>
  <c r="AF74" i="75"/>
  <c r="AD43" i="75"/>
  <c r="AC71" i="75"/>
  <c r="AA71" i="75"/>
  <c r="X57" i="75"/>
  <c r="M57" i="75"/>
  <c r="O60" i="75"/>
  <c r="J71" i="75"/>
  <c r="V47" i="75"/>
  <c r="P57" i="75"/>
  <c r="Z14" i="85"/>
  <c r="R14" i="85"/>
  <c r="T74" i="75"/>
  <c r="J33" i="75"/>
  <c r="M47" i="75"/>
  <c r="P60" i="75"/>
  <c r="T32" i="75"/>
  <c r="K47" i="75"/>
  <c r="U47" i="75"/>
  <c r="V32" i="75"/>
  <c r="AC43" i="75"/>
  <c r="AE71" i="75"/>
  <c r="AE60" i="75"/>
  <c r="O49" i="75"/>
  <c r="AF35" i="75"/>
  <c r="O77" i="75"/>
  <c r="Z77" i="75"/>
  <c r="AB35" i="75"/>
  <c r="AD46" i="75"/>
  <c r="I47" i="75"/>
  <c r="N29" i="75"/>
  <c r="AG20" i="75"/>
  <c r="R20" i="75"/>
  <c r="S19" i="75"/>
  <c r="S22" i="75" s="1"/>
  <c r="R21" i="75"/>
  <c r="O18" i="75"/>
  <c r="X14" i="85"/>
  <c r="T18" i="75"/>
  <c r="L21" i="75"/>
  <c r="P20" i="75"/>
  <c r="P22" i="75" s="1"/>
  <c r="AF21" i="75"/>
  <c r="I63" i="75"/>
  <c r="P29" i="75"/>
  <c r="P46" i="75"/>
  <c r="V46" i="75"/>
  <c r="AA63" i="75"/>
  <c r="T77" i="75"/>
  <c r="V49" i="75"/>
  <c r="AD77" i="75"/>
  <c r="AG71" i="75"/>
  <c r="AE47" i="75"/>
  <c r="AC74" i="75"/>
  <c r="AA33" i="75"/>
  <c r="Y43" i="75"/>
  <c r="M61" i="75"/>
  <c r="S43" i="75"/>
  <c r="P32" i="75"/>
  <c r="Q75" i="75"/>
  <c r="K32" i="75"/>
  <c r="L57" i="75"/>
  <c r="O43" i="75"/>
  <c r="J14" i="85"/>
  <c r="F28" i="82"/>
  <c r="F28" i="68"/>
  <c r="F28" i="72"/>
  <c r="F28" i="81"/>
  <c r="F28" i="73"/>
  <c r="I22" i="75"/>
  <c r="AD22" i="75"/>
  <c r="K22" i="75"/>
  <c r="V22" i="75"/>
  <c r="J22" i="75"/>
  <c r="U22" i="75" l="1"/>
  <c r="L22" i="75"/>
  <c r="X22" i="75"/>
  <c r="T22" i="75"/>
  <c r="AF22" i="75"/>
  <c r="F19" i="75"/>
  <c r="AE99" i="75"/>
  <c r="AF99" i="75"/>
  <c r="AG99" i="75"/>
  <c r="F29" i="75" a="1"/>
  <c r="F29" i="75" s="1"/>
  <c r="AG22" i="75"/>
  <c r="F74" i="75" a="1"/>
  <c r="F74" i="75" s="1"/>
  <c r="F63" i="75"/>
  <c r="F77" i="75"/>
  <c r="Y22" i="75"/>
  <c r="F46" i="75"/>
  <c r="F57" i="75"/>
  <c r="F35" i="75" a="1"/>
  <c r="F35" i="75" s="1"/>
  <c r="F75" i="75" a="1"/>
  <c r="F75" i="75" s="1"/>
  <c r="F71" i="75"/>
  <c r="F43" i="75"/>
  <c r="F61" i="75"/>
  <c r="F20" i="75"/>
  <c r="O22" i="75"/>
  <c r="F14" i="85"/>
  <c r="F60" i="75"/>
  <c r="F49" i="75"/>
  <c r="F32" i="75" a="1"/>
  <c r="F32" i="75" s="1"/>
  <c r="F33" i="75" a="1"/>
  <c r="F33" i="75" s="1"/>
  <c r="F47" i="75"/>
  <c r="F18" i="75"/>
  <c r="F21" i="75"/>
  <c r="R22" i="75"/>
  <c r="L36" i="72"/>
  <c r="L44" i="75" s="1"/>
  <c r="L42" i="75"/>
  <c r="T30" i="75"/>
  <c r="T28" i="75"/>
  <c r="AG30" i="75"/>
  <c r="AG28" i="75"/>
  <c r="N36" i="72"/>
  <c r="N44" i="75" s="1"/>
  <c r="N42" i="75"/>
  <c r="I36" i="68"/>
  <c r="I14" i="75"/>
  <c r="R36" i="82"/>
  <c r="R72" i="75" s="1"/>
  <c r="R70" i="75"/>
  <c r="L36" i="68"/>
  <c r="L14" i="75"/>
  <c r="AF36" i="73"/>
  <c r="AF58" i="75" s="1"/>
  <c r="AF56" i="75"/>
  <c r="AF30" i="75"/>
  <c r="AF28" i="75"/>
  <c r="Z30" i="75"/>
  <c r="Z28" i="75"/>
  <c r="Q36" i="72"/>
  <c r="Q44" i="75" s="1"/>
  <c r="Q42" i="75"/>
  <c r="Z36" i="68"/>
  <c r="Z14" i="75"/>
  <c r="I36" i="82"/>
  <c r="I72" i="75" s="1"/>
  <c r="I70" i="75"/>
  <c r="X36" i="73"/>
  <c r="X58" i="75" s="1"/>
  <c r="X56" i="75"/>
  <c r="K30" i="75"/>
  <c r="K28" i="75"/>
  <c r="AE36" i="72"/>
  <c r="AE44" i="75" s="1"/>
  <c r="AE42" i="75"/>
  <c r="K36" i="72"/>
  <c r="K44" i="75" s="1"/>
  <c r="K42" i="75"/>
  <c r="N36" i="68"/>
  <c r="N14" i="75"/>
  <c r="AA36" i="82"/>
  <c r="AA72" i="75" s="1"/>
  <c r="AA70" i="75"/>
  <c r="O36" i="73"/>
  <c r="O58" i="75" s="1"/>
  <c r="O56" i="75"/>
  <c r="Q30" i="75"/>
  <c r="Q28" i="75"/>
  <c r="J36" i="72"/>
  <c r="J44" i="75" s="1"/>
  <c r="J42" i="75"/>
  <c r="R36" i="72"/>
  <c r="R44" i="75" s="1"/>
  <c r="R42" i="75"/>
  <c r="AG36" i="68"/>
  <c r="AG14" i="75"/>
  <c r="J36" i="82"/>
  <c r="J70" i="75"/>
  <c r="AD36" i="68"/>
  <c r="AD14" i="75"/>
  <c r="AB36" i="82"/>
  <c r="AB72" i="75" s="1"/>
  <c r="AB70" i="75"/>
  <c r="AE36" i="73"/>
  <c r="AE58" i="75" s="1"/>
  <c r="AE56" i="75"/>
  <c r="U30" i="75"/>
  <c r="U28" i="75"/>
  <c r="V36" i="72"/>
  <c r="V44" i="75" s="1"/>
  <c r="V42" i="75"/>
  <c r="AD36" i="72"/>
  <c r="AD44" i="75" s="1"/>
  <c r="AD42" i="75"/>
  <c r="V36" i="73"/>
  <c r="V58" i="75" s="1"/>
  <c r="V56" i="75"/>
  <c r="R30" i="75"/>
  <c r="R28" i="75"/>
  <c r="M36" i="72"/>
  <c r="M44" i="75" s="1"/>
  <c r="M42" i="75"/>
  <c r="T36" i="72"/>
  <c r="T44" i="75" s="1"/>
  <c r="T42" i="75"/>
  <c r="Y36" i="68"/>
  <c r="Y14" i="75"/>
  <c r="U36" i="82"/>
  <c r="U72" i="75" s="1"/>
  <c r="U70" i="75"/>
  <c r="AB36" i="73"/>
  <c r="AB58" i="75" s="1"/>
  <c r="AB56" i="75"/>
  <c r="N30" i="75"/>
  <c r="N28" i="75"/>
  <c r="AC36" i="72"/>
  <c r="AC44" i="75" s="1"/>
  <c r="AC42" i="75"/>
  <c r="Y36" i="72"/>
  <c r="Y44" i="75" s="1"/>
  <c r="Y42" i="75"/>
  <c r="O36" i="68"/>
  <c r="O14" i="75"/>
  <c r="P36" i="82"/>
  <c r="P72" i="75" s="1"/>
  <c r="P70" i="75"/>
  <c r="S36" i="73"/>
  <c r="S58" i="75" s="1"/>
  <c r="S56" i="75"/>
  <c r="X30" i="75"/>
  <c r="X28" i="75"/>
  <c r="AG36" i="72"/>
  <c r="AG44" i="75" s="1"/>
  <c r="AG42" i="75"/>
  <c r="AA36" i="68"/>
  <c r="AA14" i="75"/>
  <c r="AE36" i="82"/>
  <c r="AE72" i="75" s="1"/>
  <c r="AE70" i="75"/>
  <c r="T36" i="73"/>
  <c r="T58" i="75" s="1"/>
  <c r="T56" i="75"/>
  <c r="J30" i="75"/>
  <c r="J28" i="75"/>
  <c r="AB36" i="72"/>
  <c r="AB44" i="75" s="1"/>
  <c r="AB42" i="75"/>
  <c r="M36" i="68"/>
  <c r="M14" i="75"/>
  <c r="X36" i="68"/>
  <c r="X14" i="75"/>
  <c r="T36" i="82"/>
  <c r="T72" i="75" s="1"/>
  <c r="T70" i="75"/>
  <c r="AF36" i="82"/>
  <c r="AF72" i="75" s="1"/>
  <c r="AF70" i="75"/>
  <c r="AB30" i="75"/>
  <c r="AB28" i="75"/>
  <c r="AF36" i="68"/>
  <c r="AF14" i="75"/>
  <c r="Y36" i="73"/>
  <c r="Y58" i="75" s="1"/>
  <c r="Y56" i="75"/>
  <c r="Q36" i="73"/>
  <c r="Q58" i="75" s="1"/>
  <c r="Q56" i="75"/>
  <c r="P30" i="75"/>
  <c r="P28" i="75"/>
  <c r="O36" i="72"/>
  <c r="O44" i="75" s="1"/>
  <c r="O42" i="75"/>
  <c r="W36" i="68"/>
  <c r="W14" i="75"/>
  <c r="T36" i="68"/>
  <c r="T14" i="75"/>
  <c r="M36" i="82"/>
  <c r="M72" i="75" s="1"/>
  <c r="M70" i="75"/>
  <c r="K36" i="73"/>
  <c r="K58" i="75" s="1"/>
  <c r="K56" i="75"/>
  <c r="R36" i="73"/>
  <c r="R58" i="75" s="1"/>
  <c r="R56" i="75"/>
  <c r="M30" i="75"/>
  <c r="M28" i="75"/>
  <c r="P36" i="72"/>
  <c r="P44" i="75" s="1"/>
  <c r="P42" i="75"/>
  <c r="V36" i="68"/>
  <c r="V14" i="75"/>
  <c r="Q36" i="68"/>
  <c r="Q14" i="75"/>
  <c r="L36" i="82"/>
  <c r="L72" i="75" s="1"/>
  <c r="L70" i="75"/>
  <c r="U36" i="73"/>
  <c r="U58" i="75" s="1"/>
  <c r="U56" i="75"/>
  <c r="I36" i="81"/>
  <c r="I30" i="75" s="1"/>
  <c r="I28" i="75"/>
  <c r="AA36" i="72"/>
  <c r="AA44" i="75" s="1"/>
  <c r="AA42" i="75"/>
  <c r="U36" i="68"/>
  <c r="U14" i="75"/>
  <c r="K36" i="68"/>
  <c r="K14" i="75"/>
  <c r="O36" i="82"/>
  <c r="O72" i="75" s="1"/>
  <c r="O70" i="75"/>
  <c r="I36" i="73"/>
  <c r="I58" i="75" s="1"/>
  <c r="I56" i="75"/>
  <c r="J36" i="73"/>
  <c r="J58" i="75" s="1"/>
  <c r="J56" i="75"/>
  <c r="O30" i="75"/>
  <c r="O28" i="75"/>
  <c r="X36" i="72"/>
  <c r="X44" i="75" s="1"/>
  <c r="X42" i="75"/>
  <c r="P36" i="68"/>
  <c r="P14" i="75"/>
  <c r="AG36" i="82"/>
  <c r="AG72" i="75" s="1"/>
  <c r="AG70" i="75"/>
  <c r="P36" i="73"/>
  <c r="P58" i="75" s="1"/>
  <c r="P56" i="75"/>
  <c r="AD36" i="73"/>
  <c r="AD58" i="75" s="1"/>
  <c r="AD56" i="75"/>
  <c r="Y30" i="75"/>
  <c r="Y28" i="75"/>
  <c r="U36" i="72"/>
  <c r="U44" i="75" s="1"/>
  <c r="U42" i="75"/>
  <c r="R36" i="68"/>
  <c r="R14" i="75"/>
  <c r="N36" i="82"/>
  <c r="N72" i="75" s="1"/>
  <c r="N70" i="75"/>
  <c r="K36" i="82"/>
  <c r="K72" i="75" s="1"/>
  <c r="K70" i="75"/>
  <c r="AC36" i="68"/>
  <c r="AC14" i="75"/>
  <c r="AC36" i="82"/>
  <c r="AC72" i="75" s="1"/>
  <c r="AC70" i="75"/>
  <c r="N36" i="73"/>
  <c r="N58" i="75" s="1"/>
  <c r="N56" i="75"/>
  <c r="W30" i="75"/>
  <c r="W28" i="75"/>
  <c r="S30" i="75"/>
  <c r="S28" i="75"/>
  <c r="W36" i="72"/>
  <c r="W44" i="75" s="1"/>
  <c r="W42" i="75"/>
  <c r="J36" i="68"/>
  <c r="J14" i="75"/>
  <c r="X36" i="82"/>
  <c r="X72" i="75" s="1"/>
  <c r="X70" i="75"/>
  <c r="Y36" i="82"/>
  <c r="Y72" i="75" s="1"/>
  <c r="Y70" i="75"/>
  <c r="L36" i="73"/>
  <c r="L58" i="75" s="1"/>
  <c r="L56" i="75"/>
  <c r="AC36" i="73"/>
  <c r="AC58" i="75" s="1"/>
  <c r="AC56" i="75"/>
  <c r="AG36" i="73"/>
  <c r="AG58" i="75" s="1"/>
  <c r="AG56" i="75"/>
  <c r="Z36" i="73"/>
  <c r="Z58" i="75" s="1"/>
  <c r="Z56" i="75"/>
  <c r="AA30" i="75"/>
  <c r="AA28" i="75"/>
  <c r="Z36" i="72"/>
  <c r="Z44" i="75" s="1"/>
  <c r="Z42" i="75"/>
  <c r="S36" i="68"/>
  <c r="S14" i="75"/>
  <c r="Z36" i="82"/>
  <c r="Z72" i="75" s="1"/>
  <c r="Z70" i="75"/>
  <c r="V36" i="82"/>
  <c r="V72" i="75" s="1"/>
  <c r="V70" i="75"/>
  <c r="AA36" i="73"/>
  <c r="AA58" i="75" s="1"/>
  <c r="AA56" i="75"/>
  <c r="AE30" i="75"/>
  <c r="AE28" i="75"/>
  <c r="AD30" i="75"/>
  <c r="AD28" i="75"/>
  <c r="AF36" i="72"/>
  <c r="AF44" i="75" s="1"/>
  <c r="AF42" i="75"/>
  <c r="AB36" i="68"/>
  <c r="AB14" i="75"/>
  <c r="Q36" i="82"/>
  <c r="Q72" i="75" s="1"/>
  <c r="Q70" i="75"/>
  <c r="AD36" i="82"/>
  <c r="AD72" i="75" s="1"/>
  <c r="AD70" i="75"/>
  <c r="I36" i="72"/>
  <c r="I44" i="75" s="1"/>
  <c r="I42" i="75"/>
  <c r="W36" i="73"/>
  <c r="W58" i="75" s="1"/>
  <c r="W56" i="75"/>
  <c r="L30" i="75"/>
  <c r="L28" i="75"/>
  <c r="M36" i="73"/>
  <c r="M58" i="75" s="1"/>
  <c r="M56" i="75"/>
  <c r="AC30" i="75"/>
  <c r="AC28" i="75"/>
  <c r="V30" i="75"/>
  <c r="V28" i="75"/>
  <c r="S36" i="72"/>
  <c r="S44" i="75" s="1"/>
  <c r="S42" i="75"/>
  <c r="AE36" i="68"/>
  <c r="AE14" i="75"/>
  <c r="S36" i="82"/>
  <c r="S72" i="75" s="1"/>
  <c r="S70" i="75"/>
  <c r="W36" i="82"/>
  <c r="W72" i="75" s="1"/>
  <c r="W70" i="75"/>
  <c r="D99" i="75" l="1"/>
  <c r="C90" i="85"/>
  <c r="F39" i="33" s="1"/>
  <c r="F30" i="75" a="1"/>
  <c r="F30" i="75" s="1"/>
  <c r="AC64" i="82"/>
  <c r="AC84" i="82" s="1"/>
  <c r="AC108" i="82" s="1"/>
  <c r="AC64" i="81"/>
  <c r="AC84" i="81" s="1"/>
  <c r="AC108" i="81" s="1"/>
  <c r="AC64" i="72"/>
  <c r="AC84" i="72" s="1"/>
  <c r="AC108" i="72" s="1"/>
  <c r="AC64" i="73"/>
  <c r="AC84" i="73" s="1"/>
  <c r="AC108" i="73" s="1"/>
  <c r="AC16" i="75"/>
  <c r="P64" i="81"/>
  <c r="P64" i="72"/>
  <c r="P64" i="73"/>
  <c r="P64" i="82"/>
  <c r="P16" i="75"/>
  <c r="U64" i="73"/>
  <c r="U84" i="73" s="1"/>
  <c r="U108" i="73" s="1"/>
  <c r="U64" i="72"/>
  <c r="U84" i="72" s="1"/>
  <c r="U108" i="72" s="1"/>
  <c r="U64" i="82"/>
  <c r="U84" i="82" s="1"/>
  <c r="U108" i="82" s="1"/>
  <c r="U64" i="81"/>
  <c r="U84" i="81" s="1"/>
  <c r="U108" i="81" s="1"/>
  <c r="U16" i="75"/>
  <c r="F42" i="75"/>
  <c r="J64" i="82"/>
  <c r="J72" i="75"/>
  <c r="F72" i="75" s="1"/>
  <c r="AE64" i="73"/>
  <c r="AE84" i="73" s="1"/>
  <c r="AE108" i="73" s="1"/>
  <c r="AE64" i="81"/>
  <c r="AE84" i="81" s="1"/>
  <c r="AE108" i="81" s="1"/>
  <c r="AE64" i="82"/>
  <c r="AE84" i="82" s="1"/>
  <c r="AE108" i="82" s="1"/>
  <c r="AE64" i="72"/>
  <c r="AE84" i="72" s="1"/>
  <c r="AE108" i="72" s="1"/>
  <c r="AE16" i="75"/>
  <c r="F44" i="75"/>
  <c r="F28" i="75"/>
  <c r="O64" i="81"/>
  <c r="O84" i="81" s="1"/>
  <c r="O108" i="81" s="1"/>
  <c r="O64" i="82"/>
  <c r="O64" i="72"/>
  <c r="O64" i="73"/>
  <c r="O16" i="75"/>
  <c r="J64" i="81"/>
  <c r="J84" i="81" s="1"/>
  <c r="J108" i="81" s="1"/>
  <c r="J64" i="73"/>
  <c r="J64" i="72"/>
  <c r="J16" i="75"/>
  <c r="S64" i="82"/>
  <c r="S84" i="82" s="1"/>
  <c r="S108" i="82" s="1"/>
  <c r="S64" i="72"/>
  <c r="S84" i="72" s="1"/>
  <c r="S108" i="72" s="1"/>
  <c r="S64" i="81"/>
  <c r="S84" i="81" s="1"/>
  <c r="S108" i="81" s="1"/>
  <c r="S64" i="73"/>
  <c r="S84" i="73" s="1"/>
  <c r="S108" i="73" s="1"/>
  <c r="S16" i="75"/>
  <c r="AG64" i="81"/>
  <c r="AG84" i="81" s="1"/>
  <c r="AG108" i="81" s="1"/>
  <c r="AG64" i="73"/>
  <c r="AG84" i="73" s="1"/>
  <c r="AG108" i="73" s="1"/>
  <c r="AG64" i="82"/>
  <c r="AG84" i="82" s="1"/>
  <c r="AG108" i="82" s="1"/>
  <c r="AG64" i="72"/>
  <c r="AG84" i="72" s="1"/>
  <c r="AG108" i="72" s="1"/>
  <c r="AG16" i="75"/>
  <c r="L64" i="81"/>
  <c r="L84" i="81" s="1"/>
  <c r="L108" i="81" s="1"/>
  <c r="L64" i="82"/>
  <c r="L64" i="72"/>
  <c r="L64" i="73"/>
  <c r="L16" i="75"/>
  <c r="AF64" i="81"/>
  <c r="AF84" i="81" s="1"/>
  <c r="AF108" i="81" s="1"/>
  <c r="AF64" i="73"/>
  <c r="AF84" i="73" s="1"/>
  <c r="AF108" i="73" s="1"/>
  <c r="AF64" i="82"/>
  <c r="AF84" i="82" s="1"/>
  <c r="AF108" i="82" s="1"/>
  <c r="AF64" i="72"/>
  <c r="AF84" i="72" s="1"/>
  <c r="AF108" i="72" s="1"/>
  <c r="AF16" i="75"/>
  <c r="R64" i="82"/>
  <c r="R84" i="82" s="1"/>
  <c r="R108" i="82" s="1"/>
  <c r="R64" i="73"/>
  <c r="R84" i="73" s="1"/>
  <c r="R108" i="73" s="1"/>
  <c r="R64" i="72"/>
  <c r="R84" i="72" s="1"/>
  <c r="R108" i="72" s="1"/>
  <c r="R64" i="81"/>
  <c r="R84" i="81" s="1"/>
  <c r="R108" i="81" s="1"/>
  <c r="R16" i="75"/>
  <c r="F56" i="75"/>
  <c r="F70" i="75"/>
  <c r="F14" i="75"/>
  <c r="AA64" i="82"/>
  <c r="AA84" i="82" s="1"/>
  <c r="AA108" i="82" s="1"/>
  <c r="AA64" i="72"/>
  <c r="AA84" i="72" s="1"/>
  <c r="AA108" i="72" s="1"/>
  <c r="AA64" i="73"/>
  <c r="AA84" i="73" s="1"/>
  <c r="AA108" i="73" s="1"/>
  <c r="AA64" i="81"/>
  <c r="AA84" i="81" s="1"/>
  <c r="AA108" i="81" s="1"/>
  <c r="AA16" i="75"/>
  <c r="I64" i="72"/>
  <c r="I64" i="82"/>
  <c r="I64" i="73"/>
  <c r="I64" i="81"/>
  <c r="I84" i="81" s="1"/>
  <c r="I108" i="81" s="1"/>
  <c r="I16" i="75"/>
  <c r="K64" i="73"/>
  <c r="K64" i="72"/>
  <c r="K64" i="81"/>
  <c r="K84" i="81" s="1"/>
  <c r="K108" i="81" s="1"/>
  <c r="K64" i="82"/>
  <c r="K16" i="75"/>
  <c r="V64" i="81"/>
  <c r="V84" i="81" s="1"/>
  <c r="V108" i="81" s="1"/>
  <c r="V64" i="82"/>
  <c r="V84" i="82" s="1"/>
  <c r="V108" i="82" s="1"/>
  <c r="V64" i="73"/>
  <c r="V84" i="73" s="1"/>
  <c r="V108" i="73" s="1"/>
  <c r="V64" i="72"/>
  <c r="V84" i="72" s="1"/>
  <c r="V108" i="72" s="1"/>
  <c r="V16" i="75"/>
  <c r="W64" i="81"/>
  <c r="W84" i="81" s="1"/>
  <c r="W108" i="81" s="1"/>
  <c r="W64" i="82"/>
  <c r="W84" i="82" s="1"/>
  <c r="W108" i="82" s="1"/>
  <c r="W64" i="72"/>
  <c r="W84" i="72" s="1"/>
  <c r="W108" i="72" s="1"/>
  <c r="W64" i="73"/>
  <c r="W84" i="73" s="1"/>
  <c r="W108" i="73" s="1"/>
  <c r="W16" i="75"/>
  <c r="Z64" i="72"/>
  <c r="Z84" i="72" s="1"/>
  <c r="Z108" i="72" s="1"/>
  <c r="Z64" i="81"/>
  <c r="Z84" i="81" s="1"/>
  <c r="Z108" i="81" s="1"/>
  <c r="Z64" i="73"/>
  <c r="Z84" i="73" s="1"/>
  <c r="Z108" i="73" s="1"/>
  <c r="Z64" i="82"/>
  <c r="Z84" i="82" s="1"/>
  <c r="Z108" i="82" s="1"/>
  <c r="Z16" i="75"/>
  <c r="AB64" i="72"/>
  <c r="AB84" i="72" s="1"/>
  <c r="AB108" i="72" s="1"/>
  <c r="AB64" i="81"/>
  <c r="AB84" i="81" s="1"/>
  <c r="AB108" i="81" s="1"/>
  <c r="AB64" i="73"/>
  <c r="AB84" i="73" s="1"/>
  <c r="AB108" i="73" s="1"/>
  <c r="AB64" i="82"/>
  <c r="AB84" i="82" s="1"/>
  <c r="AB108" i="82" s="1"/>
  <c r="AB16" i="75"/>
  <c r="X64" i="72"/>
  <c r="X84" i="72" s="1"/>
  <c r="X108" i="72" s="1"/>
  <c r="X64" i="82"/>
  <c r="X84" i="82" s="1"/>
  <c r="X108" i="82" s="1"/>
  <c r="X64" i="81"/>
  <c r="X84" i="81" s="1"/>
  <c r="X108" i="81" s="1"/>
  <c r="X64" i="73"/>
  <c r="X84" i="73" s="1"/>
  <c r="X108" i="73" s="1"/>
  <c r="X16" i="75"/>
  <c r="Y64" i="73"/>
  <c r="Y84" i="73" s="1"/>
  <c r="Y108" i="73" s="1"/>
  <c r="Y64" i="82"/>
  <c r="Y84" i="82" s="1"/>
  <c r="Y108" i="82" s="1"/>
  <c r="Y64" i="81"/>
  <c r="Y84" i="81" s="1"/>
  <c r="Y108" i="81" s="1"/>
  <c r="Y64" i="72"/>
  <c r="Y84" i="72" s="1"/>
  <c r="Y108" i="72" s="1"/>
  <c r="Y16" i="75"/>
  <c r="N64" i="82"/>
  <c r="N64" i="73"/>
  <c r="N64" i="72"/>
  <c r="N64" i="81"/>
  <c r="N84" i="81" s="1"/>
  <c r="N108" i="81" s="1"/>
  <c r="N16" i="75"/>
  <c r="Q64" i="82"/>
  <c r="Q64" i="73"/>
  <c r="Q64" i="72"/>
  <c r="Q64" i="81"/>
  <c r="Q16" i="75"/>
  <c r="F58" i="75"/>
  <c r="T64" i="72"/>
  <c r="T84" i="72" s="1"/>
  <c r="T108" i="72" s="1"/>
  <c r="T64" i="73"/>
  <c r="T84" i="73" s="1"/>
  <c r="T108" i="73" s="1"/>
  <c r="T64" i="82"/>
  <c r="T84" i="82" s="1"/>
  <c r="T108" i="82" s="1"/>
  <c r="T64" i="81"/>
  <c r="T84" i="81" s="1"/>
  <c r="T108" i="81" s="1"/>
  <c r="T16" i="75"/>
  <c r="M64" i="82"/>
  <c r="M64" i="73"/>
  <c r="M64" i="72"/>
  <c r="M64" i="81"/>
  <c r="M84" i="81" s="1"/>
  <c r="M108" i="81" s="1"/>
  <c r="M16" i="75"/>
  <c r="AD64" i="81"/>
  <c r="AD84" i="81" s="1"/>
  <c r="AD108" i="81" s="1"/>
  <c r="AD64" i="73"/>
  <c r="AD84" i="73" s="1"/>
  <c r="AD108" i="73" s="1"/>
  <c r="AD64" i="72"/>
  <c r="AD84" i="72" s="1"/>
  <c r="AD108" i="72" s="1"/>
  <c r="AD64" i="82"/>
  <c r="AD84" i="82" s="1"/>
  <c r="AD108" i="82" s="1"/>
  <c r="AD16" i="75"/>
  <c r="C64" i="81"/>
  <c r="C64" i="73"/>
  <c r="C15" i="75"/>
  <c r="D15" i="75" s="1"/>
  <c r="D57" i="75"/>
  <c r="D60" i="75"/>
  <c r="C18" i="75"/>
  <c r="D18" i="75" s="1"/>
  <c r="D74" i="75"/>
  <c r="D63" i="75"/>
  <c r="D61" i="75"/>
  <c r="D64" i="75"/>
  <c r="D36" i="75"/>
  <c r="D78" i="75"/>
  <c r="D22" i="75"/>
  <c r="D71" i="75"/>
  <c r="C29" i="75"/>
  <c r="D29" i="75" s="1"/>
  <c r="C35" i="75"/>
  <c r="D35" i="75" s="1"/>
  <c r="D77" i="75"/>
  <c r="C21" i="75"/>
  <c r="D21" i="75" s="1"/>
  <c r="C33" i="75"/>
  <c r="D33" i="75" s="1"/>
  <c r="C19" i="75"/>
  <c r="D19" i="75" s="1"/>
  <c r="D75" i="75"/>
  <c r="C32" i="75"/>
  <c r="D32" i="75" s="1"/>
  <c r="Q92" i="75" l="1"/>
  <c r="AB92" i="75"/>
  <c r="K92" i="75"/>
  <c r="R92" i="75"/>
  <c r="S92" i="75"/>
  <c r="Q84" i="73"/>
  <c r="Q108" i="73" s="1"/>
  <c r="K84" i="72"/>
  <c r="K108" i="72" s="1"/>
  <c r="I84" i="73"/>
  <c r="I108" i="73" s="1"/>
  <c r="P84" i="82"/>
  <c r="P108" i="82" s="1"/>
  <c r="L84" i="73"/>
  <c r="L108" i="73" s="1"/>
  <c r="M84" i="73"/>
  <c r="M108" i="73" s="1"/>
  <c r="P84" i="72"/>
  <c r="P108" i="72" s="1"/>
  <c r="Q84" i="72"/>
  <c r="Q108" i="72" s="1"/>
  <c r="J84" i="82"/>
  <c r="J108" i="82" s="1"/>
  <c r="Q84" i="82"/>
  <c r="Q108" i="82" s="1"/>
  <c r="J84" i="73"/>
  <c r="J108" i="73" s="1"/>
  <c r="I84" i="82"/>
  <c r="I108" i="82" s="1"/>
  <c r="M84" i="72"/>
  <c r="M108" i="72" s="1"/>
  <c r="O84" i="72"/>
  <c r="O108" i="72" s="1"/>
  <c r="L84" i="72"/>
  <c r="L108" i="72" s="1"/>
  <c r="O84" i="82"/>
  <c r="O108" i="82" s="1"/>
  <c r="M84" i="82"/>
  <c r="M108" i="82" s="1"/>
  <c r="P84" i="81"/>
  <c r="P108" i="81" s="1"/>
  <c r="K84" i="73"/>
  <c r="K108" i="73" s="1"/>
  <c r="J84" i="72"/>
  <c r="J108" i="72" s="1"/>
  <c r="N84" i="72"/>
  <c r="N108" i="72" s="1"/>
  <c r="N84" i="73"/>
  <c r="N108" i="73" s="1"/>
  <c r="N84" i="82"/>
  <c r="N108" i="82" s="1"/>
  <c r="I84" i="72"/>
  <c r="I108" i="72" s="1"/>
  <c r="O84" i="73"/>
  <c r="O108" i="73" s="1"/>
  <c r="P84" i="73"/>
  <c r="P108" i="73" s="1"/>
  <c r="L84" i="82"/>
  <c r="L108" i="82" s="1"/>
  <c r="Q84" i="81"/>
  <c r="Q108" i="81" s="1"/>
  <c r="K84" i="82"/>
  <c r="K108" i="82" s="1"/>
  <c r="AD92" i="75"/>
  <c r="U92" i="75"/>
  <c r="N92" i="75"/>
  <c r="Z92" i="75"/>
  <c r="I92" i="75"/>
  <c r="AF92" i="75"/>
  <c r="J92" i="75"/>
  <c r="M92" i="75"/>
  <c r="O92" i="75"/>
  <c r="P92" i="75"/>
  <c r="Y92" i="75"/>
  <c r="W92" i="75"/>
  <c r="L92" i="75"/>
  <c r="AA92" i="75"/>
  <c r="T92" i="75"/>
  <c r="AC92" i="75"/>
  <c r="X92" i="75"/>
  <c r="V92" i="75"/>
  <c r="AG92" i="75"/>
  <c r="AE92" i="75"/>
  <c r="AD87" i="72"/>
  <c r="AD106" i="72" s="1"/>
  <c r="AD48" i="75"/>
  <c r="AD50" i="75" s="1"/>
  <c r="AD40" i="85" s="1"/>
  <c r="Z87" i="72"/>
  <c r="Z106" i="72" s="1"/>
  <c r="Z48" i="75"/>
  <c r="Z50" i="75" s="1"/>
  <c r="Z40" i="85" s="1"/>
  <c r="AG87" i="81"/>
  <c r="AG106" i="81" s="1"/>
  <c r="AG34" i="75"/>
  <c r="AG36" i="75" s="1"/>
  <c r="AF12" i="85" s="1"/>
  <c r="AE87" i="81"/>
  <c r="AE106" i="81" s="1"/>
  <c r="AE34" i="75"/>
  <c r="AE36" i="75" s="1"/>
  <c r="AD12" i="85" s="1"/>
  <c r="AE87" i="73"/>
  <c r="AE106" i="73" s="1"/>
  <c r="AE62" i="75"/>
  <c r="AE64" i="75" s="1"/>
  <c r="S87" i="73"/>
  <c r="S106" i="73" s="1"/>
  <c r="S62" i="75"/>
  <c r="S64" i="75" s="1"/>
  <c r="R87" i="81"/>
  <c r="R106" i="81" s="1"/>
  <c r="R34" i="75"/>
  <c r="R36" i="75" s="1"/>
  <c r="AB87" i="81"/>
  <c r="AB106" i="81" s="1"/>
  <c r="AB34" i="75"/>
  <c r="AB36" i="75" s="1"/>
  <c r="AA12" i="85" s="1"/>
  <c r="R87" i="72"/>
  <c r="R106" i="72" s="1"/>
  <c r="R48" i="75"/>
  <c r="R50" i="75" s="1"/>
  <c r="R40" i="85" s="1"/>
  <c r="S87" i="81"/>
  <c r="S106" i="81" s="1"/>
  <c r="S34" i="75"/>
  <c r="S36" i="75" s="1"/>
  <c r="S87" i="72"/>
  <c r="S106" i="72" s="1"/>
  <c r="S48" i="75"/>
  <c r="S50" i="75" s="1"/>
  <c r="S40" i="85" s="1"/>
  <c r="AB87" i="82"/>
  <c r="AB106" i="82" s="1"/>
  <c r="AB76" i="75"/>
  <c r="AB78" i="75" s="1"/>
  <c r="AB87" i="72"/>
  <c r="AB106" i="72" s="1"/>
  <c r="AB48" i="75"/>
  <c r="AB50" i="75" s="1"/>
  <c r="AB40" i="85" s="1"/>
  <c r="R87" i="73"/>
  <c r="R106" i="73" s="1"/>
  <c r="R62" i="75"/>
  <c r="R64" i="75" s="1"/>
  <c r="AD87" i="82"/>
  <c r="AD106" i="82" s="1"/>
  <c r="AD76" i="75"/>
  <c r="AD78" i="75" s="1"/>
  <c r="R87" i="82"/>
  <c r="R106" i="82" s="1"/>
  <c r="R76" i="75"/>
  <c r="R78" i="75" s="1"/>
  <c r="S87" i="82"/>
  <c r="S106" i="82" s="1"/>
  <c r="S76" i="75"/>
  <c r="S78" i="75" s="1"/>
  <c r="U87" i="81"/>
  <c r="U106" i="81" s="1"/>
  <c r="U34" i="75"/>
  <c r="U36" i="75" s="1"/>
  <c r="Z87" i="82"/>
  <c r="Z106" i="82" s="1"/>
  <c r="Z76" i="75"/>
  <c r="Z78" i="75" s="1"/>
  <c r="AD87" i="73"/>
  <c r="AD106" i="73" s="1"/>
  <c r="AD62" i="75"/>
  <c r="AD64" i="75" s="1"/>
  <c r="Z87" i="73"/>
  <c r="Z106" i="73" s="1"/>
  <c r="Z62" i="75"/>
  <c r="Z64" i="75" s="1"/>
  <c r="AF87" i="72"/>
  <c r="AF106" i="72" s="1"/>
  <c r="AF48" i="75"/>
  <c r="AF50" i="75" s="1"/>
  <c r="AF40" i="85" s="1"/>
  <c r="U87" i="82"/>
  <c r="U106" i="82" s="1"/>
  <c r="U76" i="75"/>
  <c r="U78" i="75" s="1"/>
  <c r="Z87" i="81"/>
  <c r="Z106" i="81" s="1"/>
  <c r="Z34" i="75"/>
  <c r="Z36" i="75" s="1"/>
  <c r="AF87" i="82"/>
  <c r="AF106" i="82" s="1"/>
  <c r="AF76" i="75"/>
  <c r="AF78" i="75" s="1"/>
  <c r="U87" i="72"/>
  <c r="U106" i="72" s="1"/>
  <c r="U48" i="75"/>
  <c r="U50" i="75" s="1"/>
  <c r="U40" i="85" s="1"/>
  <c r="AF87" i="73"/>
  <c r="AF106" i="73" s="1"/>
  <c r="AF62" i="75"/>
  <c r="AF64" i="75" s="1"/>
  <c r="J87" i="81"/>
  <c r="J106" i="81" s="1"/>
  <c r="J34" i="75"/>
  <c r="J36" i="75" s="1"/>
  <c r="U87" i="73"/>
  <c r="U106" i="73" s="1"/>
  <c r="U62" i="75"/>
  <c r="U64" i="75" s="1"/>
  <c r="AF87" i="81"/>
  <c r="AF106" i="81" s="1"/>
  <c r="AF34" i="75"/>
  <c r="AF36" i="75" s="1"/>
  <c r="AE12" i="85" s="1"/>
  <c r="W87" i="72"/>
  <c r="W106" i="72" s="1"/>
  <c r="W48" i="75"/>
  <c r="W50" i="75" s="1"/>
  <c r="W40" i="85" s="1"/>
  <c r="Y87" i="73"/>
  <c r="Y106" i="73" s="1"/>
  <c r="Y62" i="75"/>
  <c r="Y64" i="75" s="1"/>
  <c r="W87" i="81"/>
  <c r="W106" i="81" s="1"/>
  <c r="W34" i="75"/>
  <c r="W36" i="75" s="1"/>
  <c r="AA87" i="72"/>
  <c r="AA106" i="72" s="1"/>
  <c r="AA48" i="75"/>
  <c r="AA50" i="75" s="1"/>
  <c r="AA40" i="85" s="1"/>
  <c r="O87" i="81"/>
  <c r="O106" i="81" s="1"/>
  <c r="O34" i="75"/>
  <c r="O36" i="75" s="1"/>
  <c r="Y87" i="81"/>
  <c r="Y106" i="81" s="1"/>
  <c r="Y34" i="75"/>
  <c r="Y36" i="75" s="1"/>
  <c r="AA87" i="82"/>
  <c r="AA106" i="82" s="1"/>
  <c r="AA76" i="75"/>
  <c r="AA78" i="75" s="1"/>
  <c r="L87" i="81"/>
  <c r="L106" i="81" s="1"/>
  <c r="L34" i="75"/>
  <c r="L36" i="75" s="1"/>
  <c r="AB87" i="73"/>
  <c r="AB106" i="73" s="1"/>
  <c r="AB62" i="75"/>
  <c r="AB64" i="75" s="1"/>
  <c r="AD87" i="81"/>
  <c r="AD106" i="81" s="1"/>
  <c r="AD34" i="75"/>
  <c r="AD36" i="75" s="1"/>
  <c r="AC12" i="85" s="1"/>
  <c r="Y87" i="72"/>
  <c r="Y106" i="72" s="1"/>
  <c r="Y48" i="75"/>
  <c r="Y50" i="75" s="1"/>
  <c r="Y40" i="85" s="1"/>
  <c r="AC87" i="73"/>
  <c r="AC106" i="73" s="1"/>
  <c r="AC62" i="75"/>
  <c r="AC64" i="75" s="1"/>
  <c r="K87" i="81"/>
  <c r="K106" i="81" s="1"/>
  <c r="K34" i="75"/>
  <c r="K36" i="75" s="1"/>
  <c r="N87" i="81"/>
  <c r="N106" i="81" s="1"/>
  <c r="N34" i="75"/>
  <c r="N36" i="75" s="1"/>
  <c r="W87" i="73"/>
  <c r="W106" i="73" s="1"/>
  <c r="W62" i="75"/>
  <c r="W64" i="75" s="1"/>
  <c r="AA87" i="81"/>
  <c r="AA106" i="81" s="1"/>
  <c r="AA34" i="75"/>
  <c r="AA36" i="75" s="1"/>
  <c r="Z12" i="85" s="1"/>
  <c r="T87" i="82"/>
  <c r="T106" i="82" s="1"/>
  <c r="T76" i="75"/>
  <c r="T78" i="75" s="1"/>
  <c r="X87" i="81"/>
  <c r="X106" i="81" s="1"/>
  <c r="X34" i="75"/>
  <c r="X36" i="75" s="1"/>
  <c r="V87" i="73"/>
  <c r="V106" i="73" s="1"/>
  <c r="V62" i="75"/>
  <c r="V64" i="75" s="1"/>
  <c r="AG87" i="72"/>
  <c r="AG106" i="72" s="1"/>
  <c r="AG48" i="75"/>
  <c r="AG50" i="75" s="1"/>
  <c r="AG40" i="85" s="1"/>
  <c r="AC87" i="72"/>
  <c r="AC106" i="72" s="1"/>
  <c r="AC48" i="75"/>
  <c r="AC50" i="75" s="1"/>
  <c r="AC40" i="85" s="1"/>
  <c r="I87" i="81"/>
  <c r="I106" i="81" s="1"/>
  <c r="I34" i="75"/>
  <c r="M87" i="81"/>
  <c r="M106" i="81" s="1"/>
  <c r="M34" i="75"/>
  <c r="M36" i="75" s="1"/>
  <c r="Y87" i="82"/>
  <c r="Y106" i="82" s="1"/>
  <c r="Y76" i="75"/>
  <c r="Y78" i="75" s="1"/>
  <c r="X87" i="73"/>
  <c r="X106" i="73" s="1"/>
  <c r="X62" i="75"/>
  <c r="X64" i="75" s="1"/>
  <c r="T87" i="72"/>
  <c r="T106" i="72" s="1"/>
  <c r="T48" i="75"/>
  <c r="T50" i="75" s="1"/>
  <c r="T40" i="85" s="1"/>
  <c r="X87" i="82"/>
  <c r="X106" i="82" s="1"/>
  <c r="X76" i="75"/>
  <c r="X78" i="75" s="1"/>
  <c r="V87" i="82"/>
  <c r="V106" i="82" s="1"/>
  <c r="V76" i="75"/>
  <c r="V78" i="75" s="1"/>
  <c r="AG87" i="82"/>
  <c r="AG106" i="82" s="1"/>
  <c r="AG76" i="75"/>
  <c r="AG78" i="75" s="1"/>
  <c r="AE87" i="72"/>
  <c r="AE106" i="72" s="1"/>
  <c r="AE48" i="75"/>
  <c r="AE50" i="75" s="1"/>
  <c r="AE40" i="85" s="1"/>
  <c r="AC87" i="81"/>
  <c r="AC106" i="81" s="1"/>
  <c r="AC34" i="75"/>
  <c r="AC36" i="75" s="1"/>
  <c r="AB12" i="85" s="1"/>
  <c r="W87" i="82"/>
  <c r="W106" i="82" s="1"/>
  <c r="W76" i="75"/>
  <c r="W78" i="75" s="1"/>
  <c r="AA87" i="73"/>
  <c r="AA106" i="73" s="1"/>
  <c r="AA62" i="75"/>
  <c r="AA64" i="75" s="1"/>
  <c r="T87" i="81"/>
  <c r="T106" i="81" s="1"/>
  <c r="T34" i="75"/>
  <c r="T36" i="75" s="1"/>
  <c r="V87" i="72"/>
  <c r="V106" i="72" s="1"/>
  <c r="V48" i="75"/>
  <c r="V50" i="75" s="1"/>
  <c r="V40" i="85" s="1"/>
  <c r="T87" i="73"/>
  <c r="T106" i="73" s="1"/>
  <c r="T62" i="75"/>
  <c r="T64" i="75" s="1"/>
  <c r="X87" i="72"/>
  <c r="X106" i="72" s="1"/>
  <c r="X48" i="75"/>
  <c r="X50" i="75" s="1"/>
  <c r="X40" i="85" s="1"/>
  <c r="V87" i="81"/>
  <c r="V106" i="81" s="1"/>
  <c r="V34" i="75"/>
  <c r="V36" i="75" s="1"/>
  <c r="AG87" i="73"/>
  <c r="AG106" i="73" s="1"/>
  <c r="AG62" i="75"/>
  <c r="AG64" i="75" s="1"/>
  <c r="AE87" i="82"/>
  <c r="AE106" i="82" s="1"/>
  <c r="AE76" i="75"/>
  <c r="AE78" i="75" s="1"/>
  <c r="AC87" i="82"/>
  <c r="AC106" i="82" s="1"/>
  <c r="AC76" i="75"/>
  <c r="AC78" i="75" s="1"/>
  <c r="P87" i="72" l="1"/>
  <c r="P106" i="72" s="1"/>
  <c r="P42" i="85" s="1"/>
  <c r="P48" i="75"/>
  <c r="P50" i="75" s="1"/>
  <c r="P40" i="85" s="1"/>
  <c r="P34" i="75"/>
  <c r="P36" i="75" s="1"/>
  <c r="K48" i="75"/>
  <c r="K50" i="75" s="1"/>
  <c r="K40" i="85" s="1"/>
  <c r="P87" i="81"/>
  <c r="P106" i="81" s="1"/>
  <c r="P111" i="81" s="1" a="1"/>
  <c r="P111" i="81" s="1"/>
  <c r="K87" i="72"/>
  <c r="K106" i="72" s="1"/>
  <c r="K114" i="72" s="1" a="1"/>
  <c r="K114" i="72" s="1"/>
  <c r="J48" i="75"/>
  <c r="J50" i="75" s="1"/>
  <c r="J40" i="85" s="1"/>
  <c r="J87" i="72"/>
  <c r="J106" i="72" s="1"/>
  <c r="J115" i="72" s="1" a="1"/>
  <c r="J115" i="72" s="1"/>
  <c r="AB111" i="82" a="1"/>
  <c r="AB111" i="82" s="1"/>
  <c r="AB73" i="85" s="1"/>
  <c r="AB117" i="82" a="1"/>
  <c r="AB117" i="82" s="1"/>
  <c r="AB114" i="82" a="1"/>
  <c r="AB114" i="82" s="1"/>
  <c r="AB76" i="85" s="1"/>
  <c r="AB110" i="82" a="1"/>
  <c r="AB110" i="82" s="1"/>
  <c r="AB72" i="85" s="1"/>
  <c r="AB112" i="82" a="1"/>
  <c r="AB112" i="82" s="1"/>
  <c r="AB74" i="85" s="1"/>
  <c r="AB115" i="82" a="1"/>
  <c r="AB115" i="82" s="1"/>
  <c r="AB113" i="82" a="1"/>
  <c r="AB113" i="82" s="1"/>
  <c r="AB75" i="85" s="1"/>
  <c r="AB116" i="82" a="1"/>
  <c r="AB116" i="82" s="1"/>
  <c r="AB70" i="85"/>
  <c r="L76" i="75"/>
  <c r="L78" i="75" s="1"/>
  <c r="X112" i="82" a="1"/>
  <c r="X112" i="82" s="1"/>
  <c r="X74" i="85" s="1"/>
  <c r="X115" i="82" a="1"/>
  <c r="X115" i="82" s="1"/>
  <c r="X111" i="82" a="1"/>
  <c r="X111" i="82" s="1"/>
  <c r="X73" i="85" s="1"/>
  <c r="X117" i="82" a="1"/>
  <c r="X117" i="82" s="1"/>
  <c r="X114" i="82" a="1"/>
  <c r="X114" i="82" s="1"/>
  <c r="X76" i="85" s="1"/>
  <c r="X116" i="82" a="1"/>
  <c r="X116" i="82" s="1"/>
  <c r="X113" i="82" a="1"/>
  <c r="X113" i="82" s="1"/>
  <c r="X75" i="85" s="1"/>
  <c r="X110" i="82" a="1"/>
  <c r="X110" i="82" s="1"/>
  <c r="X72" i="85" s="1"/>
  <c r="X70" i="85"/>
  <c r="AA115" i="82" a="1"/>
  <c r="AA115" i="82" s="1"/>
  <c r="AA111" i="82" a="1"/>
  <c r="AA111" i="82" s="1"/>
  <c r="AA73" i="85" s="1"/>
  <c r="AA117" i="82" a="1"/>
  <c r="AA117" i="82" s="1"/>
  <c r="AA114" i="82" a="1"/>
  <c r="AA114" i="82" s="1"/>
  <c r="AA76" i="85" s="1"/>
  <c r="AA112" i="82" a="1"/>
  <c r="AA112" i="82" s="1"/>
  <c r="AA74" i="85" s="1"/>
  <c r="AA116" i="82" a="1"/>
  <c r="AA116" i="82" s="1"/>
  <c r="AA110" i="82" a="1"/>
  <c r="AA110" i="82" s="1"/>
  <c r="AA72" i="85" s="1"/>
  <c r="AA113" i="82" a="1"/>
  <c r="AA113" i="82" s="1"/>
  <c r="AA75" i="85" s="1"/>
  <c r="AA70" i="85"/>
  <c r="V113" i="72" a="1"/>
  <c r="V113" i="72" s="1"/>
  <c r="V110" i="72" a="1"/>
  <c r="V110" i="72" s="1"/>
  <c r="V116" i="72" a="1"/>
  <c r="V116" i="72" s="1"/>
  <c r="V112" i="72" a="1"/>
  <c r="V112" i="72" s="1"/>
  <c r="V115" i="72" a="1"/>
  <c r="V115" i="72" s="1"/>
  <c r="V117" i="72" a="1"/>
  <c r="V117" i="72" s="1"/>
  <c r="V114" i="72" a="1"/>
  <c r="V114" i="72" s="1"/>
  <c r="V111" i="72" a="1"/>
  <c r="V111" i="72" s="1"/>
  <c r="V42" i="85"/>
  <c r="U113" i="72" a="1"/>
  <c r="U113" i="72" s="1"/>
  <c r="U110" i="72" a="1"/>
  <c r="U110" i="72" s="1"/>
  <c r="U116" i="72" a="1"/>
  <c r="U116" i="72" s="1"/>
  <c r="U112" i="72" a="1"/>
  <c r="U112" i="72" s="1"/>
  <c r="U117" i="72" a="1"/>
  <c r="U117" i="72" s="1"/>
  <c r="U114" i="72" a="1"/>
  <c r="U114" i="72" s="1"/>
  <c r="U111" i="72" a="1"/>
  <c r="U111" i="72" s="1"/>
  <c r="U115" i="72" a="1"/>
  <c r="U115" i="72" s="1"/>
  <c r="U42" i="85"/>
  <c r="S113" i="82" a="1"/>
  <c r="S113" i="82" s="1"/>
  <c r="S75" i="85" s="1"/>
  <c r="S116" i="82" a="1"/>
  <c r="S116" i="82" s="1"/>
  <c r="S112" i="82" a="1"/>
  <c r="S112" i="82" s="1"/>
  <c r="S74" i="85" s="1"/>
  <c r="S115" i="82" a="1"/>
  <c r="S115" i="82" s="1"/>
  <c r="S114" i="82" a="1"/>
  <c r="S114" i="82" s="1"/>
  <c r="S76" i="85" s="1"/>
  <c r="S111" i="82" a="1"/>
  <c r="S111" i="82" s="1"/>
  <c r="S73" i="85" s="1"/>
  <c r="S117" i="82" a="1"/>
  <c r="S117" i="82" s="1"/>
  <c r="S110" i="82" a="1"/>
  <c r="S110" i="82" s="1"/>
  <c r="S72" i="85" s="1"/>
  <c r="S70" i="85"/>
  <c r="AD115" i="72" a="1"/>
  <c r="AD115" i="72" s="1"/>
  <c r="AD111" i="72" a="1"/>
  <c r="AD111" i="72" s="1"/>
  <c r="AD114" i="72" a="1"/>
  <c r="AD114" i="72" s="1"/>
  <c r="AD116" i="72" a="1"/>
  <c r="AD116" i="72" s="1"/>
  <c r="AD113" i="72" a="1"/>
  <c r="AD113" i="72" s="1"/>
  <c r="AD112" i="72" a="1"/>
  <c r="AD112" i="72" s="1"/>
  <c r="AD117" i="72" a="1"/>
  <c r="AD117" i="72" s="1"/>
  <c r="AD110" i="72" a="1"/>
  <c r="AD110" i="72" s="1"/>
  <c r="AD42" i="85"/>
  <c r="T117" i="72" a="1"/>
  <c r="T117" i="72" s="1"/>
  <c r="T113" i="72" a="1"/>
  <c r="T113" i="72" s="1"/>
  <c r="T110" i="72" a="1"/>
  <c r="T110" i="72" s="1"/>
  <c r="T116" i="72" a="1"/>
  <c r="T116" i="72" s="1"/>
  <c r="T112" i="72" a="1"/>
  <c r="T112" i="72" s="1"/>
  <c r="T114" i="72" a="1"/>
  <c r="T114" i="72" s="1"/>
  <c r="T111" i="72" a="1"/>
  <c r="T111" i="72" s="1"/>
  <c r="T115" i="72" a="1"/>
  <c r="T115" i="72" s="1"/>
  <c r="T42" i="85"/>
  <c r="AD116" i="73" a="1"/>
  <c r="AD116" i="73" s="1"/>
  <c r="AD111" i="73" a="1"/>
  <c r="AD111" i="73" s="1"/>
  <c r="AD59" i="85" s="1"/>
  <c r="AD113" i="73" a="1"/>
  <c r="AD113" i="73" s="1"/>
  <c r="AD61" i="85" s="1"/>
  <c r="AD115" i="73" a="1"/>
  <c r="AD115" i="73" s="1"/>
  <c r="AD110" i="73" a="1"/>
  <c r="AD110" i="73" s="1"/>
  <c r="AD58" i="85" s="1"/>
  <c r="AD117" i="73" a="1"/>
  <c r="AD117" i="73" s="1"/>
  <c r="AD114" i="73" a="1"/>
  <c r="AD114" i="73" s="1"/>
  <c r="AD62" i="85" s="1"/>
  <c r="AD112" i="73" a="1"/>
  <c r="AD112" i="73" s="1"/>
  <c r="AD60" i="85" s="1"/>
  <c r="AD56" i="85"/>
  <c r="L87" i="72"/>
  <c r="L106" i="72" s="1"/>
  <c r="AA113" i="73" a="1"/>
  <c r="AA113" i="73" s="1"/>
  <c r="AA61" i="85" s="1"/>
  <c r="AA112" i="73" a="1"/>
  <c r="AA112" i="73" s="1"/>
  <c r="AA60" i="85" s="1"/>
  <c r="AA116" i="73" a="1"/>
  <c r="AA116" i="73" s="1"/>
  <c r="AA114" i="73" a="1"/>
  <c r="AA114" i="73" s="1"/>
  <c r="AA62" i="85" s="1"/>
  <c r="AA117" i="73" a="1"/>
  <c r="AA117" i="73" s="1"/>
  <c r="AA110" i="73" a="1"/>
  <c r="AA110" i="73" s="1"/>
  <c r="AA58" i="85" s="1"/>
  <c r="AA115" i="73" a="1"/>
  <c r="AA115" i="73" s="1"/>
  <c r="AA111" i="73" a="1"/>
  <c r="AA111" i="73" s="1"/>
  <c r="AA59" i="85" s="1"/>
  <c r="AA56" i="85"/>
  <c r="Z112" i="72" a="1"/>
  <c r="Z112" i="72" s="1"/>
  <c r="Z115" i="72" a="1"/>
  <c r="Z115" i="72" s="1"/>
  <c r="Z111" i="72" a="1"/>
  <c r="Z111" i="72" s="1"/>
  <c r="Z117" i="72" a="1"/>
  <c r="Z117" i="72" s="1"/>
  <c r="Z114" i="72" a="1"/>
  <c r="Z114" i="72" s="1"/>
  <c r="Z110" i="72" a="1"/>
  <c r="Z110" i="72" s="1"/>
  <c r="Z116" i="72" a="1"/>
  <c r="Z116" i="72" s="1"/>
  <c r="Z113" i="72" a="1"/>
  <c r="Z113" i="72" s="1"/>
  <c r="Z42" i="85"/>
  <c r="L87" i="82"/>
  <c r="L106" i="82" s="1"/>
  <c r="AC116" i="73" a="1"/>
  <c r="AC116" i="73" s="1"/>
  <c r="AC111" i="73" a="1"/>
  <c r="AC111" i="73" s="1"/>
  <c r="AC59" i="85" s="1"/>
  <c r="AC113" i="73" a="1"/>
  <c r="AC113" i="73" s="1"/>
  <c r="AC61" i="85" s="1"/>
  <c r="AC115" i="73" a="1"/>
  <c r="AC115" i="73" s="1"/>
  <c r="AC110" i="73" a="1"/>
  <c r="AC110" i="73" s="1"/>
  <c r="AC58" i="85" s="1"/>
  <c r="AC117" i="73" a="1"/>
  <c r="AC117" i="73" s="1"/>
  <c r="AC112" i="73" a="1"/>
  <c r="AC112" i="73" s="1"/>
  <c r="AC60" i="85" s="1"/>
  <c r="AC114" i="73" a="1"/>
  <c r="AC114" i="73" s="1"/>
  <c r="AC62" i="85" s="1"/>
  <c r="AC56" i="85"/>
  <c r="R110" i="82" a="1"/>
  <c r="R110" i="82" s="1"/>
  <c r="R72" i="85" s="1"/>
  <c r="R116" i="82" a="1"/>
  <c r="R116" i="82" s="1"/>
  <c r="R113" i="82" a="1"/>
  <c r="R113" i="82" s="1"/>
  <c r="R75" i="85" s="1"/>
  <c r="R112" i="82" a="1"/>
  <c r="R112" i="82" s="1"/>
  <c r="R74" i="85" s="1"/>
  <c r="R115" i="82" a="1"/>
  <c r="R115" i="82" s="1"/>
  <c r="R114" i="82" a="1"/>
  <c r="R114" i="82" s="1"/>
  <c r="R76" i="85" s="1"/>
  <c r="R111" i="82" a="1"/>
  <c r="R111" i="82" s="1"/>
  <c r="R73" i="85" s="1"/>
  <c r="R117" i="82" a="1"/>
  <c r="R117" i="82" s="1"/>
  <c r="R70" i="85"/>
  <c r="AE115" i="72" a="1"/>
  <c r="AE115" i="72" s="1"/>
  <c r="AE114" i="72" a="1"/>
  <c r="AE114" i="72" s="1"/>
  <c r="AE117" i="72" a="1"/>
  <c r="AE117" i="72" s="1"/>
  <c r="AE113" i="72" a="1"/>
  <c r="AE113" i="72" s="1"/>
  <c r="AE110" i="72" a="1"/>
  <c r="AE110" i="72" s="1"/>
  <c r="AE111" i="72" a="1"/>
  <c r="AE111" i="72" s="1"/>
  <c r="AE112" i="72" a="1"/>
  <c r="AE112" i="72" s="1"/>
  <c r="AE116" i="72" a="1"/>
  <c r="AE116" i="72" s="1"/>
  <c r="AE42" i="85"/>
  <c r="S115" i="73" a="1"/>
  <c r="S115" i="73" s="1"/>
  <c r="S110" i="73" a="1"/>
  <c r="S110" i="73" s="1"/>
  <c r="S58" i="85" s="1"/>
  <c r="S112" i="73" a="1"/>
  <c r="S112" i="73" s="1"/>
  <c r="S60" i="85" s="1"/>
  <c r="S117" i="73" a="1"/>
  <c r="S117" i="73" s="1"/>
  <c r="S114" i="73" a="1"/>
  <c r="S114" i="73" s="1"/>
  <c r="S62" i="85" s="1"/>
  <c r="S116" i="73" a="1"/>
  <c r="S116" i="73" s="1"/>
  <c r="S111" i="73" a="1"/>
  <c r="S111" i="73" s="1"/>
  <c r="S59" i="85" s="1"/>
  <c r="S113" i="73" a="1"/>
  <c r="S113" i="73" s="1"/>
  <c r="S61" i="85" s="1"/>
  <c r="S56" i="85"/>
  <c r="X116" i="72" a="1"/>
  <c r="X116" i="72" s="1"/>
  <c r="X112" i="72" a="1"/>
  <c r="X112" i="72" s="1"/>
  <c r="X115" i="72" a="1"/>
  <c r="X115" i="72" s="1"/>
  <c r="X117" i="72" a="1"/>
  <c r="X117" i="72" s="1"/>
  <c r="X113" i="72" a="1"/>
  <c r="X113" i="72" s="1"/>
  <c r="X114" i="72" a="1"/>
  <c r="X114" i="72" s="1"/>
  <c r="X110" i="72" a="1"/>
  <c r="X110" i="72" s="1"/>
  <c r="X111" i="72" a="1"/>
  <c r="X111" i="72" s="1"/>
  <c r="X42" i="85"/>
  <c r="X117" i="73" a="1"/>
  <c r="X117" i="73" s="1"/>
  <c r="X116" i="73" a="1"/>
  <c r="X116" i="73" s="1"/>
  <c r="X111" i="73" a="1"/>
  <c r="X111" i="73" s="1"/>
  <c r="X59" i="85" s="1"/>
  <c r="X112" i="73" a="1"/>
  <c r="X112" i="73" s="1"/>
  <c r="X60" i="85" s="1"/>
  <c r="X110" i="73" a="1"/>
  <c r="X110" i="73" s="1"/>
  <c r="X58" i="85" s="1"/>
  <c r="X114" i="73" a="1"/>
  <c r="X114" i="73" s="1"/>
  <c r="X62" i="85" s="1"/>
  <c r="X115" i="73" a="1"/>
  <c r="X115" i="73" s="1"/>
  <c r="X113" i="73" a="1"/>
  <c r="X113" i="73" s="1"/>
  <c r="X61" i="85" s="1"/>
  <c r="X56" i="85"/>
  <c r="Y112" i="82" a="1"/>
  <c r="Y112" i="82" s="1"/>
  <c r="Y74" i="85" s="1"/>
  <c r="Y115" i="82" a="1"/>
  <c r="Y115" i="82" s="1"/>
  <c r="Y111" i="82" a="1"/>
  <c r="Y111" i="82" s="1"/>
  <c r="Y73" i="85" s="1"/>
  <c r="Y117" i="82" a="1"/>
  <c r="Y117" i="82" s="1"/>
  <c r="Y114" i="82" a="1"/>
  <c r="Y114" i="82" s="1"/>
  <c r="Y76" i="85" s="1"/>
  <c r="Y116" i="82" a="1"/>
  <c r="Y116" i="82" s="1"/>
  <c r="Y110" i="82" a="1"/>
  <c r="Y110" i="82" s="1"/>
  <c r="Y72" i="85" s="1"/>
  <c r="Y113" i="82" a="1"/>
  <c r="Y113" i="82" s="1"/>
  <c r="Y75" i="85" s="1"/>
  <c r="Y70" i="85"/>
  <c r="AF113" i="73" a="1"/>
  <c r="AF113" i="73" s="1"/>
  <c r="AF61" i="85" s="1"/>
  <c r="AF115" i="73" a="1"/>
  <c r="AF115" i="73" s="1"/>
  <c r="AF110" i="73" a="1"/>
  <c r="AF110" i="73" s="1"/>
  <c r="AF58" i="85" s="1"/>
  <c r="AF112" i="73" a="1"/>
  <c r="AF112" i="73" s="1"/>
  <c r="AF60" i="85" s="1"/>
  <c r="AF111" i="73" a="1"/>
  <c r="AF111" i="73" s="1"/>
  <c r="AF59" i="85" s="1"/>
  <c r="AF117" i="73" a="1"/>
  <c r="AF117" i="73" s="1"/>
  <c r="AF114" i="73" a="1"/>
  <c r="AF114" i="73" s="1"/>
  <c r="AF62" i="85" s="1"/>
  <c r="AF116" i="73" a="1"/>
  <c r="AF116" i="73" s="1"/>
  <c r="AF56" i="85"/>
  <c r="W115" i="82" a="1"/>
  <c r="W115" i="82" s="1"/>
  <c r="W111" i="82" a="1"/>
  <c r="W111" i="82" s="1"/>
  <c r="W73" i="85" s="1"/>
  <c r="W117" i="82" a="1"/>
  <c r="W117" i="82" s="1"/>
  <c r="W114" i="82" a="1"/>
  <c r="W114" i="82" s="1"/>
  <c r="W76" i="85" s="1"/>
  <c r="W116" i="82" a="1"/>
  <c r="W116" i="82" s="1"/>
  <c r="W112" i="82" a="1"/>
  <c r="W112" i="82" s="1"/>
  <c r="W74" i="85" s="1"/>
  <c r="W110" i="82" a="1"/>
  <c r="W110" i="82" s="1"/>
  <c r="W72" i="85" s="1"/>
  <c r="W113" i="82" a="1"/>
  <c r="W113" i="82" s="1"/>
  <c r="W75" i="85" s="1"/>
  <c r="W70" i="85"/>
  <c r="AC111" i="82" a="1"/>
  <c r="AC111" i="82" s="1"/>
  <c r="AC73" i="85" s="1"/>
  <c r="AC117" i="82" a="1"/>
  <c r="AC117" i="82" s="1"/>
  <c r="AC114" i="82" a="1"/>
  <c r="AC114" i="82" s="1"/>
  <c r="AC76" i="85" s="1"/>
  <c r="AC110" i="82" a="1"/>
  <c r="AC110" i="82" s="1"/>
  <c r="AC72" i="85" s="1"/>
  <c r="AC113" i="82" a="1"/>
  <c r="AC113" i="82" s="1"/>
  <c r="AC75" i="85" s="1"/>
  <c r="AC112" i="82" a="1"/>
  <c r="AC112" i="82" s="1"/>
  <c r="AC74" i="85" s="1"/>
  <c r="AC115" i="82" a="1"/>
  <c r="AC115" i="82" s="1"/>
  <c r="AC116" i="82" a="1"/>
  <c r="AC116" i="82" s="1"/>
  <c r="AC70" i="85"/>
  <c r="AE111" i="82" a="1"/>
  <c r="AE111" i="82" s="1"/>
  <c r="AE73" i="85" s="1"/>
  <c r="AE117" i="82" a="1"/>
  <c r="AE117" i="82" s="1"/>
  <c r="AE114" i="82" a="1"/>
  <c r="AE114" i="82" s="1"/>
  <c r="AE76" i="85" s="1"/>
  <c r="AE110" i="82" a="1"/>
  <c r="AE110" i="82" s="1"/>
  <c r="AE72" i="85" s="1"/>
  <c r="AE113" i="82" a="1"/>
  <c r="AE113" i="82" s="1"/>
  <c r="AE75" i="85" s="1"/>
  <c r="AE116" i="82" a="1"/>
  <c r="AE116" i="82" s="1"/>
  <c r="AE115" i="82" a="1"/>
  <c r="AE115" i="82" s="1"/>
  <c r="AE112" i="82" a="1"/>
  <c r="AE112" i="82" s="1"/>
  <c r="AE74" i="85" s="1"/>
  <c r="AE70" i="85"/>
  <c r="Y116" i="72" a="1"/>
  <c r="Y116" i="72" s="1"/>
  <c r="Y115" i="72" a="1"/>
  <c r="Y115" i="72" s="1"/>
  <c r="Y114" i="72" a="1"/>
  <c r="Y114" i="72" s="1"/>
  <c r="Y110" i="72" a="1"/>
  <c r="Y110" i="72" s="1"/>
  <c r="Y111" i="72" a="1"/>
  <c r="Y111" i="72" s="1"/>
  <c r="Y112" i="72" a="1"/>
  <c r="Y112" i="72" s="1"/>
  <c r="Y117" i="72" a="1"/>
  <c r="Y117" i="72" s="1"/>
  <c r="Y113" i="72" a="1"/>
  <c r="Y113" i="72" s="1"/>
  <c r="Y42" i="85"/>
  <c r="L48" i="75"/>
  <c r="L50" i="75" s="1"/>
  <c r="L40" i="85" s="1"/>
  <c r="R117" i="72" a="1"/>
  <c r="R117" i="72" s="1"/>
  <c r="R113" i="72" a="1"/>
  <c r="R113" i="72" s="1"/>
  <c r="R110" i="72" a="1"/>
  <c r="R110" i="72" s="1"/>
  <c r="R116" i="72" a="1"/>
  <c r="R116" i="72" s="1"/>
  <c r="R111" i="72" a="1"/>
  <c r="R111" i="72" s="1"/>
  <c r="R112" i="72" a="1"/>
  <c r="R112" i="72" s="1"/>
  <c r="R114" i="72" a="1"/>
  <c r="R114" i="72" s="1"/>
  <c r="R115" i="72" a="1"/>
  <c r="R115" i="72" s="1"/>
  <c r="R42" i="85"/>
  <c r="AA112" i="72" a="1"/>
  <c r="AA112" i="72" s="1"/>
  <c r="AA115" i="72" a="1"/>
  <c r="AA115" i="72" s="1"/>
  <c r="AA111" i="72" a="1"/>
  <c r="AA111" i="72" s="1"/>
  <c r="AA114" i="72" a="1"/>
  <c r="AA114" i="72" s="1"/>
  <c r="AA110" i="72" a="1"/>
  <c r="AA110" i="72" s="1"/>
  <c r="AA116" i="72" a="1"/>
  <c r="AA116" i="72" s="1"/>
  <c r="AA117" i="72" a="1"/>
  <c r="AA117" i="72" s="1"/>
  <c r="AA113" i="72" a="1"/>
  <c r="AA113" i="72" s="1"/>
  <c r="AA42" i="85"/>
  <c r="AG113" i="73" a="1"/>
  <c r="AG113" i="73" s="1"/>
  <c r="AG61" i="85" s="1"/>
  <c r="AG110" i="73" a="1"/>
  <c r="AG110" i="73" s="1"/>
  <c r="AG58" i="85" s="1"/>
  <c r="AG112" i="73" a="1"/>
  <c r="AG112" i="73" s="1"/>
  <c r="AG60" i="85" s="1"/>
  <c r="AG114" i="73" a="1"/>
  <c r="AG114" i="73" s="1"/>
  <c r="AG62" i="85" s="1"/>
  <c r="AG111" i="73" a="1"/>
  <c r="AG111" i="73" s="1"/>
  <c r="AG59" i="85" s="1"/>
  <c r="AG117" i="73" a="1"/>
  <c r="AG117" i="73" s="1"/>
  <c r="AG116" i="73" a="1"/>
  <c r="AG116" i="73" s="1"/>
  <c r="AG115" i="73" a="1"/>
  <c r="AG115" i="73" s="1"/>
  <c r="AG56" i="85"/>
  <c r="AG117" i="82" a="1"/>
  <c r="AG117" i="82" s="1"/>
  <c r="AG114" i="82" a="1"/>
  <c r="AG114" i="82" s="1"/>
  <c r="AG76" i="85" s="1"/>
  <c r="AG110" i="82" a="1"/>
  <c r="AG110" i="82" s="1"/>
  <c r="AG72" i="85" s="1"/>
  <c r="AG113" i="82" a="1"/>
  <c r="AG113" i="82" s="1"/>
  <c r="AG75" i="85" s="1"/>
  <c r="AG116" i="82" a="1"/>
  <c r="AG116" i="82" s="1"/>
  <c r="AG111" i="82" a="1"/>
  <c r="AG111" i="82" s="1"/>
  <c r="AG73" i="85" s="1"/>
  <c r="AG112" i="82" a="1"/>
  <c r="AG112" i="82" s="1"/>
  <c r="AG74" i="85" s="1"/>
  <c r="AG115" i="82" a="1"/>
  <c r="AG115" i="82" s="1"/>
  <c r="AG70" i="85"/>
  <c r="AG111" i="72" a="1"/>
  <c r="AG111" i="72" s="1"/>
  <c r="AG117" i="72" a="1"/>
  <c r="AG117" i="72" s="1"/>
  <c r="AG110" i="72" a="1"/>
  <c r="AG110" i="72" s="1"/>
  <c r="AG113" i="72" a="1"/>
  <c r="AG113" i="72" s="1"/>
  <c r="AG114" i="72" a="1"/>
  <c r="AG114" i="72" s="1"/>
  <c r="AG115" i="72" a="1"/>
  <c r="AG115" i="72" s="1"/>
  <c r="AG112" i="72" a="1"/>
  <c r="AG112" i="72" s="1"/>
  <c r="AG116" i="72" a="1"/>
  <c r="AG116" i="72" s="1"/>
  <c r="AG42" i="85"/>
  <c r="Y114" i="73" a="1"/>
  <c r="Y114" i="73" s="1"/>
  <c r="Y62" i="85" s="1"/>
  <c r="Y116" i="73" a="1"/>
  <c r="Y116" i="73" s="1"/>
  <c r="Y111" i="73" a="1"/>
  <c r="Y111" i="73" s="1"/>
  <c r="Y59" i="85" s="1"/>
  <c r="Y113" i="73" a="1"/>
  <c r="Y113" i="73" s="1"/>
  <c r="Y61" i="85" s="1"/>
  <c r="Y115" i="73" a="1"/>
  <c r="Y115" i="73" s="1"/>
  <c r="Y112" i="73" a="1"/>
  <c r="Y112" i="73" s="1"/>
  <c r="Y60" i="85" s="1"/>
  <c r="Y117" i="73" a="1"/>
  <c r="Y117" i="73" s="1"/>
  <c r="Y110" i="73" a="1"/>
  <c r="Y110" i="73" s="1"/>
  <c r="Y58" i="85" s="1"/>
  <c r="Y56" i="85"/>
  <c r="U112" i="82" a="1"/>
  <c r="U112" i="82" s="1"/>
  <c r="U74" i="85" s="1"/>
  <c r="U115" i="82" a="1"/>
  <c r="U115" i="82" s="1"/>
  <c r="U110" i="82" a="1"/>
  <c r="U110" i="82" s="1"/>
  <c r="U72" i="85" s="1"/>
  <c r="U117" i="82" a="1"/>
  <c r="U117" i="82" s="1"/>
  <c r="U116" i="82" a="1"/>
  <c r="U116" i="82" s="1"/>
  <c r="U113" i="82" a="1"/>
  <c r="U113" i="82" s="1"/>
  <c r="U75" i="85" s="1"/>
  <c r="U111" i="82" a="1"/>
  <c r="U111" i="82" s="1"/>
  <c r="U73" i="85" s="1"/>
  <c r="U114" i="82" a="1"/>
  <c r="U114" i="82" s="1"/>
  <c r="U76" i="85" s="1"/>
  <c r="U70" i="85"/>
  <c r="R115" i="73" a="1"/>
  <c r="R115" i="73" s="1"/>
  <c r="R110" i="73" a="1"/>
  <c r="R110" i="73" s="1"/>
  <c r="R58" i="85" s="1"/>
  <c r="R112" i="73" a="1"/>
  <c r="R112" i="73" s="1"/>
  <c r="R60" i="85" s="1"/>
  <c r="R117" i="73" a="1"/>
  <c r="R117" i="73" s="1"/>
  <c r="R114" i="73" a="1"/>
  <c r="R114" i="73" s="1"/>
  <c r="R62" i="85" s="1"/>
  <c r="R111" i="73" a="1"/>
  <c r="R111" i="73" s="1"/>
  <c r="R59" i="85" s="1"/>
  <c r="R116" i="73" a="1"/>
  <c r="R116" i="73" s="1"/>
  <c r="R113" i="73" a="1"/>
  <c r="R113" i="73" s="1"/>
  <c r="R61" i="85" s="1"/>
  <c r="R56" i="85"/>
  <c r="AE113" i="73" a="1"/>
  <c r="AE113" i="73" s="1"/>
  <c r="AE61" i="85" s="1"/>
  <c r="AE115" i="73" a="1"/>
  <c r="AE115" i="73" s="1"/>
  <c r="AE110" i="73" a="1"/>
  <c r="AE110" i="73" s="1"/>
  <c r="AE58" i="85" s="1"/>
  <c r="AE117" i="73" a="1"/>
  <c r="AE117" i="73" s="1"/>
  <c r="AE111" i="73" a="1"/>
  <c r="AE111" i="73" s="1"/>
  <c r="AE59" i="85" s="1"/>
  <c r="AE114" i="73" a="1"/>
  <c r="AE114" i="73" s="1"/>
  <c r="AE62" i="85" s="1"/>
  <c r="AE112" i="73" a="1"/>
  <c r="AE112" i="73" s="1"/>
  <c r="AE60" i="85" s="1"/>
  <c r="AE116" i="73" a="1"/>
  <c r="AE116" i="73" s="1"/>
  <c r="AE56" i="85"/>
  <c r="P111" i="72" a="1"/>
  <c r="P111" i="72" s="1"/>
  <c r="P114" i="72" a="1"/>
  <c r="P114" i="72" s="1"/>
  <c r="P117" i="72" a="1"/>
  <c r="P117" i="72" s="1"/>
  <c r="P110" i="72" a="1"/>
  <c r="P110" i="72" s="1"/>
  <c r="P113" i="72" a="1"/>
  <c r="P113" i="72" s="1"/>
  <c r="P116" i="72" a="1"/>
  <c r="P116" i="72" s="1"/>
  <c r="P115" i="72" a="1"/>
  <c r="P115" i="72" s="1"/>
  <c r="P112" i="72" a="1"/>
  <c r="P112" i="72" s="1"/>
  <c r="AF111" i="72" a="1"/>
  <c r="AF111" i="72" s="1"/>
  <c r="AF114" i="72" a="1"/>
  <c r="AF114" i="72" s="1"/>
  <c r="AF117" i="72" a="1"/>
  <c r="AF117" i="72" s="1"/>
  <c r="AF110" i="72" a="1"/>
  <c r="AF110" i="72" s="1"/>
  <c r="AF113" i="72" a="1"/>
  <c r="AF113" i="72" s="1"/>
  <c r="AF115" i="72" a="1"/>
  <c r="AF115" i="72" s="1"/>
  <c r="AF112" i="72" a="1"/>
  <c r="AF112" i="72" s="1"/>
  <c r="AF116" i="72" a="1"/>
  <c r="AF116" i="72" s="1"/>
  <c r="AF42" i="85"/>
  <c r="T117" i="73" a="1"/>
  <c r="T117" i="73" s="1"/>
  <c r="T114" i="73" a="1"/>
  <c r="T114" i="73" s="1"/>
  <c r="T62" i="85" s="1"/>
  <c r="T116" i="73" a="1"/>
  <c r="T116" i="73" s="1"/>
  <c r="T115" i="73" a="1"/>
  <c r="T115" i="73" s="1"/>
  <c r="T112" i="73" a="1"/>
  <c r="T112" i="73" s="1"/>
  <c r="T60" i="85" s="1"/>
  <c r="T110" i="73" a="1"/>
  <c r="T110" i="73" s="1"/>
  <c r="T58" i="85" s="1"/>
  <c r="T111" i="73" a="1"/>
  <c r="T111" i="73" s="1"/>
  <c r="T59" i="85" s="1"/>
  <c r="T113" i="73" a="1"/>
  <c r="T113" i="73" s="1"/>
  <c r="T61" i="85" s="1"/>
  <c r="T56" i="85"/>
  <c r="T116" i="82" a="1"/>
  <c r="T116" i="82" s="1"/>
  <c r="T112" i="82" a="1"/>
  <c r="T112" i="82" s="1"/>
  <c r="T74" i="85" s="1"/>
  <c r="T115" i="82" a="1"/>
  <c r="T115" i="82" s="1"/>
  <c r="T113" i="82" a="1"/>
  <c r="T113" i="82" s="1"/>
  <c r="T75" i="85" s="1"/>
  <c r="T114" i="82" a="1"/>
  <c r="T114" i="82" s="1"/>
  <c r="T76" i="85" s="1"/>
  <c r="T117" i="82" a="1"/>
  <c r="T117" i="82" s="1"/>
  <c r="T110" i="82" a="1"/>
  <c r="T110" i="82" s="1"/>
  <c r="T72" i="85" s="1"/>
  <c r="T111" i="82" a="1"/>
  <c r="T111" i="82" s="1"/>
  <c r="T73" i="85" s="1"/>
  <c r="T70" i="85"/>
  <c r="U112" i="73" a="1"/>
  <c r="U112" i="73" s="1"/>
  <c r="U60" i="85" s="1"/>
  <c r="U114" i="73" a="1"/>
  <c r="U114" i="73" s="1"/>
  <c r="U62" i="85" s="1"/>
  <c r="U116" i="73" a="1"/>
  <c r="U116" i="73" s="1"/>
  <c r="U115" i="73" a="1"/>
  <c r="U115" i="73" s="1"/>
  <c r="U117" i="73" a="1"/>
  <c r="U117" i="73" s="1"/>
  <c r="U113" i="73" a="1"/>
  <c r="U113" i="73" s="1"/>
  <c r="U61" i="85" s="1"/>
  <c r="U110" i="73" a="1"/>
  <c r="U110" i="73" s="1"/>
  <c r="U58" i="85" s="1"/>
  <c r="U111" i="73" a="1"/>
  <c r="U111" i="73" s="1"/>
  <c r="U59" i="85" s="1"/>
  <c r="U56" i="85"/>
  <c r="Z115" i="82" a="1"/>
  <c r="Z115" i="82" s="1"/>
  <c r="Z111" i="82" a="1"/>
  <c r="Z111" i="82" s="1"/>
  <c r="Z73" i="85" s="1"/>
  <c r="Z117" i="82" a="1"/>
  <c r="Z117" i="82" s="1"/>
  <c r="Z114" i="82" a="1"/>
  <c r="Z114" i="82" s="1"/>
  <c r="Z76" i="85" s="1"/>
  <c r="Z112" i="82" a="1"/>
  <c r="Z112" i="82" s="1"/>
  <c r="Z74" i="85" s="1"/>
  <c r="Z110" i="82" a="1"/>
  <c r="Z110" i="82" s="1"/>
  <c r="Z72" i="85" s="1"/>
  <c r="Z113" i="82" a="1"/>
  <c r="Z113" i="82" s="1"/>
  <c r="Z75" i="85" s="1"/>
  <c r="Z116" i="82" a="1"/>
  <c r="Z116" i="82" s="1"/>
  <c r="Z70" i="85"/>
  <c r="AC115" i="72" a="1"/>
  <c r="AC115" i="72" s="1"/>
  <c r="AC111" i="72" a="1"/>
  <c r="AC111" i="72" s="1"/>
  <c r="AC114" i="72" a="1"/>
  <c r="AC114" i="72" s="1"/>
  <c r="AC113" i="72" a="1"/>
  <c r="AC113" i="72" s="1"/>
  <c r="AC110" i="72" a="1"/>
  <c r="AC110" i="72" s="1"/>
  <c r="AC112" i="72" a="1"/>
  <c r="AC112" i="72" s="1"/>
  <c r="AC116" i="72" a="1"/>
  <c r="AC116" i="72" s="1"/>
  <c r="AC117" i="72" a="1"/>
  <c r="AC117" i="72" s="1"/>
  <c r="AC42" i="85"/>
  <c r="Z114" i="73" a="1"/>
  <c r="Z114" i="73" s="1"/>
  <c r="Z62" i="85" s="1"/>
  <c r="Z116" i="73" a="1"/>
  <c r="Z116" i="73" s="1"/>
  <c r="Z111" i="73" a="1"/>
  <c r="Z111" i="73" s="1"/>
  <c r="Z59" i="85" s="1"/>
  <c r="Z113" i="73" a="1"/>
  <c r="Z113" i="73" s="1"/>
  <c r="Z61" i="85" s="1"/>
  <c r="Z112" i="73" a="1"/>
  <c r="Z112" i="73" s="1"/>
  <c r="Z60" i="85" s="1"/>
  <c r="Z117" i="73" a="1"/>
  <c r="Z117" i="73" s="1"/>
  <c r="Z115" i="73" a="1"/>
  <c r="Z115" i="73" s="1"/>
  <c r="Z110" i="73" a="1"/>
  <c r="Z110" i="73" s="1"/>
  <c r="Z58" i="85" s="1"/>
  <c r="Z56" i="85"/>
  <c r="S117" i="72" a="1"/>
  <c r="S117" i="72" s="1"/>
  <c r="S116" i="72" a="1"/>
  <c r="S116" i="72" s="1"/>
  <c r="S112" i="72" a="1"/>
  <c r="S112" i="72" s="1"/>
  <c r="S113" i="72" a="1"/>
  <c r="S113" i="72" s="1"/>
  <c r="S115" i="72" a="1"/>
  <c r="S115" i="72" s="1"/>
  <c r="S110" i="72" a="1"/>
  <c r="S110" i="72" s="1"/>
  <c r="S114" i="72" a="1"/>
  <c r="S114" i="72" s="1"/>
  <c r="S111" i="72" a="1"/>
  <c r="S111" i="72" s="1"/>
  <c r="S42" i="85"/>
  <c r="W112" i="73" a="1"/>
  <c r="W112" i="73" s="1"/>
  <c r="W60" i="85" s="1"/>
  <c r="W117" i="73" a="1"/>
  <c r="W117" i="73" s="1"/>
  <c r="W114" i="73" a="1"/>
  <c r="W114" i="73" s="1"/>
  <c r="W62" i="85" s="1"/>
  <c r="W116" i="73" a="1"/>
  <c r="W116" i="73" s="1"/>
  <c r="W111" i="73" a="1"/>
  <c r="W111" i="73" s="1"/>
  <c r="W59" i="85" s="1"/>
  <c r="W115" i="73" a="1"/>
  <c r="W115" i="73" s="1"/>
  <c r="W110" i="73" a="1"/>
  <c r="W110" i="73" s="1"/>
  <c r="W58" i="85" s="1"/>
  <c r="W113" i="73" a="1"/>
  <c r="W113" i="73" s="1"/>
  <c r="W61" i="85" s="1"/>
  <c r="W56" i="85"/>
  <c r="AF117" i="82" a="1"/>
  <c r="AF117" i="82" s="1"/>
  <c r="AF114" i="82" a="1"/>
  <c r="AF114" i="82" s="1"/>
  <c r="AF76" i="85" s="1"/>
  <c r="AF110" i="82" a="1"/>
  <c r="AF110" i="82" s="1"/>
  <c r="AF72" i="85" s="1"/>
  <c r="AF113" i="82" a="1"/>
  <c r="AF113" i="82" s="1"/>
  <c r="AF75" i="85" s="1"/>
  <c r="AF116" i="82" a="1"/>
  <c r="AF116" i="82" s="1"/>
  <c r="AF115" i="82" a="1"/>
  <c r="AF115" i="82" s="1"/>
  <c r="AF111" i="82" a="1"/>
  <c r="AF111" i="82" s="1"/>
  <c r="AF73" i="85" s="1"/>
  <c r="AF112" i="82" a="1"/>
  <c r="AF112" i="82" s="1"/>
  <c r="AF74" i="85" s="1"/>
  <c r="AF70" i="85"/>
  <c r="AD111" i="82" a="1"/>
  <c r="AD111" i="82" s="1"/>
  <c r="AD73" i="85" s="1"/>
  <c r="AD117" i="82" a="1"/>
  <c r="AD117" i="82" s="1"/>
  <c r="AD114" i="82" a="1"/>
  <c r="AD114" i="82" s="1"/>
  <c r="AD76" i="85" s="1"/>
  <c r="AD110" i="82" a="1"/>
  <c r="AD110" i="82" s="1"/>
  <c r="AD72" i="85" s="1"/>
  <c r="AD113" i="82" a="1"/>
  <c r="AD113" i="82" s="1"/>
  <c r="AD75" i="85" s="1"/>
  <c r="AD116" i="82" a="1"/>
  <c r="AD116" i="82" s="1"/>
  <c r="AD112" i="82" a="1"/>
  <c r="AD112" i="82" s="1"/>
  <c r="AD74" i="85" s="1"/>
  <c r="AD115" i="82" a="1"/>
  <c r="AD115" i="82" s="1"/>
  <c r="AD70" i="85"/>
  <c r="V112" i="82" a="1"/>
  <c r="V112" i="82" s="1"/>
  <c r="V74" i="85" s="1"/>
  <c r="V115" i="82" a="1"/>
  <c r="V115" i="82" s="1"/>
  <c r="V111" i="82" a="1"/>
  <c r="V111" i="82" s="1"/>
  <c r="V73" i="85" s="1"/>
  <c r="V117" i="82" a="1"/>
  <c r="V117" i="82" s="1"/>
  <c r="V116" i="82" a="1"/>
  <c r="V116" i="82" s="1"/>
  <c r="V113" i="82" a="1"/>
  <c r="V113" i="82" s="1"/>
  <c r="V75" i="85" s="1"/>
  <c r="V114" i="82" a="1"/>
  <c r="V114" i="82" s="1"/>
  <c r="V76" i="85" s="1"/>
  <c r="V110" i="82" a="1"/>
  <c r="V110" i="82" s="1"/>
  <c r="V72" i="85" s="1"/>
  <c r="V70" i="85"/>
  <c r="V112" i="73" a="1"/>
  <c r="V112" i="73" s="1"/>
  <c r="V60" i="85" s="1"/>
  <c r="V117" i="73" a="1"/>
  <c r="V117" i="73" s="1"/>
  <c r="V114" i="73" a="1"/>
  <c r="V114" i="73" s="1"/>
  <c r="V62" i="85" s="1"/>
  <c r="V116" i="73" a="1"/>
  <c r="V116" i="73" s="1"/>
  <c r="V111" i="73" a="1"/>
  <c r="V111" i="73" s="1"/>
  <c r="V59" i="85" s="1"/>
  <c r="V115" i="73" a="1"/>
  <c r="V115" i="73" s="1"/>
  <c r="V113" i="73" a="1"/>
  <c r="V113" i="73" s="1"/>
  <c r="V61" i="85" s="1"/>
  <c r="V110" i="73" a="1"/>
  <c r="V110" i="73" s="1"/>
  <c r="V58" i="85" s="1"/>
  <c r="V56" i="85"/>
  <c r="AB116" i="73" a="1"/>
  <c r="AB116" i="73" s="1"/>
  <c r="AB111" i="73" a="1"/>
  <c r="AB111" i="73" s="1"/>
  <c r="AB59" i="85" s="1"/>
  <c r="AB113" i="73" a="1"/>
  <c r="AB113" i="73" s="1"/>
  <c r="AB61" i="85" s="1"/>
  <c r="AB117" i="73" a="1"/>
  <c r="AB117" i="73" s="1"/>
  <c r="AB115" i="73" a="1"/>
  <c r="AB115" i="73" s="1"/>
  <c r="AB112" i="73" a="1"/>
  <c r="AB112" i="73" s="1"/>
  <c r="AB60" i="85" s="1"/>
  <c r="AB110" i="73" a="1"/>
  <c r="AB110" i="73" s="1"/>
  <c r="AB58" i="85" s="1"/>
  <c r="AB114" i="73" a="1"/>
  <c r="AB114" i="73" s="1"/>
  <c r="AB62" i="85" s="1"/>
  <c r="AB56" i="85"/>
  <c r="W112" i="72" a="1"/>
  <c r="W112" i="72" s="1"/>
  <c r="W115" i="72" a="1"/>
  <c r="W115" i="72" s="1"/>
  <c r="W113" i="72" a="1"/>
  <c r="W113" i="72" s="1"/>
  <c r="W114" i="72" a="1"/>
  <c r="W114" i="72" s="1"/>
  <c r="W110" i="72" a="1"/>
  <c r="W110" i="72" s="1"/>
  <c r="W117" i="72" a="1"/>
  <c r="W117" i="72" s="1"/>
  <c r="W116" i="72" a="1"/>
  <c r="W116" i="72" s="1"/>
  <c r="W111" i="72" a="1"/>
  <c r="W111" i="72" s="1"/>
  <c r="W42" i="85"/>
  <c r="AB112" i="72" a="1"/>
  <c r="AB112" i="72" s="1"/>
  <c r="AB111" i="72" a="1"/>
  <c r="AB111" i="72" s="1"/>
  <c r="AB114" i="72" a="1"/>
  <c r="AB114" i="72" s="1"/>
  <c r="AB113" i="72" a="1"/>
  <c r="AB113" i="72" s="1"/>
  <c r="AB116" i="72" a="1"/>
  <c r="AB116" i="72" s="1"/>
  <c r="AB110" i="72" a="1"/>
  <c r="AB110" i="72" s="1"/>
  <c r="AB117" i="72" a="1"/>
  <c r="AB117" i="72" s="1"/>
  <c r="AB115" i="72" a="1"/>
  <c r="AB115" i="72" s="1"/>
  <c r="AB42" i="85"/>
  <c r="J114" i="81" a="1"/>
  <c r="J114" i="81" s="1"/>
  <c r="J112" i="81" a="1"/>
  <c r="J112" i="81" s="1"/>
  <c r="J117" i="81" a="1"/>
  <c r="J117" i="81" s="1"/>
  <c r="J111" i="81" a="1"/>
  <c r="J111" i="81" s="1"/>
  <c r="J115" i="81" a="1"/>
  <c r="J115" i="81" s="1"/>
  <c r="J113" i="81" a="1"/>
  <c r="J113" i="81" s="1"/>
  <c r="J110" i="81" a="1"/>
  <c r="J110" i="81" s="1"/>
  <c r="J116" i="81" a="1"/>
  <c r="J116" i="81" s="1"/>
  <c r="M113" i="81" a="1"/>
  <c r="M113" i="81" s="1"/>
  <c r="M110" i="81" a="1"/>
  <c r="M110" i="81" s="1"/>
  <c r="M111" i="81" a="1"/>
  <c r="M111" i="81" s="1"/>
  <c r="M116" i="81" a="1"/>
  <c r="M116" i="81" s="1"/>
  <c r="M115" i="81" a="1"/>
  <c r="M115" i="81" s="1"/>
  <c r="M114" i="81" a="1"/>
  <c r="M114" i="81" s="1"/>
  <c r="M112" i="81" a="1"/>
  <c r="M112" i="81" s="1"/>
  <c r="M117" i="81" a="1"/>
  <c r="M117" i="81" s="1"/>
  <c r="K111" i="81" a="1"/>
  <c r="K111" i="81" s="1"/>
  <c r="K116" i="81" a="1"/>
  <c r="K116" i="81" s="1"/>
  <c r="K114" i="81" a="1"/>
  <c r="K114" i="81" s="1"/>
  <c r="K112" i="81" a="1"/>
  <c r="K112" i="81" s="1"/>
  <c r="K117" i="81" a="1"/>
  <c r="K117" i="81" s="1"/>
  <c r="K115" i="81" a="1"/>
  <c r="K115" i="81" s="1"/>
  <c r="K113" i="81" a="1"/>
  <c r="K113" i="81" s="1"/>
  <c r="K110" i="81" a="1"/>
  <c r="K110" i="81" s="1"/>
  <c r="L111" i="81" a="1"/>
  <c r="L111" i="81" s="1"/>
  <c r="L116" i="81" a="1"/>
  <c r="L116" i="81" s="1"/>
  <c r="L114" i="81" a="1"/>
  <c r="L114" i="81" s="1"/>
  <c r="L113" i="81" a="1"/>
  <c r="L113" i="81" s="1"/>
  <c r="L110" i="81" a="1"/>
  <c r="L110" i="81" s="1"/>
  <c r="L112" i="81" a="1"/>
  <c r="L112" i="81" s="1"/>
  <c r="L117" i="81" a="1"/>
  <c r="L117" i="81" s="1"/>
  <c r="L115" i="81" a="1"/>
  <c r="L115" i="81" s="1"/>
  <c r="I116" i="81" a="1"/>
  <c r="I116" i="81" s="1"/>
  <c r="I114" i="81" a="1"/>
  <c r="I114" i="81" s="1"/>
  <c r="I112" i="81" a="1"/>
  <c r="I112" i="81" s="1"/>
  <c r="I110" i="81" a="1"/>
  <c r="I110" i="81" s="1"/>
  <c r="I115" i="81" a="1"/>
  <c r="I115" i="81" s="1"/>
  <c r="I111" i="81" a="1"/>
  <c r="I111" i="81" s="1"/>
  <c r="I113" i="81" a="1"/>
  <c r="I113" i="81" s="1"/>
  <c r="I117" i="81" a="1"/>
  <c r="I117" i="81" s="1"/>
  <c r="X114" i="81" a="1"/>
  <c r="X114" i="81" s="1"/>
  <c r="X111" i="81" a="1"/>
  <c r="X111" i="81" s="1"/>
  <c r="X110" i="81" a="1"/>
  <c r="X110" i="81" s="1"/>
  <c r="X112" i="81" a="1"/>
  <c r="X112" i="81" s="1"/>
  <c r="X116" i="81" a="1"/>
  <c r="X116" i="81" s="1"/>
  <c r="X113" i="81" a="1"/>
  <c r="X113" i="81" s="1"/>
  <c r="X115" i="81" a="1"/>
  <c r="X115" i="81" s="1"/>
  <c r="X117" i="81" a="1"/>
  <c r="X117" i="81" s="1"/>
  <c r="AF115" i="81" a="1"/>
  <c r="AF115" i="81" s="1"/>
  <c r="AF112" i="81" a="1"/>
  <c r="AF112" i="81" s="1"/>
  <c r="AF116" i="81" a="1"/>
  <c r="AF116" i="81" s="1"/>
  <c r="AF113" i="81" a="1"/>
  <c r="AF113" i="81" s="1"/>
  <c r="AF110" i="81" a="1"/>
  <c r="AF110" i="81" s="1"/>
  <c r="AF114" i="81" a="1"/>
  <c r="AF114" i="81" s="1"/>
  <c r="AF111" i="81" a="1"/>
  <c r="AF111" i="81" s="1"/>
  <c r="AF117" i="81" a="1"/>
  <c r="AF117" i="81" s="1"/>
  <c r="W111" i="81" a="1"/>
  <c r="W111" i="81" s="1"/>
  <c r="W110" i="81" a="1"/>
  <c r="W110" i="81" s="1"/>
  <c r="W115" i="81" a="1"/>
  <c r="W115" i="81" s="1"/>
  <c r="W116" i="81" a="1"/>
  <c r="W116" i="81" s="1"/>
  <c r="W113" i="81" a="1"/>
  <c r="W113" i="81" s="1"/>
  <c r="W112" i="81" a="1"/>
  <c r="W112" i="81" s="1"/>
  <c r="W117" i="81" a="1"/>
  <c r="W117" i="81" s="1"/>
  <c r="W114" i="81" a="1"/>
  <c r="W114" i="81" s="1"/>
  <c r="AG110" i="81" a="1"/>
  <c r="AG110" i="81" s="1"/>
  <c r="AG115" i="81" a="1"/>
  <c r="AG115" i="81" s="1"/>
  <c r="AG116" i="81" a="1"/>
  <c r="AG116" i="81" s="1"/>
  <c r="AG113" i="81" a="1"/>
  <c r="AG113" i="81" s="1"/>
  <c r="AG111" i="81" a="1"/>
  <c r="AG111" i="81" s="1"/>
  <c r="AG114" i="81" a="1"/>
  <c r="AG114" i="81" s="1"/>
  <c r="AG112" i="81" a="1"/>
  <c r="AG112" i="81" s="1"/>
  <c r="AG117" i="81" a="1"/>
  <c r="AG117" i="81" s="1"/>
  <c r="Y117" i="81" a="1"/>
  <c r="Y117" i="81" s="1"/>
  <c r="Y114" i="81" a="1"/>
  <c r="Y114" i="81" s="1"/>
  <c r="Y111" i="81" a="1"/>
  <c r="Y111" i="81" s="1"/>
  <c r="Y115" i="81" a="1"/>
  <c r="Y115" i="81" s="1"/>
  <c r="Y112" i="81" a="1"/>
  <c r="Y112" i="81" s="1"/>
  <c r="Y116" i="81" a="1"/>
  <c r="Y116" i="81" s="1"/>
  <c r="Y113" i="81" a="1"/>
  <c r="Y113" i="81" s="1"/>
  <c r="Y110" i="81" a="1"/>
  <c r="Y110" i="81" s="1"/>
  <c r="T112" i="81" a="1"/>
  <c r="T112" i="81" s="1"/>
  <c r="T116" i="81" a="1"/>
  <c r="T116" i="81" s="1"/>
  <c r="T117" i="81" a="1"/>
  <c r="T117" i="81" s="1"/>
  <c r="T113" i="81" a="1"/>
  <c r="T113" i="81" s="1"/>
  <c r="T114" i="81" a="1"/>
  <c r="T114" i="81" s="1"/>
  <c r="T111" i="81" a="1"/>
  <c r="T111" i="81" s="1"/>
  <c r="T115" i="81" a="1"/>
  <c r="T115" i="81" s="1"/>
  <c r="T110" i="81" a="1"/>
  <c r="T110" i="81" s="1"/>
  <c r="O117" i="81" a="1"/>
  <c r="O117" i="81" s="1"/>
  <c r="O114" i="81" a="1"/>
  <c r="O114" i="81" s="1"/>
  <c r="O111" i="81" a="1"/>
  <c r="O111" i="81" s="1"/>
  <c r="O110" i="81" a="1"/>
  <c r="O110" i="81" s="1"/>
  <c r="O115" i="81" a="1"/>
  <c r="O115" i="81" s="1"/>
  <c r="O112" i="81" a="1"/>
  <c r="O112" i="81" s="1"/>
  <c r="O116" i="81" a="1"/>
  <c r="O116" i="81" s="1"/>
  <c r="O113" i="81" a="1"/>
  <c r="O113" i="81" s="1"/>
  <c r="U115" i="81" a="1"/>
  <c r="U115" i="81" s="1"/>
  <c r="U112" i="81" a="1"/>
  <c r="U112" i="81" s="1"/>
  <c r="U113" i="81" a="1"/>
  <c r="U113" i="81" s="1"/>
  <c r="U117" i="81" a="1"/>
  <c r="U117" i="81" s="1"/>
  <c r="U116" i="81" a="1"/>
  <c r="U116" i="81" s="1"/>
  <c r="U114" i="81" a="1"/>
  <c r="U114" i="81" s="1"/>
  <c r="U111" i="81" a="1"/>
  <c r="U111" i="81" s="1"/>
  <c r="U110" i="81" a="1"/>
  <c r="U110" i="81" s="1"/>
  <c r="AC116" i="81" a="1"/>
  <c r="AC116" i="81" s="1"/>
  <c r="AC113" i="81" a="1"/>
  <c r="AC113" i="81" s="1"/>
  <c r="AC117" i="81" a="1"/>
  <c r="AC117" i="81" s="1"/>
  <c r="AC114" i="81" a="1"/>
  <c r="AC114" i="81" s="1"/>
  <c r="AC111" i="81" a="1"/>
  <c r="AC111" i="81" s="1"/>
  <c r="AC115" i="81" a="1"/>
  <c r="AC115" i="81" s="1"/>
  <c r="AC112" i="81" a="1"/>
  <c r="AC112" i="81" s="1"/>
  <c r="AC110" i="81" a="1"/>
  <c r="AC110" i="81" s="1"/>
  <c r="Z117" i="81" a="1"/>
  <c r="Z117" i="81" s="1"/>
  <c r="Z114" i="81" a="1"/>
  <c r="Z114" i="81" s="1"/>
  <c r="Z115" i="81" a="1"/>
  <c r="Z115" i="81" s="1"/>
  <c r="Z112" i="81" a="1"/>
  <c r="Z112" i="81" s="1"/>
  <c r="Z116" i="81" a="1"/>
  <c r="Z116" i="81" s="1"/>
  <c r="Z110" i="81" a="1"/>
  <c r="Z110" i="81" s="1"/>
  <c r="Z113" i="81" a="1"/>
  <c r="Z113" i="81" s="1"/>
  <c r="Z111" i="81" a="1"/>
  <c r="Z111" i="81" s="1"/>
  <c r="AA113" i="81" a="1"/>
  <c r="AA113" i="81" s="1"/>
  <c r="AA117" i="81" a="1"/>
  <c r="AA117" i="81" s="1"/>
  <c r="AA111" i="81" a="1"/>
  <c r="AA111" i="81" s="1"/>
  <c r="AA110" i="81" a="1"/>
  <c r="AA110" i="81" s="1"/>
  <c r="AA115" i="81" a="1"/>
  <c r="AA115" i="81" s="1"/>
  <c r="AA112" i="81" a="1"/>
  <c r="AA112" i="81" s="1"/>
  <c r="AA116" i="81" a="1"/>
  <c r="AA116" i="81" s="1"/>
  <c r="AA114" i="81" a="1"/>
  <c r="AA114" i="81" s="1"/>
  <c r="S116" i="81" a="1"/>
  <c r="S116" i="81" s="1"/>
  <c r="S113" i="81" a="1"/>
  <c r="S113" i="81" s="1"/>
  <c r="S117" i="81" a="1"/>
  <c r="S117" i="81" s="1"/>
  <c r="S114" i="81" a="1"/>
  <c r="S114" i="81" s="1"/>
  <c r="S111" i="81" a="1"/>
  <c r="S111" i="81" s="1"/>
  <c r="S110" i="81" a="1"/>
  <c r="S110" i="81" s="1"/>
  <c r="S112" i="81" a="1"/>
  <c r="S112" i="81" s="1"/>
  <c r="S115" i="81" a="1"/>
  <c r="S115" i="81" s="1"/>
  <c r="AB116" i="81" a="1"/>
  <c r="AB116" i="81" s="1"/>
  <c r="AB113" i="81" a="1"/>
  <c r="AB113" i="81" s="1"/>
  <c r="AB114" i="81" a="1"/>
  <c r="AB114" i="81" s="1"/>
  <c r="AB111" i="81" a="1"/>
  <c r="AB111" i="81" s="1"/>
  <c r="AB110" i="81" a="1"/>
  <c r="AB110" i="81" s="1"/>
  <c r="AB115" i="81" a="1"/>
  <c r="AB115" i="81" s="1"/>
  <c r="AB112" i="81" a="1"/>
  <c r="AB112" i="81" s="1"/>
  <c r="AB117" i="81" a="1"/>
  <c r="AB117" i="81" s="1"/>
  <c r="R116" i="81" a="1"/>
  <c r="R116" i="81" s="1"/>
  <c r="R113" i="81" a="1"/>
  <c r="R113" i="81" s="1"/>
  <c r="R114" i="81" a="1"/>
  <c r="R114" i="81" s="1"/>
  <c r="R111" i="81" a="1"/>
  <c r="R111" i="81" s="1"/>
  <c r="R110" i="81" a="1"/>
  <c r="R110" i="81" s="1"/>
  <c r="R117" i="81" a="1"/>
  <c r="R117" i="81" s="1"/>
  <c r="R115" i="81" a="1"/>
  <c r="R115" i="81" s="1"/>
  <c r="R112" i="81" a="1"/>
  <c r="R112" i="81" s="1"/>
  <c r="AD112" i="81" a="1"/>
  <c r="AD112" i="81" s="1"/>
  <c r="AD116" i="81" a="1"/>
  <c r="AD116" i="81" s="1"/>
  <c r="AD113" i="81" a="1"/>
  <c r="AD113" i="81" s="1"/>
  <c r="AD117" i="81" a="1"/>
  <c r="AD117" i="81" s="1"/>
  <c r="AD114" i="81" a="1"/>
  <c r="AD114" i="81" s="1"/>
  <c r="AD115" i="81" a="1"/>
  <c r="AD115" i="81" s="1"/>
  <c r="AD111" i="81" a="1"/>
  <c r="AD111" i="81" s="1"/>
  <c r="AD110" i="81" a="1"/>
  <c r="AD110" i="81" s="1"/>
  <c r="V115" i="81" a="1"/>
  <c r="V115" i="81" s="1"/>
  <c r="V112" i="81" a="1"/>
  <c r="V112" i="81" s="1"/>
  <c r="V116" i="81" a="1"/>
  <c r="V116" i="81" s="1"/>
  <c r="V113" i="81" a="1"/>
  <c r="V113" i="81" s="1"/>
  <c r="V117" i="81" a="1"/>
  <c r="V117" i="81" s="1"/>
  <c r="V114" i="81" a="1"/>
  <c r="V114" i="81" s="1"/>
  <c r="V111" i="81" a="1"/>
  <c r="V111" i="81" s="1"/>
  <c r="V110" i="81" a="1"/>
  <c r="V110" i="81" s="1"/>
  <c r="AE112" i="81" a="1"/>
  <c r="AE112" i="81" s="1"/>
  <c r="AE117" i="81" a="1"/>
  <c r="AE117" i="81" s="1"/>
  <c r="AE110" i="81" a="1"/>
  <c r="AE110" i="81" s="1"/>
  <c r="AE115" i="81" a="1"/>
  <c r="AE115" i="81" s="1"/>
  <c r="AE114" i="81" a="1"/>
  <c r="AE114" i="81" s="1"/>
  <c r="AE111" i="81" a="1"/>
  <c r="AE111" i="81" s="1"/>
  <c r="AE116" i="81" a="1"/>
  <c r="AE116" i="81" s="1"/>
  <c r="AE113" i="81" a="1"/>
  <c r="AE113" i="81" s="1"/>
  <c r="N113" i="81" a="1"/>
  <c r="N113" i="81" s="1"/>
  <c r="N116" i="81" a="1"/>
  <c r="N116" i="81" s="1"/>
  <c r="N111" i="81" a="1"/>
  <c r="N111" i="81" s="1"/>
  <c r="N114" i="81" a="1"/>
  <c r="N114" i="81" s="1"/>
  <c r="N117" i="81" a="1"/>
  <c r="N117" i="81" s="1"/>
  <c r="N112" i="81" a="1"/>
  <c r="N112" i="81" s="1"/>
  <c r="N115" i="81" a="1"/>
  <c r="N115" i="81" s="1"/>
  <c r="N110" i="81" a="1"/>
  <c r="N110" i="81" s="1"/>
  <c r="P87" i="73"/>
  <c r="P106" i="73" s="1"/>
  <c r="N48" i="75"/>
  <c r="N50" i="75" s="1"/>
  <c r="N40" i="85" s="1"/>
  <c r="O62" i="75"/>
  <c r="O64" i="75" s="1"/>
  <c r="N87" i="72"/>
  <c r="N106" i="72" s="1"/>
  <c r="M62" i="75"/>
  <c r="M64" i="75" s="1"/>
  <c r="O87" i="73"/>
  <c r="O106" i="73" s="1"/>
  <c r="J76" i="75"/>
  <c r="J78" i="75" s="1"/>
  <c r="M87" i="73"/>
  <c r="M106" i="73" s="1"/>
  <c r="J62" i="75"/>
  <c r="J64" i="75" s="1"/>
  <c r="J87" i="73"/>
  <c r="J106" i="73" s="1"/>
  <c r="N62" i="75"/>
  <c r="N64" i="75" s="1"/>
  <c r="K62" i="75"/>
  <c r="K64" i="75" s="1"/>
  <c r="N87" i="73"/>
  <c r="N106" i="73" s="1"/>
  <c r="Q62" i="75"/>
  <c r="Q64" i="75" s="1"/>
  <c r="I62" i="75"/>
  <c r="I64" i="75" s="1"/>
  <c r="Q76" i="75"/>
  <c r="Q78" i="75" s="1"/>
  <c r="M87" i="82"/>
  <c r="M106" i="82" s="1"/>
  <c r="Q87" i="73"/>
  <c r="Q106" i="73" s="1"/>
  <c r="K87" i="73"/>
  <c r="K106" i="73" s="1"/>
  <c r="Q87" i="82"/>
  <c r="Q106" i="82" s="1"/>
  <c r="M76" i="75"/>
  <c r="M78" i="75" s="1"/>
  <c r="P62" i="75"/>
  <c r="P64" i="75" s="1"/>
  <c r="M48" i="75"/>
  <c r="M50" i="75" s="1"/>
  <c r="M40" i="85" s="1"/>
  <c r="M87" i="72"/>
  <c r="M106" i="72" s="1"/>
  <c r="I87" i="73"/>
  <c r="P76" i="75"/>
  <c r="P78" i="75" s="1"/>
  <c r="I76" i="75"/>
  <c r="I78" i="75" s="1"/>
  <c r="Q34" i="75"/>
  <c r="Q36" i="75" s="1"/>
  <c r="O87" i="82"/>
  <c r="O106" i="82" s="1"/>
  <c r="Q48" i="75"/>
  <c r="Q50" i="75" s="1"/>
  <c r="Q40" i="85" s="1"/>
  <c r="Q87" i="72"/>
  <c r="Q106" i="72" s="1"/>
  <c r="L87" i="73"/>
  <c r="L106" i="73" s="1"/>
  <c r="N87" i="82"/>
  <c r="N106" i="82" s="1"/>
  <c r="O87" i="72"/>
  <c r="O106" i="72" s="1"/>
  <c r="K76" i="75"/>
  <c r="K78" i="75" s="1"/>
  <c r="O76" i="75"/>
  <c r="O78" i="75" s="1"/>
  <c r="I48" i="75"/>
  <c r="I87" i="72"/>
  <c r="I106" i="72" s="1"/>
  <c r="O48" i="75"/>
  <c r="O50" i="75" s="1"/>
  <c r="O40" i="85" s="1"/>
  <c r="L62" i="75"/>
  <c r="L64" i="75" s="1"/>
  <c r="P87" i="82"/>
  <c r="P106" i="82" s="1"/>
  <c r="I87" i="82"/>
  <c r="I106" i="82" s="1"/>
  <c r="Q87" i="81"/>
  <c r="N76" i="75"/>
  <c r="N78" i="75" s="1"/>
  <c r="K87" i="82"/>
  <c r="K106" i="82" s="1"/>
  <c r="J87" i="82"/>
  <c r="J106" i="82" s="1"/>
  <c r="I36" i="75"/>
  <c r="F52" i="75"/>
  <c r="G11" i="33" s="1"/>
  <c r="P115" i="81" l="1" a="1"/>
  <c r="P115" i="81" s="1"/>
  <c r="P112" i="81" a="1"/>
  <c r="P112" i="81" s="1"/>
  <c r="P110" i="81" a="1"/>
  <c r="P110" i="81" s="1"/>
  <c r="K42" i="85"/>
  <c r="P113" i="81" a="1"/>
  <c r="P113" i="81" s="1"/>
  <c r="P114" i="81" a="1"/>
  <c r="P114" i="81" s="1"/>
  <c r="P117" i="81" a="1"/>
  <c r="P117" i="81" s="1"/>
  <c r="K111" i="72" a="1"/>
  <c r="K111" i="72" s="1"/>
  <c r="P116" i="81" a="1"/>
  <c r="P116" i="81" s="1"/>
  <c r="K115" i="72" a="1"/>
  <c r="K115" i="72" s="1"/>
  <c r="J42" i="85"/>
  <c r="J110" i="72" a="1"/>
  <c r="J110" i="72" s="1"/>
  <c r="J113" i="72" a="1"/>
  <c r="J113" i="72" s="1"/>
  <c r="K110" i="72" a="1"/>
  <c r="K110" i="72" s="1"/>
  <c r="J116" i="72" a="1"/>
  <c r="J116" i="72" s="1"/>
  <c r="K116" i="72" a="1"/>
  <c r="K116" i="72" s="1"/>
  <c r="J112" i="72" a="1"/>
  <c r="J112" i="72" s="1"/>
  <c r="K113" i="72" a="1"/>
  <c r="K113" i="72" s="1"/>
  <c r="J117" i="72" a="1"/>
  <c r="J117" i="72" s="1"/>
  <c r="J114" i="72" a="1"/>
  <c r="J114" i="72" s="1"/>
  <c r="K112" i="72" a="1"/>
  <c r="K112" i="72" s="1"/>
  <c r="J111" i="72" a="1"/>
  <c r="J111" i="72" s="1"/>
  <c r="K117" i="72" a="1"/>
  <c r="K117" i="72" s="1"/>
  <c r="I111" i="82" a="1"/>
  <c r="I111" i="82" s="1"/>
  <c r="I73" i="85" s="1"/>
  <c r="I114" i="82" a="1"/>
  <c r="I114" i="82" s="1"/>
  <c r="I76" i="85" s="1"/>
  <c r="I117" i="82" a="1"/>
  <c r="I117" i="82" s="1"/>
  <c r="I110" i="82" a="1"/>
  <c r="I110" i="82" s="1"/>
  <c r="I72" i="85" s="1"/>
  <c r="I116" i="82" a="1"/>
  <c r="I116" i="82" s="1"/>
  <c r="I112" i="82" a="1"/>
  <c r="I112" i="82" s="1"/>
  <c r="I74" i="85" s="1"/>
  <c r="I115" i="82" a="1"/>
  <c r="I115" i="82" s="1"/>
  <c r="I113" i="82" a="1"/>
  <c r="I113" i="82" s="1"/>
  <c r="I75" i="85" s="1"/>
  <c r="I70" i="85"/>
  <c r="AC65" i="85"/>
  <c r="AC64" i="85"/>
  <c r="AC63" i="85"/>
  <c r="K116" i="73" a="1"/>
  <c r="K116" i="73" s="1"/>
  <c r="K111" i="73" a="1"/>
  <c r="K111" i="73" s="1"/>
  <c r="K59" i="85" s="1"/>
  <c r="K113" i="73" a="1"/>
  <c r="K113" i="73" s="1"/>
  <c r="K61" i="85" s="1"/>
  <c r="K115" i="73" a="1"/>
  <c r="K115" i="73" s="1"/>
  <c r="K110" i="73" a="1"/>
  <c r="K110" i="73" s="1"/>
  <c r="K58" i="85" s="1"/>
  <c r="K114" i="73" a="1"/>
  <c r="K114" i="73" s="1"/>
  <c r="K62" i="85" s="1"/>
  <c r="K117" i="73" a="1"/>
  <c r="K117" i="73" s="1"/>
  <c r="K112" i="73" a="1"/>
  <c r="K112" i="73" s="1"/>
  <c r="K60" i="85" s="1"/>
  <c r="K56" i="85"/>
  <c r="AE65" i="85"/>
  <c r="AE63" i="85"/>
  <c r="AE64" i="85"/>
  <c r="I106" i="73"/>
  <c r="AC79" i="85"/>
  <c r="AC77" i="85"/>
  <c r="AC78" i="85"/>
  <c r="AF64" i="85"/>
  <c r="AF65" i="85"/>
  <c r="AF63" i="85"/>
  <c r="Y64" i="85"/>
  <c r="Y65" i="85"/>
  <c r="Y63" i="85"/>
  <c r="AA64" i="85"/>
  <c r="AA63" i="85"/>
  <c r="AA65" i="85"/>
  <c r="S77" i="85"/>
  <c r="S78" i="85"/>
  <c r="S79" i="85"/>
  <c r="AG79" i="85"/>
  <c r="AG78" i="85"/>
  <c r="AG77" i="85"/>
  <c r="I112" i="72" a="1"/>
  <c r="I112" i="72" s="1"/>
  <c r="I115" i="72" a="1"/>
  <c r="I115" i="72" s="1"/>
  <c r="I111" i="72" a="1"/>
  <c r="I111" i="72" s="1"/>
  <c r="I114" i="72" a="1"/>
  <c r="I114" i="72" s="1"/>
  <c r="I116" i="72" a="1"/>
  <c r="I116" i="72" s="1"/>
  <c r="I113" i="72" a="1"/>
  <c r="I113" i="72" s="1"/>
  <c r="I117" i="72" a="1"/>
  <c r="I117" i="72" s="1"/>
  <c r="I110" i="72" a="1"/>
  <c r="I110" i="72" s="1"/>
  <c r="I42" i="85"/>
  <c r="V77" i="85"/>
  <c r="V79" i="85"/>
  <c r="V78" i="85"/>
  <c r="O111" i="72" a="1"/>
  <c r="O111" i="72" s="1"/>
  <c r="O114" i="72" a="1"/>
  <c r="O114" i="72" s="1"/>
  <c r="O117" i="72" a="1"/>
  <c r="O117" i="72" s="1"/>
  <c r="O110" i="72" a="1"/>
  <c r="O110" i="72" s="1"/>
  <c r="O113" i="72" a="1"/>
  <c r="O113" i="72" s="1"/>
  <c r="O115" i="72" a="1"/>
  <c r="O115" i="72" s="1"/>
  <c r="O112" i="72" a="1"/>
  <c r="O112" i="72" s="1"/>
  <c r="O116" i="72" a="1"/>
  <c r="O116" i="72" s="1"/>
  <c r="O42" i="85"/>
  <c r="AA77" i="85"/>
  <c r="AA79" i="85"/>
  <c r="AA78" i="85"/>
  <c r="S63" i="85"/>
  <c r="S65" i="85"/>
  <c r="S64" i="85"/>
  <c r="Q113" i="82" a="1"/>
  <c r="Q113" i="82" s="1"/>
  <c r="Q75" i="85" s="1"/>
  <c r="Q110" i="82" a="1"/>
  <c r="Q110" i="82" s="1"/>
  <c r="Q72" i="85" s="1"/>
  <c r="Q116" i="82" a="1"/>
  <c r="Q116" i="82" s="1"/>
  <c r="Q112" i="82" a="1"/>
  <c r="Q112" i="82" s="1"/>
  <c r="Q74" i="85" s="1"/>
  <c r="Q115" i="82" a="1"/>
  <c r="Q115" i="82" s="1"/>
  <c r="Q114" i="82" a="1"/>
  <c r="Q114" i="82" s="1"/>
  <c r="Q76" i="85" s="1"/>
  <c r="Q111" i="82" a="1"/>
  <c r="Q111" i="82" s="1"/>
  <c r="Q73" i="85" s="1"/>
  <c r="Q117" i="82" a="1"/>
  <c r="Q117" i="82" s="1"/>
  <c r="Q70" i="85"/>
  <c r="L111" i="82" a="1"/>
  <c r="L111" i="82" s="1"/>
  <c r="L73" i="85" s="1"/>
  <c r="L117" i="82" a="1"/>
  <c r="L117" i="82" s="1"/>
  <c r="L114" i="82" a="1"/>
  <c r="L114" i="82" s="1"/>
  <c r="L76" i="85" s="1"/>
  <c r="L110" i="82" a="1"/>
  <c r="L110" i="82" s="1"/>
  <c r="L72" i="85" s="1"/>
  <c r="L113" i="82" a="1"/>
  <c r="L113" i="82" s="1"/>
  <c r="L75" i="85" s="1"/>
  <c r="L116" i="82" a="1"/>
  <c r="L116" i="82" s="1"/>
  <c r="L112" i="82" a="1"/>
  <c r="L112" i="82" s="1"/>
  <c r="L74" i="85" s="1"/>
  <c r="L115" i="82" a="1"/>
  <c r="L115" i="82" s="1"/>
  <c r="L70" i="85"/>
  <c r="N117" i="82" a="1"/>
  <c r="N117" i="82" s="1"/>
  <c r="N110" i="82" a="1"/>
  <c r="N110" i="82" s="1"/>
  <c r="N72" i="85" s="1"/>
  <c r="N113" i="82" a="1"/>
  <c r="N113" i="82" s="1"/>
  <c r="N75" i="85" s="1"/>
  <c r="N116" i="82" a="1"/>
  <c r="N116" i="82" s="1"/>
  <c r="N114" i="82" a="1"/>
  <c r="N114" i="82" s="1"/>
  <c r="N76" i="85" s="1"/>
  <c r="N111" i="82" a="1"/>
  <c r="N111" i="82" s="1"/>
  <c r="N73" i="85" s="1"/>
  <c r="N112" i="82" a="1"/>
  <c r="N112" i="82" s="1"/>
  <c r="N74" i="85" s="1"/>
  <c r="N115" i="82" a="1"/>
  <c r="N115" i="82" s="1"/>
  <c r="N70" i="85"/>
  <c r="N113" i="73" a="1"/>
  <c r="N113" i="73" s="1"/>
  <c r="N61" i="85" s="1"/>
  <c r="N110" i="73" a="1"/>
  <c r="N110" i="73" s="1"/>
  <c r="N58" i="85" s="1"/>
  <c r="N115" i="73" a="1"/>
  <c r="N115" i="73" s="1"/>
  <c r="N112" i="73" a="1"/>
  <c r="N112" i="73" s="1"/>
  <c r="N60" i="85" s="1"/>
  <c r="N114" i="73" a="1"/>
  <c r="N114" i="73" s="1"/>
  <c r="N62" i="85" s="1"/>
  <c r="N111" i="73" a="1"/>
  <c r="N111" i="73" s="1"/>
  <c r="N59" i="85" s="1"/>
  <c r="N116" i="73" a="1"/>
  <c r="N116" i="73" s="1"/>
  <c r="N117" i="73" a="1"/>
  <c r="N117" i="73" s="1"/>
  <c r="N56" i="85"/>
  <c r="AD77" i="85"/>
  <c r="AD79" i="85"/>
  <c r="AD78" i="85"/>
  <c r="W63" i="85"/>
  <c r="W64" i="85"/>
  <c r="W65" i="85"/>
  <c r="AE77" i="85"/>
  <c r="AE79" i="85"/>
  <c r="AE78" i="85"/>
  <c r="N111" i="72" a="1"/>
  <c r="N111" i="72" s="1"/>
  <c r="N117" i="72" a="1"/>
  <c r="N117" i="72" s="1"/>
  <c r="N110" i="72" a="1"/>
  <c r="N110" i="72" s="1"/>
  <c r="N113" i="72" a="1"/>
  <c r="N113" i="72" s="1"/>
  <c r="N116" i="72" a="1"/>
  <c r="N116" i="72" s="1"/>
  <c r="N112" i="72" a="1"/>
  <c r="N112" i="72" s="1"/>
  <c r="N115" i="72" a="1"/>
  <c r="N115" i="72" s="1"/>
  <c r="N114" i="72" a="1"/>
  <c r="N114" i="72" s="1"/>
  <c r="N42" i="85"/>
  <c r="Z65" i="85"/>
  <c r="Z64" i="85"/>
  <c r="Z63" i="85"/>
  <c r="Y78" i="85"/>
  <c r="Y79" i="85"/>
  <c r="Y77" i="85"/>
  <c r="AB78" i="85"/>
  <c r="AB79" i="85"/>
  <c r="AB77" i="85"/>
  <c r="K114" i="82" a="1"/>
  <c r="K114" i="82" s="1"/>
  <c r="K76" i="85" s="1"/>
  <c r="K111" i="82" a="1"/>
  <c r="K111" i="82" s="1"/>
  <c r="K73" i="85" s="1"/>
  <c r="K117" i="82" a="1"/>
  <c r="K117" i="82" s="1"/>
  <c r="K110" i="82" a="1"/>
  <c r="K110" i="82" s="1"/>
  <c r="K72" i="85" s="1"/>
  <c r="K113" i="82" a="1"/>
  <c r="K113" i="82" s="1"/>
  <c r="K75" i="85" s="1"/>
  <c r="K115" i="82" a="1"/>
  <c r="K115" i="82" s="1"/>
  <c r="K116" i="82" a="1"/>
  <c r="K116" i="82" s="1"/>
  <c r="K112" i="82" a="1"/>
  <c r="K112" i="82" s="1"/>
  <c r="K74" i="85" s="1"/>
  <c r="K70" i="85"/>
  <c r="M114" i="72" a="1"/>
  <c r="M114" i="72" s="1"/>
  <c r="M117" i="72" a="1"/>
  <c r="M117" i="72" s="1"/>
  <c r="M110" i="72" a="1"/>
  <c r="M110" i="72" s="1"/>
  <c r="M113" i="72" a="1"/>
  <c r="M113" i="72" s="1"/>
  <c r="M116" i="72" a="1"/>
  <c r="M116" i="72" s="1"/>
  <c r="M111" i="72" a="1"/>
  <c r="M111" i="72" s="1"/>
  <c r="M115" i="72" a="1"/>
  <c r="M115" i="72" s="1"/>
  <c r="M112" i="72" a="1"/>
  <c r="M112" i="72" s="1"/>
  <c r="M42" i="85"/>
  <c r="U79" i="85"/>
  <c r="U78" i="85"/>
  <c r="U77" i="85"/>
  <c r="X79" i="85"/>
  <c r="X77" i="85"/>
  <c r="X78" i="85"/>
  <c r="R78" i="85"/>
  <c r="R79" i="85"/>
  <c r="R77" i="85"/>
  <c r="AF78" i="85"/>
  <c r="AF77" i="85"/>
  <c r="AF79" i="85"/>
  <c r="P113" i="73" a="1"/>
  <c r="P113" i="73" s="1"/>
  <c r="P61" i="85" s="1"/>
  <c r="P115" i="73" a="1"/>
  <c r="P115" i="73" s="1"/>
  <c r="P112" i="73" a="1"/>
  <c r="P112" i="73" s="1"/>
  <c r="P60" i="85" s="1"/>
  <c r="P117" i="73" a="1"/>
  <c r="P117" i="73" s="1"/>
  <c r="P110" i="73" a="1"/>
  <c r="P110" i="73" s="1"/>
  <c r="P58" i="85" s="1"/>
  <c r="P116" i="73" a="1"/>
  <c r="P116" i="73" s="1"/>
  <c r="P111" i="73" a="1"/>
  <c r="P111" i="73" s="1"/>
  <c r="P59" i="85" s="1"/>
  <c r="P114" i="73" a="1"/>
  <c r="P114" i="73" s="1"/>
  <c r="P62" i="85" s="1"/>
  <c r="P56" i="85"/>
  <c r="Q110" i="73" a="1"/>
  <c r="Q110" i="73" s="1"/>
  <c r="Q58" i="85" s="1"/>
  <c r="Q112" i="73" a="1"/>
  <c r="Q112" i="73" s="1"/>
  <c r="Q60" i="85" s="1"/>
  <c r="Q117" i="73" a="1"/>
  <c r="Q117" i="73" s="1"/>
  <c r="Q111" i="73" a="1"/>
  <c r="Q111" i="73" s="1"/>
  <c r="Q59" i="85" s="1"/>
  <c r="Q115" i="73" a="1"/>
  <c r="Q115" i="73" s="1"/>
  <c r="Q116" i="73" a="1"/>
  <c r="Q116" i="73" s="1"/>
  <c r="Q114" i="73" a="1"/>
  <c r="Q114" i="73" s="1"/>
  <c r="Q62" i="85" s="1"/>
  <c r="Q113" i="73" a="1"/>
  <c r="Q113" i="73" s="1"/>
  <c r="Q61" i="85" s="1"/>
  <c r="Q56" i="85"/>
  <c r="M114" i="82" a="1"/>
  <c r="M114" i="82" s="1"/>
  <c r="M76" i="85" s="1"/>
  <c r="M117" i="82" a="1"/>
  <c r="M117" i="82" s="1"/>
  <c r="M110" i="82" a="1"/>
  <c r="M110" i="82" s="1"/>
  <c r="M72" i="85" s="1"/>
  <c r="M113" i="82" a="1"/>
  <c r="M113" i="82" s="1"/>
  <c r="M75" i="85" s="1"/>
  <c r="M116" i="82" a="1"/>
  <c r="M116" i="82" s="1"/>
  <c r="M111" i="82" a="1"/>
  <c r="M111" i="82" s="1"/>
  <c r="M73" i="85" s="1"/>
  <c r="M112" i="82" a="1"/>
  <c r="M112" i="82" s="1"/>
  <c r="M74" i="85" s="1"/>
  <c r="M115" i="82" a="1"/>
  <c r="M115" i="82" s="1"/>
  <c r="M70" i="85"/>
  <c r="J111" i="73" a="1"/>
  <c r="J111" i="73" s="1"/>
  <c r="J59" i="85" s="1"/>
  <c r="J116" i="73" a="1"/>
  <c r="J116" i="73" s="1"/>
  <c r="J113" i="73" a="1"/>
  <c r="J113" i="73" s="1"/>
  <c r="J61" i="85" s="1"/>
  <c r="J115" i="73" a="1"/>
  <c r="J115" i="73" s="1"/>
  <c r="J114" i="73" a="1"/>
  <c r="J114" i="73" s="1"/>
  <c r="J62" i="85" s="1"/>
  <c r="J117" i="73" a="1"/>
  <c r="J117" i="73" s="1"/>
  <c r="J110" i="73" a="1"/>
  <c r="J110" i="73" s="1"/>
  <c r="J58" i="85" s="1"/>
  <c r="J112" i="73" a="1"/>
  <c r="J112" i="73" s="1"/>
  <c r="J60" i="85" s="1"/>
  <c r="J56" i="85"/>
  <c r="O113" i="82" a="1"/>
  <c r="O113" i="82" s="1"/>
  <c r="O75" i="85" s="1"/>
  <c r="O116" i="82" a="1"/>
  <c r="O116" i="82" s="1"/>
  <c r="O114" i="82" a="1"/>
  <c r="O114" i="82" s="1"/>
  <c r="O76" i="85" s="1"/>
  <c r="O110" i="82" a="1"/>
  <c r="O110" i="82" s="1"/>
  <c r="O72" i="85" s="1"/>
  <c r="O111" i="82" a="1"/>
  <c r="O111" i="82" s="1"/>
  <c r="O73" i="85" s="1"/>
  <c r="O117" i="82" a="1"/>
  <c r="O117" i="82" s="1"/>
  <c r="O115" i="82" a="1"/>
  <c r="O115" i="82" s="1"/>
  <c r="O112" i="82" a="1"/>
  <c r="O112" i="82" s="1"/>
  <c r="O74" i="85" s="1"/>
  <c r="O70" i="85"/>
  <c r="V65" i="85"/>
  <c r="V63" i="85"/>
  <c r="V64" i="85"/>
  <c r="R64" i="85"/>
  <c r="R65" i="85"/>
  <c r="R63" i="85"/>
  <c r="W77" i="85"/>
  <c r="W78" i="85"/>
  <c r="W79" i="85"/>
  <c r="AB63" i="85"/>
  <c r="AB64" i="85"/>
  <c r="AB65" i="85"/>
  <c r="T79" i="85"/>
  <c r="T77" i="85"/>
  <c r="T78" i="85"/>
  <c r="L111" i="73" a="1"/>
  <c r="L111" i="73" s="1"/>
  <c r="L59" i="85" s="1"/>
  <c r="L113" i="73" a="1"/>
  <c r="L113" i="73" s="1"/>
  <c r="L61" i="85" s="1"/>
  <c r="L115" i="73" a="1"/>
  <c r="L115" i="73" s="1"/>
  <c r="L110" i="73" a="1"/>
  <c r="L110" i="73" s="1"/>
  <c r="L58" i="85" s="1"/>
  <c r="L114" i="73" a="1"/>
  <c r="L114" i="73" s="1"/>
  <c r="L62" i="85" s="1"/>
  <c r="L117" i="73" a="1"/>
  <c r="L117" i="73" s="1"/>
  <c r="L112" i="73" a="1"/>
  <c r="L112" i="73" s="1"/>
  <c r="L60" i="85" s="1"/>
  <c r="L116" i="73" a="1"/>
  <c r="L116" i="73" s="1"/>
  <c r="L56" i="85"/>
  <c r="Q114" i="72" a="1"/>
  <c r="Q114" i="72" s="1"/>
  <c r="Q113" i="72" a="1"/>
  <c r="Q113" i="72" s="1"/>
  <c r="Q110" i="72" a="1"/>
  <c r="Q110" i="72" s="1"/>
  <c r="Q116" i="72" a="1"/>
  <c r="Q116" i="72" s="1"/>
  <c r="Q115" i="72" a="1"/>
  <c r="Q115" i="72" s="1"/>
  <c r="Q111" i="72" a="1"/>
  <c r="Q111" i="72" s="1"/>
  <c r="Q117" i="72" a="1"/>
  <c r="Q117" i="72" s="1"/>
  <c r="Q112" i="72" a="1"/>
  <c r="Q112" i="72" s="1"/>
  <c r="Q42" i="85"/>
  <c r="AG65" i="85"/>
  <c r="AG63" i="85"/>
  <c r="AG64" i="85"/>
  <c r="T65" i="85"/>
  <c r="T63" i="85"/>
  <c r="T64" i="85"/>
  <c r="X65" i="85"/>
  <c r="X63" i="85"/>
  <c r="X64" i="85"/>
  <c r="L111" i="72" a="1"/>
  <c r="L111" i="72" s="1"/>
  <c r="L114" i="72" a="1"/>
  <c r="L114" i="72" s="1"/>
  <c r="L117" i="72" a="1"/>
  <c r="L117" i="72" s="1"/>
  <c r="L112" i="72" a="1"/>
  <c r="L112" i="72" s="1"/>
  <c r="L116" i="72" a="1"/>
  <c r="L116" i="72" s="1"/>
  <c r="L113" i="72" a="1"/>
  <c r="L113" i="72" s="1"/>
  <c r="L110" i="72" a="1"/>
  <c r="L110" i="72" s="1"/>
  <c r="L115" i="72" a="1"/>
  <c r="L115" i="72" s="1"/>
  <c r="L42" i="85"/>
  <c r="AD64" i="85"/>
  <c r="AD63" i="85"/>
  <c r="AD65" i="85"/>
  <c r="Z79" i="85"/>
  <c r="Z77" i="85"/>
  <c r="Z78" i="85"/>
  <c r="M110" i="73" a="1"/>
  <c r="M110" i="73" s="1"/>
  <c r="M58" i="85" s="1"/>
  <c r="M115" i="73" a="1"/>
  <c r="M115" i="73" s="1"/>
  <c r="M113" i="73" a="1"/>
  <c r="M113" i="73" s="1"/>
  <c r="M61" i="85" s="1"/>
  <c r="M112" i="73" a="1"/>
  <c r="M112" i="73" s="1"/>
  <c r="M60" i="85" s="1"/>
  <c r="M111" i="73" a="1"/>
  <c r="M111" i="73" s="1"/>
  <c r="M59" i="85" s="1"/>
  <c r="M116" i="73" a="1"/>
  <c r="M116" i="73" s="1"/>
  <c r="M117" i="73" a="1"/>
  <c r="M117" i="73" s="1"/>
  <c r="M114" i="73" a="1"/>
  <c r="M114" i="73" s="1"/>
  <c r="M62" i="85" s="1"/>
  <c r="M56" i="85"/>
  <c r="P110" i="82" a="1"/>
  <c r="P110" i="82" s="1"/>
  <c r="P72" i="85" s="1"/>
  <c r="P113" i="82" a="1"/>
  <c r="P113" i="82" s="1"/>
  <c r="P75" i="85" s="1"/>
  <c r="P116" i="82" a="1"/>
  <c r="P116" i="82" s="1"/>
  <c r="P114" i="82" a="1"/>
  <c r="P114" i="82" s="1"/>
  <c r="P76" i="85" s="1"/>
  <c r="P111" i="82" a="1"/>
  <c r="P111" i="82" s="1"/>
  <c r="P73" i="85" s="1"/>
  <c r="P117" i="82" a="1"/>
  <c r="P117" i="82" s="1"/>
  <c r="P115" i="82" a="1"/>
  <c r="P115" i="82" s="1"/>
  <c r="P112" i="82" a="1"/>
  <c r="P112" i="82" s="1"/>
  <c r="P74" i="85" s="1"/>
  <c r="P70" i="85"/>
  <c r="J111" i="82" a="1"/>
  <c r="J111" i="82" s="1"/>
  <c r="J73" i="85" s="1"/>
  <c r="J114" i="82" a="1"/>
  <c r="J114" i="82" s="1"/>
  <c r="J76" i="85" s="1"/>
  <c r="J117" i="82" a="1"/>
  <c r="J117" i="82" s="1"/>
  <c r="J110" i="82" a="1"/>
  <c r="J110" i="82" s="1"/>
  <c r="J72" i="85" s="1"/>
  <c r="J113" i="82" a="1"/>
  <c r="J113" i="82" s="1"/>
  <c r="J75" i="85" s="1"/>
  <c r="J112" i="82" a="1"/>
  <c r="J112" i="82" s="1"/>
  <c r="J74" i="85" s="1"/>
  <c r="J115" i="82" a="1"/>
  <c r="J115" i="82" s="1"/>
  <c r="J116" i="82" a="1"/>
  <c r="J116" i="82" s="1"/>
  <c r="J70" i="85"/>
  <c r="O113" i="73" a="1"/>
  <c r="O113" i="73" s="1"/>
  <c r="O61" i="85" s="1"/>
  <c r="O110" i="73" a="1"/>
  <c r="O110" i="73" s="1"/>
  <c r="O58" i="85" s="1"/>
  <c r="O115" i="73" a="1"/>
  <c r="O115" i="73" s="1"/>
  <c r="O112" i="73" a="1"/>
  <c r="O112" i="73" s="1"/>
  <c r="O60" i="85" s="1"/>
  <c r="O117" i="73" a="1"/>
  <c r="O117" i="73" s="1"/>
  <c r="O114" i="73" a="1"/>
  <c r="O114" i="73" s="1"/>
  <c r="O62" i="85" s="1"/>
  <c r="O111" i="73" a="1"/>
  <c r="O111" i="73" s="1"/>
  <c r="O59" i="85" s="1"/>
  <c r="O116" i="73" a="1"/>
  <c r="O116" i="73" s="1"/>
  <c r="O56" i="85"/>
  <c r="U65" i="85"/>
  <c r="U63" i="85"/>
  <c r="U64" i="85"/>
  <c r="I50" i="75"/>
  <c r="I40" i="85" s="1"/>
  <c r="F34" i="75" a="1"/>
  <c r="F34" i="75" s="1"/>
  <c r="F39" i="75" s="1"/>
  <c r="H10" i="33" s="1"/>
  <c r="F48" i="75"/>
  <c r="F53" i="75" s="1"/>
  <c r="H11" i="33" s="1"/>
  <c r="F65" i="75" a="1"/>
  <c r="F65" i="75" s="1"/>
  <c r="F79" i="75" a="1"/>
  <c r="F79" i="75" s="1"/>
  <c r="F62" i="75"/>
  <c r="F67" i="75" s="1"/>
  <c r="H12" i="33" s="1"/>
  <c r="F76" i="75"/>
  <c r="F81" i="75" s="1"/>
  <c r="H13" i="33" s="1"/>
  <c r="Q106" i="81"/>
  <c r="F66" i="75"/>
  <c r="G12" i="33" s="1"/>
  <c r="F38" i="75"/>
  <c r="G10" i="33" s="1"/>
  <c r="F51" i="75" l="1" a="1"/>
  <c r="F51" i="75" s="1"/>
  <c r="I11" i="33" s="1"/>
  <c r="F70" i="85"/>
  <c r="G90" i="85" s="1"/>
  <c r="F76" i="85"/>
  <c r="F42" i="85"/>
  <c r="N65" i="85"/>
  <c r="N63" i="85"/>
  <c r="N64" i="85"/>
  <c r="L63" i="85"/>
  <c r="L64" i="85"/>
  <c r="L65" i="85"/>
  <c r="O79" i="85"/>
  <c r="O77" i="85"/>
  <c r="O78" i="85"/>
  <c r="I116" i="73" a="1"/>
  <c r="I116" i="73" s="1"/>
  <c r="I113" i="73" a="1"/>
  <c r="I113" i="73" s="1"/>
  <c r="I61" i="85" s="1"/>
  <c r="F61" i="85" s="1"/>
  <c r="F94" i="85" s="1"/>
  <c r="I110" i="73" a="1"/>
  <c r="I110" i="73" s="1"/>
  <c r="I58" i="85" s="1"/>
  <c r="F58" i="85" s="1"/>
  <c r="F91" i="85" s="1"/>
  <c r="I112" i="73" a="1"/>
  <c r="I112" i="73" s="1"/>
  <c r="I60" i="85" s="1"/>
  <c r="F60" i="85" s="1"/>
  <c r="F93" i="85" s="1"/>
  <c r="I114" i="73" a="1"/>
  <c r="I114" i="73" s="1"/>
  <c r="I62" i="85" s="1"/>
  <c r="F62" i="85" s="1"/>
  <c r="I117" i="73" a="1"/>
  <c r="I117" i="73" s="1"/>
  <c r="I115" i="73" a="1"/>
  <c r="I115" i="73" s="1"/>
  <c r="I111" i="73" a="1"/>
  <c r="I111" i="73" s="1"/>
  <c r="I59" i="85" s="1"/>
  <c r="F59" i="85" s="1"/>
  <c r="F92" i="85" s="1"/>
  <c r="I56" i="85"/>
  <c r="F56" i="85" s="1"/>
  <c r="F90" i="85" s="1"/>
  <c r="J64" i="85"/>
  <c r="J63" i="85"/>
  <c r="J65" i="85"/>
  <c r="I78" i="85"/>
  <c r="I79" i="85"/>
  <c r="I77" i="85"/>
  <c r="M63" i="85"/>
  <c r="M65" i="85"/>
  <c r="M64" i="85"/>
  <c r="Q78" i="85"/>
  <c r="Q79" i="85"/>
  <c r="Q77" i="85"/>
  <c r="K64" i="85"/>
  <c r="K65" i="85"/>
  <c r="K63" i="85"/>
  <c r="N79" i="85"/>
  <c r="N78" i="85"/>
  <c r="N77" i="85"/>
  <c r="J78" i="85"/>
  <c r="J79" i="85"/>
  <c r="J77" i="85"/>
  <c r="Q65" i="85"/>
  <c r="Q64" i="85"/>
  <c r="Q63" i="85"/>
  <c r="O64" i="85"/>
  <c r="O63" i="85"/>
  <c r="O65" i="85"/>
  <c r="M77" i="85"/>
  <c r="M79" i="85"/>
  <c r="M78" i="85"/>
  <c r="L78" i="85"/>
  <c r="L77" i="85"/>
  <c r="L79" i="85"/>
  <c r="P64" i="85"/>
  <c r="P63" i="85"/>
  <c r="P65" i="85"/>
  <c r="P79" i="85"/>
  <c r="P77" i="85"/>
  <c r="P78" i="85"/>
  <c r="K77" i="85"/>
  <c r="K79" i="85"/>
  <c r="K78" i="85"/>
  <c r="Q113" i="81" a="1"/>
  <c r="Q113" i="81" s="1"/>
  <c r="Q117" i="81" a="1"/>
  <c r="Q117" i="81" s="1"/>
  <c r="Q111" i="81" a="1"/>
  <c r="Q111" i="81" s="1"/>
  <c r="Q110" i="81" a="1"/>
  <c r="Q110" i="81" s="1"/>
  <c r="Q116" i="81" a="1"/>
  <c r="Q116" i="81" s="1"/>
  <c r="Q114" i="81" a="1"/>
  <c r="Q114" i="81" s="1"/>
  <c r="Q115" i="81" a="1"/>
  <c r="Q115" i="81" s="1"/>
  <c r="Q112" i="81" a="1"/>
  <c r="Q112" i="81" s="1"/>
  <c r="F25" i="75"/>
  <c r="H9" i="33" s="1"/>
  <c r="F24" i="75"/>
  <c r="G9" i="33" s="1"/>
  <c r="F37" i="75" a="1"/>
  <c r="F37" i="75" s="1"/>
  <c r="I10" i="33" s="1"/>
  <c r="I12" i="33"/>
  <c r="F16" i="75" a="1"/>
  <c r="F16" i="75" s="1"/>
  <c r="I13" i="33"/>
  <c r="F23" i="75" a="1"/>
  <c r="F23" i="75" s="1"/>
  <c r="I9" i="33" s="1"/>
  <c r="G95" i="85" l="1"/>
  <c r="J44" i="33" s="1"/>
  <c r="F95" i="85"/>
  <c r="I44" i="33" s="1"/>
  <c r="F77" i="85"/>
  <c r="J45" i="33" s="1"/>
  <c r="I63" i="85"/>
  <c r="F63" i="85" s="1"/>
  <c r="I45" i="33" s="1"/>
  <c r="I64" i="85"/>
  <c r="F64" i="85" s="1"/>
  <c r="I65" i="85"/>
  <c r="F65" i="85" s="1"/>
  <c r="F79" i="85"/>
  <c r="F78" i="85"/>
  <c r="F73" i="85"/>
  <c r="G92" i="85" s="1"/>
  <c r="F72" i="85"/>
  <c r="G91" i="85" s="1"/>
  <c r="F75" i="85"/>
  <c r="G94" i="85" s="1"/>
  <c r="F74" i="85"/>
  <c r="G93" i="85" s="1"/>
  <c r="G18" i="33"/>
  <c r="C18" i="33" s="1"/>
  <c r="F80" i="75"/>
  <c r="G13" i="33" s="1"/>
  <c r="D18" i="33" l="1"/>
  <c r="C26" i="33" l="1"/>
  <c r="F31" i="33" l="1"/>
  <c r="F30" i="33"/>
  <c r="G30" i="33"/>
  <c r="H30" i="33"/>
  <c r="I30" i="33"/>
  <c r="J30" i="33"/>
  <c r="G31" i="33"/>
  <c r="H31" i="33"/>
  <c r="I31" i="33"/>
  <c r="J31" i="33"/>
  <c r="A91" i="75"/>
  <c r="N91" i="75" l="1" a="1"/>
  <c r="N91" i="75" s="1"/>
  <c r="Y91" i="75" a="1"/>
  <c r="Y91" i="75" s="1"/>
  <c r="O91" i="75" a="1"/>
  <c r="O91" i="75" s="1"/>
  <c r="Z91" i="75" a="1"/>
  <c r="Z91" i="75" s="1"/>
  <c r="P91" i="75" a="1"/>
  <c r="P91" i="75" s="1"/>
  <c r="AA91" i="75" a="1"/>
  <c r="AA91" i="75" s="1"/>
  <c r="Q91" i="75" a="1"/>
  <c r="Q91" i="75" s="1"/>
  <c r="AB91" i="75" a="1"/>
  <c r="AB91" i="75" s="1"/>
  <c r="R91" i="75" a="1"/>
  <c r="R91" i="75" s="1"/>
  <c r="AC91" i="75" a="1"/>
  <c r="AC91" i="75" s="1"/>
  <c r="T91" i="75" a="1"/>
  <c r="T91" i="75" s="1"/>
  <c r="AE91" i="75" a="1"/>
  <c r="AE91" i="75" s="1"/>
  <c r="U91" i="75" a="1"/>
  <c r="U91" i="75" s="1"/>
  <c r="J91" i="75" a="1"/>
  <c r="J91" i="75" s="1"/>
  <c r="V91" i="75" a="1"/>
  <c r="V91" i="75" s="1"/>
  <c r="W91" i="75" a="1"/>
  <c r="W91" i="75" s="1"/>
  <c r="I91" i="75" a="1"/>
  <c r="I91" i="75" s="1"/>
  <c r="M91" i="75" a="1"/>
  <c r="M91" i="75" s="1"/>
  <c r="X91" i="75" a="1"/>
  <c r="X91" i="75" s="1"/>
  <c r="S91" i="75" a="1"/>
  <c r="S91" i="75" s="1"/>
  <c r="AD91" i="75" a="1"/>
  <c r="AD91" i="75" s="1"/>
  <c r="AF91" i="75" a="1"/>
  <c r="AF91" i="75" s="1"/>
  <c r="K91" i="75" a="1"/>
  <c r="K91" i="75" s="1"/>
  <c r="AG91" i="75" a="1"/>
  <c r="AG91" i="75" s="1"/>
  <c r="L91" i="75" a="1"/>
  <c r="L91" i="75" s="1"/>
  <c r="H91" i="75"/>
  <c r="L30" i="33"/>
  <c r="L31" i="33"/>
  <c r="D28" i="85" l="1"/>
  <c r="J39" i="33" l="1"/>
  <c r="I39" i="33"/>
  <c r="J43" i="33"/>
  <c r="J41" i="33"/>
  <c r="J42" i="33"/>
  <c r="I41" i="33"/>
  <c r="I42" i="33"/>
  <c r="J40" i="33"/>
  <c r="I43" i="33"/>
  <c r="I40" i="33"/>
  <c r="B22" i="85" l="1"/>
  <c r="D22" i="85" s="1"/>
  <c r="B21" i="85"/>
  <c r="D21" i="85" s="1"/>
  <c r="G115" i="81"/>
  <c r="B46" i="85"/>
  <c r="D46" i="85" s="1"/>
  <c r="G116" i="81"/>
  <c r="B17" i="85"/>
  <c r="D17" i="85" s="1"/>
  <c r="B36" i="85"/>
  <c r="B19" i="85"/>
  <c r="D19" i="85" s="1"/>
  <c r="B20" i="85"/>
  <c r="D20" i="85" s="1"/>
  <c r="G113" i="81"/>
  <c r="B23" i="85"/>
  <c r="D23" i="85" s="1"/>
  <c r="B18" i="85"/>
  <c r="D18" i="85" s="1"/>
  <c r="B33" i="85"/>
  <c r="B49" i="85"/>
  <c r="D49" i="85" s="1"/>
  <c r="G114" i="81"/>
  <c r="B34" i="85"/>
  <c r="B35" i="85"/>
  <c r="D35" i="85" s="1"/>
  <c r="B51" i="85"/>
  <c r="D51" i="85" s="1"/>
  <c r="G112" i="81"/>
  <c r="G117" i="81"/>
  <c r="B47" i="85"/>
  <c r="D47" i="85" s="1"/>
  <c r="B37" i="85"/>
  <c r="D37" i="85" s="1"/>
  <c r="G111" i="81"/>
  <c r="B31" i="85"/>
  <c r="B32" i="85"/>
  <c r="B16" i="85"/>
  <c r="D16" i="85" s="1"/>
  <c r="H18" i="85" l="1"/>
  <c r="AF18" i="85"/>
  <c r="AE18" i="85"/>
  <c r="AG18" i="85"/>
  <c r="AC18" i="85"/>
  <c r="AD18" i="85"/>
  <c r="Y18" i="85"/>
  <c r="AA18" i="85"/>
  <c r="AB18" i="85"/>
  <c r="S18" i="85"/>
  <c r="N18" i="85"/>
  <c r="T18" i="85"/>
  <c r="Q18" i="85"/>
  <c r="R18" i="85"/>
  <c r="M18" i="85"/>
  <c r="V18" i="85"/>
  <c r="U18" i="85"/>
  <c r="Z18" i="85"/>
  <c r="P18" i="85"/>
  <c r="W18" i="85"/>
  <c r="O18" i="85"/>
  <c r="L18" i="85"/>
  <c r="K18" i="85"/>
  <c r="X18" i="85"/>
  <c r="I18" i="85"/>
  <c r="J18" i="85"/>
  <c r="H23" i="85"/>
  <c r="AE23" i="85"/>
  <c r="AF23" i="85"/>
  <c r="AG23" i="85"/>
  <c r="AD23" i="85"/>
  <c r="AC23" i="85"/>
  <c r="S23" i="85"/>
  <c r="M23" i="85"/>
  <c r="AB23" i="85"/>
  <c r="Y23" i="85"/>
  <c r="Z23" i="85"/>
  <c r="N23" i="85"/>
  <c r="O23" i="85"/>
  <c r="Q23" i="85"/>
  <c r="X23" i="85"/>
  <c r="T23" i="85"/>
  <c r="L23" i="85"/>
  <c r="V23" i="85"/>
  <c r="U23" i="85"/>
  <c r="P23" i="85"/>
  <c r="W23" i="85"/>
  <c r="R23" i="85"/>
  <c r="K23" i="85"/>
  <c r="AA23" i="85"/>
  <c r="I23" i="85"/>
  <c r="J23" i="85"/>
  <c r="H47" i="85"/>
  <c r="AF47" i="85"/>
  <c r="X47" i="85"/>
  <c r="V47" i="85"/>
  <c r="S47" i="85"/>
  <c r="Y47" i="85"/>
  <c r="R47" i="85"/>
  <c r="AA47" i="85"/>
  <c r="T47" i="85"/>
  <c r="AE47" i="85"/>
  <c r="U47" i="85"/>
  <c r="Z47" i="85"/>
  <c r="J47" i="85"/>
  <c r="P47" i="85"/>
  <c r="AG47" i="85"/>
  <c r="K47" i="85"/>
  <c r="W47" i="85"/>
  <c r="AC47" i="85"/>
  <c r="AB47" i="85"/>
  <c r="AD47" i="85"/>
  <c r="L47" i="85"/>
  <c r="M47" i="85"/>
  <c r="I47" i="85"/>
  <c r="N47" i="85"/>
  <c r="Q47" i="85"/>
  <c r="O47" i="85"/>
  <c r="H46" i="85"/>
  <c r="W46" i="85"/>
  <c r="AG46" i="85"/>
  <c r="T46" i="85"/>
  <c r="R46" i="85"/>
  <c r="AE46" i="85"/>
  <c r="Z46" i="85"/>
  <c r="V46" i="85"/>
  <c r="AB46" i="85"/>
  <c r="AA46" i="85"/>
  <c r="AD46" i="85"/>
  <c r="P46" i="85"/>
  <c r="Y46" i="85"/>
  <c r="S46" i="85"/>
  <c r="X46" i="85"/>
  <c r="U46" i="85"/>
  <c r="J46" i="85"/>
  <c r="AC46" i="85"/>
  <c r="K46" i="85"/>
  <c r="AF46" i="85"/>
  <c r="I46" i="85"/>
  <c r="N46" i="85"/>
  <c r="O46" i="85"/>
  <c r="L46" i="85"/>
  <c r="Q46" i="85"/>
  <c r="M46" i="85"/>
  <c r="H20" i="85"/>
  <c r="AF20" i="85"/>
  <c r="AE20" i="85"/>
  <c r="AG20" i="85"/>
  <c r="AD20" i="85"/>
  <c r="AC20" i="85"/>
  <c r="V20" i="85"/>
  <c r="Y20" i="85"/>
  <c r="R20" i="85"/>
  <c r="U20" i="85"/>
  <c r="AA20" i="85"/>
  <c r="M20" i="85"/>
  <c r="X20" i="85"/>
  <c r="L20" i="85"/>
  <c r="T20" i="85"/>
  <c r="O20" i="85"/>
  <c r="S20" i="85"/>
  <c r="Q20" i="85"/>
  <c r="K20" i="85"/>
  <c r="Z20" i="85"/>
  <c r="AB20" i="85"/>
  <c r="N20" i="85"/>
  <c r="W20" i="85"/>
  <c r="P20" i="85"/>
  <c r="I20" i="85"/>
  <c r="J20" i="85"/>
  <c r="H21" i="85"/>
  <c r="AF21" i="85"/>
  <c r="AE21" i="85"/>
  <c r="AG21" i="85"/>
  <c r="AD21" i="85"/>
  <c r="AC21" i="85"/>
  <c r="S21" i="85"/>
  <c r="M21" i="85"/>
  <c r="AB21" i="85"/>
  <c r="Z21" i="85"/>
  <c r="Y21" i="85"/>
  <c r="X21" i="85"/>
  <c r="AA21" i="85"/>
  <c r="T21" i="85"/>
  <c r="Q21" i="85"/>
  <c r="N21" i="85"/>
  <c r="O21" i="85"/>
  <c r="R21" i="85"/>
  <c r="K21" i="85"/>
  <c r="V21" i="85"/>
  <c r="W21" i="85"/>
  <c r="P21" i="85"/>
  <c r="L21" i="85"/>
  <c r="U21" i="85"/>
  <c r="I21" i="85"/>
  <c r="J21" i="85"/>
  <c r="H49" i="85"/>
  <c r="Z49" i="85"/>
  <c r="P49" i="85"/>
  <c r="J49" i="85"/>
  <c r="AD49" i="85"/>
  <c r="T49" i="85"/>
  <c r="AA49" i="85"/>
  <c r="AF49" i="85"/>
  <c r="AE49" i="85"/>
  <c r="AC49" i="85"/>
  <c r="K49" i="85"/>
  <c r="W49" i="85"/>
  <c r="AG49" i="85"/>
  <c r="U49" i="85"/>
  <c r="S49" i="85"/>
  <c r="R49" i="85"/>
  <c r="Y49" i="85"/>
  <c r="V49" i="85"/>
  <c r="AB49" i="85"/>
  <c r="X49" i="85"/>
  <c r="M49" i="85"/>
  <c r="N49" i="85"/>
  <c r="I49" i="85"/>
  <c r="O49" i="85"/>
  <c r="Q49" i="85"/>
  <c r="L49" i="85"/>
  <c r="H16" i="85"/>
  <c r="AE16" i="85"/>
  <c r="AF16" i="85"/>
  <c r="AG16" i="85"/>
  <c r="AD16" i="85"/>
  <c r="AC16" i="85"/>
  <c r="X16" i="85"/>
  <c r="R16" i="85"/>
  <c r="L16" i="85"/>
  <c r="Q16" i="85"/>
  <c r="S16" i="85"/>
  <c r="W16" i="85"/>
  <c r="M16" i="85"/>
  <c r="V16" i="85"/>
  <c r="K16" i="85"/>
  <c r="Z16" i="85"/>
  <c r="Y16" i="85"/>
  <c r="AB16" i="85"/>
  <c r="P16" i="85"/>
  <c r="AA16" i="85"/>
  <c r="O16" i="85"/>
  <c r="T16" i="85"/>
  <c r="U16" i="85"/>
  <c r="N16" i="85"/>
  <c r="I16" i="85"/>
  <c r="J16" i="85"/>
  <c r="H19" i="85"/>
  <c r="AF19" i="85"/>
  <c r="AE19" i="85"/>
  <c r="AG19" i="85"/>
  <c r="AD19" i="85"/>
  <c r="AC19" i="85"/>
  <c r="Q19" i="85"/>
  <c r="W19" i="85"/>
  <c r="U19" i="85"/>
  <c r="L19" i="85"/>
  <c r="AA19" i="85"/>
  <c r="T19" i="85"/>
  <c r="X19" i="85"/>
  <c r="Y19" i="85"/>
  <c r="V19" i="85"/>
  <c r="K19" i="85"/>
  <c r="M19" i="85"/>
  <c r="R19" i="85"/>
  <c r="P19" i="85"/>
  <c r="O19" i="85"/>
  <c r="S19" i="85"/>
  <c r="Z19" i="85"/>
  <c r="N19" i="85"/>
  <c r="AB19" i="85"/>
  <c r="I19" i="85"/>
  <c r="J19" i="85"/>
  <c r="H51" i="85"/>
  <c r="AF51" i="85"/>
  <c r="AB51" i="85"/>
  <c r="J51" i="85"/>
  <c r="Z51" i="85"/>
  <c r="X51" i="85"/>
  <c r="AA51" i="85"/>
  <c r="R51" i="85"/>
  <c r="T51" i="85"/>
  <c r="AD51" i="85"/>
  <c r="Y51" i="85"/>
  <c r="V51" i="85"/>
  <c r="AE51" i="85"/>
  <c r="P51" i="85"/>
  <c r="U51" i="85"/>
  <c r="AG51" i="85"/>
  <c r="AC51" i="85"/>
  <c r="K51" i="85"/>
  <c r="W51" i="85"/>
  <c r="S51" i="85"/>
  <c r="N51" i="85"/>
  <c r="L51" i="85"/>
  <c r="I51" i="85"/>
  <c r="O51" i="85"/>
  <c r="Q51" i="85"/>
  <c r="M51" i="85"/>
  <c r="H17" i="85"/>
  <c r="AF17" i="85"/>
  <c r="AE17" i="85"/>
  <c r="AG17" i="85"/>
  <c r="AD17" i="85"/>
  <c r="AC17" i="85"/>
  <c r="V17" i="85"/>
  <c r="O17" i="85"/>
  <c r="X17" i="85"/>
  <c r="W17" i="85"/>
  <c r="N17" i="85"/>
  <c r="Z17" i="85"/>
  <c r="S17" i="85"/>
  <c r="AB17" i="85"/>
  <c r="Y17" i="85"/>
  <c r="K17" i="85"/>
  <c r="L17" i="85"/>
  <c r="M17" i="85"/>
  <c r="T17" i="85"/>
  <c r="U17" i="85"/>
  <c r="Q17" i="85"/>
  <c r="R17" i="85"/>
  <c r="P17" i="85"/>
  <c r="AA17" i="85"/>
  <c r="J17" i="85"/>
  <c r="I17" i="85"/>
  <c r="H22" i="85"/>
  <c r="AF22" i="85"/>
  <c r="AE22" i="85"/>
  <c r="AG22" i="85"/>
  <c r="AD22" i="85"/>
  <c r="AC22" i="85"/>
  <c r="Z22" i="85"/>
  <c r="Y22" i="85"/>
  <c r="AB22" i="85"/>
  <c r="N22" i="85"/>
  <c r="O22" i="85"/>
  <c r="X22" i="85"/>
  <c r="AA22" i="85"/>
  <c r="Q22" i="85"/>
  <c r="R22" i="85"/>
  <c r="W22" i="85"/>
  <c r="V22" i="85"/>
  <c r="T22" i="85"/>
  <c r="M22" i="85"/>
  <c r="P22" i="85"/>
  <c r="K22" i="85"/>
  <c r="L22" i="85"/>
  <c r="S22" i="85"/>
  <c r="U22" i="85"/>
  <c r="I22" i="85"/>
  <c r="J22" i="85"/>
  <c r="B45" i="85"/>
  <c r="D45" i="85" s="1"/>
  <c r="B50" i="85"/>
  <c r="D50" i="85" s="1"/>
  <c r="D33" i="85"/>
  <c r="G110" i="81"/>
  <c r="N37" i="85" s="1"/>
  <c r="B30" i="85"/>
  <c r="AE37" i="85"/>
  <c r="AA35" i="85"/>
  <c r="V35" i="85"/>
  <c r="B48" i="85"/>
  <c r="D48" i="85" s="1"/>
  <c r="B44" i="85"/>
  <c r="D44" i="85" s="1"/>
  <c r="D31" i="85"/>
  <c r="D32" i="85"/>
  <c r="D34" i="85"/>
  <c r="D36" i="85"/>
  <c r="AA36" i="85" l="1"/>
  <c r="L37" i="85"/>
  <c r="T37" i="85"/>
  <c r="AF35" i="85"/>
  <c r="W32" i="85"/>
  <c r="O33" i="85"/>
  <c r="AG37" i="85"/>
  <c r="Q35" i="85"/>
  <c r="O35" i="85"/>
  <c r="H35" i="85"/>
  <c r="R37" i="85"/>
  <c r="AB35" i="85"/>
  <c r="V37" i="85"/>
  <c r="K35" i="85"/>
  <c r="H37" i="85"/>
  <c r="S35" i="85"/>
  <c r="T35" i="85"/>
  <c r="AC35" i="85"/>
  <c r="Q37" i="85"/>
  <c r="P35" i="85"/>
  <c r="K34" i="85"/>
  <c r="K37" i="85"/>
  <c r="U35" i="85"/>
  <c r="AE35" i="85"/>
  <c r="N31" i="85"/>
  <c r="Z36" i="85"/>
  <c r="AB36" i="85"/>
  <c r="X35" i="85"/>
  <c r="Y35" i="85"/>
  <c r="J35" i="85"/>
  <c r="F20" i="85"/>
  <c r="C95" i="85" s="1"/>
  <c r="F44" i="33" s="1"/>
  <c r="U36" i="85"/>
  <c r="F22" i="85"/>
  <c r="J31" i="85"/>
  <c r="Q36" i="85"/>
  <c r="F51" i="85"/>
  <c r="F47" i="85"/>
  <c r="U32" i="85"/>
  <c r="F16" i="85"/>
  <c r="C91" i="85" s="1"/>
  <c r="F40" i="33" s="1"/>
  <c r="F49" i="85"/>
  <c r="J32" i="85"/>
  <c r="F46" i="85"/>
  <c r="F17" i="85"/>
  <c r="C92" i="85" s="1"/>
  <c r="F41" i="33" s="1"/>
  <c r="R34" i="85"/>
  <c r="P34" i="85"/>
  <c r="H50" i="85"/>
  <c r="X50" i="85"/>
  <c r="K50" i="85"/>
  <c r="AC50" i="85"/>
  <c r="AD50" i="85"/>
  <c r="V50" i="85"/>
  <c r="AG50" i="85"/>
  <c r="Z50" i="85"/>
  <c r="AE50" i="85"/>
  <c r="AF50" i="85"/>
  <c r="P50" i="85"/>
  <c r="U50" i="85"/>
  <c r="J50" i="85"/>
  <c r="AA50" i="85"/>
  <c r="R50" i="85"/>
  <c r="W50" i="85"/>
  <c r="S50" i="85"/>
  <c r="T50" i="85"/>
  <c r="Y50" i="85"/>
  <c r="AB50" i="85"/>
  <c r="Q50" i="85"/>
  <c r="I50" i="85"/>
  <c r="N50" i="85"/>
  <c r="L50" i="85"/>
  <c r="O50" i="85"/>
  <c r="M50" i="85"/>
  <c r="H48" i="85"/>
  <c r="W48" i="85"/>
  <c r="AF48" i="85"/>
  <c r="J48" i="85"/>
  <c r="AA48" i="85"/>
  <c r="AC48" i="85"/>
  <c r="U48" i="85"/>
  <c r="R48" i="85"/>
  <c r="AE48" i="85"/>
  <c r="S48" i="85"/>
  <c r="Z48" i="85"/>
  <c r="AB48" i="85"/>
  <c r="P48" i="85"/>
  <c r="AD48" i="85"/>
  <c r="AG48" i="85"/>
  <c r="K48" i="85"/>
  <c r="X48" i="85"/>
  <c r="V48" i="85"/>
  <c r="T48" i="85"/>
  <c r="Y48" i="85"/>
  <c r="N48" i="85"/>
  <c r="M48" i="85"/>
  <c r="Q48" i="85"/>
  <c r="O48" i="85"/>
  <c r="I48" i="85"/>
  <c r="L48" i="85"/>
  <c r="N34" i="85"/>
  <c r="H44" i="85"/>
  <c r="J44" i="85"/>
  <c r="U44" i="85"/>
  <c r="AD44" i="85"/>
  <c r="R44" i="85"/>
  <c r="AA44" i="85"/>
  <c r="AE44" i="85"/>
  <c r="Z44" i="85"/>
  <c r="S44" i="85"/>
  <c r="T44" i="85"/>
  <c r="AB44" i="85"/>
  <c r="AF44" i="85"/>
  <c r="AC44" i="85"/>
  <c r="K44" i="85"/>
  <c r="AG44" i="85"/>
  <c r="P44" i="85"/>
  <c r="X44" i="85"/>
  <c r="W44" i="85"/>
  <c r="V44" i="85"/>
  <c r="Y44" i="85"/>
  <c r="I44" i="85"/>
  <c r="N44" i="85"/>
  <c r="O44" i="85"/>
  <c r="L44" i="85"/>
  <c r="Q44" i="85"/>
  <c r="M44" i="85"/>
  <c r="AE34" i="85"/>
  <c r="W34" i="85"/>
  <c r="H45" i="85"/>
  <c r="W45" i="85"/>
  <c r="P45" i="85"/>
  <c r="AC45" i="85"/>
  <c r="R45" i="85"/>
  <c r="AE45" i="85"/>
  <c r="T45" i="85"/>
  <c r="U45" i="85"/>
  <c r="AG45" i="85"/>
  <c r="Y45" i="85"/>
  <c r="AB45" i="85"/>
  <c r="K45" i="85"/>
  <c r="Z45" i="85"/>
  <c r="AA45" i="85"/>
  <c r="V45" i="85"/>
  <c r="X45" i="85"/>
  <c r="AD45" i="85"/>
  <c r="AF45" i="85"/>
  <c r="S45" i="85"/>
  <c r="Q45" i="85"/>
  <c r="J45" i="85"/>
  <c r="O45" i="85"/>
  <c r="M45" i="85"/>
  <c r="L45" i="85"/>
  <c r="I45" i="85"/>
  <c r="N45" i="85"/>
  <c r="Q34" i="85"/>
  <c r="X36" i="85"/>
  <c r="O32" i="85"/>
  <c r="M32" i="85"/>
  <c r="AB32" i="85"/>
  <c r="AF36" i="85"/>
  <c r="AC34" i="85"/>
  <c r="AF34" i="85"/>
  <c r="H32" i="85"/>
  <c r="H46" i="33"/>
  <c r="H45" i="33"/>
  <c r="H47" i="33"/>
  <c r="T34" i="85"/>
  <c r="N33" i="85"/>
  <c r="I34" i="85"/>
  <c r="V32" i="85"/>
  <c r="AF32" i="85"/>
  <c r="S31" i="85"/>
  <c r="Y34" i="85"/>
  <c r="X32" i="85"/>
  <c r="L34" i="85"/>
  <c r="U34" i="85"/>
  <c r="AD34" i="85"/>
  <c r="I32" i="85"/>
  <c r="R32" i="85"/>
  <c r="U31" i="85"/>
  <c r="L35" i="85"/>
  <c r="AG35" i="85"/>
  <c r="I35" i="85"/>
  <c r="H31" i="85"/>
  <c r="T31" i="85"/>
  <c r="Y33" i="85"/>
  <c r="X31" i="85"/>
  <c r="K31" i="85"/>
  <c r="M35" i="85"/>
  <c r="AB33" i="85"/>
  <c r="AA33" i="85"/>
  <c r="AE31" i="85"/>
  <c r="Z33" i="85"/>
  <c r="U33" i="85"/>
  <c r="AG33" i="85"/>
  <c r="M31" i="85"/>
  <c r="F23" i="85"/>
  <c r="Q33" i="85"/>
  <c r="V33" i="85"/>
  <c r="W31" i="85"/>
  <c r="I31" i="85"/>
  <c r="AD31" i="85"/>
  <c r="V31" i="85"/>
  <c r="Z31" i="85"/>
  <c r="R31" i="85"/>
  <c r="Q31" i="85"/>
  <c r="L31" i="85"/>
  <c r="P31" i="85"/>
  <c r="Y31" i="85"/>
  <c r="P33" i="85"/>
  <c r="H34" i="85"/>
  <c r="AC31" i="85"/>
  <c r="Q32" i="85"/>
  <c r="L32" i="85"/>
  <c r="AE32" i="85"/>
  <c r="Z32" i="85"/>
  <c r="K32" i="85"/>
  <c r="AD32" i="85"/>
  <c r="T32" i="85"/>
  <c r="AA32" i="85"/>
  <c r="Y32" i="85"/>
  <c r="P32" i="85"/>
  <c r="S32" i="85"/>
  <c r="X33" i="85"/>
  <c r="O36" i="85"/>
  <c r="AC36" i="85"/>
  <c r="S36" i="85"/>
  <c r="AG36" i="85"/>
  <c r="H36" i="85"/>
  <c r="AD36" i="85"/>
  <c r="L36" i="85"/>
  <c r="R36" i="85"/>
  <c r="M36" i="85"/>
  <c r="Y36" i="85"/>
  <c r="I36" i="85"/>
  <c r="F19" i="85"/>
  <c r="P37" i="85"/>
  <c r="AA31" i="85"/>
  <c r="AA37" i="85"/>
  <c r="O34" i="85"/>
  <c r="N32" i="85"/>
  <c r="J36" i="85"/>
  <c r="AF37" i="85"/>
  <c r="R33" i="85"/>
  <c r="AE33" i="85"/>
  <c r="T33" i="85"/>
  <c r="F18" i="85"/>
  <c r="AD33" i="85"/>
  <c r="L33" i="85"/>
  <c r="AC33" i="85"/>
  <c r="X34" i="85"/>
  <c r="AC32" i="85"/>
  <c r="AA34" i="85"/>
  <c r="P36" i="85"/>
  <c r="M37" i="85"/>
  <c r="W37" i="85"/>
  <c r="AF33" i="85"/>
  <c r="I33" i="85"/>
  <c r="W33" i="85"/>
  <c r="S34" i="85"/>
  <c r="J34" i="85"/>
  <c r="V34" i="85"/>
  <c r="Z34" i="85"/>
  <c r="N36" i="85"/>
  <c r="AG34" i="85"/>
  <c r="D30" i="85"/>
  <c r="W30" i="85" s="1"/>
  <c r="AG31" i="85"/>
  <c r="K36" i="85"/>
  <c r="R35" i="85"/>
  <c r="V36" i="85"/>
  <c r="AE36" i="85"/>
  <c r="O31" i="85"/>
  <c r="H33" i="85"/>
  <c r="S33" i="85"/>
  <c r="J33" i="85"/>
  <c r="K33" i="85"/>
  <c r="M33" i="85"/>
  <c r="M34" i="85"/>
  <c r="U28" i="85"/>
  <c r="Z37" i="85"/>
  <c r="AF28" i="85"/>
  <c r="Z28" i="85"/>
  <c r="J28" i="85"/>
  <c r="Q28" i="85"/>
  <c r="S28" i="85"/>
  <c r="I28" i="85"/>
  <c r="AC37" i="85"/>
  <c r="W28" i="85"/>
  <c r="AD28" i="85"/>
  <c r="O28" i="85"/>
  <c r="H28" i="85"/>
  <c r="AC28" i="85"/>
  <c r="AB28" i="85"/>
  <c r="AA28" i="85"/>
  <c r="K28" i="85"/>
  <c r="N28" i="85"/>
  <c r="Y37" i="85"/>
  <c r="R28" i="85"/>
  <c r="P28" i="85"/>
  <c r="AG28" i="85"/>
  <c r="J37" i="85"/>
  <c r="V28" i="85"/>
  <c r="O37" i="85"/>
  <c r="U37" i="85"/>
  <c r="M28" i="85"/>
  <c r="AE28" i="85"/>
  <c r="I37" i="85"/>
  <c r="AD37" i="85"/>
  <c r="AD35" i="85"/>
  <c r="N35" i="85"/>
  <c r="L28" i="85"/>
  <c r="X37" i="85"/>
  <c r="T28" i="85"/>
  <c r="AB37" i="85"/>
  <c r="S37" i="85"/>
  <c r="Y28" i="85"/>
  <c r="X28" i="85"/>
  <c r="AB31" i="85"/>
  <c r="AB34" i="85"/>
  <c r="W35" i="85"/>
  <c r="T36" i="85"/>
  <c r="W36" i="85"/>
  <c r="AF31" i="85"/>
  <c r="AG32" i="85"/>
  <c r="F21" i="85"/>
  <c r="Z35" i="85"/>
  <c r="F44" i="85" l="1"/>
  <c r="E91" i="85" s="1"/>
  <c r="H40" i="33" s="1"/>
  <c r="F45" i="85"/>
  <c r="F50" i="85"/>
  <c r="F48" i="85"/>
  <c r="E95" i="85" s="1"/>
  <c r="H44" i="33" s="1"/>
  <c r="E90" i="85"/>
  <c r="H39" i="33" s="1"/>
  <c r="E92" i="85"/>
  <c r="H41" i="33" s="1"/>
  <c r="E94" i="85"/>
  <c r="H43" i="33" s="1"/>
  <c r="E93" i="85"/>
  <c r="H42" i="33" s="1"/>
  <c r="C94" i="85"/>
  <c r="F43" i="33" s="1"/>
  <c r="C93" i="85"/>
  <c r="F42" i="33" s="1"/>
  <c r="F28" i="85"/>
  <c r="F32" i="85"/>
  <c r="D93" i="85" s="1"/>
  <c r="F37" i="85"/>
  <c r="F35" i="85"/>
  <c r="AD30" i="85"/>
  <c r="V30" i="85"/>
  <c r="Q30" i="85"/>
  <c r="AF30" i="85"/>
  <c r="O30" i="85"/>
  <c r="F36" i="85"/>
  <c r="J30" i="85"/>
  <c r="K30" i="85"/>
  <c r="S30" i="85"/>
  <c r="AA30" i="85"/>
  <c r="P30" i="85"/>
  <c r="R30" i="85"/>
  <c r="AC30" i="85"/>
  <c r="F33" i="85"/>
  <c r="D94" i="85" s="1"/>
  <c r="X30" i="85"/>
  <c r="AG30" i="85"/>
  <c r="I30" i="85"/>
  <c r="Z30" i="85"/>
  <c r="T30" i="85"/>
  <c r="U30" i="85"/>
  <c r="H30" i="85"/>
  <c r="M30" i="85"/>
  <c r="F34" i="85"/>
  <c r="D95" i="85" s="1"/>
  <c r="Y30" i="85"/>
  <c r="L30" i="85"/>
  <c r="AB30" i="85"/>
  <c r="AE30" i="85"/>
  <c r="N30" i="85"/>
  <c r="F31" i="85"/>
  <c r="D92" i="85" s="1"/>
  <c r="D90" i="85" l="1"/>
  <c r="G39" i="33" s="1"/>
  <c r="G44" i="33"/>
  <c r="I95" i="85"/>
  <c r="K95" i="85" s="1"/>
  <c r="L44" i="33" s="1"/>
  <c r="I92" i="85"/>
  <c r="K92" i="85" s="1"/>
  <c r="L41" i="33" s="1"/>
  <c r="G41" i="33"/>
  <c r="G43" i="33"/>
  <c r="I94" i="85"/>
  <c r="K94" i="85" s="1"/>
  <c r="L43" i="33" s="1"/>
  <c r="G42" i="33"/>
  <c r="I93" i="85"/>
  <c r="K93" i="85" s="1"/>
  <c r="L42" i="33" s="1"/>
  <c r="F30" i="85"/>
  <c r="D91" i="85" s="1"/>
  <c r="I90" i="85" l="1"/>
  <c r="K90" i="85" s="1"/>
  <c r="L39" i="33" s="1"/>
  <c r="G40" i="33"/>
  <c r="I91" i="85"/>
  <c r="K91" i="85" s="1"/>
  <c r="L40" i="33" s="1"/>
  <c r="G47" i="33"/>
  <c r="I98" i="85"/>
  <c r="K98" i="85" s="1"/>
  <c r="L47" i="33" s="1"/>
  <c r="G45" i="33"/>
  <c r="I96" i="85"/>
  <c r="K96" i="85" s="1"/>
  <c r="L45" i="33" s="1"/>
  <c r="G46" i="33"/>
  <c r="I97" i="8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<sst xmlns="http://schemas.openxmlformats.org/spreadsheetml/2006/main" count="974" uniqueCount="321">
  <si>
    <t>Description</t>
  </si>
  <si>
    <t>Option</t>
  </si>
  <si>
    <t>Opex</t>
  </si>
  <si>
    <t>Powercor</t>
  </si>
  <si>
    <t>Network resilience</t>
  </si>
  <si>
    <t>Enabling solar exports</t>
  </si>
  <si>
    <t>Communication</t>
  </si>
  <si>
    <t>Information accessibility</t>
  </si>
  <si>
    <t>VCR</t>
  </si>
  <si>
    <t>Customer value of time - residential</t>
  </si>
  <si>
    <t>Customer value of time - business</t>
  </si>
  <si>
    <t>Business:</t>
  </si>
  <si>
    <t xml:space="preserve">Descripton: </t>
  </si>
  <si>
    <t xml:space="preserve">Date of cost inputs: </t>
  </si>
  <si>
    <t>Reliability in worst-served areas</t>
  </si>
  <si>
    <t>Aesthetics</t>
  </si>
  <si>
    <t>SUMMARY</t>
  </si>
  <si>
    <t>Capex</t>
  </si>
  <si>
    <t>Other</t>
  </si>
  <si>
    <t>2026-27</t>
  </si>
  <si>
    <t>2028-29</t>
  </si>
  <si>
    <t>2027-28</t>
  </si>
  <si>
    <t>2029-30</t>
  </si>
  <si>
    <t>Energy</t>
  </si>
  <si>
    <t>Preferred option:</t>
  </si>
  <si>
    <t>Units</t>
  </si>
  <si>
    <t>Dollar inputs - month</t>
  </si>
  <si>
    <t>Dollar inputs - year</t>
  </si>
  <si>
    <t>Preferred Option</t>
  </si>
  <si>
    <t>Expenditure forecast</t>
  </si>
  <si>
    <t>Capital expenditure</t>
  </si>
  <si>
    <t>Operating expenditure</t>
  </si>
  <si>
    <t>Output dollars</t>
  </si>
  <si>
    <t>per minute customer time</t>
  </si>
  <si>
    <t>per customer impacted</t>
  </si>
  <si>
    <t>Actual/forecast CPI (June to June)</t>
  </si>
  <si>
    <t>December</t>
  </si>
  <si>
    <t>CY</t>
  </si>
  <si>
    <t>FY</t>
  </si>
  <si>
    <t>COSTS</t>
  </si>
  <si>
    <t>MWh</t>
  </si>
  <si>
    <t>Business</t>
  </si>
  <si>
    <t>CitiPower</t>
  </si>
  <si>
    <t>United Energy</t>
  </si>
  <si>
    <t>Project</t>
  </si>
  <si>
    <t>June</t>
  </si>
  <si>
    <t>Input dollars</t>
  </si>
  <si>
    <t>2025-26</t>
  </si>
  <si>
    <t>Customers impacted</t>
  </si>
  <si>
    <t>Type</t>
  </si>
  <si>
    <t>- Select -</t>
  </si>
  <si>
    <t>DATA</t>
  </si>
  <si>
    <t>Include</t>
  </si>
  <si>
    <t>per MWh</t>
  </si>
  <si>
    <t>Benefits</t>
  </si>
  <si>
    <t>Other benefits</t>
  </si>
  <si>
    <t>OTHER BENEFITS</t>
  </si>
  <si>
    <t>&lt; Enter description &gt;</t>
  </si>
  <si>
    <t>No change to existing practices</t>
  </si>
  <si>
    <r>
      <t>Reduction in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emissions</t>
    </r>
  </si>
  <si>
    <t>Carbon</t>
  </si>
  <si>
    <t>VCR date</t>
  </si>
  <si>
    <t>$/kWh</t>
  </si>
  <si>
    <t>$/MWh</t>
  </si>
  <si>
    <t>[output_dollars]</t>
  </si>
  <si>
    <t>[start]</t>
  </si>
  <si>
    <t>[real_disc]</t>
  </si>
  <si>
    <t>[vcr_date]</t>
  </si>
  <si>
    <t>Value</t>
  </si>
  <si>
    <t>Asset life (yrs)</t>
  </si>
  <si>
    <t>[input_dollars]</t>
  </si>
  <si>
    <t>Other benefits date</t>
  </si>
  <si>
    <t>[custval_date]</t>
  </si>
  <si>
    <r>
      <t>Value of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reductions</t>
    </r>
  </si>
  <si>
    <t>HY ending</t>
  </si>
  <si>
    <t>FY ending</t>
  </si>
  <si>
    <t>Actual cumulative HY escalation</t>
  </si>
  <si>
    <t>Conversion from input dollars to output dollars</t>
  </si>
  <si>
    <t>per customer</t>
  </si>
  <si>
    <t>per customer minute</t>
  </si>
  <si>
    <t>Options</t>
  </si>
  <si>
    <t>Flag to include</t>
  </si>
  <si>
    <t>Customer minutes</t>
  </si>
  <si>
    <t>Not used</t>
  </si>
  <si>
    <t>Value of benefits</t>
  </si>
  <si>
    <t>Categories</t>
  </si>
  <si>
    <t>DROPDOWN LISTS</t>
  </si>
  <si>
    <t>Short categ</t>
  </si>
  <si>
    <t>PREFERRED OPTION</t>
  </si>
  <si>
    <t>Not used options</t>
  </si>
  <si>
    <t>CONSOLIDATED</t>
  </si>
  <si>
    <t>Annualised capex</t>
  </si>
  <si>
    <t>Count</t>
  </si>
  <si>
    <t>2030-31</t>
  </si>
  <si>
    <t>2031-32</t>
  </si>
  <si>
    <t>Not applicable (compliance)</t>
  </si>
  <si>
    <t xml:space="preserve"> </t>
  </si>
  <si>
    <t>Safety</t>
  </si>
  <si>
    <t>Disproportionate factors applied to various bushfire and other risk valuations</t>
  </si>
  <si>
    <t>Harm to property from network</t>
  </si>
  <si>
    <t>Harm to property from bushfire</t>
  </si>
  <si>
    <t>Harm to environment</t>
  </si>
  <si>
    <t>Safety - Public trespass</t>
  </si>
  <si>
    <r>
      <t xml:space="preserve">Safety from bushfire in </t>
    </r>
    <r>
      <rPr>
        <sz val="8"/>
        <color theme="1"/>
        <rFont val="Calibri"/>
        <family val="2"/>
      </rPr>
      <t>HBRA</t>
    </r>
  </si>
  <si>
    <t>$</t>
  </si>
  <si>
    <t>Bushfire</t>
  </si>
  <si>
    <t>Unserved energy</t>
  </si>
  <si>
    <t>UnRepl</t>
  </si>
  <si>
    <t>Unplanned replacement</t>
  </si>
  <si>
    <t>Fire</t>
  </si>
  <si>
    <t>Defined value</t>
  </si>
  <si>
    <t>Safety - Single fatality or serious injury ^</t>
  </si>
  <si>
    <t>Safety - Multiple fatality or serious injury ^</t>
  </si>
  <si>
    <t>^ Public or employee</t>
  </si>
  <si>
    <t>Safety consequence</t>
  </si>
  <si>
    <t>Environmental consequence</t>
  </si>
  <si>
    <t>Unplanned replacements</t>
  </si>
  <si>
    <t>Other benefits 1</t>
  </si>
  <si>
    <t>Other benefits 2</t>
  </si>
  <si>
    <t>NPV</t>
  </si>
  <si>
    <t>INVESTMENT &amp; OPERATING COST</t>
  </si>
  <si>
    <t>Risks mitigated vs base case</t>
  </si>
  <si>
    <t>Other benefits value</t>
  </si>
  <si>
    <t>Energy at risk (weighted)</t>
  </si>
  <si>
    <t>Energy at risk value</t>
  </si>
  <si>
    <t>Total other benefits</t>
  </si>
  <si>
    <t>$/customer</t>
  </si>
  <si>
    <r>
      <t>Value of CO</t>
    </r>
    <r>
      <rPr>
        <i/>
        <vertAlign val="subscript"/>
        <sz val="7.65"/>
        <color theme="1" tint="0.499984740745262"/>
        <rFont val="Calibri"/>
        <family val="2"/>
      </rPr>
      <t>2</t>
    </r>
    <r>
      <rPr>
        <i/>
        <sz val="9"/>
        <color theme="1" tint="0.499984740745262"/>
        <rFont val="Calibri"/>
        <family val="2"/>
        <scheme val="minor"/>
      </rPr>
      <t xml:space="preserve"> reductions</t>
    </r>
  </si>
  <si>
    <t>Year end</t>
  </si>
  <si>
    <r>
      <t>Value of reduction in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emissions</t>
    </r>
  </si>
  <si>
    <t>OPTION 2</t>
  </si>
  <si>
    <t>Option 2</t>
  </si>
  <si>
    <t>Option 3</t>
  </si>
  <si>
    <t>Option 4</t>
  </si>
  <si>
    <t>OPTION 4</t>
  </si>
  <si>
    <t>OPTION 3</t>
  </si>
  <si>
    <t>CP</t>
  </si>
  <si>
    <t>PA</t>
  </si>
  <si>
    <t>UE</t>
  </si>
  <si>
    <t>Risk mitigated</t>
  </si>
  <si>
    <t>Total</t>
  </si>
  <si>
    <t>OPTION 1 (base case)</t>
  </si>
  <si>
    <t>Option 1 (base case)</t>
  </si>
  <si>
    <t>Option1</t>
  </si>
  <si>
    <t>Option2</t>
  </si>
  <si>
    <t>Option3</t>
  </si>
  <si>
    <t>Option4</t>
  </si>
  <si>
    <t>Value of statistical life</t>
  </si>
  <si>
    <t>Risks</t>
  </si>
  <si>
    <t>RISK ASSUMPTIONS</t>
  </si>
  <si>
    <t>PoF (major)</t>
  </si>
  <si>
    <t>PoF (reparable)</t>
  </si>
  <si>
    <t>PV</t>
  </si>
  <si>
    <t>Option 5</t>
  </si>
  <si>
    <t>Option5</t>
  </si>
  <si>
    <t>Cumulative capex</t>
  </si>
  <si>
    <t>Total annualised capex</t>
  </si>
  <si>
    <t>RESULTS</t>
  </si>
  <si>
    <t>Conversions</t>
  </si>
  <si>
    <t>thous_conv</t>
  </si>
  <si>
    <t>mill_conv</t>
  </si>
  <si>
    <t>Enter asset life</t>
  </si>
  <si>
    <t>Message</t>
  </si>
  <si>
    <t>Value of injury</t>
  </si>
  <si>
    <t>Probability</t>
  </si>
  <si>
    <t>Safety (fatality)</t>
  </si>
  <si>
    <t>Safety (injury)</t>
  </si>
  <si>
    <t>Major failure (replace)</t>
  </si>
  <si>
    <t>Minor failure (repair)</t>
  </si>
  <si>
    <t>Premium for failure</t>
  </si>
  <si>
    <t>Total risk cost</t>
  </si>
  <si>
    <t>&lt; Other risk - enter description &gt;</t>
  </si>
  <si>
    <t>SAFETY</t>
  </si>
  <si>
    <t>UNPLANNED REPLACEMENT/REPAIR</t>
  </si>
  <si>
    <t>ENVIRONMENTAL</t>
  </si>
  <si>
    <t>CUSTOMER VALUE</t>
  </si>
  <si>
    <t>Safety from bushfire (REFCL declared areas)</t>
  </si>
  <si>
    <t>Safety from bushfire (electric line construction areas)</t>
  </si>
  <si>
    <t>DF selected</t>
  </si>
  <si>
    <t>Incident type</t>
  </si>
  <si>
    <t>Timing &amp; WACC</t>
  </si>
  <si>
    <t>Pre-tax real WACC</t>
  </si>
  <si>
    <t>Description/comment</t>
  </si>
  <si>
    <t>OPTION 5</t>
  </si>
  <si>
    <t>Convert from input dollars</t>
  </si>
  <si>
    <t>To output dollars</t>
  </si>
  <si>
    <t>Net benefits</t>
  </si>
  <si>
    <t>PV of costs</t>
  </si>
  <si>
    <t>PV of benefits</t>
  </si>
  <si>
    <t>Error message</t>
  </si>
  <si>
    <t>Remove inputs prior to start year</t>
  </si>
  <si>
    <t>First year</t>
  </si>
  <si>
    <t>Discount factor</t>
  </si>
  <si>
    <t>Analysis period</t>
  </si>
  <si>
    <t>Analysis period (years)</t>
  </si>
  <si>
    <t>[years]\</t>
  </si>
  <si>
    <t>First capex year</t>
  </si>
  <si>
    <t>Text</t>
  </si>
  <si>
    <t>Option included</t>
  </si>
  <si>
    <t>ESCALATION &amp; OTHER</t>
  </si>
  <si>
    <t>CHART DATA</t>
  </si>
  <si>
    <t>Customer value of time (res)</t>
  </si>
  <si>
    <t>Customer value of time (bus)</t>
  </si>
  <si>
    <t>customers</t>
  </si>
  <si>
    <t>$/customer min</t>
  </si>
  <si>
    <t>mins</t>
  </si>
  <si>
    <t>(after DF)</t>
  </si>
  <si>
    <t>!</t>
  </si>
  <si>
    <t>FIRST YEAR</t>
  </si>
  <si>
    <r>
      <t>!!</t>
    </r>
    <r>
      <rPr>
        <b/>
        <sz val="8"/>
        <color theme="1"/>
        <rFont val="Verdana"/>
        <family val="2"/>
      </rPr>
      <t xml:space="preserve">  </t>
    </r>
    <r>
      <rPr>
        <sz val="10"/>
        <color theme="1"/>
        <rFont val="Verdana"/>
        <family val="2"/>
      </rPr>
      <t>Capex asset life required !!</t>
    </r>
  </si>
  <si>
    <t>Convert from VCR date</t>
  </si>
  <si>
    <t>To input dollars</t>
  </si>
  <si>
    <t>VCR escalation</t>
  </si>
  <si>
    <t>Network average</t>
  </si>
  <si>
    <t xml:space="preserve"> Network average</t>
  </si>
  <si>
    <t>2023 VCR ($/MWh)</t>
  </si>
  <si>
    <t>SENSITIVITIES</t>
  </si>
  <si>
    <t>Sensitivities</t>
  </si>
  <si>
    <t>Preferred option</t>
  </si>
  <si>
    <t>None</t>
  </si>
  <si>
    <t>Sensitivity</t>
  </si>
  <si>
    <t>For conditional formatting of preferred option on Summary :</t>
  </si>
  <si>
    <t>SENSITIVITY CALCULATIONS</t>
  </si>
  <si>
    <t>Compliance project</t>
  </si>
  <si>
    <t>Compliance</t>
  </si>
  <si>
    <t>Yes</t>
  </si>
  <si>
    <t>No</t>
  </si>
  <si>
    <t>Flags for compliance project</t>
  </si>
  <si>
    <t>Max</t>
  </si>
  <si>
    <t>Preferred</t>
  </si>
  <si>
    <t>CP:</t>
  </si>
  <si>
    <t>PAL:</t>
  </si>
  <si>
    <t>UE:</t>
  </si>
  <si>
    <t>Energy at risk</t>
  </si>
  <si>
    <t>Capex first year</t>
  </si>
  <si>
    <t>2024-25</t>
  </si>
  <si>
    <t>Expenditure starts</t>
  </si>
  <si>
    <t>Start_year</t>
  </si>
  <si>
    <r>
      <t>Value of CO</t>
    </r>
    <r>
      <rPr>
        <vertAlign val="subscript"/>
        <sz val="8.5"/>
        <color theme="1"/>
        <rFont val="Calibri"/>
        <family val="2"/>
      </rPr>
      <t>2</t>
    </r>
    <r>
      <rPr>
        <sz val="10"/>
        <color theme="1"/>
        <rFont val="Calibri"/>
        <family val="2"/>
        <scheme val="minor"/>
      </rPr>
      <t xml:space="preserve"> reductions input date</t>
    </r>
  </si>
  <si>
    <t>Total benefits</t>
  </si>
  <si>
    <t>Regulatory proposal 2026-31</t>
  </si>
  <si>
    <t>Model number:</t>
  </si>
  <si>
    <t>FLAGS</t>
  </si>
  <si>
    <t>Enter ZSS code &gt;&gt;</t>
  </si>
  <si>
    <t>eg. AR</t>
  </si>
  <si>
    <t>WORKINGS - COSTS</t>
  </si>
  <si>
    <t>Escalation factor from December 2022 to December 2023</t>
  </si>
  <si>
    <t>Descalation factor from June 2024 to December 2023</t>
  </si>
  <si>
    <t>Option 1 (base case) - no change to existing practices</t>
  </si>
  <si>
    <t>Total capital costs</t>
  </si>
  <si>
    <t>Total operating costs</t>
  </si>
  <si>
    <t>km</t>
  </si>
  <si>
    <t>Progam duration</t>
  </si>
  <si>
    <t xml:space="preserve">Option 2 capex costs </t>
  </si>
  <si>
    <t>Option 2 opex costs</t>
  </si>
  <si>
    <t>Distance per unit</t>
  </si>
  <si>
    <t>Unitised EFD hardware and installation capex cost</t>
  </si>
  <si>
    <t>in 2023 $/km</t>
  </si>
  <si>
    <t>Unitised EFD 7.5 yearly site visit for battery change and inspection opex cost</t>
  </si>
  <si>
    <t>Unitised EFD annual SaaS licencing opex cost after the first 5 years</t>
  </si>
  <si>
    <t xml:space="preserve">Unitised annual alert validation opex cost </t>
  </si>
  <si>
    <t>Total EFD hardware and installation capex cost</t>
  </si>
  <si>
    <t>Total EFD 7.5 yearly site visit for battery change and inspection opex cost</t>
  </si>
  <si>
    <t>Total EFD annual SaaS licencing opex cost after the first 5 years</t>
  </si>
  <si>
    <t xml:space="preserve">Total annual alert validation opex cost </t>
  </si>
  <si>
    <t xml:space="preserve">Option 3 capex costs </t>
  </si>
  <si>
    <t>Option 3 opex costs</t>
  </si>
  <si>
    <t>EFD applied to</t>
  </si>
  <si>
    <t xml:space="preserve">Option 4 EFD capex costs </t>
  </si>
  <si>
    <t>Option 4 opex costs</t>
  </si>
  <si>
    <t>Length of SWER lines to be replaced with covered conductor, which are not monitored by EFD</t>
  </si>
  <si>
    <t>SWER covered conductor unit cost</t>
  </si>
  <si>
    <t>Covered conductor capex costs</t>
  </si>
  <si>
    <t>Total program upfront capex cost</t>
  </si>
  <si>
    <t xml:space="preserve">Option 5 EFD capex costs </t>
  </si>
  <si>
    <t xml:space="preserve">Option 5 covered conductor capex costs </t>
  </si>
  <si>
    <t>Option 5 opex costs</t>
  </si>
  <si>
    <t>WORKINGS - RISKS</t>
  </si>
  <si>
    <t>Bushfire risk</t>
  </si>
  <si>
    <t xml:space="preserve">Annual bushfire risk </t>
  </si>
  <si>
    <t>Residual annual bushfire risk after program completion</t>
  </si>
  <si>
    <t>Total annual energy at risk from covered conductor</t>
  </si>
  <si>
    <t>Annual bushfire risk reduction for each of the program year</t>
  </si>
  <si>
    <t>Annual energy at risk reduction for each of program year</t>
  </si>
  <si>
    <t>Program implementation</t>
  </si>
  <si>
    <t>Risks post implementation with 30 years lifespan of covered conductor</t>
  </si>
  <si>
    <t>Residual annual bushfire risk cost</t>
  </si>
  <si>
    <t>Residual energy at risk</t>
  </si>
  <si>
    <t>Annual bushfire risk reduction after program completion</t>
  </si>
  <si>
    <t>Energy at risk reduction by EFD</t>
  </si>
  <si>
    <t>Total annual energy at risk reduction from EFD</t>
  </si>
  <si>
    <t>Risks post implementation with 15 years lifespan of EFD</t>
  </si>
  <si>
    <t>Annual bushifre risk reduction from EFD after installation</t>
  </si>
  <si>
    <t>Total annual bushfire risk reduction</t>
  </si>
  <si>
    <t>Total annual energy at risk reduction  from covered conductor</t>
  </si>
  <si>
    <t>Residual annual energy at risk after program completion</t>
  </si>
  <si>
    <t>2023 $/km</t>
  </si>
  <si>
    <t>years</t>
  </si>
  <si>
    <t>2023 $</t>
  </si>
  <si>
    <t>Covered conductor</t>
  </si>
  <si>
    <t>EFD</t>
  </si>
  <si>
    <t>Minimise bushfire risk from SWER</t>
  </si>
  <si>
    <t>Length of SWER lines to be replaced with covered conductor</t>
  </si>
  <si>
    <t>This option deploys EFD on 1,500km of highest SWER lines in ELCA, REFCL and HBRA</t>
  </si>
  <si>
    <t xml:space="preserve">Length of SWER lines in BCAs, REFCL areas, HBRAs  </t>
  </si>
  <si>
    <t>Annual energy at risk per km of SWER line</t>
  </si>
  <si>
    <t>Length of SWER lines in BCA, REFCL and HBRA</t>
  </si>
  <si>
    <t>Annual energy at risk for SWER lines in BCA, REFCL and HBRA</t>
  </si>
  <si>
    <t>Annual bushfire risk reduction after installation of 76km of covered conductor</t>
  </si>
  <si>
    <t>Annual energy at risk reduction per km of SWER line by EFD</t>
  </si>
  <si>
    <t xml:space="preserve">Length of SWER protected by EFD </t>
  </si>
  <si>
    <t xml:space="preserve">Annual energy at risk reduction per km of SWER </t>
  </si>
  <si>
    <t>Length of SWER protected by EFD</t>
  </si>
  <si>
    <t xml:space="preserve">Length of SWER protected by covered condutor </t>
  </si>
  <si>
    <t>EFD on 2,107km of highest risk SWER lines in ELCA, REFCL and HBRA</t>
  </si>
  <si>
    <t>Install covered conductor on 76km of SWER lines that do not have EFD monitoring</t>
  </si>
  <si>
    <t>Minimise bushfire risk from SWER in ELCA, REFCL and HBRA areas</t>
  </si>
  <si>
    <t>Targeted installation of covered conductor on SWER lines</t>
  </si>
  <si>
    <t>Install EFD on all SWER lines</t>
  </si>
  <si>
    <t>Targeted installation of EFD on SWER lines</t>
  </si>
  <si>
    <t>Targeted installation of covered conductor and EFD on SWER lines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</si>
</sst>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_);_(* \(#,##0\);_(* &quot;-&quot;??_);_(@_)"/>
    <numFmt numFmtId="165" formatCode="_-* #,##0_-;* \(#,##0\)_-;_-* &quot;-&quot;??_-;_-@_-"/>
    <numFmt numFmtId="166" formatCode="#,##0_);\(#,##0\);\-\-_)"/>
    <numFmt numFmtId="167" formatCode="#,##0;[Red]\ \-#,##0;\ &quot;-&quot;"/>
    <numFmt numFmtId="168" formatCode="&quot;$&quot;\ mmm\ yyyy"/>
    <numFmt numFmtId="169" formatCode="&quot;$&quot;#,##0.00"/>
    <numFmt numFmtId="170" formatCode="&quot;$&quot;#,##0"/>
    <numFmt numFmtId="171" formatCode="0.000"/>
    <numFmt numFmtId="172" formatCode="mmmm"/>
    <numFmt numFmtId="173" formatCode="#,##0;[Red]\ \(#,##0\);\ &quot;-&quot;"/>
    <numFmt numFmtId="174" formatCode="0.0000"/>
    <numFmt numFmtId="175" formatCode="#,##0.000;[Red]\ \-#,##0.000;\ &quot;-&quot;"/>
    <numFmt numFmtId="176" formatCode="#,##0;[Red]\ \ \-\ #,##0;\ &quot;-&quot;"/>
    <numFmt numFmtId="177" formatCode="#,##0.00;[Red]\ \-#,##0.00;\ &quot;-&quot;"/>
    <numFmt numFmtId="178" formatCode="#,##0.0;[Red]\ \(#,##0.0\);\ &quot;-&quot;"/>
    <numFmt numFmtId="179" formatCode="#,##0.0;[Red]\ \-#,##0.0;\ &quot;-&quot;"/>
    <numFmt numFmtId="180" formatCode="&quot;$&quot;#,##0;\ \-&quot;$&quot;#,##0;\ &quot;-&quot;"/>
    <numFmt numFmtId="181" formatCode="0;\ \-0;\ &quot;&quot;"/>
    <numFmt numFmtId="182" formatCode="#,##0.00000;[Red]\ \-#,##0.00000;\ &quot;-&quot;"/>
    <numFmt numFmtId="183" formatCode="0;\ \-0;\ &quot;-&quot;"/>
    <numFmt numFmtId="184" formatCode="#,##0.000000;\ \-#,##0.000000;\ &quot;-&quot;"/>
    <numFmt numFmtId="185" formatCode="#,##0;\ \-#,##0;\ &quot;-&quot;"/>
    <numFmt numFmtId="186" formatCode="&quot;year &quot;#"/>
    <numFmt numFmtId="187" formatCode="#,##0.0000000;[Red]\ \-#,##0.0000000;\ &quot;-&quot;"/>
    <numFmt numFmtId="188" formatCode="&quot;$&quot;&quot;m&quot;\ mmm\ yyyy"/>
    <numFmt numFmtId="189" formatCode="\+0%;[Red]\ \ \-0%;\ &quot;-&quot;"/>
    <numFmt numFmtId="190" formatCode="#,##0.00_ ;[Red]\-#,##0.00\ "/>
    <numFmt numFmtId="191" formatCode="#,##0.0;[Red]\ \-#,##0.0;\ &quot;&quot;"/>
    <numFmt numFmtId="192" formatCode="0.000000000000000"/>
    <numFmt numFmtId="193" formatCode="0%;[Red]\ \ \-0%;\ &quot;-&quot;"/>
    <numFmt numFmtId="194" formatCode="dd\ mmmm\ yyyy"/>
    <numFmt numFmtId="195" formatCode="mmm\ yyyy"/>
    <numFmt numFmtId="196" formatCode="#,##0.000_);\(#,##0.000\);\-\-_)"/>
    <numFmt numFmtId="197" formatCode="#,##0_ ;\-#,##0\ "/>
    <numFmt numFmtId="198" formatCode="_-&quot;$&quot;* #,##0_-;\-&quot;$&quot;* #,##0_-;_-&quot;$&quot;* &quot;-&quot;??_-;_-@_-"/>
    <numFmt numFmtId="199" formatCode="_-* #,##0_-;\-* #,##0_-;_-* &quot;-&quot;??_-;_-@_-"/>
  </numFmts>
  <fonts count="97" x14ac:knownFonts="1">
    <font>
      <sz val="10"/>
      <color theme="1"/>
      <name val="Verdana"/>
      <family val="2"/>
    </font>
    <font>
      <sz val="10"/>
      <color theme="3"/>
      <name val="Arial"/>
      <family val="2"/>
    </font>
    <font>
      <sz val="11"/>
      <color theme="1"/>
      <name val="Arial"/>
      <family val="2"/>
    </font>
    <font>
      <sz val="10"/>
      <color theme="0" tint="-0.3499862666707357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9" tint="-0.499984740745262"/>
      <name val="Arial"/>
      <family val="2"/>
    </font>
    <font>
      <sz val="10"/>
      <color theme="0"/>
      <name val="Arial"/>
      <family val="2"/>
    </font>
    <font>
      <sz val="10"/>
      <color theme="0" tint="-0.499984740745262"/>
      <name val="Arial"/>
      <family val="2"/>
    </font>
    <font>
      <i/>
      <sz val="10"/>
      <color theme="0" tint="-0.34998626667073579"/>
      <name val="Arial"/>
      <family val="2"/>
    </font>
    <font>
      <b/>
      <sz val="14"/>
      <color indexed="9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"/>
      <name val="Arial"/>
      <family val="2"/>
    </font>
    <font>
      <b/>
      <sz val="12"/>
      <color indexed="9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4"/>
      <color indexed="9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3333FF"/>
      <name val="Calibri"/>
      <family val="2"/>
      <scheme val="minor"/>
    </font>
    <font>
      <sz val="8"/>
      <color rgb="FF767676"/>
      <name val="Arial"/>
      <family val="2"/>
    </font>
    <font>
      <vertAlign val="subscript"/>
      <sz val="8.5"/>
      <color theme="1"/>
      <name val="Calibri"/>
      <family val="2"/>
    </font>
    <font>
      <b/>
      <sz val="10"/>
      <color rgb="FF000000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indexed="9"/>
      <name val="Calibri"/>
      <family val="2"/>
    </font>
    <font>
      <sz val="10"/>
      <color rgb="FF0000CC"/>
      <name val="Calibri"/>
      <family val="2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3333FF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i/>
      <sz val="9"/>
      <color theme="1" tint="0.499984740745262"/>
      <name val="Calibri"/>
      <family val="2"/>
      <scheme val="minor"/>
    </font>
    <font>
      <b/>
      <i/>
      <sz val="9"/>
      <color theme="1" tint="0.499984740745262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indexed="9"/>
      <name val="Calibri"/>
      <family val="2"/>
      <scheme val="minor"/>
    </font>
    <font>
      <i/>
      <sz val="10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i/>
      <sz val="8"/>
      <color theme="1" tint="0.499984740745262"/>
      <name val="Calibri"/>
      <family val="2"/>
      <scheme val="minor"/>
    </font>
    <font>
      <sz val="10"/>
      <color theme="1" tint="0.14999847407452621"/>
      <name val="Calibri"/>
      <family val="2"/>
      <scheme val="minor"/>
    </font>
    <font>
      <i/>
      <sz val="9"/>
      <name val="Calibri"/>
      <family val="2"/>
      <scheme val="minor"/>
    </font>
    <font>
      <b/>
      <sz val="10"/>
      <color theme="1"/>
      <name val="Verdana"/>
      <family val="2"/>
    </font>
    <font>
      <b/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8"/>
      <color theme="1"/>
      <name val="Calibri"/>
      <family val="2"/>
    </font>
    <font>
      <i/>
      <vertAlign val="subscript"/>
      <sz val="7.65"/>
      <color theme="1" tint="0.499984740745262"/>
      <name val="Calibri"/>
      <family val="2"/>
    </font>
    <font>
      <sz val="10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8"/>
      <color theme="1"/>
      <name val="Verdana"/>
      <family val="2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theme="1"/>
      <name val="Verdana"/>
      <family val="2"/>
    </font>
    <font>
      <b/>
      <sz val="10"/>
      <color theme="5"/>
      <name val="Calibri"/>
      <family val="2"/>
      <scheme val="minor"/>
    </font>
    <font>
      <sz val="8"/>
      <name val="Calibri"/>
      <family val="2"/>
      <scheme val="minor"/>
    </font>
    <font>
      <b/>
      <sz val="8"/>
      <color indexed="9"/>
      <name val="Calibri"/>
      <family val="2"/>
    </font>
    <font>
      <i/>
      <sz val="10"/>
      <color rgb="FF000000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name val="Verdana"/>
      <family val="2"/>
    </font>
    <font>
      <sz val="10"/>
      <color theme="1"/>
      <name val="Verdana"/>
      <family val="2"/>
    </font>
    <font>
      <i/>
      <sz val="9"/>
      <color theme="1"/>
      <name val="Calibri"/>
      <family val="2"/>
      <scheme val="minor"/>
    </font>
    <font>
      <i/>
      <sz val="9"/>
      <color theme="1" tint="0.34998626667073579"/>
      <name val="Calibri"/>
      <family val="2"/>
      <scheme val="minor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  <font>
      <sz val="10"/>
      <color indexed="9"/>
      <name val="Calibri"/>
      <family val="2"/>
    </font>
    <font>
      <sz val="9"/>
      <color rgb="FFFFFFFF"/>
      <name val="Calibri"/>
      <family val="2"/>
      <scheme val="minor"/>
    </font>
    <font>
      <sz val="8"/>
      <name val="Arial"/>
      <family val="2"/>
    </font>
    <font>
      <b/>
      <sz val="14"/>
      <color theme="1"/>
      <name val="Calibri"/>
      <family val="2"/>
    </font>
    <font>
      <sz val="10"/>
      <color rgb="FFFF000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lightUp">
        <fgColor theme="0" tint="-0.34998626667073579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3366"/>
        <bgColor indexed="64"/>
      </patternFill>
    </fill>
    <fill>
      <patternFill patternType="solid">
        <fgColor rgb="FF0054A8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215B"/>
        <bgColor indexed="64"/>
      </patternFill>
    </fill>
    <fill>
      <patternFill patternType="solid">
        <fgColor indexed="49"/>
      </patternFill>
    </fill>
    <fill>
      <patternFill patternType="solid">
        <fgColor rgb="FFCC33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ck">
        <color theme="0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0">
    <xf numFmtId="0" fontId="0" fillId="0" borderId="0"/>
    <xf numFmtId="0" fontId="5" fillId="0" borderId="0"/>
    <xf numFmtId="0" fontId="1" fillId="2" borderId="1" applyNumberFormat="0" applyAlignment="0">
      <alignment horizontal="right"/>
      <protection locked="0"/>
    </xf>
    <xf numFmtId="164" fontId="2" fillId="0" borderId="0" applyFont="0" applyFill="0" applyBorder="0" applyAlignment="0" applyProtection="0"/>
    <xf numFmtId="165" fontId="3" fillId="3" borderId="2" applyAlignment="0"/>
    <xf numFmtId="0" fontId="13" fillId="0" borderId="0" applyNumberFormat="0"/>
    <xf numFmtId="0" fontId="4" fillId="0" borderId="3" applyNumberFormat="0" applyAlignment="0"/>
    <xf numFmtId="0" fontId="2" fillId="0" borderId="4" applyNumberFormat="0" applyFont="0" applyFill="0" applyAlignment="0"/>
    <xf numFmtId="0" fontId="4" fillId="0" borderId="0"/>
    <xf numFmtId="0" fontId="5" fillId="1" borderId="0"/>
    <xf numFmtId="0" fontId="6" fillId="4" borderId="5" applyNumberFormat="0" applyAlignment="0"/>
    <xf numFmtId="0" fontId="7" fillId="5" borderId="3" applyNumberFormat="0">
      <alignment horizontal="centerContinuous" vertical="center" wrapText="1"/>
    </xf>
    <xf numFmtId="0" fontId="8" fillId="4" borderId="6" applyNumberFormat="0" applyAlignment="0"/>
    <xf numFmtId="0" fontId="9" fillId="0" borderId="0" applyNumberFormat="0"/>
    <xf numFmtId="0" fontId="11" fillId="7" borderId="0"/>
    <xf numFmtId="0" fontId="12" fillId="0" borderId="0"/>
    <xf numFmtId="166" fontId="10" fillId="6" borderId="0"/>
    <xf numFmtId="166" fontId="14" fillId="6" borderId="0"/>
    <xf numFmtId="0" fontId="15" fillId="0" borderId="0"/>
    <xf numFmtId="9" fontId="18" fillId="0" borderId="0" applyFont="0" applyFill="0" applyBorder="0" applyAlignment="0" applyProtection="0"/>
    <xf numFmtId="0" fontId="18" fillId="0" borderId="0"/>
    <xf numFmtId="0" fontId="28" fillId="9" borderId="0" applyNumberFormat="0">
      <alignment horizontal="center"/>
    </xf>
    <xf numFmtId="170" fontId="21" fillId="0" borderId="8" applyNumberFormat="0" applyProtection="0">
      <alignment horizontal="right"/>
    </xf>
    <xf numFmtId="10" fontId="27" fillId="2" borderId="0" applyNumberFormat="0" applyAlignment="0" applyProtection="0"/>
    <xf numFmtId="10" fontId="47" fillId="12" borderId="0" applyNumberFormat="0" applyBorder="0" applyAlignment="0" applyProtection="0"/>
    <xf numFmtId="0" fontId="4" fillId="0" borderId="0"/>
    <xf numFmtId="0" fontId="79" fillId="0" borderId="0"/>
    <xf numFmtId="9" fontId="79" fillId="0" borderId="0" applyFont="0" applyFill="0" applyBorder="0" applyAlignment="0" applyProtection="0"/>
    <xf numFmtId="0" fontId="18" fillId="0" borderId="0"/>
    <xf numFmtId="44" fontId="79" fillId="0" borderId="0" applyFont="0" applyFill="0" applyBorder="0" applyAlignment="0" applyProtection="0"/>
    <xf numFmtId="43" fontId="79" fillId="0" borderId="0" applyFont="0" applyFill="0" applyBorder="0" applyAlignment="0" applyProtection="0"/>
    <xf numFmtId="4" fontId="94" fillId="17" borderId="16" applyNumberFormat="0" applyProtection="0">
      <alignment horizontal="left" vertical="center" indent="1"/>
    </xf>
    <xf numFmtId="4" fontId="94" fillId="17" borderId="16" applyNumberFormat="0" applyProtection="0">
      <alignment horizontal="left" vertical="center" indent="1"/>
    </xf>
    <xf numFmtId="4" fontId="94" fillId="0" borderId="16" applyNumberFormat="0" applyProtection="0">
      <alignment horizontal="right" vertical="center"/>
    </xf>
    <xf numFmtId="43" fontId="79" fillId="0" borderId="0" applyFont="0" applyFill="0" applyBorder="0" applyAlignment="0" applyProtection="0"/>
    <xf numFmtId="44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0" fontId="18" fillId="0" borderId="0"/>
    <xf numFmtId="9" fontId="18" fillId="0" borderId="0" applyFont="0" applyFill="0" applyBorder="0" applyAlignment="0" applyProtection="0"/>
    <xf numFmtId="44" fontId="18" fillId="0" borderId="0" applyFont="0" applyFill="0" applyBorder="0" applyAlignment="0" applyProtection="0"/>
  </cellStyleXfs>
  <cellXfs count="393">
    <xf numFmtId="0" fontId="0" fillId="0" borderId="0" xfId="0"/>
    <xf numFmtId="0" fontId="15" fillId="0" borderId="0" xfId="18"/>
    <xf numFmtId="0" fontId="15" fillId="0" borderId="0" xfId="18" applyAlignment="1">
      <alignment horizontal="right"/>
    </xf>
    <xf numFmtId="0" fontId="17" fillId="0" borderId="0" xfId="18" applyFont="1"/>
    <xf numFmtId="0" fontId="16" fillId="0" borderId="0" xfId="18" applyFont="1" applyAlignment="1">
      <alignment vertical="center"/>
    </xf>
    <xf numFmtId="0" fontId="20" fillId="0" borderId="0" xfId="18" applyFont="1"/>
    <xf numFmtId="0" fontId="15" fillId="0" borderId="0" xfId="18" applyFont="1"/>
    <xf numFmtId="0" fontId="15" fillId="0" borderId="0" xfId="18" applyFont="1" applyAlignment="1">
      <alignment horizontal="right"/>
    </xf>
    <xf numFmtId="0" fontId="15" fillId="0" borderId="0" xfId="0" applyFont="1"/>
    <xf numFmtId="0" fontId="22" fillId="0" borderId="0" xfId="8" applyFont="1" applyFill="1" applyBorder="1"/>
    <xf numFmtId="0" fontId="23" fillId="0" borderId="0" xfId="0" applyFont="1"/>
    <xf numFmtId="166" fontId="25" fillId="8" borderId="0" xfId="16" applyFont="1" applyFill="1"/>
    <xf numFmtId="0" fontId="15" fillId="0" borderId="0" xfId="18" applyAlignment="1">
      <alignment horizontal="left"/>
    </xf>
    <xf numFmtId="0" fontId="27" fillId="2" borderId="0" xfId="0" applyFont="1" applyFill="1"/>
    <xf numFmtId="0" fontId="17" fillId="0" borderId="0" xfId="0" applyFont="1"/>
    <xf numFmtId="166" fontId="25" fillId="10" borderId="0" xfId="16" applyFont="1" applyFill="1"/>
    <xf numFmtId="0" fontId="19" fillId="11" borderId="0" xfId="18" applyFont="1" applyFill="1" applyAlignment="1">
      <alignment vertical="center"/>
    </xf>
    <xf numFmtId="0" fontId="19" fillId="11" borderId="0" xfId="18" applyFont="1" applyFill="1" applyAlignment="1">
      <alignment horizontal="right" vertical="center"/>
    </xf>
    <xf numFmtId="0" fontId="24" fillId="11" borderId="0" xfId="18" applyFont="1" applyFill="1" applyAlignment="1">
      <alignment vertical="center"/>
    </xf>
    <xf numFmtId="166" fontId="31" fillId="10" borderId="0" xfId="16" applyFont="1" applyFill="1"/>
    <xf numFmtId="166" fontId="32" fillId="10" borderId="0" xfId="16" applyFont="1" applyFill="1" applyAlignment="1">
      <alignment horizontal="right"/>
    </xf>
    <xf numFmtId="0" fontId="15" fillId="0" borderId="0" xfId="0" applyFont="1" applyAlignment="1">
      <alignment horizontal="left"/>
    </xf>
    <xf numFmtId="0" fontId="21" fillId="0" borderId="0" xfId="18" applyFont="1"/>
    <xf numFmtId="0" fontId="15" fillId="2" borderId="0" xfId="0" applyFont="1" applyFill="1"/>
    <xf numFmtId="172" fontId="15" fillId="0" borderId="0" xfId="0" applyNumberFormat="1" applyFont="1"/>
    <xf numFmtId="172" fontId="15" fillId="2" borderId="0" xfId="0" applyNumberFormat="1" applyFont="1" applyFill="1" applyAlignment="1">
      <alignment horizontal="left"/>
    </xf>
    <xf numFmtId="0" fontId="17" fillId="0" borderId="0" xfId="18" applyFont="1" applyAlignment="1">
      <alignment horizontal="left"/>
    </xf>
    <xf numFmtId="0" fontId="15" fillId="2" borderId="0" xfId="0" quotePrefix="1" applyFont="1" applyFill="1"/>
    <xf numFmtId="0" fontId="15" fillId="0" borderId="0" xfId="18" applyFont="1" applyAlignment="1">
      <alignment horizontal="left"/>
    </xf>
    <xf numFmtId="0" fontId="17" fillId="0" borderId="7" xfId="18" applyFont="1" applyBorder="1" applyAlignment="1">
      <alignment horizontal="left"/>
    </xf>
    <xf numFmtId="0" fontId="17" fillId="0" borderId="7" xfId="18" applyFont="1" applyBorder="1"/>
    <xf numFmtId="167" fontId="16" fillId="0" borderId="0" xfId="18" applyNumberFormat="1" applyFont="1" applyFill="1" applyBorder="1" applyAlignment="1">
      <alignment horizontal="right" vertical="center"/>
    </xf>
    <xf numFmtId="167" fontId="27" fillId="2" borderId="8" xfId="18" applyNumberFormat="1" applyFont="1" applyFill="1" applyBorder="1" applyAlignment="1">
      <alignment horizontal="right" vertical="center"/>
    </xf>
    <xf numFmtId="0" fontId="34" fillId="0" borderId="0" xfId="8" applyFont="1" applyFill="1"/>
    <xf numFmtId="0" fontId="35" fillId="0" borderId="0" xfId="18" applyFont="1"/>
    <xf numFmtId="0" fontId="34" fillId="0" borderId="0" xfId="8" applyFont="1" applyFill="1" applyBorder="1"/>
    <xf numFmtId="0" fontId="15" fillId="13" borderId="4" xfId="18" applyFont="1" applyFill="1" applyBorder="1" applyAlignment="1">
      <alignment horizontal="left"/>
    </xf>
    <xf numFmtId="1" fontId="27" fillId="2" borderId="0" xfId="18" quotePrefix="1" applyNumberFormat="1" applyFont="1" applyFill="1" applyAlignment="1">
      <alignment horizontal="center"/>
    </xf>
    <xf numFmtId="166" fontId="38" fillId="0" borderId="0" xfId="18" applyNumberFormat="1" applyFont="1" applyAlignment="1">
      <alignment horizontal="left"/>
    </xf>
    <xf numFmtId="0" fontId="17" fillId="0" borderId="0" xfId="18" applyFont="1" applyBorder="1"/>
    <xf numFmtId="10" fontId="27" fillId="2" borderId="0" xfId="23" applyNumberFormat="1"/>
    <xf numFmtId="0" fontId="21" fillId="0" borderId="0" xfId="18" applyFont="1" applyBorder="1"/>
    <xf numFmtId="171" fontId="33" fillId="2" borderId="0" xfId="18" applyNumberFormat="1" applyFont="1" applyFill="1" applyBorder="1" applyAlignment="1">
      <alignment horizontal="right"/>
    </xf>
    <xf numFmtId="14" fontId="15" fillId="0" borderId="0" xfId="0" applyNumberFormat="1" applyFont="1"/>
    <xf numFmtId="1" fontId="15" fillId="2" borderId="0" xfId="0" applyNumberFormat="1" applyFont="1" applyFill="1" applyAlignment="1">
      <alignment horizontal="left"/>
    </xf>
    <xf numFmtId="14" fontId="17" fillId="0" borderId="7" xfId="18" applyNumberFormat="1" applyFont="1" applyBorder="1"/>
    <xf numFmtId="0" fontId="40" fillId="0" borderId="7" xfId="18" quotePrefix="1" applyFont="1" applyBorder="1" applyAlignment="1">
      <alignment horizontal="left"/>
    </xf>
    <xf numFmtId="14" fontId="37" fillId="2" borderId="7" xfId="23" applyNumberFormat="1" applyFont="1" applyBorder="1"/>
    <xf numFmtId="166" fontId="25" fillId="10" borderId="0" xfId="16" applyFont="1" applyFill="1" applyAlignment="1">
      <alignment horizontal="left"/>
    </xf>
    <xf numFmtId="0" fontId="0" fillId="0" borderId="0" xfId="0" applyAlignment="1">
      <alignment horizontal="left"/>
    </xf>
    <xf numFmtId="168" fontId="30" fillId="0" borderId="7" xfId="18" applyNumberFormat="1" applyFont="1" applyBorder="1" applyAlignment="1">
      <alignment horizontal="left" vertical="center"/>
    </xf>
    <xf numFmtId="0" fontId="21" fillId="0" borderId="0" xfId="18" applyFont="1" applyAlignment="1">
      <alignment horizontal="left"/>
    </xf>
    <xf numFmtId="167" fontId="30" fillId="0" borderId="4" xfId="18" applyNumberFormat="1" applyFont="1" applyFill="1" applyBorder="1" applyAlignment="1">
      <alignment horizontal="right" vertical="center"/>
    </xf>
    <xf numFmtId="0" fontId="17" fillId="0" borderId="7" xfId="0" applyFont="1" applyBorder="1"/>
    <xf numFmtId="168" fontId="41" fillId="10" borderId="0" xfId="18" applyNumberFormat="1" applyFont="1" applyFill="1" applyAlignment="1">
      <alignment horizontal="center" vertical="center"/>
    </xf>
    <xf numFmtId="0" fontId="17" fillId="0" borderId="7" xfId="0" applyFont="1" applyBorder="1" applyAlignment="1">
      <alignment horizontal="right"/>
    </xf>
    <xf numFmtId="166" fontId="42" fillId="10" borderId="0" xfId="16" applyFont="1" applyFill="1"/>
    <xf numFmtId="0" fontId="27" fillId="2" borderId="0" xfId="18" applyFont="1" applyFill="1" applyAlignment="1">
      <alignment horizontal="left"/>
    </xf>
    <xf numFmtId="167" fontId="16" fillId="0" borderId="0" xfId="18" applyNumberFormat="1" applyFont="1" applyFill="1" applyBorder="1" applyAlignment="1">
      <alignment horizontal="left" vertical="center"/>
    </xf>
    <xf numFmtId="0" fontId="15" fillId="0" borderId="7" xfId="0" applyFont="1" applyBorder="1"/>
    <xf numFmtId="172" fontId="27" fillId="2" borderId="9" xfId="18" quotePrefix="1" applyNumberFormat="1" applyFont="1" applyFill="1" applyBorder="1" applyAlignment="1">
      <alignment horizontal="left"/>
    </xf>
    <xf numFmtId="0" fontId="16" fillId="0" borderId="0" xfId="18" applyFont="1" applyAlignment="1">
      <alignment horizontal="left" vertical="top"/>
    </xf>
    <xf numFmtId="168" fontId="15" fillId="0" borderId="0" xfId="18" applyNumberFormat="1" applyFill="1" applyAlignment="1">
      <alignment horizontal="left"/>
    </xf>
    <xf numFmtId="172" fontId="15" fillId="2" borderId="0" xfId="0" quotePrefix="1" applyNumberFormat="1" applyFont="1" applyFill="1" applyAlignment="1">
      <alignment horizontal="left"/>
    </xf>
    <xf numFmtId="0" fontId="15" fillId="0" borderId="0" xfId="18" applyBorder="1"/>
    <xf numFmtId="0" fontId="45" fillId="0" borderId="0" xfId="0" applyFont="1" applyAlignment="1">
      <alignment horizontal="right"/>
    </xf>
    <xf numFmtId="0" fontId="43" fillId="0" borderId="0" xfId="0" applyFont="1" applyAlignment="1">
      <alignment horizontal="left" indent="1"/>
    </xf>
    <xf numFmtId="168" fontId="21" fillId="0" borderId="8" xfId="22" applyNumberFormat="1" applyAlignment="1">
      <alignment horizontal="right"/>
    </xf>
    <xf numFmtId="0" fontId="46" fillId="0" borderId="0" xfId="18" quotePrefix="1" applyFont="1" applyAlignment="1">
      <alignment horizontal="left"/>
    </xf>
    <xf numFmtId="168" fontId="44" fillId="0" borderId="0" xfId="23" applyNumberFormat="1" applyFont="1" applyFill="1" applyAlignment="1">
      <alignment horizontal="right"/>
    </xf>
    <xf numFmtId="0" fontId="17" fillId="0" borderId="7" xfId="18" applyFont="1" applyBorder="1" applyAlignment="1">
      <alignment horizontal="right"/>
    </xf>
    <xf numFmtId="0" fontId="44" fillId="0" borderId="0" xfId="18" applyFont="1" applyAlignment="1">
      <alignment horizontal="left" indent="1"/>
    </xf>
    <xf numFmtId="0" fontId="15" fillId="0" borderId="0" xfId="18" applyAlignment="1">
      <alignment horizontal="left" vertical="top" wrapText="1"/>
    </xf>
    <xf numFmtId="0" fontId="17" fillId="0" borderId="7" xfId="18" applyFont="1" applyBorder="1" applyAlignment="1">
      <alignment horizontal="left" vertical="top"/>
    </xf>
    <xf numFmtId="0" fontId="15" fillId="0" borderId="7" xfId="18" applyBorder="1" applyAlignment="1">
      <alignment horizontal="left" vertical="top"/>
    </xf>
    <xf numFmtId="0" fontId="17" fillId="0" borderId="0" xfId="0" applyFont="1" applyFill="1" applyBorder="1" applyAlignment="1"/>
    <xf numFmtId="14" fontId="15" fillId="0" borderId="0" xfId="18" applyNumberFormat="1" applyFont="1" applyBorder="1"/>
    <xf numFmtId="14" fontId="15" fillId="0" borderId="7" xfId="18" applyNumberFormat="1" applyFont="1" applyBorder="1"/>
    <xf numFmtId="14" fontId="27" fillId="2" borderId="0" xfId="18" applyNumberFormat="1" applyFont="1" applyFill="1" applyBorder="1"/>
    <xf numFmtId="10" fontId="34" fillId="0" borderId="0" xfId="23" applyNumberFormat="1" applyFont="1" applyFill="1"/>
    <xf numFmtId="0" fontId="21" fillId="0" borderId="0" xfId="18" applyFont="1" applyFill="1"/>
    <xf numFmtId="0" fontId="21" fillId="0" borderId="0" xfId="18" applyFont="1" applyFill="1" applyBorder="1"/>
    <xf numFmtId="0" fontId="26" fillId="0" borderId="0" xfId="0" applyFont="1"/>
    <xf numFmtId="166" fontId="31" fillId="10" borderId="0" xfId="16" applyFont="1" applyFill="1" applyAlignment="1">
      <alignment horizontal="center"/>
    </xf>
    <xf numFmtId="0" fontId="23" fillId="0" borderId="0" xfId="0" applyFont="1" applyAlignment="1">
      <alignment horizontal="center"/>
    </xf>
    <xf numFmtId="176" fontId="16" fillId="0" borderId="0" xfId="18" applyNumberFormat="1" applyFont="1" applyFill="1" applyBorder="1" applyAlignment="1">
      <alignment horizontal="right" vertical="center"/>
    </xf>
    <xf numFmtId="49" fontId="15" fillId="2" borderId="0" xfId="0" applyNumberFormat="1" applyFont="1" applyFill="1" applyAlignment="1">
      <alignment horizontal="left"/>
    </xf>
    <xf numFmtId="0" fontId="15" fillId="0" borderId="0" xfId="0" applyNumberFormat="1" applyFont="1" applyFill="1" applyAlignment="1">
      <alignment horizontal="left"/>
    </xf>
    <xf numFmtId="0" fontId="50" fillId="0" borderId="7" xfId="18" applyFont="1" applyBorder="1"/>
    <xf numFmtId="0" fontId="51" fillId="0" borderId="7" xfId="18" applyFont="1" applyFill="1" applyBorder="1" applyAlignment="1">
      <alignment vertical="center"/>
    </xf>
    <xf numFmtId="0" fontId="36" fillId="0" borderId="7" xfId="18" applyFont="1" applyFill="1" applyBorder="1" applyAlignment="1">
      <alignment vertical="center"/>
    </xf>
    <xf numFmtId="0" fontId="15" fillId="0" borderId="0" xfId="18" applyFont="1" applyFill="1" applyAlignment="1">
      <alignment horizontal="left" vertical="top" wrapText="1"/>
    </xf>
    <xf numFmtId="173" fontId="15" fillId="0" borderId="0" xfId="18" applyNumberFormat="1" applyFont="1" applyAlignment="1"/>
    <xf numFmtId="0" fontId="21" fillId="13" borderId="8" xfId="22" applyNumberFormat="1" applyFill="1" applyAlignment="1">
      <alignment horizontal="left"/>
    </xf>
    <xf numFmtId="0" fontId="52" fillId="0" borderId="0" xfId="18" applyFont="1"/>
    <xf numFmtId="167" fontId="34" fillId="2" borderId="0" xfId="18" applyNumberFormat="1" applyFont="1" applyFill="1" applyBorder="1" applyAlignment="1">
      <alignment horizontal="right" vertical="center"/>
    </xf>
    <xf numFmtId="177" fontId="34" fillId="2" borderId="0" xfId="18" applyNumberFormat="1" applyFont="1" applyFill="1" applyBorder="1" applyAlignment="1">
      <alignment horizontal="right" vertical="center"/>
    </xf>
    <xf numFmtId="173" fontId="16" fillId="0" borderId="0" xfId="18" applyNumberFormat="1" applyFont="1" applyFill="1" applyBorder="1" applyAlignment="1">
      <alignment horizontal="right" vertical="center"/>
    </xf>
    <xf numFmtId="0" fontId="39" fillId="0" borderId="0" xfId="8" applyFont="1" applyFill="1" applyBorder="1"/>
    <xf numFmtId="175" fontId="45" fillId="0" borderId="0" xfId="18" applyNumberFormat="1" applyFont="1" applyFill="1" applyBorder="1" applyAlignment="1">
      <alignment horizontal="right" vertical="center"/>
    </xf>
    <xf numFmtId="0" fontId="39" fillId="0" borderId="0" xfId="8" applyFont="1" applyFill="1" applyBorder="1" applyAlignment="1">
      <alignment horizontal="center"/>
    </xf>
    <xf numFmtId="0" fontId="45" fillId="0" borderId="0" xfId="18" applyFont="1" applyAlignment="1">
      <alignment horizontal="right"/>
    </xf>
    <xf numFmtId="49" fontId="15" fillId="0" borderId="0" xfId="0" applyNumberFormat="1" applyFont="1"/>
    <xf numFmtId="178" fontId="15" fillId="0" borderId="0" xfId="18" applyNumberFormat="1" applyFont="1" applyFill="1" applyAlignment="1">
      <alignment vertical="top" wrapText="1"/>
    </xf>
    <xf numFmtId="178" fontId="16" fillId="13" borderId="0" xfId="18" applyNumberFormat="1" applyFont="1" applyFill="1" applyBorder="1" applyAlignment="1">
      <alignment horizontal="right" vertical="center"/>
    </xf>
    <xf numFmtId="179" fontId="16" fillId="0" borderId="0" xfId="18" applyNumberFormat="1" applyFont="1" applyFill="1" applyBorder="1" applyAlignment="1">
      <alignment horizontal="right" vertical="center"/>
    </xf>
    <xf numFmtId="176" fontId="30" fillId="0" borderId="0" xfId="18" applyNumberFormat="1" applyFont="1" applyFill="1" applyBorder="1" applyAlignment="1">
      <alignment horizontal="right" vertical="center"/>
    </xf>
    <xf numFmtId="0" fontId="49" fillId="0" borderId="0" xfId="0" applyFont="1"/>
    <xf numFmtId="167" fontId="30" fillId="0" borderId="0" xfId="18" applyNumberFormat="1" applyFont="1" applyFill="1" applyBorder="1" applyAlignment="1">
      <alignment horizontal="right" vertical="center"/>
    </xf>
    <xf numFmtId="166" fontId="38" fillId="0" borderId="4" xfId="18" applyNumberFormat="1" applyFont="1" applyBorder="1" applyAlignment="1">
      <alignment horizontal="left"/>
    </xf>
    <xf numFmtId="0" fontId="15" fillId="0" borderId="4" xfId="18" applyBorder="1"/>
    <xf numFmtId="0" fontId="51" fillId="0" borderId="0" xfId="18" applyFont="1" applyFill="1" applyBorder="1" applyAlignment="1">
      <alignment vertical="center"/>
    </xf>
    <xf numFmtId="169" fontId="21" fillId="0" borderId="8" xfId="22" applyNumberFormat="1" applyAlignment="1">
      <alignment horizontal="right"/>
    </xf>
    <xf numFmtId="170" fontId="21" fillId="0" borderId="8" xfId="22" applyNumberFormat="1" applyAlignment="1">
      <alignment horizontal="right"/>
    </xf>
    <xf numFmtId="0" fontId="34" fillId="0" borderId="0" xfId="8" applyFont="1"/>
    <xf numFmtId="0" fontId="48" fillId="0" borderId="0" xfId="8" applyFont="1"/>
    <xf numFmtId="0" fontId="39" fillId="0" borderId="0" xfId="8" applyFont="1"/>
    <xf numFmtId="175" fontId="45" fillId="0" borderId="0" xfId="18" applyNumberFormat="1" applyFont="1" applyAlignment="1">
      <alignment horizontal="right" vertical="center"/>
    </xf>
    <xf numFmtId="0" fontId="22" fillId="0" borderId="0" xfId="8" applyFont="1"/>
    <xf numFmtId="167" fontId="16" fillId="0" borderId="0" xfId="18" applyNumberFormat="1" applyFont="1" applyAlignment="1">
      <alignment horizontal="right" vertical="center"/>
    </xf>
    <xf numFmtId="0" fontId="51" fillId="0" borderId="7" xfId="18" applyFont="1" applyBorder="1" applyAlignment="1">
      <alignment vertical="center"/>
    </xf>
    <xf numFmtId="0" fontId="36" fillId="0" borderId="7" xfId="18" applyFont="1" applyBorder="1" applyAlignment="1">
      <alignment vertical="center"/>
    </xf>
    <xf numFmtId="0" fontId="36" fillId="0" borderId="7" xfId="18" applyFont="1" applyBorder="1" applyAlignment="1">
      <alignment horizontal="right" vertical="center"/>
    </xf>
    <xf numFmtId="167" fontId="16" fillId="0" borderId="0" xfId="18" applyNumberFormat="1" applyFont="1" applyAlignment="1">
      <alignment horizontal="left" vertical="center"/>
    </xf>
    <xf numFmtId="0" fontId="22" fillId="0" borderId="0" xfId="8" applyFont="1" applyAlignment="1">
      <alignment horizontal="left"/>
    </xf>
    <xf numFmtId="0" fontId="17" fillId="0" borderId="4" xfId="0" applyFont="1" applyFill="1" applyBorder="1" applyAlignment="1">
      <alignment horizontal="left"/>
    </xf>
    <xf numFmtId="0" fontId="55" fillId="0" borderId="0" xfId="18" applyFont="1"/>
    <xf numFmtId="0" fontId="15" fillId="0" borderId="0" xfId="20" applyFont="1"/>
    <xf numFmtId="0" fontId="15" fillId="0" borderId="0" xfId="20" applyFont="1" applyAlignment="1">
      <alignment horizontal="center"/>
    </xf>
    <xf numFmtId="0" fontId="18" fillId="0" borderId="0" xfId="20"/>
    <xf numFmtId="0" fontId="15" fillId="2" borderId="0" xfId="20" applyFont="1" applyFill="1"/>
    <xf numFmtId="180" fontId="21" fillId="0" borderId="8" xfId="22" applyNumberFormat="1">
      <alignment horizontal="right"/>
    </xf>
    <xf numFmtId="167" fontId="15" fillId="0" borderId="0" xfId="18" applyNumberFormat="1" applyFont="1" applyFill="1" applyBorder="1" applyAlignment="1">
      <alignment horizontal="right" vertical="center"/>
    </xf>
    <xf numFmtId="167" fontId="15" fillId="14" borderId="0" xfId="18" applyNumberFormat="1" applyFont="1" applyFill="1" applyBorder="1" applyAlignment="1">
      <alignment horizontal="right" vertical="center"/>
    </xf>
    <xf numFmtId="0" fontId="58" fillId="0" borderId="0" xfId="18" applyFont="1" applyAlignment="1">
      <alignment horizontal="left" indent="1"/>
    </xf>
    <xf numFmtId="49" fontId="15" fillId="0" borderId="0" xfId="18" applyNumberFormat="1"/>
    <xf numFmtId="182" fontId="27" fillId="2" borderId="8" xfId="18" applyNumberFormat="1" applyFont="1" applyFill="1" applyBorder="1" applyAlignment="1">
      <alignment horizontal="right" vertical="center"/>
    </xf>
    <xf numFmtId="176" fontId="15" fillId="0" borderId="0" xfId="18" applyNumberFormat="1"/>
    <xf numFmtId="166" fontId="38" fillId="0" borderId="0" xfId="18" applyNumberFormat="1" applyFont="1" applyBorder="1" applyAlignment="1">
      <alignment horizontal="left"/>
    </xf>
    <xf numFmtId="2" fontId="15" fillId="0" borderId="0" xfId="18" applyNumberFormat="1"/>
    <xf numFmtId="178" fontId="30" fillId="0" borderId="0" xfId="18" applyNumberFormat="1" applyFont="1" applyFill="1" applyBorder="1" applyAlignment="1">
      <alignment horizontal="right" vertical="center"/>
    </xf>
    <xf numFmtId="178" fontId="59" fillId="0" borderId="0" xfId="18" applyNumberFormat="1" applyFont="1" applyFill="1" applyBorder="1" applyAlignment="1">
      <alignment horizontal="right" vertical="center"/>
    </xf>
    <xf numFmtId="0" fontId="24" fillId="11" borderId="0" xfId="18" applyFont="1" applyFill="1" applyAlignment="1">
      <alignment horizontal="right" vertical="center"/>
    </xf>
    <xf numFmtId="167" fontId="16" fillId="0" borderId="4" xfId="18" applyNumberFormat="1" applyFont="1" applyFill="1" applyBorder="1" applyAlignment="1">
      <alignment horizontal="right" vertical="center"/>
    </xf>
    <xf numFmtId="0" fontId="15" fillId="0" borderId="4" xfId="0" applyFont="1" applyFill="1" applyBorder="1" applyAlignment="1">
      <alignment horizontal="left"/>
    </xf>
    <xf numFmtId="0" fontId="15" fillId="2" borderId="0" xfId="18" applyFill="1"/>
    <xf numFmtId="14" fontId="60" fillId="0" borderId="0" xfId="0" applyNumberFormat="1" applyFont="1"/>
    <xf numFmtId="0" fontId="59" fillId="0" borderId="0" xfId="18" applyFont="1" applyAlignment="1">
      <alignment vertical="center"/>
    </xf>
    <xf numFmtId="167" fontId="27" fillId="2" borderId="0" xfId="18" applyNumberFormat="1" applyFont="1" applyFill="1" applyAlignment="1">
      <alignment horizontal="right" vertical="center"/>
    </xf>
    <xf numFmtId="167" fontId="0" fillId="0" borderId="0" xfId="0" applyNumberFormat="1"/>
    <xf numFmtId="167" fontId="23" fillId="0" borderId="0" xfId="0" applyNumberFormat="1" applyFont="1"/>
    <xf numFmtId="0" fontId="45" fillId="2" borderId="0" xfId="18" applyFont="1" applyFill="1" applyAlignment="1">
      <alignment horizontal="right"/>
    </xf>
    <xf numFmtId="0" fontId="17" fillId="0" borderId="0" xfId="18" applyFont="1" applyBorder="1" applyAlignment="1">
      <alignment horizontal="center"/>
    </xf>
    <xf numFmtId="167" fontId="34" fillId="2" borderId="0" xfId="18" applyNumberFormat="1" applyFont="1" applyFill="1" applyBorder="1" applyAlignment="1">
      <alignment horizontal="left" vertical="center"/>
    </xf>
    <xf numFmtId="170" fontId="27" fillId="2" borderId="0" xfId="23" applyNumberFormat="1" applyAlignment="1">
      <alignment horizontal="right"/>
    </xf>
    <xf numFmtId="183" fontId="47" fillId="2" borderId="0" xfId="24" applyNumberFormat="1" applyFill="1" applyAlignment="1">
      <alignment horizontal="right"/>
    </xf>
    <xf numFmtId="0" fontId="17" fillId="0" borderId="7" xfId="0" applyFont="1" applyBorder="1" applyAlignment="1">
      <alignment horizontal="left"/>
    </xf>
    <xf numFmtId="0" fontId="17" fillId="0" borderId="7" xfId="0" applyFont="1" applyBorder="1" applyAlignment="1">
      <alignment horizontal="center"/>
    </xf>
    <xf numFmtId="170" fontId="21" fillId="0" borderId="8" xfId="22" applyNumberFormat="1">
      <alignment horizontal="right"/>
    </xf>
    <xf numFmtId="9" fontId="27" fillId="2" borderId="0" xfId="23" applyNumberFormat="1" applyAlignment="1">
      <alignment horizontal="right"/>
    </xf>
    <xf numFmtId="175" fontId="45" fillId="0" borderId="0" xfId="18" applyNumberFormat="1" applyFont="1" applyFill="1" applyBorder="1" applyAlignment="1">
      <alignment horizontal="left" vertical="center"/>
    </xf>
    <xf numFmtId="0" fontId="17" fillId="0" borderId="0" xfId="0" applyFont="1" applyBorder="1" applyAlignment="1">
      <alignment horizontal="center"/>
    </xf>
    <xf numFmtId="184" fontId="27" fillId="2" borderId="8" xfId="23" applyNumberFormat="1" applyBorder="1" applyAlignment="1">
      <alignment horizontal="right"/>
    </xf>
    <xf numFmtId="184" fontId="27" fillId="2" borderId="10" xfId="23" applyNumberFormat="1" applyBorder="1" applyAlignment="1">
      <alignment horizontal="right"/>
    </xf>
    <xf numFmtId="170" fontId="27" fillId="2" borderId="0" xfId="23" applyNumberFormat="1" applyBorder="1" applyAlignment="1">
      <alignment horizontal="right"/>
    </xf>
    <xf numFmtId="185" fontId="27" fillId="2" borderId="10" xfId="23" applyNumberFormat="1" applyBorder="1" applyAlignment="1">
      <alignment horizontal="center"/>
    </xf>
    <xf numFmtId="169" fontId="15" fillId="0" borderId="0" xfId="0" applyNumberFormat="1" applyFont="1"/>
    <xf numFmtId="0" fontId="34" fillId="0" borderId="0" xfId="18" applyFont="1"/>
    <xf numFmtId="179" fontId="27" fillId="2" borderId="8" xfId="18" applyNumberFormat="1" applyFont="1" applyFill="1" applyBorder="1" applyAlignment="1">
      <alignment horizontal="right" vertical="center"/>
    </xf>
    <xf numFmtId="187" fontId="27" fillId="2" borderId="8" xfId="18" applyNumberFormat="1" applyFont="1" applyFill="1" applyBorder="1" applyAlignment="1">
      <alignment horizontal="right" vertical="center"/>
    </xf>
    <xf numFmtId="179" fontId="30" fillId="0" borderId="0" xfId="18" applyNumberFormat="1" applyFont="1" applyFill="1" applyBorder="1" applyAlignment="1">
      <alignment horizontal="right" vertical="center"/>
    </xf>
    <xf numFmtId="0" fontId="15" fillId="0" borderId="7" xfId="18" applyBorder="1"/>
    <xf numFmtId="0" fontId="16" fillId="0" borderId="11" xfId="18" applyFont="1" applyBorder="1" applyAlignment="1">
      <alignment vertical="center"/>
    </xf>
    <xf numFmtId="0" fontId="15" fillId="0" borderId="11" xfId="18" applyBorder="1"/>
    <xf numFmtId="173" fontId="16" fillId="0" borderId="11" xfId="18" applyNumberFormat="1" applyFont="1" applyFill="1" applyBorder="1" applyAlignment="1">
      <alignment horizontal="right" vertical="center"/>
    </xf>
    <xf numFmtId="167" fontId="16" fillId="0" borderId="11" xfId="18" applyNumberFormat="1" applyFont="1" applyFill="1" applyBorder="1" applyAlignment="1">
      <alignment horizontal="right" vertical="center"/>
    </xf>
    <xf numFmtId="167" fontId="16" fillId="0" borderId="11" xfId="18" applyNumberFormat="1" applyFont="1" applyBorder="1" applyAlignment="1">
      <alignment horizontal="right" vertical="center"/>
    </xf>
    <xf numFmtId="0" fontId="55" fillId="0" borderId="11" xfId="0" applyFont="1" applyFill="1" applyBorder="1" applyAlignment="1"/>
    <xf numFmtId="166" fontId="38" fillId="0" borderId="11" xfId="18" applyNumberFormat="1" applyFont="1" applyBorder="1" applyAlignment="1">
      <alignment horizontal="left"/>
    </xf>
    <xf numFmtId="167" fontId="30" fillId="0" borderId="11" xfId="18" applyNumberFormat="1" applyFont="1" applyFill="1" applyBorder="1" applyAlignment="1">
      <alignment horizontal="right" vertical="center"/>
    </xf>
    <xf numFmtId="0" fontId="15" fillId="0" borderId="11" xfId="0" applyFont="1" applyFill="1" applyBorder="1" applyAlignment="1"/>
    <xf numFmtId="0" fontId="24" fillId="15" borderId="0" xfId="18" applyFont="1" applyFill="1" applyAlignment="1">
      <alignment vertical="center"/>
    </xf>
    <xf numFmtId="0" fontId="24" fillId="15" borderId="0" xfId="18" applyFont="1" applyFill="1" applyAlignment="1">
      <alignment horizontal="right" vertical="center"/>
    </xf>
    <xf numFmtId="0" fontId="19" fillId="15" borderId="0" xfId="18" applyFont="1" applyFill="1" applyAlignment="1">
      <alignment horizontal="right" vertical="center"/>
    </xf>
    <xf numFmtId="188" fontId="15" fillId="0" borderId="7" xfId="18" applyNumberFormat="1" applyFill="1" applyBorder="1" applyAlignment="1">
      <alignment horizontal="center"/>
    </xf>
    <xf numFmtId="188" fontId="15" fillId="0" borderId="7" xfId="18" applyNumberFormat="1" applyFill="1" applyBorder="1" applyAlignment="1">
      <alignment horizontal="left"/>
    </xf>
    <xf numFmtId="179" fontId="15" fillId="0" borderId="0" xfId="0" applyNumberFormat="1" applyFont="1"/>
    <xf numFmtId="186" fontId="15" fillId="0" borderId="0" xfId="18" applyNumberFormat="1" applyAlignment="1">
      <alignment horizontal="left"/>
    </xf>
    <xf numFmtId="171" fontId="39" fillId="0" borderId="0" xfId="8" applyNumberFormat="1" applyFont="1"/>
    <xf numFmtId="1" fontId="39" fillId="0" borderId="0" xfId="8" applyNumberFormat="1" applyFont="1"/>
    <xf numFmtId="167" fontId="22" fillId="0" borderId="0" xfId="8" applyNumberFormat="1" applyFont="1"/>
    <xf numFmtId="167" fontId="22" fillId="0" borderId="0" xfId="8" applyNumberFormat="1" applyFont="1" applyAlignment="1">
      <alignment horizontal="right"/>
    </xf>
    <xf numFmtId="0" fontId="22" fillId="0" borderId="7" xfId="8" applyFont="1" applyBorder="1" applyAlignment="1">
      <alignment horizontal="left"/>
    </xf>
    <xf numFmtId="0" fontId="23" fillId="0" borderId="7" xfId="0" applyFont="1" applyBorder="1" applyAlignment="1">
      <alignment horizontal="center"/>
    </xf>
    <xf numFmtId="0" fontId="23" fillId="0" borderId="7" xfId="0" applyFont="1" applyBorder="1"/>
    <xf numFmtId="0" fontId="61" fillId="0" borderId="12" xfId="0" applyFont="1" applyBorder="1"/>
    <xf numFmtId="0" fontId="22" fillId="2" borderId="0" xfId="8" applyFont="1" applyFill="1" applyAlignment="1">
      <alignment horizontal="left"/>
    </xf>
    <xf numFmtId="2" fontId="15" fillId="2" borderId="0" xfId="18" applyNumberFormat="1" applyFill="1"/>
    <xf numFmtId="2" fontId="21" fillId="0" borderId="8" xfId="22" applyNumberFormat="1" applyAlignment="1">
      <alignment horizontal="left"/>
    </xf>
    <xf numFmtId="168" fontId="62" fillId="10" borderId="0" xfId="18" applyNumberFormat="1" applyFont="1" applyFill="1" applyAlignment="1">
      <alignment horizontal="center" vertical="center"/>
    </xf>
    <xf numFmtId="0" fontId="20" fillId="0" borderId="0" xfId="18" applyFont="1" applyAlignment="1">
      <alignment horizontal="left" indent="1"/>
    </xf>
    <xf numFmtId="0" fontId="15" fillId="0" borderId="0" xfId="18" applyFont="1" applyAlignment="1"/>
    <xf numFmtId="168" fontId="62" fillId="10" borderId="0" xfId="18" applyNumberFormat="1" applyFont="1" applyFill="1" applyAlignment="1">
      <alignment horizontal="left" vertical="center"/>
    </xf>
    <xf numFmtId="0" fontId="63" fillId="0" borderId="0" xfId="18" applyFont="1"/>
    <xf numFmtId="0" fontId="64" fillId="0" borderId="7" xfId="18" applyFont="1" applyFill="1" applyBorder="1" applyAlignment="1">
      <alignment vertical="center"/>
    </xf>
    <xf numFmtId="0" fontId="65" fillId="0" borderId="0" xfId="18" applyFont="1"/>
    <xf numFmtId="0" fontId="60" fillId="0" borderId="0" xfId="0" applyFont="1"/>
    <xf numFmtId="168" fontId="65" fillId="0" borderId="0" xfId="18" applyNumberFormat="1" applyFont="1" applyFill="1" applyAlignment="1">
      <alignment horizontal="left"/>
    </xf>
    <xf numFmtId="0" fontId="64" fillId="0" borderId="0" xfId="18" applyFont="1" applyFill="1" applyBorder="1" applyAlignment="1">
      <alignment vertical="center"/>
    </xf>
    <xf numFmtId="168" fontId="66" fillId="0" borderId="0" xfId="18" applyNumberFormat="1" applyFont="1" applyFill="1" applyAlignment="1">
      <alignment horizontal="left"/>
    </xf>
    <xf numFmtId="168" fontId="67" fillId="0" borderId="0" xfId="18" applyNumberFormat="1" applyFont="1" applyAlignment="1">
      <alignment horizontal="left" vertical="center"/>
    </xf>
    <xf numFmtId="0" fontId="64" fillId="0" borderId="0" xfId="18" applyFont="1" applyFill="1" applyBorder="1" applyAlignment="1">
      <alignment horizontal="left" vertical="center"/>
    </xf>
    <xf numFmtId="0" fontId="65" fillId="0" borderId="0" xfId="18" applyFont="1" applyAlignment="1">
      <alignment horizontal="left"/>
    </xf>
    <xf numFmtId="0" fontId="68" fillId="0" borderId="0" xfId="18" applyFont="1" applyAlignment="1">
      <alignment horizontal="left" vertical="center"/>
    </xf>
    <xf numFmtId="0" fontId="67" fillId="0" borderId="0" xfId="18" applyFont="1" applyAlignment="1">
      <alignment horizontal="left" vertical="center"/>
    </xf>
    <xf numFmtId="168" fontId="67" fillId="0" borderId="11" xfId="18" applyNumberFormat="1" applyFont="1" applyBorder="1" applyAlignment="1">
      <alignment horizontal="left" vertical="center"/>
    </xf>
    <xf numFmtId="168" fontId="69" fillId="0" borderId="0" xfId="18" applyNumberFormat="1" applyFont="1" applyAlignment="1">
      <alignment horizontal="left" vertical="center"/>
    </xf>
    <xf numFmtId="168" fontId="67" fillId="0" borderId="0" xfId="18" applyNumberFormat="1" applyFont="1" applyBorder="1" applyAlignment="1">
      <alignment horizontal="left" vertical="center"/>
    </xf>
    <xf numFmtId="0" fontId="70" fillId="0" borderId="0" xfId="0" applyFont="1"/>
    <xf numFmtId="0" fontId="46" fillId="0" borderId="0" xfId="18" applyFont="1"/>
    <xf numFmtId="0" fontId="71" fillId="11" borderId="0" xfId="18" applyFont="1" applyFill="1" applyAlignment="1">
      <alignment horizontal="right" vertical="center"/>
    </xf>
    <xf numFmtId="167" fontId="67" fillId="0" borderId="0" xfId="18" applyNumberFormat="1" applyFont="1" applyAlignment="1">
      <alignment horizontal="right" vertical="center"/>
    </xf>
    <xf numFmtId="0" fontId="64" fillId="0" borderId="7" xfId="18" applyFont="1" applyBorder="1" applyAlignment="1">
      <alignment horizontal="right" vertical="center"/>
    </xf>
    <xf numFmtId="166" fontId="73" fillId="10" borderId="0" xfId="16" applyFont="1" applyFill="1" applyAlignment="1">
      <alignment horizontal="right"/>
    </xf>
    <xf numFmtId="0" fontId="72" fillId="0" borderId="0" xfId="8" applyFont="1" applyAlignment="1">
      <alignment horizontal="right"/>
    </xf>
    <xf numFmtId="168" fontId="67" fillId="0" borderId="0" xfId="18" applyNumberFormat="1" applyFont="1" applyAlignment="1">
      <alignment horizontal="right" vertical="center"/>
    </xf>
    <xf numFmtId="168" fontId="69" fillId="0" borderId="0" xfId="18" applyNumberFormat="1" applyFont="1" applyAlignment="1">
      <alignment horizontal="right" vertical="center"/>
    </xf>
    <xf numFmtId="168" fontId="67" fillId="0" borderId="4" xfId="18" applyNumberFormat="1" applyFont="1" applyBorder="1" applyAlignment="1">
      <alignment horizontal="right" vertical="center"/>
    </xf>
    <xf numFmtId="0" fontId="65" fillId="0" borderId="0" xfId="18" applyFont="1" applyAlignment="1">
      <alignment horizontal="right"/>
    </xf>
    <xf numFmtId="0" fontId="65" fillId="0" borderId="0" xfId="0" applyFont="1" applyAlignment="1">
      <alignment horizontal="right"/>
    </xf>
    <xf numFmtId="0" fontId="74" fillId="0" borderId="0" xfId="18" applyFont="1" applyAlignment="1">
      <alignment vertical="center"/>
    </xf>
    <xf numFmtId="0" fontId="26" fillId="0" borderId="0" xfId="18" applyFont="1"/>
    <xf numFmtId="178" fontId="74" fillId="0" borderId="0" xfId="18" applyNumberFormat="1" applyFont="1" applyFill="1" applyBorder="1" applyAlignment="1">
      <alignment horizontal="right" vertical="center"/>
    </xf>
    <xf numFmtId="167" fontId="48" fillId="0" borderId="0" xfId="8" applyNumberFormat="1" applyFont="1"/>
    <xf numFmtId="166" fontId="75" fillId="0" borderId="0" xfId="18" applyNumberFormat="1" applyFont="1" applyAlignment="1">
      <alignment horizontal="left"/>
    </xf>
    <xf numFmtId="0" fontId="76" fillId="0" borderId="11" xfId="0" applyFont="1" applyFill="1" applyBorder="1" applyAlignment="1"/>
    <xf numFmtId="166" fontId="75" fillId="0" borderId="11" xfId="18" applyNumberFormat="1" applyFont="1" applyBorder="1" applyAlignment="1">
      <alignment horizontal="left"/>
    </xf>
    <xf numFmtId="0" fontId="26" fillId="0" borderId="11" xfId="18" applyFont="1" applyBorder="1" applyAlignment="1">
      <alignment horizontal="right"/>
    </xf>
    <xf numFmtId="0" fontId="77" fillId="0" borderId="0" xfId="18" applyFont="1"/>
    <xf numFmtId="0" fontId="0" fillId="2" borderId="0" xfId="0" applyFill="1"/>
    <xf numFmtId="0" fontId="45" fillId="0" borderId="0" xfId="20" applyFont="1" applyAlignment="1">
      <alignment horizontal="center"/>
    </xf>
    <xf numFmtId="173" fontId="15" fillId="0" borderId="0" xfId="18" applyNumberFormat="1" applyFont="1" applyBorder="1" applyAlignment="1"/>
    <xf numFmtId="174" fontId="15" fillId="0" borderId="0" xfId="18" applyNumberFormat="1"/>
    <xf numFmtId="189" fontId="15" fillId="0" borderId="0" xfId="18" applyNumberFormat="1"/>
    <xf numFmtId="190" fontId="15" fillId="0" borderId="0" xfId="0" applyNumberFormat="1" applyFont="1"/>
    <xf numFmtId="0" fontId="36" fillId="0" borderId="0" xfId="18" applyFont="1" applyBorder="1" applyAlignment="1">
      <alignment vertical="center"/>
    </xf>
    <xf numFmtId="0" fontId="36" fillId="0" borderId="0" xfId="18" applyFont="1" applyBorder="1" applyAlignment="1">
      <alignment horizontal="right" vertical="center"/>
    </xf>
    <xf numFmtId="0" fontId="15" fillId="0" borderId="0" xfId="18" applyFont="1" applyFill="1" applyBorder="1" applyAlignment="1">
      <alignment horizontal="left" vertical="top" wrapText="1"/>
    </xf>
    <xf numFmtId="167" fontId="15" fillId="0" borderId="0" xfId="18" applyNumberFormat="1"/>
    <xf numFmtId="0" fontId="79" fillId="0" borderId="0" xfId="0" applyFont="1"/>
    <xf numFmtId="172" fontId="15" fillId="0" borderId="0" xfId="0" applyNumberFormat="1" applyFont="1" applyFill="1" applyAlignment="1">
      <alignment horizontal="left"/>
    </xf>
    <xf numFmtId="0" fontId="0" fillId="0" borderId="0" xfId="0" applyFill="1"/>
    <xf numFmtId="9" fontId="15" fillId="0" borderId="0" xfId="18" applyNumberFormat="1"/>
    <xf numFmtId="0" fontId="34" fillId="0" borderId="0" xfId="18" applyFont="1" applyBorder="1" applyAlignment="1">
      <alignment vertical="center"/>
    </xf>
    <xf numFmtId="189" fontId="15" fillId="0" borderId="0" xfId="18" applyNumberFormat="1" applyFont="1"/>
    <xf numFmtId="171" fontId="39" fillId="0" borderId="0" xfId="8" applyNumberFormat="1" applyFont="1" applyAlignment="1">
      <alignment horizontal="right"/>
    </xf>
    <xf numFmtId="0" fontId="15" fillId="0" borderId="0" xfId="0" applyFont="1" applyFill="1"/>
    <xf numFmtId="0" fontId="17" fillId="0" borderId="7" xfId="0" applyFont="1" applyFill="1" applyBorder="1"/>
    <xf numFmtId="0" fontId="17" fillId="0" borderId="7" xfId="0" applyFont="1" applyFill="1" applyBorder="1" applyAlignment="1">
      <alignment horizontal="right"/>
    </xf>
    <xf numFmtId="0" fontId="17" fillId="0" borderId="0" xfId="0" applyFont="1" applyFill="1"/>
    <xf numFmtId="0" fontId="80" fillId="0" borderId="0" xfId="0" applyFont="1"/>
    <xf numFmtId="185" fontId="15" fillId="0" borderId="0" xfId="0" applyNumberFormat="1" applyFont="1" applyAlignment="1">
      <alignment horizontal="left"/>
    </xf>
    <xf numFmtId="0" fontId="17" fillId="0" borderId="0" xfId="0" applyFont="1" applyFill="1" applyBorder="1" applyAlignment="1">
      <alignment horizontal="right"/>
    </xf>
    <xf numFmtId="0" fontId="15" fillId="0" borderId="0" xfId="0" applyFont="1" applyBorder="1"/>
    <xf numFmtId="181" fontId="15" fillId="0" borderId="0" xfId="0" applyNumberFormat="1" applyFont="1" applyFill="1" applyAlignment="1">
      <alignment horizontal="left"/>
    </xf>
    <xf numFmtId="181" fontId="15" fillId="0" borderId="14" xfId="0" applyNumberFormat="1" applyFont="1" applyFill="1" applyBorder="1" applyAlignment="1">
      <alignment horizontal="left"/>
    </xf>
    <xf numFmtId="191" fontId="15" fillId="0" borderId="0" xfId="0" applyNumberFormat="1" applyFont="1" applyFill="1" applyAlignment="1">
      <alignment horizontal="center"/>
    </xf>
    <xf numFmtId="0" fontId="81" fillId="0" borderId="0" xfId="0" applyFont="1"/>
    <xf numFmtId="167" fontId="16" fillId="0" borderId="0" xfId="18" applyNumberFormat="1" applyFont="1" applyFill="1" applyAlignment="1">
      <alignment horizontal="left" vertical="center"/>
    </xf>
    <xf numFmtId="166" fontId="38" fillId="0" borderId="0" xfId="18" applyNumberFormat="1" applyFont="1" applyFill="1" applyAlignment="1">
      <alignment horizontal="left"/>
    </xf>
    <xf numFmtId="0" fontId="15" fillId="0" borderId="0" xfId="18" applyFill="1" applyAlignment="1">
      <alignment horizontal="right"/>
    </xf>
    <xf numFmtId="168" fontId="67" fillId="0" borderId="0" xfId="18" applyNumberFormat="1" applyFont="1" applyFill="1" applyAlignment="1">
      <alignment horizontal="right" vertical="center"/>
    </xf>
    <xf numFmtId="167" fontId="16" fillId="0" borderId="0" xfId="18" applyNumberFormat="1" applyFont="1" applyFill="1" applyAlignment="1">
      <alignment horizontal="right" vertical="center"/>
    </xf>
    <xf numFmtId="191" fontId="16" fillId="0" borderId="11" xfId="18" applyNumberFormat="1" applyFont="1" applyBorder="1" applyAlignment="1">
      <alignment horizontal="right" vertical="center"/>
    </xf>
    <xf numFmtId="191" fontId="16" fillId="0" borderId="0" xfId="18" applyNumberFormat="1" applyFont="1" applyBorder="1" applyAlignment="1">
      <alignment horizontal="right" vertical="center"/>
    </xf>
    <xf numFmtId="0" fontId="15" fillId="0" borderId="0" xfId="0" applyFont="1" applyAlignment="1">
      <alignment horizontal="center"/>
    </xf>
    <xf numFmtId="0" fontId="79" fillId="0" borderId="0" xfId="0" applyFont="1" applyAlignment="1">
      <alignment horizontal="center"/>
    </xf>
    <xf numFmtId="0" fontId="15" fillId="0" borderId="7" xfId="0" applyFont="1" applyBorder="1" applyAlignment="1">
      <alignment horizontal="center"/>
    </xf>
    <xf numFmtId="179" fontId="16" fillId="0" borderId="11" xfId="18" applyNumberFormat="1" applyFont="1" applyBorder="1" applyAlignment="1">
      <alignment horizontal="right" vertical="center"/>
    </xf>
    <xf numFmtId="179" fontId="16" fillId="0" borderId="0" xfId="18" applyNumberFormat="1" applyFont="1" applyBorder="1" applyAlignment="1">
      <alignment horizontal="right" vertical="center"/>
    </xf>
    <xf numFmtId="179" fontId="15" fillId="0" borderId="0" xfId="0" applyNumberFormat="1" applyFont="1" applyFill="1" applyBorder="1"/>
    <xf numFmtId="181" fontId="82" fillId="0" borderId="0" xfId="0" applyNumberFormat="1" applyFont="1" applyFill="1" applyAlignment="1">
      <alignment horizontal="center"/>
    </xf>
    <xf numFmtId="179" fontId="23" fillId="0" borderId="0" xfId="0" applyNumberFormat="1" applyFont="1"/>
    <xf numFmtId="0" fontId="15" fillId="0" borderId="7" xfId="0" applyFont="1" applyBorder="1" applyAlignment="1"/>
    <xf numFmtId="0" fontId="27" fillId="2" borderId="0" xfId="18" applyFont="1" applyFill="1"/>
    <xf numFmtId="181" fontId="17" fillId="0" borderId="14" xfId="0" applyNumberFormat="1" applyFont="1" applyFill="1" applyBorder="1" applyAlignment="1">
      <alignment horizontal="left"/>
    </xf>
    <xf numFmtId="191" fontId="30" fillId="0" borderId="11" xfId="18" applyNumberFormat="1" applyFont="1" applyBorder="1" applyAlignment="1">
      <alignment horizontal="right" vertical="center"/>
    </xf>
    <xf numFmtId="0" fontId="17" fillId="0" borderId="7" xfId="0" applyFont="1" applyFill="1" applyBorder="1" applyAlignment="1">
      <alignment horizontal="center"/>
    </xf>
    <xf numFmtId="191" fontId="83" fillId="0" borderId="14" xfId="0" applyNumberFormat="1" applyFont="1" applyFill="1" applyBorder="1" applyAlignment="1">
      <alignment horizontal="center"/>
    </xf>
    <xf numFmtId="188" fontId="23" fillId="0" borderId="7" xfId="18" applyNumberFormat="1" applyFont="1" applyFill="1" applyBorder="1" applyAlignment="1">
      <alignment horizontal="left"/>
    </xf>
    <xf numFmtId="0" fontId="30" fillId="0" borderId="0" xfId="18" applyFont="1" applyAlignment="1">
      <alignment horizontal="left" vertical="top"/>
    </xf>
    <xf numFmtId="0" fontId="37" fillId="2" borderId="0" xfId="0" applyFont="1" applyFill="1"/>
    <xf numFmtId="192" fontId="0" fillId="0" borderId="0" xfId="0" applyNumberFormat="1"/>
    <xf numFmtId="167" fontId="15" fillId="0" borderId="0" xfId="18" applyNumberFormat="1" applyAlignment="1">
      <alignment horizontal="right"/>
    </xf>
    <xf numFmtId="168" fontId="23" fillId="0" borderId="0" xfId="0" applyNumberFormat="1" applyFont="1"/>
    <xf numFmtId="0" fontId="23" fillId="0" borderId="0" xfId="0" applyFont="1" applyAlignment="1">
      <alignment wrapText="1"/>
    </xf>
    <xf numFmtId="168" fontId="27" fillId="2" borderId="0" xfId="24" applyNumberFormat="1" applyFont="1" applyFill="1" applyAlignment="1">
      <alignment horizontal="left" vertical="center"/>
    </xf>
    <xf numFmtId="179" fontId="16" fillId="0" borderId="0" xfId="18" applyNumberFormat="1" applyFont="1" applyAlignment="1">
      <alignment horizontal="right" vertical="center"/>
    </xf>
    <xf numFmtId="0" fontId="15" fillId="0" borderId="7" xfId="18" applyFont="1" applyBorder="1"/>
    <xf numFmtId="0" fontId="80" fillId="0" borderId="7" xfId="18" applyFont="1" applyBorder="1"/>
    <xf numFmtId="183" fontId="15" fillId="0" borderId="0" xfId="18" applyNumberFormat="1" applyAlignment="1">
      <alignment horizontal="left"/>
    </xf>
    <xf numFmtId="193" fontId="15" fillId="0" borderId="0" xfId="18" applyNumberFormat="1"/>
    <xf numFmtId="10" fontId="27" fillId="2" borderId="0" xfId="24" quotePrefix="1" applyNumberFormat="1" applyFont="1" applyFill="1"/>
    <xf numFmtId="168" fontId="27" fillId="2" borderId="0" xfId="24" applyNumberFormat="1" applyFont="1" applyFill="1" applyAlignment="1">
      <alignment horizontal="right"/>
    </xf>
    <xf numFmtId="0" fontId="27" fillId="2" borderId="0" xfId="24" applyNumberFormat="1" applyFont="1" applyFill="1"/>
    <xf numFmtId="168" fontId="27" fillId="2" borderId="0" xfId="24" applyNumberFormat="1" applyFont="1" applyFill="1" applyAlignment="1">
      <alignment horizontal="right" vertical="center"/>
    </xf>
    <xf numFmtId="170" fontId="27" fillId="2" borderId="0" xfId="24" applyNumberFormat="1" applyFont="1" applyFill="1" applyBorder="1" applyAlignment="1">
      <alignment horizontal="right"/>
    </xf>
    <xf numFmtId="169" fontId="27" fillId="2" borderId="0" xfId="24" applyNumberFormat="1" applyFont="1" applyFill="1" applyBorder="1" applyAlignment="1">
      <alignment horizontal="right"/>
    </xf>
    <xf numFmtId="189" fontId="27" fillId="2" borderId="0" xfId="23" applyNumberFormat="1" applyAlignment="1">
      <alignment horizontal="right"/>
    </xf>
    <xf numFmtId="189" fontId="37" fillId="2" borderId="0" xfId="23" applyNumberFormat="1" applyFont="1" applyAlignment="1">
      <alignment horizontal="right"/>
    </xf>
    <xf numFmtId="0" fontId="18" fillId="16" borderId="0" xfId="20" applyFill="1"/>
    <xf numFmtId="0" fontId="84" fillId="0" borderId="0" xfId="20" applyFont="1"/>
    <xf numFmtId="0" fontId="85" fillId="0" borderId="0" xfId="20" applyFont="1"/>
    <xf numFmtId="0" fontId="86" fillId="0" borderId="0" xfId="20" applyFont="1"/>
    <xf numFmtId="0" fontId="87" fillId="0" borderId="0" xfId="20" applyFont="1"/>
    <xf numFmtId="0" fontId="88" fillId="0" borderId="0" xfId="20" applyFont="1"/>
    <xf numFmtId="0" fontId="89" fillId="0" borderId="0" xfId="20" applyFont="1"/>
    <xf numFmtId="194" fontId="90" fillId="0" borderId="0" xfId="20" applyNumberFormat="1" applyFont="1" applyAlignment="1">
      <alignment horizontal="left"/>
    </xf>
    <xf numFmtId="0" fontId="91" fillId="0" borderId="0" xfId="20" applyFont="1"/>
    <xf numFmtId="195" fontId="92" fillId="10" borderId="0" xfId="16" applyNumberFormat="1" applyFont="1" applyFill="1" applyAlignment="1">
      <alignment horizontal="right"/>
    </xf>
    <xf numFmtId="195" fontId="93" fillId="15" borderId="0" xfId="18" applyNumberFormat="1" applyFont="1" applyFill="1" applyAlignment="1">
      <alignment horizontal="right" vertical="center"/>
    </xf>
    <xf numFmtId="168" fontId="27" fillId="2" borderId="0" xfId="23" applyNumberFormat="1" applyAlignment="1">
      <alignment horizontal="right"/>
    </xf>
    <xf numFmtId="177" fontId="27" fillId="2" borderId="8" xfId="18" applyNumberFormat="1" applyFont="1" applyFill="1" applyBorder="1" applyAlignment="1">
      <alignment horizontal="right" vertical="center"/>
    </xf>
    <xf numFmtId="168" fontId="15" fillId="0" borderId="0" xfId="18" applyNumberFormat="1" applyAlignment="1">
      <alignment horizontal="left"/>
    </xf>
    <xf numFmtId="0" fontId="27" fillId="2" borderId="8" xfId="23" applyNumberFormat="1" applyBorder="1" applyAlignment="1">
      <alignment horizontal="center"/>
    </xf>
    <xf numFmtId="0" fontId="15" fillId="0" borderId="0" xfId="20" applyFont="1" applyAlignment="1">
      <alignment horizontal="left"/>
    </xf>
    <xf numFmtId="0" fontId="21" fillId="0" borderId="8" xfId="22" applyNumberFormat="1" applyAlignment="1">
      <alignment horizontal="center"/>
    </xf>
    <xf numFmtId="168" fontId="44" fillId="0" borderId="0" xfId="23" applyNumberFormat="1" applyFont="1" applyFill="1" applyAlignment="1">
      <alignment horizontal="left"/>
    </xf>
    <xf numFmtId="0" fontId="88" fillId="0" borderId="0" xfId="20" applyFont="1" applyAlignment="1">
      <alignment horizontal="left"/>
    </xf>
    <xf numFmtId="0" fontId="27" fillId="2" borderId="0" xfId="18" applyFont="1" applyFill="1" applyAlignment="1">
      <alignment horizontal="left" vertical="top"/>
    </xf>
    <xf numFmtId="196" fontId="25" fillId="8" borderId="0" xfId="16" applyNumberFormat="1" applyFont="1" applyFill="1"/>
    <xf numFmtId="166" fontId="25" fillId="8" borderId="0" xfId="16" applyFont="1" applyFill="1" applyAlignment="1">
      <alignment horizontal="left"/>
    </xf>
    <xf numFmtId="0" fontId="95" fillId="0" borderId="0" xfId="18" applyFont="1"/>
    <xf numFmtId="196" fontId="15" fillId="0" borderId="0" xfId="18" applyNumberFormat="1"/>
    <xf numFmtId="0" fontId="24" fillId="18" borderId="0" xfId="18" applyFont="1" applyFill="1" applyAlignment="1">
      <alignment vertical="center"/>
    </xf>
    <xf numFmtId="196" fontId="24" fillId="18" borderId="0" xfId="18" applyNumberFormat="1" applyFont="1" applyFill="1" applyAlignment="1">
      <alignment vertical="center"/>
    </xf>
    <xf numFmtId="0" fontId="24" fillId="18" borderId="0" xfId="18" applyFont="1" applyFill="1" applyAlignment="1">
      <alignment horizontal="left" vertical="center"/>
    </xf>
    <xf numFmtId="171" fontId="15" fillId="0" borderId="0" xfId="18" applyNumberFormat="1"/>
    <xf numFmtId="0" fontId="15" fillId="8" borderId="0" xfId="18" applyFill="1"/>
    <xf numFmtId="0" fontId="56" fillId="8" borderId="0" xfId="18" applyFont="1" applyFill="1"/>
    <xf numFmtId="0" fontId="57" fillId="8" borderId="0" xfId="18" applyFont="1" applyFill="1"/>
    <xf numFmtId="197" fontId="15" fillId="2" borderId="0" xfId="35" applyNumberFormat="1" applyFont="1" applyFill="1"/>
    <xf numFmtId="198" fontId="15" fillId="2" borderId="0" xfId="35" applyNumberFormat="1" applyFont="1" applyFill="1"/>
    <xf numFmtId="198" fontId="15" fillId="0" borderId="0" xfId="35" applyNumberFormat="1" applyFont="1"/>
    <xf numFmtId="0" fontId="15" fillId="19" borderId="0" xfId="18" applyFill="1" applyAlignment="1">
      <alignment horizontal="right"/>
    </xf>
    <xf numFmtId="198" fontId="15" fillId="0" borderId="0" xfId="18" applyNumberFormat="1"/>
    <xf numFmtId="0" fontId="56" fillId="20" borderId="0" xfId="18" applyFont="1" applyFill="1"/>
    <xf numFmtId="0" fontId="15" fillId="20" borderId="0" xfId="18" applyFill="1"/>
    <xf numFmtId="0" fontId="57" fillId="20" borderId="0" xfId="18" applyFont="1" applyFill="1"/>
    <xf numFmtId="0" fontId="34" fillId="2" borderId="0" xfId="18" applyFont="1" applyFill="1"/>
    <xf numFmtId="198" fontId="15" fillId="20" borderId="0" xfId="18" applyNumberFormat="1" applyFill="1"/>
    <xf numFmtId="198" fontId="15" fillId="2" borderId="0" xfId="18" applyNumberFormat="1" applyFill="1"/>
    <xf numFmtId="199" fontId="15" fillId="2" borderId="0" xfId="34" applyNumberFormat="1" applyFont="1" applyFill="1"/>
    <xf numFmtId="0" fontId="96" fillId="0" borderId="0" xfId="18" applyFont="1"/>
    <xf numFmtId="15" fontId="15" fillId="0" borderId="0" xfId="18" applyNumberFormat="1"/>
    <xf numFmtId="198" fontId="15" fillId="20" borderId="0" xfId="35" applyNumberFormat="1" applyFont="1" applyFill="1"/>
    <xf numFmtId="198" fontId="34" fillId="0" borderId="0" xfId="18" applyNumberFormat="1" applyFont="1"/>
    <xf numFmtId="198" fontId="96" fillId="0" borderId="0" xfId="18" applyNumberFormat="1" applyFont="1"/>
    <xf numFmtId="198" fontId="15" fillId="0" borderId="0" xfId="35" applyNumberFormat="1" applyFont="1" applyFill="1"/>
    <xf numFmtId="0" fontId="36" fillId="0" borderId="0" xfId="18" applyFont="1" applyAlignment="1">
      <alignment horizontal="right"/>
    </xf>
    <xf numFmtId="198" fontId="34" fillId="2" borderId="0" xfId="35" applyNumberFormat="1" applyFont="1" applyFill="1"/>
    <xf numFmtId="198" fontId="34" fillId="2" borderId="0" xfId="18" applyNumberFormat="1" applyFont="1" applyFill="1"/>
    <xf numFmtId="199" fontId="15" fillId="0" borderId="0" xfId="34" applyNumberFormat="1" applyFont="1" applyFill="1"/>
    <xf numFmtId="0" fontId="15" fillId="19" borderId="19" xfId="18" applyFill="1" applyBorder="1" applyAlignment="1">
      <alignment horizontal="right"/>
    </xf>
    <xf numFmtId="0" fontId="15" fillId="19" borderId="20" xfId="18" applyFill="1" applyBorder="1" applyAlignment="1">
      <alignment horizontal="right"/>
    </xf>
    <xf numFmtId="9" fontId="15" fillId="2" borderId="0" xfId="36" applyFont="1" applyFill="1"/>
    <xf numFmtId="44" fontId="15" fillId="0" borderId="0" xfId="35" applyFont="1"/>
    <xf numFmtId="9" fontId="15" fillId="0" borderId="0" xfId="36" applyFont="1" applyFill="1"/>
    <xf numFmtId="199" fontId="15" fillId="20" borderId="0" xfId="34" applyNumberFormat="1" applyFont="1" applyFill="1"/>
    <xf numFmtId="0" fontId="15" fillId="0" borderId="18" xfId="18" applyBorder="1"/>
    <xf numFmtId="0" fontId="18" fillId="0" borderId="0" xfId="37"/>
    <xf numFmtId="167" fontId="15" fillId="2" borderId="0" xfId="35" applyNumberFormat="1" applyFont="1" applyFill="1"/>
    <xf numFmtId="0" fontId="36" fillId="0" borderId="0" xfId="18" applyFont="1" applyAlignment="1">
      <alignment horizontal="left"/>
    </xf>
    <xf numFmtId="0" fontId="34" fillId="0" borderId="0" xfId="18" applyFont="1" applyAlignment="1">
      <alignment horizontal="left"/>
    </xf>
    <xf numFmtId="0" fontId="15" fillId="0" borderId="0" xfId="18" applyFill="1"/>
    <xf numFmtId="198" fontId="18" fillId="0" borderId="0" xfId="35" applyNumberFormat="1" applyFont="1" applyFill="1"/>
    <xf numFmtId="0" fontId="15" fillId="13" borderId="4" xfId="18" applyFont="1" applyFill="1" applyBorder="1" applyAlignment="1">
      <alignment horizontal="left" vertical="top"/>
    </xf>
    <xf numFmtId="0" fontId="15" fillId="0" borderId="4" xfId="18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5" fillId="0" borderId="0" xfId="18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185" fontId="27" fillId="2" borderId="13" xfId="23" applyNumberFormat="1" applyFill="1" applyBorder="1" applyAlignment="1">
      <alignment horizontal="left"/>
    </xf>
    <xf numFmtId="185" fontId="27" fillId="2" borderId="14" xfId="23" applyNumberFormat="1" applyFill="1" applyBorder="1" applyAlignment="1">
      <alignment horizontal="left"/>
    </xf>
    <xf numFmtId="185" fontId="27" fillId="2" borderId="15" xfId="23" applyNumberFormat="1" applyFill="1" applyBorder="1" applyAlignment="1">
      <alignment horizontal="left"/>
    </xf>
    <xf numFmtId="0" fontId="37" fillId="2" borderId="0" xfId="0" applyFont="1" applyFill="1" applyAlignment="1">
      <alignment horizontal="left"/>
    </xf>
    <xf numFmtId="0" fontId="27" fillId="2" borderId="0" xfId="24" applyNumberFormat="1" applyFont="1" applyFill="1" applyBorder="1" applyAlignment="1">
      <alignment horizontal="left" vertical="top"/>
    </xf>
    <xf numFmtId="0" fontId="27" fillId="2" borderId="0" xfId="18" applyFont="1" applyFill="1" applyAlignment="1">
      <alignment horizontal="left" vertical="top"/>
    </xf>
    <xf numFmtId="198" fontId="15" fillId="0" borderId="17" xfId="18" applyNumberFormat="1" applyBorder="1" applyAlignment="1">
      <alignment horizontal="center"/>
    </xf>
    <xf numFmtId="198" fontId="15" fillId="0" borderId="18" xfId="18" applyNumberFormat="1" applyBorder="1" applyAlignment="1">
      <alignment horizontal="center"/>
    </xf>
    <xf numFmtId="0" fontId="15" fillId="0" borderId="17" xfId="18" applyBorder="1" applyAlignment="1">
      <alignment horizontal="center"/>
    </xf>
    <xf numFmtId="0" fontId="15" fillId="0" borderId="4" xfId="18" applyBorder="1" applyAlignment="1">
      <alignment horizontal="center"/>
    </xf>
    <xf numFmtId="0" fontId="15" fillId="0" borderId="18" xfId="18" applyBorder="1" applyAlignment="1">
      <alignment horizontal="center"/>
    </xf>
    <xf numFmtId="198" fontId="15" fillId="0" borderId="4" xfId="18" applyNumberFormat="1" applyBorder="1" applyAlignment="1">
      <alignment horizontal="center"/>
    </xf>
  </cellXfs>
  <cellStyles count="40">
    <cellStyle name="Assumption" xfId="23" xr:uid="{E21B85CB-AE39-493C-90CF-A6033D394DF7}"/>
    <cellStyle name="Base_Input" xfId="12" xr:uid="{00000000-0005-0000-0000-000000000000}"/>
    <cellStyle name="Comma" xfId="34" builtinId="3"/>
    <cellStyle name="Comma [0] 2" xfId="3" xr:uid="{00000000-0005-0000-0000-000002000000}"/>
    <cellStyle name="Comma 2" xfId="30" xr:uid="{50BDA386-AB13-404C-8C84-0EDF43721243}"/>
    <cellStyle name="Currency" xfId="35" builtinId="4"/>
    <cellStyle name="Currency 2 2" xfId="29" xr:uid="{F29057D5-5718-441F-8CAD-00B1D320E1EF}"/>
    <cellStyle name="Currency 4" xfId="39" xr:uid="{69066291-9451-4DD5-9219-DB2F5AD0C40C}"/>
    <cellStyle name="Empty_Cell" xfId="9" xr:uid="{00000000-0005-0000-0000-000004000000}"/>
    <cellStyle name="Explanatory Text" xfId="1" builtinId="53" customBuiltin="1"/>
    <cellStyle name="Fixed_input" xfId="24" xr:uid="{0B0B930C-107A-4F05-8A3E-C5F6EECE17A8}"/>
    <cellStyle name="Flag" xfId="4" xr:uid="{00000000-0005-0000-0000-000006000000}"/>
    <cellStyle name="Header1" xfId="16" xr:uid="{00000000-0005-0000-0000-000007000000}"/>
    <cellStyle name="Header1A" xfId="17" xr:uid="{00000000-0005-0000-0000-000008000000}"/>
    <cellStyle name="Header2" xfId="14" xr:uid="{00000000-0005-0000-0000-000009000000}"/>
    <cellStyle name="Header3" xfId="5" xr:uid="{00000000-0005-0000-0000-00000A000000}"/>
    <cellStyle name="Header4" xfId="15" xr:uid="{00000000-0005-0000-0000-00000B000000}"/>
    <cellStyle name="Insheet" xfId="6" xr:uid="{00000000-0005-0000-0000-00000D000000}"/>
    <cellStyle name="Line_SubTotal" xfId="7" xr:uid="{00000000-0005-0000-0000-00000E000000}"/>
    <cellStyle name="Normal" xfId="0" builtinId="0" customBuiltin="1"/>
    <cellStyle name="Normal 10" xfId="8" xr:uid="{00000000-0005-0000-0000-000011000000}"/>
    <cellStyle name="Normal 2" xfId="18" xr:uid="{59EBAEB1-13C8-4373-8DB4-B4C525DCEC98}"/>
    <cellStyle name="Normal 2 2" xfId="25" xr:uid="{D49C4081-9D03-4C8F-8778-34555D4B3E0F}"/>
    <cellStyle name="Normal 3" xfId="20" xr:uid="{9D4C47DD-E890-4097-9475-8567B8B53D92}"/>
    <cellStyle name="Normal 3 2" xfId="26" xr:uid="{50613177-AD5A-4CE0-A391-A4160267F944}"/>
    <cellStyle name="Normal 8" xfId="28" xr:uid="{A72DEBFF-D704-40A2-B10B-0D568324BDB3}"/>
    <cellStyle name="Normal 9" xfId="37" xr:uid="{C6BCC9D4-EB11-49D7-B613-D4FF47B90A2A}"/>
    <cellStyle name="Offsheet" xfId="10" xr:uid="{00000000-0005-0000-0000-000012000000}"/>
    <cellStyle name="Percent" xfId="36" builtinId="5"/>
    <cellStyle name="Percent 2" xfId="19" xr:uid="{39961233-90E2-46DE-A48A-52E8009F685E}"/>
    <cellStyle name="Percent 2 2" xfId="27" xr:uid="{E4F6E093-BFA5-41AA-B689-F440D86C5D1D}"/>
    <cellStyle name="Percent 5" xfId="38" xr:uid="{BE1E73BD-E37E-4489-9100-B6ED3ED9305B}"/>
    <cellStyle name="Result" xfId="22" xr:uid="{6557DBFB-C674-4413-A044-F9C12EE60C25}"/>
    <cellStyle name="SAPBEXchaText" xfId="31" xr:uid="{0E4F5EA6-BF5A-4726-9442-1D1515967D2C}"/>
    <cellStyle name="SAPBEXstdData" xfId="33" xr:uid="{7156A851-9F09-4928-B15F-7F17704A7CC6}"/>
    <cellStyle name="SAPBEXstdItem" xfId="32" xr:uid="{8455FEEE-1A7C-4D32-AFFB-F3460713D3C3}"/>
    <cellStyle name="Table_Heading" xfId="11" xr:uid="{00000000-0005-0000-0000-000013000000}"/>
    <cellStyle name="Unit" xfId="13" xr:uid="{00000000-0005-0000-0000-000014000000}"/>
    <cellStyle name="Units" xfId="21" xr:uid="{1AB48B31-3307-411F-96E5-E0E849D0DDE8}"/>
    <cellStyle name="User_Input_Actual" xfId="2" xr:uid="{00000000-0005-0000-0000-000015000000}"/>
  </cellStyles>
  <dxfs count="21"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</dxf>
    <dxf>
      <font>
        <b val="0"/>
        <i val="0"/>
        <color theme="1" tint="0.34998626667073579"/>
      </font>
    </dxf>
    <dxf>
      <fill>
        <patternFill>
          <bgColor rgb="FFCCFFFF"/>
        </patternFill>
      </fill>
    </dxf>
    <dxf>
      <font>
        <color theme="0" tint="-0.24994659260841701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Medium9"/>
  <colors>
    <mruColors>
      <color rgb="FFFF99FF"/>
      <color rgb="FFFFFFCC"/>
      <color rgb="FF66FFFF"/>
      <color rgb="FF00215B"/>
      <color rgb="FF3333FF"/>
      <color rgb="FFF2F2F2"/>
      <color rgb="FFFABFA8"/>
      <color rgb="FF882B3C"/>
      <color rgb="FFEE2A24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552450</xdr:colOff>
      <xdr:row>1</xdr:row>
      <xdr:rowOff>9525</xdr:rowOff>
    </xdr:from>
    <xdr:to>
      <xdr:col>10</xdr:col>
      <xdr:colOff>209550</xdr:colOff>
      <xdr:row>5</xdr:row>
      <xdr:rowOff>9525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F00B7E8-C7B1-45B4-A573-63C215CA5E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200025"/>
          <a:ext cx="8763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729751</xdr:colOff>
          <xdr:row>8</xdr:row>
          <xdr:rowOff>118773</xdr:rowOff>
        </xdr:from>
        <xdr:to>
          <xdr:col>13</xdr:col>
          <xdr:colOff>61447</xdr:colOff>
          <xdr:row>10</xdr:row>
          <xdr:rowOff>131089</xdr:rowOff>
        </xdr:to>
        <xdr:pic>
          <xdr:nvPicPr>
            <xdr:cNvPr id="3" name="Picture 2">
              <a:extLst>
                <a:ext uri="{FF2B5EF4-FFF2-40B4-BE49-F238E27FC236}">
                  <a16:creationId xmlns:a16="http://schemas.microsoft.com/office/drawing/2014/main" id="{E82B1651-56B8-002E-EA93-9D5D6C5D8096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31:$AD$32" spid="_x0000_s25277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5799168" y="1536940"/>
              <a:ext cx="3596779" cy="329816"/>
            </a:xfrm>
            <a:prstGeom prst="rect">
              <a:avLst/>
            </a:prstGeom>
            <a:solidFill>
              <a:schemeClr val="bg1"/>
            </a:solidFill>
            <a:effectLst/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433916</xdr:colOff>
          <xdr:row>0</xdr:row>
          <xdr:rowOff>232834</xdr:rowOff>
        </xdr:from>
        <xdr:to>
          <xdr:col>18</xdr:col>
          <xdr:colOff>535516</xdr:colOff>
          <xdr:row>6</xdr:row>
          <xdr:rowOff>83609</xdr:rowOff>
        </xdr:to>
        <xdr:pic>
          <xdr:nvPicPr>
            <xdr:cNvPr id="4" name="Picture 3">
              <a:extLst>
                <a:ext uri="{FF2B5EF4-FFF2-40B4-BE49-F238E27FC236}">
                  <a16:creationId xmlns:a16="http://schemas.microsoft.com/office/drawing/2014/main" id="{8F508DEC-47D7-CD31-F6EB-2DEF0BD75E9C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14:$AA$19" spid="_x0000_s25278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11641666" y="232834"/>
              <a:ext cx="1477433" cy="9620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93A8B-21F5-49D4-989F-F3848DBC1145}">
  <sheetPr codeName="Sheet11">
    <tabColor theme="2" tint="-0.749992370372631"/>
  </sheetPr>
  <dimension ref="A1:S41"/>
  <sheetViews>
    <sheetView showGridLines="0" tabSelected="1" zoomScaleNormal="100" workbookViewId="0">
      <selection activeCell="A35" sqref="A35"/>
    </sheetView>
  </sheetViews>
  <sheetFormatPr defaultColWidth="0" defaultRowHeight="15" customHeight="1" zeroHeight="1" x14ac:dyDescent="0.25"/>
  <cols>
    <col min="1" max="1" width="8" style="129" customWidth="1"/>
    <col min="2" max="2" width="1.875" style="129" customWidth="1"/>
    <col min="3" max="3" width="14" style="129" customWidth="1"/>
    <col min="4" max="4" width="8" style="129" customWidth="1"/>
    <col min="5" max="5" width="9.375" style="129" customWidth="1"/>
    <col min="6" max="11" width="8" style="129" customWidth="1"/>
    <col min="12" max="19" width="8" style="129" hidden="1" customWidth="1"/>
    <col min="20" max="16384" width="0" style="129" hidden="1"/>
  </cols>
  <sheetData>
    <row r="1" spans="1:19" x14ac:dyDescent="0.25">
      <c r="A1" s="310"/>
    </row>
    <row r="2" spans="1:19" ht="23.25" x14ac:dyDescent="0.35">
      <c r="A2" s="310"/>
      <c r="C2" s="311" t="s">
        <v>3</v>
      </c>
      <c r="D2" s="312"/>
      <c r="E2" s="312"/>
    </row>
    <row r="3" spans="1:19" ht="15.75" x14ac:dyDescent="0.25">
      <c r="A3" s="310"/>
      <c r="C3" s="313" t="s">
        <v>240</v>
      </c>
      <c r="D3" s="312"/>
      <c r="E3" s="312"/>
    </row>
    <row r="4" spans="1:19" x14ac:dyDescent="0.25">
      <c r="A4" s="310"/>
      <c r="D4" s="312"/>
      <c r="E4" s="312"/>
    </row>
    <row r="5" spans="1:19" x14ac:dyDescent="0.25">
      <c r="A5" s="310"/>
      <c r="C5" s="314" t="s">
        <v>301</v>
      </c>
    </row>
    <row r="6" spans="1:19" x14ac:dyDescent="0.25">
      <c r="A6" s="310"/>
      <c r="C6" s="315" t="s">
        <v>241</v>
      </c>
      <c r="D6" s="328">
        <v>3.23</v>
      </c>
      <c r="E6" s="315"/>
    </row>
    <row r="7" spans="1:19" x14ac:dyDescent="0.25">
      <c r="A7" s="310"/>
      <c r="F7" s="316"/>
      <c r="G7" s="316"/>
      <c r="H7" s="316"/>
      <c r="J7" s="316"/>
      <c r="K7" s="316"/>
      <c r="L7" s="316"/>
      <c r="M7" s="316"/>
      <c r="N7" s="316"/>
      <c r="O7" s="316"/>
      <c r="P7" s="316"/>
      <c r="Q7" s="316"/>
      <c r="R7" s="316"/>
      <c r="S7" s="316"/>
    </row>
    <row r="8" spans="1:19" x14ac:dyDescent="0.25">
      <c r="A8" s="310"/>
      <c r="C8" s="317">
        <v>45688</v>
      </c>
      <c r="F8" s="316"/>
      <c r="G8" s="316"/>
      <c r="H8" s="316"/>
      <c r="J8" s="316"/>
      <c r="K8" s="316"/>
      <c r="L8" s="316"/>
      <c r="M8" s="316"/>
      <c r="N8" s="316"/>
      <c r="O8" s="316"/>
      <c r="P8" s="316"/>
      <c r="Q8" s="316"/>
      <c r="R8" s="316"/>
      <c r="S8" s="316"/>
    </row>
    <row r="9" spans="1:19" x14ac:dyDescent="0.25">
      <c r="A9" s="310"/>
      <c r="C9" s="318"/>
      <c r="D9" s="318"/>
      <c r="F9" s="316"/>
      <c r="G9" s="316"/>
      <c r="H9" s="316"/>
      <c r="I9" s="316"/>
      <c r="J9" s="316"/>
      <c r="K9" s="316"/>
      <c r="L9" s="316"/>
      <c r="M9" s="316"/>
      <c r="N9" s="316"/>
      <c r="O9" s="316"/>
      <c r="P9" s="316"/>
      <c r="Q9" s="316"/>
      <c r="R9" s="316"/>
      <c r="S9" s="316"/>
    </row>
    <row r="10" spans="1:19" x14ac:dyDescent="0.25">
      <c r="A10" s="310"/>
      <c r="C10" s="318"/>
      <c r="D10" s="318"/>
      <c r="F10" s="316"/>
      <c r="G10" s="316"/>
      <c r="H10" s="316"/>
      <c r="I10" s="316"/>
      <c r="J10" s="316"/>
      <c r="K10" s="316"/>
      <c r="L10" s="316"/>
      <c r="M10" s="316"/>
      <c r="N10" s="316"/>
      <c r="O10" s="316"/>
      <c r="P10" s="316"/>
      <c r="Q10" s="316"/>
      <c r="R10" s="316"/>
      <c r="S10" s="316"/>
    </row>
    <row r="11" spans="1:19" x14ac:dyDescent="0.25">
      <c r="A11" s="310"/>
      <c r="C11" s="318"/>
      <c r="D11" s="318"/>
      <c r="F11" s="316"/>
      <c r="G11" s="316"/>
      <c r="H11" s="316"/>
      <c r="I11" s="316"/>
      <c r="J11" s="316"/>
      <c r="K11" s="316"/>
      <c r="L11" s="316"/>
      <c r="M11" s="316"/>
      <c r="N11" s="316"/>
      <c r="O11" s="316"/>
      <c r="P11" s="316"/>
      <c r="Q11" s="316"/>
      <c r="R11" s="316"/>
      <c r="S11" s="316"/>
    </row>
    <row r="12" spans="1:19" x14ac:dyDescent="0.25">
      <c r="A12" s="310"/>
      <c r="C12" s="318"/>
      <c r="D12" s="318"/>
      <c r="F12" s="316"/>
      <c r="G12" s="316"/>
      <c r="H12" s="316"/>
      <c r="I12" s="316"/>
      <c r="J12" s="316"/>
      <c r="K12" s="316"/>
      <c r="L12" s="316"/>
      <c r="M12" s="316"/>
      <c r="N12" s="316"/>
      <c r="O12" s="316"/>
      <c r="P12" s="316"/>
      <c r="Q12" s="316"/>
      <c r="R12" s="316"/>
      <c r="S12" s="316"/>
    </row>
    <row r="13" spans="1:19" x14ac:dyDescent="0.25">
      <c r="A13" s="310"/>
      <c r="C13" s="318"/>
      <c r="D13" s="318"/>
      <c r="F13" s="316"/>
      <c r="G13" s="316"/>
      <c r="H13" s="316"/>
      <c r="I13" s="316"/>
      <c r="J13" s="316"/>
      <c r="K13" s="316"/>
      <c r="L13" s="316"/>
      <c r="M13" s="316"/>
      <c r="N13" s="316"/>
      <c r="O13" s="316"/>
      <c r="P13" s="316"/>
      <c r="Q13" s="316"/>
      <c r="R13" s="316"/>
      <c r="S13" s="316"/>
    </row>
    <row r="14" spans="1:19" x14ac:dyDescent="0.25">
      <c r="A14" s="310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  <c r="Q14" s="316"/>
      <c r="R14" s="316"/>
      <c r="S14" s="316"/>
    </row>
    <row r="15" spans="1:19" x14ac:dyDescent="0.25">
      <c r="A15" s="310"/>
      <c r="C15" s="314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O15" s="316"/>
      <c r="P15" s="316"/>
      <c r="Q15" s="316"/>
      <c r="R15" s="316"/>
      <c r="S15" s="316"/>
    </row>
    <row r="16" spans="1:19" x14ac:dyDescent="0.25">
      <c r="A16" s="310"/>
      <c r="C16" s="314"/>
      <c r="D16" s="316"/>
      <c r="E16" s="316"/>
      <c r="F16" s="316"/>
      <c r="G16" s="316"/>
      <c r="H16" s="316"/>
      <c r="I16" s="316"/>
      <c r="J16" s="316"/>
      <c r="K16" s="316"/>
      <c r="L16" s="316"/>
      <c r="M16" s="316"/>
      <c r="N16" s="316"/>
      <c r="O16" s="316"/>
      <c r="P16" s="316"/>
      <c r="Q16" s="316"/>
      <c r="R16" s="316"/>
      <c r="S16" s="316"/>
    </row>
    <row r="17" spans="1:19" x14ac:dyDescent="0.25">
      <c r="A17" s="310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  <c r="Q17" s="316"/>
      <c r="R17" s="316"/>
      <c r="S17" s="316"/>
    </row>
    <row r="18" spans="1:19" x14ac:dyDescent="0.25">
      <c r="A18" s="310"/>
      <c r="C18" s="316"/>
      <c r="D18" s="316"/>
      <c r="E18" s="316"/>
      <c r="F18" s="316"/>
      <c r="G18" s="316"/>
      <c r="H18" s="316"/>
      <c r="I18" s="316"/>
      <c r="J18" s="316"/>
      <c r="K18" s="316"/>
      <c r="L18" s="316"/>
      <c r="M18" s="316"/>
      <c r="N18" s="316"/>
      <c r="O18" s="316"/>
      <c r="P18" s="316"/>
      <c r="Q18" s="316"/>
      <c r="R18" s="316"/>
      <c r="S18" s="316"/>
    </row>
    <row r="19" spans="1:19" x14ac:dyDescent="0.25">
      <c r="A19" s="310"/>
      <c r="C19" s="316"/>
      <c r="D19" s="316"/>
      <c r="E19" s="316"/>
      <c r="F19" s="316"/>
      <c r="G19"/>
      <c r="H19" s="316"/>
      <c r="I19" s="316"/>
      <c r="J19" s="316"/>
      <c r="K19" s="316"/>
      <c r="L19" s="316"/>
      <c r="M19" s="316"/>
      <c r="N19" s="316"/>
      <c r="O19" s="316"/>
      <c r="P19" s="316"/>
      <c r="Q19" s="316"/>
      <c r="R19" s="316"/>
      <c r="S19" s="316"/>
    </row>
    <row r="20" spans="1:19" x14ac:dyDescent="0.25">
      <c r="A20" s="310"/>
      <c r="C20" s="316"/>
      <c r="D20" s="316"/>
      <c r="E20" s="316"/>
      <c r="F20" s="316"/>
      <c r="G20" s="316"/>
      <c r="H20" s="316"/>
      <c r="I20" s="316"/>
      <c r="J20" s="316"/>
      <c r="K20" s="316"/>
      <c r="L20" s="316"/>
      <c r="M20" s="316"/>
      <c r="N20" s="316"/>
      <c r="O20" s="316"/>
      <c r="P20" s="316"/>
      <c r="Q20" s="316"/>
      <c r="R20" s="316"/>
      <c r="S20" s="316"/>
    </row>
    <row r="21" spans="1:19" ht="16.5" customHeight="1" x14ac:dyDescent="0.25">
      <c r="A21" s="310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  <c r="Q21" s="316"/>
      <c r="R21" s="316"/>
      <c r="S21" s="316"/>
    </row>
    <row r="22" spans="1:19" x14ac:dyDescent="0.25">
      <c r="A22" s="310"/>
      <c r="C22" s="316"/>
      <c r="D22" s="316"/>
      <c r="E22" s="316"/>
      <c r="F22" s="316"/>
      <c r="G22" s="316"/>
      <c r="H22" s="316"/>
      <c r="I22" s="316"/>
      <c r="J22" s="316"/>
      <c r="K22" s="316"/>
      <c r="L22" s="316"/>
      <c r="M22" s="316"/>
      <c r="N22" s="316"/>
      <c r="O22" s="316"/>
      <c r="P22" s="316"/>
      <c r="Q22" s="316"/>
      <c r="R22" s="316"/>
      <c r="S22" s="316"/>
    </row>
    <row r="23" spans="1:19" x14ac:dyDescent="0.25">
      <c r="A23" s="310"/>
      <c r="C23" s="316"/>
      <c r="D23" s="316"/>
      <c r="E23" s="316"/>
      <c r="F23" s="316"/>
      <c r="G23" s="316"/>
      <c r="H23" s="316"/>
      <c r="I23" s="316"/>
      <c r="J23" s="316"/>
      <c r="K23" s="316"/>
      <c r="L23" s="316"/>
      <c r="M23" s="316"/>
      <c r="N23" s="316"/>
      <c r="O23" s="316"/>
      <c r="P23" s="316"/>
      <c r="Q23" s="316"/>
      <c r="R23" s="316"/>
      <c r="S23" s="316"/>
    </row>
    <row r="24" spans="1:19" x14ac:dyDescent="0.25">
      <c r="A24" s="310"/>
      <c r="C24" s="316"/>
      <c r="D24" s="316"/>
      <c r="E24" s="316"/>
      <c r="F24" s="316"/>
      <c r="G24" s="316"/>
      <c r="H24" s="316"/>
      <c r="I24" s="316"/>
      <c r="J24" s="316"/>
      <c r="K24" s="316"/>
      <c r="L24" s="316"/>
      <c r="M24" s="316"/>
      <c r="N24" s="316"/>
      <c r="O24" s="316"/>
      <c r="P24" s="316"/>
      <c r="Q24" s="316"/>
      <c r="R24" s="316"/>
      <c r="S24" s="316"/>
    </row>
    <row r="25" spans="1:19" x14ac:dyDescent="0.25">
      <c r="A25" s="310"/>
      <c r="C25" s="316"/>
      <c r="D25" s="316"/>
      <c r="E25" s="316"/>
      <c r="F25" s="316"/>
      <c r="G25" s="316"/>
      <c r="H25" s="316"/>
      <c r="I25" s="316"/>
      <c r="J25" s="316"/>
      <c r="K25" s="316"/>
      <c r="L25" s="316"/>
      <c r="M25" s="316"/>
      <c r="N25" s="316"/>
      <c r="O25" s="316"/>
      <c r="P25" s="316"/>
      <c r="Q25" s="316"/>
      <c r="R25" s="316"/>
      <c r="S25" s="316"/>
    </row>
    <row r="26" spans="1:19" x14ac:dyDescent="0.25">
      <c r="A26" s="310"/>
      <c r="C26" s="316"/>
      <c r="D26" s="316"/>
      <c r="E26" s="316"/>
      <c r="F26" s="316"/>
      <c r="G26" s="316"/>
      <c r="H26" s="316"/>
      <c r="I26" s="316"/>
      <c r="J26" s="316"/>
      <c r="K26" s="316"/>
      <c r="L26" s="316"/>
      <c r="M26" s="316"/>
      <c r="N26" s="316"/>
      <c r="O26" s="316"/>
      <c r="P26" s="316"/>
      <c r="Q26" s="316"/>
      <c r="R26" s="316"/>
      <c r="S26" s="316"/>
    </row>
    <row r="27" spans="1:19" x14ac:dyDescent="0.25">
      <c r="A27" s="310"/>
      <c r="C27" s="316"/>
      <c r="D27" s="316"/>
      <c r="E27" s="316"/>
      <c r="F27" s="316"/>
      <c r="G27" s="316"/>
      <c r="H27" s="316"/>
      <c r="I27" s="316"/>
      <c r="J27" s="316"/>
      <c r="K27" s="316"/>
      <c r="L27" s="316"/>
      <c r="M27" s="316"/>
      <c r="N27" s="316"/>
      <c r="O27" s="316"/>
      <c r="P27" s="316"/>
      <c r="Q27" s="316"/>
      <c r="R27" s="316"/>
      <c r="S27" s="316"/>
    </row>
    <row r="28" spans="1:19" x14ac:dyDescent="0.25">
      <c r="A28" s="310"/>
      <c r="C28" s="316"/>
      <c r="D28" s="316"/>
      <c r="E28" s="316"/>
      <c r="F28" s="316"/>
      <c r="G28" s="316"/>
      <c r="H28" s="316"/>
      <c r="I28" s="316"/>
      <c r="J28" s="316"/>
      <c r="K28" s="316"/>
      <c r="L28" s="316"/>
      <c r="M28" s="316"/>
      <c r="N28" s="316"/>
      <c r="O28" s="316"/>
      <c r="P28" s="316"/>
      <c r="Q28" s="316"/>
      <c r="R28" s="316"/>
      <c r="S28" s="316"/>
    </row>
    <row r="29" spans="1:19" x14ac:dyDescent="0.25">
      <c r="A29" s="310"/>
      <c r="C29" s="316"/>
      <c r="D29" s="316"/>
      <c r="E29" s="316"/>
      <c r="F29" s="316"/>
      <c r="G29" s="316"/>
      <c r="H29" s="316"/>
      <c r="I29" s="316"/>
      <c r="J29" s="316"/>
      <c r="K29" s="316"/>
      <c r="L29" s="316"/>
      <c r="M29" s="316"/>
      <c r="N29" s="316"/>
      <c r="O29" s="316"/>
      <c r="P29" s="316"/>
      <c r="Q29" s="316"/>
      <c r="R29" s="316"/>
      <c r="S29" s="316"/>
    </row>
    <row r="30" spans="1:19" x14ac:dyDescent="0.25">
      <c r="A30" s="310"/>
      <c r="C30" s="316"/>
      <c r="E30" s="316"/>
      <c r="F30" s="316"/>
      <c r="G30" s="316"/>
      <c r="H30" s="316"/>
      <c r="I30" s="316"/>
      <c r="J30" s="316"/>
      <c r="K30" s="316"/>
      <c r="L30" s="316"/>
      <c r="M30" s="316"/>
      <c r="N30" s="316"/>
      <c r="O30" s="316"/>
      <c r="P30" s="316"/>
      <c r="Q30" s="316"/>
      <c r="R30" s="316"/>
      <c r="S30" s="316"/>
    </row>
    <row r="31" spans="1:19" x14ac:dyDescent="0.25">
      <c r="A31" s="310"/>
      <c r="C31" s="316"/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316"/>
      <c r="P31" s="316"/>
      <c r="Q31" s="316"/>
      <c r="R31" s="316"/>
      <c r="S31" s="316"/>
    </row>
    <row r="32" spans="1:19" x14ac:dyDescent="0.25">
      <c r="A32" s="310"/>
      <c r="C32" s="316"/>
      <c r="D32" s="316"/>
      <c r="E32" s="316"/>
      <c r="F32" s="316"/>
      <c r="G32" s="316"/>
      <c r="H32" s="316"/>
      <c r="I32" s="316"/>
      <c r="J32" s="316"/>
      <c r="K32" s="316"/>
      <c r="L32" s="316"/>
      <c r="M32" s="316"/>
      <c r="N32" s="316"/>
      <c r="O32" s="316"/>
      <c r="P32" s="316"/>
      <c r="Q32" s="316"/>
      <c r="R32" s="316"/>
      <c r="S32" s="316"/>
    </row>
    <row r="33" spans="1:19" x14ac:dyDescent="0.25">
      <c r="A33" s="310"/>
      <c r="E33" s="316"/>
      <c r="F33" s="316"/>
      <c r="G33" s="316"/>
      <c r="H33" s="316"/>
      <c r="I33" s="316"/>
      <c r="J33" s="316"/>
      <c r="K33" s="316"/>
      <c r="L33" s="316"/>
      <c r="M33" s="316"/>
      <c r="N33" s="316"/>
      <c r="O33" s="316"/>
      <c r="P33" s="316"/>
      <c r="Q33" s="316"/>
      <c r="R33" s="316"/>
      <c r="S33" s="316"/>
    </row>
    <row r="34" spans="1:19" x14ac:dyDescent="0.25">
      <c r="A34" s="310"/>
      <c r="C34" s="316"/>
      <c r="D34" s="316"/>
      <c r="E34" s="316"/>
      <c r="F34" s="316"/>
      <c r="G34" s="316"/>
      <c r="H34" s="316"/>
      <c r="I34" s="316"/>
      <c r="J34" s="316"/>
      <c r="K34" s="316"/>
      <c r="L34" s="316"/>
      <c r="M34" s="316"/>
      <c r="N34" s="316"/>
      <c r="O34" s="316"/>
      <c r="P34" s="316"/>
      <c r="Q34" s="316"/>
      <c r="R34" s="316"/>
      <c r="S34" s="316"/>
    </row>
    <row r="35" spans="1:19" x14ac:dyDescent="0.25">
      <c r="A35" s="310"/>
      <c r="C35" s="316"/>
      <c r="D35" s="316"/>
      <c r="E35" s="316"/>
      <c r="F35" s="316"/>
      <c r="G35" s="316"/>
      <c r="H35" s="316"/>
      <c r="I35" s="316"/>
      <c r="J35" s="316"/>
      <c r="K35" s="316"/>
      <c r="L35" s="316"/>
      <c r="M35" s="316"/>
      <c r="N35" s="316"/>
      <c r="O35" s="316"/>
      <c r="P35" s="316"/>
      <c r="Q35" s="316"/>
      <c r="R35" s="316"/>
      <c r="S35" s="316"/>
    </row>
    <row r="36" spans="1:19" x14ac:dyDescent="0.25">
      <c r="A36" s="310"/>
    </row>
    <row r="37" spans="1:19" x14ac:dyDescent="0.25">
      <c r="A37" s="310"/>
    </row>
    <row r="38" spans="1:19" x14ac:dyDescent="0.25">
      <c r="A38" s="310"/>
    </row>
    <row r="39" spans="1:19" x14ac:dyDescent="0.25">
      <c r="A39" s="310"/>
    </row>
    <row r="40" spans="1:19" x14ac:dyDescent="0.25">
      <c r="A40" s="310">
        <f ca="1">_xlfn.SHEETS()</f>
        <v>14</v>
      </c>
    </row>
    <row r="41" spans="1:19" x14ac:dyDescent="0.25">
      <c r="A41" s="310"/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66FFFF"/>
    <pageSetUpPr fitToPage="1"/>
  </sheetPr>
  <dimension ref="A1:N232"/>
  <sheetViews>
    <sheetView showGridLines="0" zoomScale="85" zoomScaleNormal="85" workbookViewId="0">
      <pane ySplit="2" topLeftCell="A3" activePane="bottomLeft" state="frozen"/>
      <selection activeCell="Z23" sqref="Z23"/>
      <selection pane="bottomLeft" activeCell="A3" sqref="A3"/>
    </sheetView>
  </sheetViews>
  <sheetFormatPr defaultColWidth="0" defaultRowHeight="12" zeroHeight="1" x14ac:dyDescent="0.2"/>
  <cols>
    <col min="1" max="1" width="1.875" style="10" customWidth="1"/>
    <col min="2" max="2" width="2" style="10" customWidth="1"/>
    <col min="3" max="3" width="21.625" style="10" customWidth="1"/>
    <col min="4" max="4" width="34.625" style="10" customWidth="1"/>
    <col min="5" max="5" width="15.25" style="10" customWidth="1"/>
    <col min="6" max="9" width="13.125" style="10" customWidth="1"/>
    <col min="10" max="10" width="11.75" style="10" customWidth="1"/>
    <col min="11" max="11" width="1.75" style="10" customWidth="1"/>
    <col min="12" max="12" width="14.625" style="10" customWidth="1"/>
    <col min="13" max="13" width="2.25" style="10" customWidth="1"/>
    <col min="14" max="14" width="8.75" style="10" hidden="1" customWidth="1"/>
    <col min="15" max="16384" width="9" style="10" hidden="1"/>
  </cols>
  <sheetData>
    <row r="1" spans="1:13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3" s="8" customFormat="1" ht="18.75" x14ac:dyDescent="0.3">
      <c r="A2" s="56" t="str">
        <f>proj</f>
        <v>Minimise bushfire risk from SWER in ELCA, REFCL and HBRA areas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3" s="7" customFormat="1" ht="18.75" x14ac:dyDescent="0.3">
      <c r="A3" s="203" t="s">
        <v>16</v>
      </c>
      <c r="B3" s="34"/>
      <c r="C3" s="34"/>
      <c r="D3" s="33"/>
      <c r="E3" s="33"/>
      <c r="F3" s="33"/>
      <c r="G3" s="33"/>
      <c r="H3" s="33"/>
      <c r="I3" s="33"/>
      <c r="J3" s="33"/>
      <c r="K3" s="33"/>
      <c r="L3" s="33"/>
      <c r="M3" s="8"/>
    </row>
    <row r="4" spans="1:13" s="7" customFormat="1" ht="18.75" x14ac:dyDescent="0.3">
      <c r="A4" s="34"/>
      <c r="B4" s="34"/>
      <c r="C4" s="34"/>
      <c r="D4" s="33"/>
      <c r="E4" s="33"/>
      <c r="F4" s="33"/>
      <c r="G4" s="33"/>
      <c r="H4" s="33"/>
      <c r="I4" s="33"/>
      <c r="J4" s="33"/>
      <c r="K4" s="33"/>
      <c r="L4" s="33"/>
      <c r="M4" s="8"/>
    </row>
    <row r="5" spans="1:13" s="7" customFormat="1" ht="15" x14ac:dyDescent="0.25">
      <c r="A5" s="19" t="s">
        <v>157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8"/>
    </row>
    <row r="6" spans="1:13" s="7" customFormat="1" ht="12.75" x14ac:dyDescent="0.2">
      <c r="A6" s="9"/>
      <c r="B6" s="9"/>
      <c r="C6" s="9"/>
      <c r="D6" s="4"/>
      <c r="E6" s="4"/>
      <c r="F6" s="9"/>
      <c r="G6" s="9"/>
      <c r="H6" s="9"/>
      <c r="I6" s="9"/>
      <c r="J6" s="9"/>
      <c r="K6" s="9"/>
      <c r="L6" s="9"/>
    </row>
    <row r="7" spans="1:13" s="7" customFormat="1" ht="12.75" x14ac:dyDescent="0.2">
      <c r="G7" s="152" t="s">
        <v>187</v>
      </c>
      <c r="H7" s="152" t="s">
        <v>188</v>
      </c>
      <c r="I7" s="152" t="s">
        <v>119</v>
      </c>
    </row>
    <row r="8" spans="1:13" s="7" customFormat="1" ht="12.75" x14ac:dyDescent="0.2">
      <c r="C8" s="29" t="s">
        <v>1</v>
      </c>
      <c r="D8" s="29"/>
      <c r="E8" s="29"/>
      <c r="F8" s="29"/>
      <c r="G8" s="184">
        <f>output_dollars</f>
        <v>46203</v>
      </c>
      <c r="H8" s="184">
        <f>output_dollars</f>
        <v>46203</v>
      </c>
      <c r="I8" s="184">
        <f>output_dollars</f>
        <v>46203</v>
      </c>
    </row>
    <row r="9" spans="1:13" s="7" customFormat="1" ht="12.75" x14ac:dyDescent="0.2">
      <c r="C9" s="91" t="str" cm="1">
        <f t="array" ref="C9:C13">options</f>
        <v>Option 1 (base case)</v>
      </c>
      <c r="D9" s="377" t="str">
        <f>INDEX(Assumptions!$E$14:$E$18, MATCH(C9, Assumptions!$C$14:$C$18,0))</f>
        <v>No change to existing practices</v>
      </c>
      <c r="E9" s="378"/>
      <c r="F9" s="378"/>
      <c r="G9" s="103">
        <f>IF(Data!$C9, "", INDEX(Consol!$F$15:$F$82, MATCH($C9&amp;G$7, Consol!$D$15:$D$82,0))/mill_conv)</f>
        <v>0</v>
      </c>
      <c r="H9" s="103">
        <f>IF(Data!$C9, "", INDEX(Consol!$F$15:$F$82, MATCH($C9&amp;H$7, Consol!$D$15:$D$82,0))/mill_conv)</f>
        <v>0</v>
      </c>
      <c r="I9" s="103">
        <f>IF(Data!$C9, "", INDEX(Consol!$F$15:$F$82, MATCH($C9&amp;I$7, Consol!$D$15:$D$82,0))/mill_conv)</f>
        <v>0</v>
      </c>
    </row>
    <row r="10" spans="1:13" s="7" customFormat="1" ht="12.75" customHeight="1" x14ac:dyDescent="0.2">
      <c r="C10" s="91" t="str">
        <v>Option 2</v>
      </c>
      <c r="D10" s="379" t="str">
        <f>INDEX(Assumptions!$E$14:$E$18, MATCH(C10, Assumptions!$C$14:$C$18,0))</f>
        <v>Targeted installation of covered conductor on SWER lines</v>
      </c>
      <c r="E10" s="380"/>
      <c r="F10" s="380"/>
      <c r="G10" s="103">
        <f>IF(Data!$C10, "", INDEX(Consol!$F$15:$F$82, MATCH($C10&amp;G$7, Consol!$D$15:$D$82,0))/mill_conv)</f>
        <v>-4.1852895185738879</v>
      </c>
      <c r="H10" s="103">
        <f>IF(Data!$C10, "", INDEX(Consol!$F$15:$F$82, MATCH($C10&amp;H$7, Consol!$D$15:$D$82,0))/mill_conv)</f>
        <v>5.3148242844156703</v>
      </c>
      <c r="I10" s="103">
        <f>IF(Data!$C10, "", INDEX(Consol!$F$15:$F$82, MATCH($C10&amp;I$7, Consol!$D$15:$D$82,0))/mill_conv)</f>
        <v>1.1295347658417829</v>
      </c>
    </row>
    <row r="11" spans="1:13" s="7" customFormat="1" ht="12.75" x14ac:dyDescent="0.2">
      <c r="C11" s="91" t="str">
        <v>Option 3</v>
      </c>
      <c r="D11" s="379" t="str">
        <f>INDEX(Assumptions!$E$14:$E$18, MATCH(C11, Assumptions!$C$14:$C$18,0))</f>
        <v>Install EFD on all SWER lines</v>
      </c>
      <c r="E11" s="380"/>
      <c r="F11" s="380"/>
      <c r="G11" s="103">
        <f>IF(Data!$C11, "", INDEX(Consol!$F$15:$F$82, MATCH($C11&amp;G$7, Consol!$D$15:$D$82,0))/mill_conv)</f>
        <v>-115.16029038147613</v>
      </c>
      <c r="H11" s="103">
        <f>IF(Data!$C11, "", INDEX(Consol!$F$15:$F$82, MATCH($C11&amp;H$7, Consol!$D$15:$D$82,0))/mill_conv)</f>
        <v>62.894246192459235</v>
      </c>
      <c r="I11" s="103">
        <f>IF(Data!$C11, "", INDEX(Consol!$F$15:$F$82, MATCH($C11&amp;I$7, Consol!$D$15:$D$82,0))/mill_conv)</f>
        <v>-52.266044189016903</v>
      </c>
    </row>
    <row r="12" spans="1:13" s="7" customFormat="1" ht="12.75" x14ac:dyDescent="0.2">
      <c r="C12" s="91" t="str">
        <v>Option 4</v>
      </c>
      <c r="D12" s="379" t="str">
        <f>INDEX(Assumptions!$E$14:$E$18, MATCH(C12, Assumptions!$C$14:$C$18,0))</f>
        <v>Targeted installation of EFD on SWER lines</v>
      </c>
      <c r="E12" s="380"/>
      <c r="F12" s="380"/>
      <c r="G12" s="103">
        <f>IF(Data!$C12, "", INDEX(Consol!$F$15:$F$82, MATCH($C12&amp;G$7, Consol!$D$15:$D$82,0))/mill_conv)</f>
        <v>-11.388946867022581</v>
      </c>
      <c r="H12" s="103">
        <f>IF(Data!$C12, "", INDEX(Consol!$F$15:$F$82, MATCH($C12&amp;H$7, Consol!$D$15:$D$82,0))/mill_conv)</f>
        <v>11.980960232377475</v>
      </c>
      <c r="I12" s="103">
        <f>IF(Data!$C12, "", INDEX(Consol!$F$15:$F$82, MATCH($C12&amp;I$7, Consol!$D$15:$D$82,0))/mill_conv)</f>
        <v>0.59201336535489302</v>
      </c>
    </row>
    <row r="13" spans="1:13" s="7" customFormat="1" ht="12.75" x14ac:dyDescent="0.2">
      <c r="C13" s="91" t="str">
        <v>Option 5</v>
      </c>
      <c r="D13" s="379" t="str">
        <f>INDEX(Assumptions!$E$14:$E$18, MATCH(C13, Assumptions!$C$14:$C$18,0))</f>
        <v>Targeted installation of covered conductor and EFD on SWER lines</v>
      </c>
      <c r="E13" s="380"/>
      <c r="F13" s="380"/>
      <c r="G13" s="103">
        <f>IF(Data!$C13, "", INDEX(Consol!$F$15:$F$82, MATCH($C13&amp;G$7, Consol!$D$15:$D$82,0))/mill_conv)</f>
        <v>-15.574236385596469</v>
      </c>
      <c r="H13" s="103">
        <f>IF(Data!$C13, "", INDEX(Consol!$F$15:$F$82, MATCH($C13&amp;H$7, Consol!$D$15:$D$82,0))/mill_conv)</f>
        <v>17.295784516793226</v>
      </c>
      <c r="I13" s="103">
        <f>IF(Data!$C13, "", INDEX(Consol!$F$15:$F$82, MATCH($C13&amp;I$7, Consol!$D$15:$D$82,0))/mill_conv)</f>
        <v>1.72154813119676</v>
      </c>
    </row>
    <row r="14" spans="1:13" s="7" customFormat="1" ht="12.75" x14ac:dyDescent="0.2">
      <c r="C14" s="91"/>
      <c r="D14" s="247"/>
      <c r="E14" s="247"/>
      <c r="F14" s="241"/>
      <c r="H14" s="9"/>
    </row>
    <row r="15" spans="1:13" s="7" customFormat="1" ht="12.75" x14ac:dyDescent="0.2">
      <c r="C15" s="91"/>
      <c r="D15" s="91"/>
      <c r="E15" s="91"/>
      <c r="F15" s="92"/>
      <c r="G15"/>
      <c r="I15" s="9"/>
    </row>
    <row r="16" spans="1:13" s="7" customFormat="1" ht="12.75" x14ac:dyDescent="0.2">
      <c r="G16" s="152" t="s">
        <v>119</v>
      </c>
      <c r="H16"/>
      <c r="J16" s="9"/>
    </row>
    <row r="17" spans="1:13" s="7" customFormat="1" ht="12.75" x14ac:dyDescent="0.2">
      <c r="C17" s="26" t="s">
        <v>24</v>
      </c>
      <c r="D17" s="29"/>
      <c r="E17" s="29"/>
      <c r="F17" s="29"/>
      <c r="G17" s="184">
        <f>output_dollars</f>
        <v>46203</v>
      </c>
      <c r="H17"/>
      <c r="J17" s="9"/>
    </row>
    <row r="18" spans="1:13" s="7" customFormat="1" ht="12.75" x14ac:dyDescent="0.2">
      <c r="C18" s="36" t="str">
        <f>INDEX($C$9:$C$13,MATCH(G18, $I$9:$I$13,0))</f>
        <v>Option 5</v>
      </c>
      <c r="D18" s="376" t="str">
        <f>INDEX($D$9:$D$13,MATCH(G18, $I$9:$I$13,0))</f>
        <v>Targeted installation of covered conductor and EFD on SWER lines</v>
      </c>
      <c r="E18" s="376"/>
      <c r="F18" s="376"/>
      <c r="G18" s="104">
        <f>_xlfn.MAXIFS(I9:I13, IF(compliance, Data!$F$9:$F$13, Data!$C$9:$C$13),FALSE)</f>
        <v>1.72154813119676</v>
      </c>
      <c r="H18"/>
    </row>
    <row r="19" spans="1:13" s="7" customFormat="1" ht="12.75" x14ac:dyDescent="0.2">
      <c r="H19"/>
    </row>
    <row r="20" spans="1:13" x14ac:dyDescent="0.2"/>
    <row r="21" spans="1:13" x14ac:dyDescent="0.2"/>
    <row r="22" spans="1:13" x14ac:dyDescent="0.2"/>
    <row r="23" spans="1:13" ht="15" x14ac:dyDescent="0.25">
      <c r="A23" s="19" t="s">
        <v>88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8"/>
    </row>
    <row r="24" spans="1:13" x14ac:dyDescent="0.2"/>
    <row r="25" spans="1:13" s="8" customFormat="1" ht="12.75" x14ac:dyDescent="0.2">
      <c r="C25" s="14" t="s">
        <v>28</v>
      </c>
    </row>
    <row r="26" spans="1:13" s="8" customFormat="1" ht="12.75" x14ac:dyDescent="0.2">
      <c r="C26" s="93" t="str">
        <f>C18</f>
        <v>Option 5</v>
      </c>
    </row>
    <row r="27" spans="1:13" s="8" customFormat="1" ht="12.75" x14ac:dyDescent="0.2"/>
    <row r="28" spans="1:13" s="8" customFormat="1" ht="12.75" x14ac:dyDescent="0.2"/>
    <row r="29" spans="1:13" s="8" customFormat="1" ht="12.75" x14ac:dyDescent="0.2">
      <c r="C29" s="53" t="s">
        <v>29</v>
      </c>
      <c r="D29" s="289">
        <f>output_dollars</f>
        <v>46203</v>
      </c>
      <c r="E29" s="185"/>
      <c r="F29" s="55" t="str">
        <f>Assumptions!K89</f>
        <v>2026-27</v>
      </c>
      <c r="G29" s="55" t="str">
        <f>Assumptions!L89</f>
        <v>2027-28</v>
      </c>
      <c r="H29" s="55" t="str">
        <f>Assumptions!M89</f>
        <v>2028-29</v>
      </c>
      <c r="I29" s="55" t="str">
        <f>Assumptions!N89</f>
        <v>2029-30</v>
      </c>
      <c r="J29" s="55" t="str">
        <f>Assumptions!O89</f>
        <v>2030-31</v>
      </c>
      <c r="L29" s="55" t="s">
        <v>140</v>
      </c>
    </row>
    <row r="30" spans="1:13" s="8" customFormat="1" ht="12.75" x14ac:dyDescent="0.2">
      <c r="C30" s="4" t="s">
        <v>30</v>
      </c>
      <c r="F30" s="105">
        <f>-INDEX(Consol!$I$15:$Q$82,MATCH($C$26&amp;$C30,Consol!$D$15:$D$82,0), MATCH(F$29, Consol!$I$9:$Q$9,0))/mill_conv</f>
        <v>6.4799764145586147</v>
      </c>
      <c r="G30" s="105">
        <f>-INDEX(Consol!$I$15:$Q$82,MATCH($C$26&amp;$C30,Consol!$D$15:$D$82,0), MATCH(G$29, Consol!$I$9:$Q$9,0))/mill_conv</f>
        <v>6.4799764145586147</v>
      </c>
      <c r="H30" s="105">
        <f>-INDEX(Consol!$I$15:$Q$82,MATCH($C$26&amp;$C30,Consol!$D$15:$D$82,0), MATCH(H$29, Consol!$I$9:$Q$9,0))/mill_conv</f>
        <v>0</v>
      </c>
      <c r="I30" s="105">
        <f>-INDEX(Consol!$I$15:$Q$82,MATCH($C$26&amp;$C30,Consol!$D$15:$D$82,0), MATCH(I$29, Consol!$I$9:$Q$9,0))/mill_conv</f>
        <v>0</v>
      </c>
      <c r="J30" s="105">
        <f>-INDEX(Consol!$I$15:$Q$82,MATCH($C$26&amp;$C30,Consol!$D$15:$D$82,0), MATCH(J$29, Consol!$I$9:$Q$9,0))/mill_conv</f>
        <v>0</v>
      </c>
      <c r="K30" s="186"/>
      <c r="L30" s="186">
        <f>SUM(F30:J30)</f>
        <v>12.959952829117229</v>
      </c>
    </row>
    <row r="31" spans="1:13" s="8" customFormat="1" ht="12.75" x14ac:dyDescent="0.2">
      <c r="C31" s="4" t="s">
        <v>31</v>
      </c>
      <c r="D31" s="28"/>
      <c r="E31" s="28"/>
      <c r="F31" s="105">
        <f>-INDEX(Consol!$I$15:$Q$82,MATCH($C$26&amp;$C31,Consol!$D$15:$D$82,0), MATCH(F$29, Consol!$I$9:$Q$9,0))/mill_conv</f>
        <v>2.4220030895344878E-2</v>
      </c>
      <c r="G31" s="105">
        <f>-INDEX(Consol!$I$15:$Q$82,MATCH($C$26&amp;$C31,Consol!$D$15:$D$82,0), MATCH(G$29, Consol!$I$9:$Q$9,0))/mill_conv</f>
        <v>2.4220030895344878E-2</v>
      </c>
      <c r="H31" s="105">
        <f>-INDEX(Consol!$I$15:$Q$82,MATCH($C$26&amp;$C31,Consol!$D$15:$D$82,0), MATCH(H$29, Consol!$I$9:$Q$9,0))/mill_conv</f>
        <v>2.4220030895344878E-2</v>
      </c>
      <c r="I31" s="105">
        <f>-INDEX(Consol!$I$15:$Q$82,MATCH($C$26&amp;$C31,Consol!$D$15:$D$82,0), MATCH(I$29, Consol!$I$9:$Q$9,0))/mill_conv</f>
        <v>2.4220030895344878E-2</v>
      </c>
      <c r="J31" s="105">
        <f>-INDEX(Consol!$I$15:$Q$82,MATCH($C$26&amp;$C31,Consol!$D$15:$D$82,0), MATCH(J$29, Consol!$I$9:$Q$9,0))/mill_conv</f>
        <v>2.4220030895344878E-2</v>
      </c>
      <c r="K31" s="186"/>
      <c r="L31" s="186">
        <f>SUM(F31:J31)</f>
        <v>0.1211001544767244</v>
      </c>
    </row>
    <row r="32" spans="1:13" s="8" customFormat="1" ht="12.75" x14ac:dyDescent="0.2"/>
    <row r="33" spans="1:13" s="8" customFormat="1" ht="12.75" x14ac:dyDescent="0.2"/>
    <row r="34" spans="1:13" s="8" customFormat="1" ht="12.75" x14ac:dyDescent="0.2"/>
    <row r="35" spans="1:13" s="8" customFormat="1" ht="15" x14ac:dyDescent="0.25">
      <c r="A35" s="19" t="s">
        <v>216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</row>
    <row r="36" spans="1:13" s="8" customFormat="1" ht="12.75" x14ac:dyDescent="0.2"/>
    <row r="37" spans="1:13" s="8" customFormat="1" ht="12.75" x14ac:dyDescent="0.2">
      <c r="C37" s="256"/>
      <c r="D37" s="256"/>
      <c r="E37" s="256"/>
      <c r="F37" s="256"/>
      <c r="G37" s="256"/>
      <c r="H37" s="256"/>
      <c r="I37" s="256"/>
      <c r="J37" s="256"/>
      <c r="K37" s="256"/>
      <c r="L37" s="256"/>
      <c r="M37" s="256"/>
    </row>
    <row r="38" spans="1:13" s="8" customFormat="1" ht="12.75" x14ac:dyDescent="0.2">
      <c r="C38" s="257" t="s">
        <v>220</v>
      </c>
      <c r="D38" s="185">
        <f>output_dollars</f>
        <v>46203</v>
      </c>
      <c r="E38" s="185"/>
      <c r="F38" s="258" t="str">
        <f>Sensitivity_calcs!C89</f>
        <v>Option 1 (base case)</v>
      </c>
      <c r="G38" s="258" t="str">
        <f>Sensitivity_calcs!D89</f>
        <v>Option 2</v>
      </c>
      <c r="H38" s="258" t="str">
        <f>Sensitivity_calcs!E89</f>
        <v>Option 3</v>
      </c>
      <c r="I38" s="258" t="str">
        <f>Sensitivity_calcs!F89</f>
        <v>Option 4</v>
      </c>
      <c r="J38" s="258" t="str">
        <f>Sensitivity_calcs!G89</f>
        <v>Option 5</v>
      </c>
      <c r="K38" s="262"/>
      <c r="L38" s="287" t="s">
        <v>218</v>
      </c>
      <c r="M38" s="262"/>
    </row>
    <row r="39" spans="1:13" s="8" customFormat="1" ht="12.75" x14ac:dyDescent="0.2">
      <c r="C39" s="285" t="str">
        <f>Sensitivity_calcs!B90</f>
        <v>None</v>
      </c>
      <c r="D39" s="265"/>
      <c r="E39" s="265"/>
      <c r="F39" s="286">
        <f>Sensitivity_calcs!C90</f>
        <v>0</v>
      </c>
      <c r="G39" s="286">
        <f>Sensitivity_calcs!D90</f>
        <v>1.1295347658417836</v>
      </c>
      <c r="H39" s="286">
        <f>Sensitivity_calcs!E90</f>
        <v>-52.266044189016895</v>
      </c>
      <c r="I39" s="286">
        <f>Sensitivity_calcs!F90</f>
        <v>0.59201336535489546</v>
      </c>
      <c r="J39" s="286">
        <f>Sensitivity_calcs!G90</f>
        <v>1.7215481311967604</v>
      </c>
      <c r="K39" s="256"/>
      <c r="L39" s="288" t="str">
        <f>Sensitivity_calcs!K90</f>
        <v>Option 5</v>
      </c>
      <c r="M39" s="256"/>
    </row>
    <row r="40" spans="1:13" s="8" customFormat="1" ht="12.75" x14ac:dyDescent="0.2">
      <c r="C40" s="264" t="str">
        <f>Sensitivity_calcs!B91</f>
        <v>Capex 10% higher</v>
      </c>
      <c r="D40" s="264"/>
      <c r="E40" s="264"/>
      <c r="F40" s="278">
        <f>Sensitivity_calcs!C91</f>
        <v>0</v>
      </c>
      <c r="G40" s="273">
        <f>Sensitivity_calcs!D91</f>
        <v>0.711005813984395</v>
      </c>
      <c r="H40" s="273">
        <f>Sensitivity_calcs!E91</f>
        <v>-58.750344422460515</v>
      </c>
      <c r="I40" s="273">
        <f>Sensitivity_calcs!F91</f>
        <v>-8.8208751476442387E-2</v>
      </c>
      <c r="J40" s="273">
        <f>Sensitivity_calcs!G91</f>
        <v>0.62279706250803368</v>
      </c>
      <c r="K40" s="256"/>
      <c r="L40" s="281" t="str">
        <f>Sensitivity_calcs!K91</f>
        <v>Option 2</v>
      </c>
      <c r="M40" s="256"/>
    </row>
    <row r="41" spans="1:13" s="8" customFormat="1" ht="12.75" x14ac:dyDescent="0.2">
      <c r="C41" s="264" t="str">
        <f>Sensitivity_calcs!B92</f>
        <v>Capex 10% lower</v>
      </c>
      <c r="D41" s="264"/>
      <c r="E41" s="264"/>
      <c r="F41" s="279">
        <f>Sensitivity_calcs!C92</f>
        <v>0</v>
      </c>
      <c r="G41" s="274">
        <f>Sensitivity_calcs!D92</f>
        <v>1.5480637176991723</v>
      </c>
      <c r="H41" s="274">
        <f>Sensitivity_calcs!E92</f>
        <v>-45.781743955573269</v>
      </c>
      <c r="I41" s="274">
        <f>Sensitivity_calcs!F92</f>
        <v>1.2722354821862321</v>
      </c>
      <c r="J41" s="274">
        <f>Sensitivity_calcs!G92</f>
        <v>2.8202991998854858</v>
      </c>
      <c r="K41" s="256"/>
      <c r="L41" s="281" t="str">
        <f>Sensitivity_calcs!K92</f>
        <v>Option 5</v>
      </c>
      <c r="M41" s="256"/>
    </row>
    <row r="42" spans="1:13" s="8" customFormat="1" ht="12.75" x14ac:dyDescent="0.2">
      <c r="C42" s="264" t="str">
        <f>Sensitivity_calcs!B93</f>
        <v>Total benefits 10% higher</v>
      </c>
      <c r="D42" s="264"/>
      <c r="E42" s="264"/>
      <c r="F42" s="279">
        <f>Sensitivity_calcs!C93</f>
        <v>0</v>
      </c>
      <c r="G42" s="274">
        <f>Sensitivity_calcs!D93</f>
        <v>1.6610171942833512</v>
      </c>
      <c r="H42" s="274">
        <f>Sensitivity_calcs!E93</f>
        <v>-45.976619569770982</v>
      </c>
      <c r="I42" s="274">
        <f>Sensitivity_calcs!F93</f>
        <v>1.7901093885926429</v>
      </c>
      <c r="J42" s="274">
        <f>Sensitivity_calcs!G93</f>
        <v>3.451126582876082</v>
      </c>
      <c r="K42" s="256"/>
      <c r="L42" s="281" t="str">
        <f>Sensitivity_calcs!K93</f>
        <v>Option 5</v>
      </c>
      <c r="M42" s="256"/>
    </row>
    <row r="43" spans="1:13" s="8" customFormat="1" ht="12.75" x14ac:dyDescent="0.2">
      <c r="C43" s="264" t="str">
        <f>Sensitivity_calcs!B94</f>
        <v>Total benefits 10% lower</v>
      </c>
      <c r="D43" s="264"/>
      <c r="E43" s="264"/>
      <c r="F43" s="279">
        <f>Sensitivity_calcs!C94</f>
        <v>0</v>
      </c>
      <c r="G43" s="274">
        <f>Sensitivity_calcs!D94</f>
        <v>0.59805233740021635</v>
      </c>
      <c r="H43" s="274">
        <f>Sensitivity_calcs!E94</f>
        <v>-58.555468808262823</v>
      </c>
      <c r="I43" s="274">
        <f>Sensitivity_calcs!F94</f>
        <v>-0.60608265788285243</v>
      </c>
      <c r="J43" s="274">
        <f>Sensitivity_calcs!G94</f>
        <v>-8.0303204825629675E-3</v>
      </c>
      <c r="K43" s="256"/>
      <c r="L43" s="281" t="str">
        <f>Sensitivity_calcs!K94</f>
        <v>Option 2</v>
      </c>
      <c r="M43" s="256"/>
    </row>
    <row r="44" spans="1:13" s="8" customFormat="1" ht="12.75" x14ac:dyDescent="0.2">
      <c r="C44" s="264" t="str">
        <f>Sensitivity_calcs!B95</f>
        <v>Capex 10% higher &amp; Total benefits 10% lower</v>
      </c>
      <c r="D44" s="264"/>
      <c r="E44" s="264"/>
      <c r="F44" s="279">
        <f>Sensitivity_calcs!C95</f>
        <v>0</v>
      </c>
      <c r="G44" s="274">
        <f>Sensitivity_calcs!D95</f>
        <v>0.17952338554282754</v>
      </c>
      <c r="H44" s="274">
        <f>Sensitivity_calcs!E95</f>
        <v>-65.039769041706435</v>
      </c>
      <c r="I44" s="274">
        <f>Sensitivity_calcs!F95</f>
        <v>-1.2863047747141896</v>
      </c>
      <c r="J44" s="274">
        <f>Sensitivity_calcs!G95</f>
        <v>-1.1067813891712885</v>
      </c>
      <c r="K44" s="256"/>
      <c r="L44" s="281" t="str">
        <f>Sensitivity_calcs!K95</f>
        <v>Option 2</v>
      </c>
      <c r="M44" s="256"/>
    </row>
    <row r="45" spans="1:13" s="8" customFormat="1" ht="12.75" x14ac:dyDescent="0.2">
      <c r="C45" s="264">
        <f>Sensitivity_calcs!B96</f>
        <v>0</v>
      </c>
      <c r="D45" s="264"/>
      <c r="E45" s="264"/>
      <c r="F45" s="279" t="str">
        <f>Sensitivity_calcs!C96</f>
        <v/>
      </c>
      <c r="G45" s="274" t="str">
        <f>Sensitivity_calcs!D96</f>
        <v/>
      </c>
      <c r="H45" s="274" t="str">
        <f>Sensitivity_calcs!E96</f>
        <v/>
      </c>
      <c r="I45" s="274" t="str">
        <f>Sensitivity_calcs!F96</f>
        <v/>
      </c>
      <c r="J45" s="274" t="str">
        <f>Sensitivity_calcs!G96</f>
        <v/>
      </c>
      <c r="K45" s="256"/>
      <c r="L45" s="281" t="str">
        <f>Sensitivity_calcs!K96</f>
        <v/>
      </c>
      <c r="M45" s="256"/>
    </row>
    <row r="46" spans="1:13" s="8" customFormat="1" ht="12.75" x14ac:dyDescent="0.2">
      <c r="C46" s="264">
        <f>Sensitivity_calcs!B97</f>
        <v>0</v>
      </c>
      <c r="D46" s="259"/>
      <c r="E46" s="259"/>
      <c r="F46" s="279" t="str">
        <f>Sensitivity_calcs!C97</f>
        <v/>
      </c>
      <c r="G46" s="274" t="str">
        <f>Sensitivity_calcs!D97</f>
        <v/>
      </c>
      <c r="H46" s="274" t="str">
        <f>Sensitivity_calcs!E97</f>
        <v/>
      </c>
      <c r="I46" s="274" t="str">
        <f>Sensitivity_calcs!F97</f>
        <v/>
      </c>
      <c r="J46" s="274" t="str">
        <f>Sensitivity_calcs!G97</f>
        <v/>
      </c>
      <c r="K46" s="266">
        <f>IF(C46=0,0, INDEX($F$38:$J$38, MATCH(MAX($F46:$I46),$F46:$I46,0)))</f>
        <v>0</v>
      </c>
      <c r="L46" s="281" t="str">
        <f>Sensitivity_calcs!K97</f>
        <v/>
      </c>
    </row>
    <row r="47" spans="1:13" s="8" customFormat="1" ht="12.75" x14ac:dyDescent="0.2">
      <c r="D47" s="264">
        <f>Sensitivity_calcs!B98</f>
        <v>0</v>
      </c>
      <c r="E47" s="264"/>
      <c r="F47" s="279" t="str">
        <f>Sensitivity_calcs!C98</f>
        <v/>
      </c>
      <c r="G47" s="274" t="str">
        <f>Sensitivity_calcs!D98</f>
        <v/>
      </c>
      <c r="H47" s="274" t="str">
        <f>Sensitivity_calcs!E98</f>
        <v/>
      </c>
      <c r="I47" s="274" t="str">
        <f>Sensitivity_calcs!F98</f>
        <v/>
      </c>
      <c r="J47" s="274" t="str">
        <f>Sensitivity_calcs!G98</f>
        <v/>
      </c>
      <c r="K47" s="256"/>
      <c r="L47" s="281" t="str">
        <f>Sensitivity_calcs!K98</f>
        <v/>
      </c>
      <c r="M47" s="256"/>
    </row>
    <row r="48" spans="1:13" s="8" customFormat="1" ht="12.75" x14ac:dyDescent="0.2">
      <c r="D48" s="264">
        <f>Sensitivity_calcs!B99</f>
        <v>0</v>
      </c>
      <c r="E48" s="264"/>
      <c r="F48" s="280"/>
      <c r="G48" s="105"/>
      <c r="H48" s="105"/>
      <c r="I48" s="105"/>
      <c r="J48" s="105"/>
      <c r="K48" s="256"/>
      <c r="L48" s="256"/>
    </row>
    <row r="49" spans="4:10" s="8" customFormat="1" ht="12.75" x14ac:dyDescent="0.2">
      <c r="F49" s="263"/>
      <c r="G49" s="105"/>
      <c r="H49" s="105"/>
      <c r="I49" s="105"/>
      <c r="J49" s="105"/>
    </row>
    <row r="50" spans="4:10" s="8" customFormat="1" ht="12.75" x14ac:dyDescent="0.2">
      <c r="F50" s="263"/>
      <c r="G50" s="263"/>
      <c r="H50" s="263"/>
      <c r="I50" s="263"/>
    </row>
    <row r="51" spans="4:10" s="8" customFormat="1" ht="12.75" x14ac:dyDescent="0.2"/>
    <row r="52" spans="4:10" s="8" customFormat="1" ht="12.75" x14ac:dyDescent="0.2"/>
    <row r="53" spans="4:10" s="8" customFormat="1" ht="12.75" x14ac:dyDescent="0.2">
      <c r="D53" s="244"/>
      <c r="E53" s="244"/>
      <c r="F53" s="244"/>
    </row>
    <row r="54" spans="4:10" s="8" customFormat="1" ht="12.75" x14ac:dyDescent="0.2">
      <c r="D54" s="244"/>
      <c r="E54" s="244"/>
      <c r="F54" s="244"/>
    </row>
    <row r="55" spans="4:10" s="8" customFormat="1" ht="12.75" hidden="1" x14ac:dyDescent="0.2">
      <c r="D55" s="244"/>
      <c r="E55" s="244"/>
      <c r="F55" s="244"/>
    </row>
    <row r="56" spans="4:10" s="8" customFormat="1" ht="12.75" hidden="1" x14ac:dyDescent="0.2"/>
    <row r="57" spans="4:10" s="8" customFormat="1" ht="12.75" hidden="1" x14ac:dyDescent="0.2"/>
    <row r="58" spans="4:10" s="8" customFormat="1" ht="12.75" hidden="1" x14ac:dyDescent="0.2"/>
    <row r="59" spans="4:10" s="8" customFormat="1" ht="12.75" hidden="1" x14ac:dyDescent="0.2"/>
    <row r="60" spans="4:10" s="8" customFormat="1" ht="12.75" hidden="1" x14ac:dyDescent="0.2"/>
    <row r="61" spans="4:10" s="8" customFormat="1" ht="12.75" hidden="1" x14ac:dyDescent="0.2"/>
    <row r="62" spans="4:10" s="8" customFormat="1" ht="12.75" hidden="1" x14ac:dyDescent="0.2"/>
    <row r="63" spans="4:10" s="8" customFormat="1" ht="12.75" hidden="1" x14ac:dyDescent="0.2"/>
    <row r="64" spans="4:10" s="8" customFormat="1" ht="12.75" hidden="1" x14ac:dyDescent="0.2"/>
    <row r="65" s="8" customFormat="1" ht="12.75" hidden="1" x14ac:dyDescent="0.2"/>
    <row r="66" s="8" customFormat="1" ht="12.75" hidden="1" x14ac:dyDescent="0.2"/>
    <row r="67" s="8" customFormat="1" ht="12.75" hidden="1" x14ac:dyDescent="0.2"/>
    <row r="68" s="8" customFormat="1" ht="12.75" hidden="1" x14ac:dyDescent="0.2"/>
    <row r="69" s="8" customFormat="1" ht="12.75" hidden="1" x14ac:dyDescent="0.2"/>
    <row r="70" s="8" customFormat="1" ht="12.75" hidden="1" x14ac:dyDescent="0.2"/>
    <row r="71" s="8" customFormat="1" ht="12.75" hidden="1" x14ac:dyDescent="0.2"/>
    <row r="72" s="8" customFormat="1" ht="12.75" hidden="1" x14ac:dyDescent="0.2"/>
    <row r="73" s="8" customFormat="1" ht="12.75" hidden="1" x14ac:dyDescent="0.2"/>
    <row r="74" s="8" customFormat="1" ht="12.75" hidden="1" x14ac:dyDescent="0.2"/>
    <row r="75" s="8" customFormat="1" ht="12.75" hidden="1" x14ac:dyDescent="0.2"/>
    <row r="76" s="8" customFormat="1" ht="12.75" hidden="1" x14ac:dyDescent="0.2"/>
    <row r="77" s="8" customFormat="1" ht="12.75" hidden="1" x14ac:dyDescent="0.2"/>
    <row r="78" s="8" customFormat="1" ht="12.75" hidden="1" x14ac:dyDescent="0.2"/>
    <row r="79" s="8" customFormat="1" ht="12.75" hidden="1" x14ac:dyDescent="0.2"/>
    <row r="80" s="8" customFormat="1" ht="12.75" hidden="1" x14ac:dyDescent="0.2"/>
    <row r="81" s="8" customFormat="1" ht="12.75" hidden="1" x14ac:dyDescent="0.2"/>
    <row r="82" s="8" customFormat="1" ht="12.75" hidden="1" x14ac:dyDescent="0.2"/>
    <row r="83" s="8" customFormat="1" ht="12.75" hidden="1" x14ac:dyDescent="0.2"/>
    <row r="84" s="8" customFormat="1" ht="12.75" hidden="1" x14ac:dyDescent="0.2"/>
    <row r="85" s="8" customFormat="1" ht="12.75" hidden="1" x14ac:dyDescent="0.2"/>
    <row r="86" s="8" customFormat="1" ht="12.75" hidden="1" x14ac:dyDescent="0.2"/>
    <row r="87" s="8" customFormat="1" ht="12.75" hidden="1" x14ac:dyDescent="0.2"/>
    <row r="88" s="8" customFormat="1" ht="12.75" hidden="1" x14ac:dyDescent="0.2"/>
    <row r="89" s="8" customFormat="1" ht="12.75" hidden="1" x14ac:dyDescent="0.2"/>
    <row r="90" s="8" customFormat="1" ht="12.75" hidden="1" x14ac:dyDescent="0.2"/>
    <row r="91" s="8" customFormat="1" ht="12.75" hidden="1" x14ac:dyDescent="0.2"/>
    <row r="92" s="8" customFormat="1" ht="12.75" hidden="1" x14ac:dyDescent="0.2"/>
    <row r="93" s="8" customFormat="1" ht="12.75" hidden="1" x14ac:dyDescent="0.2"/>
    <row r="94" s="8" customFormat="1" ht="12.75" hidden="1" x14ac:dyDescent="0.2"/>
    <row r="95" s="8" customFormat="1" ht="12.75" hidden="1" x14ac:dyDescent="0.2"/>
    <row r="96" s="8" customFormat="1" ht="12.75" hidden="1" x14ac:dyDescent="0.2"/>
    <row r="97" s="8" customFormat="1" ht="12.75" hidden="1" x14ac:dyDescent="0.2"/>
    <row r="98" s="8" customFormat="1" ht="12.75" hidden="1" x14ac:dyDescent="0.2"/>
    <row r="99" s="8" customFormat="1" ht="12.75" hidden="1" x14ac:dyDescent="0.2"/>
    <row r="100" s="8" customFormat="1" ht="12.75" hidden="1" x14ac:dyDescent="0.2"/>
    <row r="101" s="8" customFormat="1" ht="12.75" hidden="1" x14ac:dyDescent="0.2"/>
    <row r="102" s="8" customFormat="1" ht="12.75" hidden="1" x14ac:dyDescent="0.2"/>
    <row r="103" s="8" customFormat="1" ht="12.75" hidden="1" x14ac:dyDescent="0.2"/>
    <row r="104" s="8" customFormat="1" ht="12.75" hidden="1" x14ac:dyDescent="0.2"/>
    <row r="105" s="8" customFormat="1" ht="12.75" hidden="1" x14ac:dyDescent="0.2"/>
    <row r="106" s="8" customFormat="1" ht="12.75" hidden="1" x14ac:dyDescent="0.2"/>
    <row r="107" s="8" customFormat="1" ht="12.75" hidden="1" x14ac:dyDescent="0.2"/>
    <row r="108" s="8" customFormat="1" ht="12.75" hidden="1" x14ac:dyDescent="0.2"/>
    <row r="109" s="8" customFormat="1" ht="12.75" hidden="1" x14ac:dyDescent="0.2"/>
    <row r="110" s="8" customFormat="1" ht="12.75" hidden="1" x14ac:dyDescent="0.2"/>
    <row r="111" s="8" customFormat="1" ht="12.75" hidden="1" x14ac:dyDescent="0.2"/>
    <row r="112" s="8" customFormat="1" ht="12.75" hidden="1" x14ac:dyDescent="0.2"/>
    <row r="113" s="8" customFormat="1" ht="12.75" hidden="1" x14ac:dyDescent="0.2"/>
    <row r="114" s="8" customFormat="1" ht="12.75" hidden="1" x14ac:dyDescent="0.2"/>
    <row r="115" s="8" customFormat="1" ht="12.75" hidden="1" x14ac:dyDescent="0.2"/>
    <row r="116" s="8" customFormat="1" ht="12.75" hidden="1" x14ac:dyDescent="0.2"/>
    <row r="117" s="8" customFormat="1" ht="12.75" hidden="1" x14ac:dyDescent="0.2"/>
    <row r="118" s="8" customFormat="1" ht="12.75" hidden="1" x14ac:dyDescent="0.2"/>
    <row r="119" s="8" customFormat="1" ht="12.75" hidden="1" x14ac:dyDescent="0.2"/>
    <row r="120" s="8" customFormat="1" ht="12.75" hidden="1" x14ac:dyDescent="0.2"/>
    <row r="121" s="8" customFormat="1" ht="12.75" hidden="1" x14ac:dyDescent="0.2"/>
    <row r="122" s="8" customFormat="1" ht="12.75" hidden="1" x14ac:dyDescent="0.2"/>
    <row r="123" s="8" customFormat="1" ht="12.75" hidden="1" x14ac:dyDescent="0.2"/>
    <row r="124" s="8" customFormat="1" ht="12.75" hidden="1" x14ac:dyDescent="0.2"/>
    <row r="125" s="8" customFormat="1" ht="12.75" hidden="1" x14ac:dyDescent="0.2"/>
    <row r="126" s="8" customFormat="1" ht="12.75" hidden="1" x14ac:dyDescent="0.2"/>
    <row r="127" s="8" customFormat="1" ht="12.75" hidden="1" x14ac:dyDescent="0.2"/>
    <row r="128" s="8" customFormat="1" ht="12.75" hidden="1" x14ac:dyDescent="0.2"/>
    <row r="129" s="8" customFormat="1" ht="12.75" hidden="1" x14ac:dyDescent="0.2"/>
    <row r="130" s="8" customFormat="1" ht="12.75" hidden="1" x14ac:dyDescent="0.2"/>
    <row r="131" s="8" customFormat="1" ht="12.75" hidden="1" x14ac:dyDescent="0.2"/>
    <row r="132" s="8" customFormat="1" ht="12.75" hidden="1" x14ac:dyDescent="0.2"/>
    <row r="133" s="8" customFormat="1" ht="12.75" hidden="1" x14ac:dyDescent="0.2"/>
    <row r="134" s="8" customFormat="1" ht="12.75" hidden="1" x14ac:dyDescent="0.2"/>
    <row r="135" s="8" customFormat="1" ht="12.75" hidden="1" x14ac:dyDescent="0.2"/>
    <row r="136" s="8" customFormat="1" ht="12.75" hidden="1" x14ac:dyDescent="0.2"/>
    <row r="137" s="8" customFormat="1" ht="12.75" hidden="1" x14ac:dyDescent="0.2"/>
    <row r="138" s="8" customFormat="1" ht="12.75" hidden="1" x14ac:dyDescent="0.2"/>
    <row r="139" s="8" customFormat="1" ht="12.75" hidden="1" x14ac:dyDescent="0.2"/>
    <row r="140" s="8" customFormat="1" ht="12.75" hidden="1" x14ac:dyDescent="0.2"/>
    <row r="141" s="8" customFormat="1" ht="12.75" hidden="1" x14ac:dyDescent="0.2"/>
    <row r="142" s="8" customFormat="1" ht="12.75" hidden="1" x14ac:dyDescent="0.2"/>
    <row r="143" s="8" customFormat="1" ht="12.75" hidden="1" x14ac:dyDescent="0.2"/>
    <row r="144" s="8" customFormat="1" ht="12.75" hidden="1" x14ac:dyDescent="0.2"/>
    <row r="145" s="8" customFormat="1" ht="12.75" hidden="1" x14ac:dyDescent="0.2"/>
    <row r="146" s="8" customFormat="1" ht="12.75" hidden="1" x14ac:dyDescent="0.2"/>
    <row r="147" s="8" customFormat="1" ht="12.75" hidden="1" x14ac:dyDescent="0.2"/>
    <row r="148" s="8" customFormat="1" ht="12.75" hidden="1" x14ac:dyDescent="0.2"/>
    <row r="149" s="8" customFormat="1" ht="12.75" hidden="1" x14ac:dyDescent="0.2"/>
    <row r="150" s="8" customFormat="1" ht="12.75" hidden="1" x14ac:dyDescent="0.2"/>
    <row r="151" s="8" customFormat="1" ht="12.75" hidden="1" x14ac:dyDescent="0.2"/>
    <row r="152" s="8" customFormat="1" ht="12.75" hidden="1" x14ac:dyDescent="0.2"/>
    <row r="153" s="8" customFormat="1" ht="12.75" hidden="1" x14ac:dyDescent="0.2"/>
    <row r="154" s="8" customFormat="1" ht="12.75" hidden="1" x14ac:dyDescent="0.2"/>
    <row r="155" s="8" customFormat="1" ht="12.75" hidden="1" x14ac:dyDescent="0.2"/>
    <row r="156" s="8" customFormat="1" ht="12.75" hidden="1" x14ac:dyDescent="0.2"/>
    <row r="157" s="8" customFormat="1" ht="12.75" hidden="1" x14ac:dyDescent="0.2"/>
    <row r="158" s="8" customFormat="1" ht="12.75" hidden="1" x14ac:dyDescent="0.2"/>
    <row r="159" s="8" customFormat="1" ht="12.75" hidden="1" x14ac:dyDescent="0.2"/>
    <row r="160" s="8" customFormat="1" ht="12.75" hidden="1" x14ac:dyDescent="0.2"/>
    <row r="161" s="8" customFormat="1" ht="12.75" hidden="1" x14ac:dyDescent="0.2"/>
    <row r="162" s="8" customFormat="1" ht="12.75" hidden="1" x14ac:dyDescent="0.2"/>
    <row r="163" s="8" customFormat="1" ht="12.75" hidden="1" x14ac:dyDescent="0.2"/>
    <row r="164" s="8" customFormat="1" ht="12.75" hidden="1" x14ac:dyDescent="0.2"/>
    <row r="165" s="8" customFormat="1" ht="12.75" hidden="1" x14ac:dyDescent="0.2"/>
    <row r="166" s="8" customFormat="1" ht="12.75" hidden="1" x14ac:dyDescent="0.2"/>
    <row r="167" s="8" customFormat="1" ht="12.75" hidden="1" x14ac:dyDescent="0.2"/>
    <row r="168" s="8" customFormat="1" ht="12.75" hidden="1" x14ac:dyDescent="0.2"/>
    <row r="169" s="8" customFormat="1" ht="12.75" hidden="1" x14ac:dyDescent="0.2"/>
    <row r="170" s="8" customFormat="1" ht="12.75" hidden="1" x14ac:dyDescent="0.2"/>
    <row r="171" s="8" customFormat="1" ht="12.75" hidden="1" x14ac:dyDescent="0.2"/>
    <row r="172" s="8" customFormat="1" ht="12.75" hidden="1" x14ac:dyDescent="0.2"/>
    <row r="173" s="8" customFormat="1" ht="12.75" hidden="1" x14ac:dyDescent="0.2"/>
    <row r="174" s="8" customFormat="1" ht="12.75" hidden="1" x14ac:dyDescent="0.2"/>
    <row r="175" s="8" customFormat="1" ht="12.75" hidden="1" x14ac:dyDescent="0.2"/>
    <row r="176" s="8" customFormat="1" ht="12.75" hidden="1" x14ac:dyDescent="0.2"/>
    <row r="177" s="8" customFormat="1" ht="12.75" hidden="1" x14ac:dyDescent="0.2"/>
    <row r="178" s="8" customFormat="1" ht="12.75" hidden="1" x14ac:dyDescent="0.2"/>
    <row r="179" s="8" customFormat="1" ht="12.75" hidden="1" x14ac:dyDescent="0.2"/>
    <row r="180" s="8" customFormat="1" ht="12.75" hidden="1" x14ac:dyDescent="0.2"/>
    <row r="181" s="8" customFormat="1" ht="12.75" hidden="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</sheetData>
  <mergeCells count="6">
    <mergeCell ref="D18:F18"/>
    <mergeCell ref="D9:F9"/>
    <mergeCell ref="D10:F10"/>
    <mergeCell ref="D11:F11"/>
    <mergeCell ref="D12:F12"/>
    <mergeCell ref="D13:F13"/>
  </mergeCells>
  <pageMargins left="0.23622047244094491" right="0.23622047244094491" top="0.74803149606299213" bottom="0.74803149606299213" header="0.31496062992125984" footer="0.31496062992125984"/>
  <pageSetup paperSize="9" scale="55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56" id="{6E0000F2-4B34-40F0-A950-26A22E7F516A}">
            <xm:f>Data!$C9</xm:f>
            <x14:dxf>
              <font>
                <color theme="0"/>
              </font>
            </x14:dxf>
          </x14:cfRule>
          <xm:sqref>C9:D13 G9:I13</xm:sqref>
        </x14:conditionalFormatting>
        <x14:conditionalFormatting xmlns:xm="http://schemas.microsoft.com/office/excel/2006/main">
          <x14:cfRule type="expression" priority="175" id="{6E0000F2-4B34-40F0-A950-26A22E7F516A}">
            <xm:f>AND(Data!$C18, NOT(#REF!))</xm:f>
            <x14:dxf>
              <font>
                <color theme="0"/>
              </font>
            </x14:dxf>
          </x14:cfRule>
          <xm:sqref>C14:E14</xm:sqref>
        </x14:conditionalFormatting>
        <x14:conditionalFormatting xmlns:xm="http://schemas.microsoft.com/office/excel/2006/main">
          <x14:cfRule type="expression" priority="217" id="{6E0000F2-4B34-40F0-A950-26A22E7F516A}">
            <xm:f>Data!$C18</xm:f>
            <x14:dxf>
              <font>
                <color theme="0"/>
              </font>
            </x14:dxf>
          </x14:cfRule>
          <xm:sqref>C15:E15</xm:sqref>
        </x14:conditionalFormatting>
        <x14:conditionalFormatting xmlns:xm="http://schemas.microsoft.com/office/excel/2006/main">
          <x14:cfRule type="expression" priority="26" id="{DCC025E7-DD10-45A4-B46F-8DAF8172BEA5}">
            <xm:f>$D$18=Data!B$25</xm:f>
            <x14:dxf>
              <font>
                <color theme="0" tint="-0.24994659260841701"/>
              </font>
            </x14:dxf>
          </x14:cfRule>
          <xm:sqref>D18:F18</xm:sqref>
        </x14:conditionalFormatting>
        <x14:conditionalFormatting xmlns:xm="http://schemas.microsoft.com/office/excel/2006/main">
          <x14:cfRule type="expression" priority="22" id="{6B3CD12B-2C7F-467C-B21A-8374D0C11F7F}">
            <xm:f>AND($C39&lt;&gt;0, F$38=$L39, Sensitivity_calcs!C$88=FALSE)</xm:f>
            <x14:dxf>
              <fill>
                <patternFill>
                  <bgColor rgb="FFCCFFFF"/>
                </patternFill>
              </fill>
            </x14:dxf>
          </x14:cfRule>
          <xm:sqref>F39 G39:J47</xm:sqref>
        </x14:conditionalFormatting>
        <x14:conditionalFormatting xmlns:xm="http://schemas.microsoft.com/office/excel/2006/main">
          <x14:cfRule type="expression" priority="25" id="{0E9BFFB2-7AAD-452D-A6DC-B193223D0B5B}">
            <xm:f>INDEX(Data!$C$9:$C$13, MATCH(F$38, Data!$B$9:$B$13,0))=TRUE</xm:f>
            <x14:dxf>
              <font>
                <b val="0"/>
                <i val="0"/>
                <color theme="1" tint="0.34998626667073579"/>
              </font>
            </x14:dxf>
          </x14:cfRule>
          <xm:sqref>F38:J38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EEEA9-DF92-454A-AC78-2AB747F8189C}">
  <sheetPr codeName="Sheet2">
    <tabColor rgb="FFFFFFCC"/>
    <pageSetUpPr fitToPage="1"/>
  </sheetPr>
  <dimension ref="A1:T122"/>
  <sheetViews>
    <sheetView showGridLines="0" zoomScale="90" zoomScaleNormal="90" workbookViewId="0">
      <pane ySplit="2" topLeftCell="A3" activePane="bottomLeft" state="frozen"/>
      <selection activeCell="A101" sqref="A101"/>
      <selection pane="bottomLeft" activeCell="A3" sqref="A3"/>
    </sheetView>
  </sheetViews>
  <sheetFormatPr defaultColWidth="9" defaultRowHeight="12.75" x14ac:dyDescent="0.2"/>
  <cols>
    <col min="1" max="1" width="3.625" style="8" customWidth="1"/>
    <col min="2" max="2" width="2.625" style="8" customWidth="1"/>
    <col min="3" max="3" width="18.75" style="8" customWidth="1"/>
    <col min="4" max="4" width="9.25" style="8" customWidth="1"/>
    <col min="5" max="5" width="16.375" style="8" customWidth="1"/>
    <col min="6" max="6" width="1.125" style="8" customWidth="1"/>
    <col min="7" max="7" width="14.75" style="8" customWidth="1"/>
    <col min="8" max="8" width="12.875" style="8" customWidth="1"/>
    <col min="9" max="9" width="11.5" style="8" customWidth="1"/>
    <col min="10" max="10" width="6.875" style="8" customWidth="1"/>
    <col min="11" max="16" width="8.125" style="8" customWidth="1"/>
    <col min="17" max="19" width="9" style="8"/>
    <col min="20" max="20" width="17.625" style="8" customWidth="1"/>
    <col min="21" max="16384" width="9" style="8"/>
  </cols>
  <sheetData>
    <row r="1" spans="1:16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15.75" x14ac:dyDescent="0.25">
      <c r="A2" s="56" t="str">
        <f>proj</f>
        <v>Minimise bushfire risk from SWER in ELCA, REFCL and HBRA areas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4" spans="1:16" s="1" customFormat="1" ht="15" x14ac:dyDescent="0.2">
      <c r="A4" s="18" t="s">
        <v>44</v>
      </c>
      <c r="B4" s="18"/>
      <c r="C4" s="16"/>
      <c r="D4" s="16"/>
      <c r="E4" s="16"/>
      <c r="F4" s="16"/>
      <c r="G4" s="16"/>
      <c r="H4" s="16"/>
      <c r="I4" s="16"/>
      <c r="J4" s="16"/>
      <c r="K4" s="17"/>
      <c r="L4" s="17"/>
      <c r="M4" s="17"/>
      <c r="N4" s="17"/>
      <c r="O4" s="17"/>
      <c r="P4" s="17"/>
    </row>
    <row r="5" spans="1:16" s="1" customFormat="1" x14ac:dyDescent="0.2">
      <c r="M5" s="12"/>
      <c r="N5" s="12"/>
      <c r="O5" s="12"/>
      <c r="P5" s="12"/>
    </row>
    <row r="6" spans="1:16" ht="12.75" customHeight="1" x14ac:dyDescent="0.2">
      <c r="C6" s="14" t="s">
        <v>11</v>
      </c>
      <c r="D6" s="65"/>
      <c r="E6" s="13" t="s">
        <v>3</v>
      </c>
    </row>
    <row r="7" spans="1:16" s="1" customFormat="1" ht="12.75" customHeight="1" x14ac:dyDescent="0.2">
      <c r="M7" s="12"/>
      <c r="N7" s="12"/>
      <c r="O7" s="12"/>
      <c r="P7" s="12"/>
    </row>
    <row r="8" spans="1:16" x14ac:dyDescent="0.2">
      <c r="C8" s="14" t="s">
        <v>12</v>
      </c>
      <c r="D8" s="14"/>
      <c r="E8" s="384" t="s">
        <v>316</v>
      </c>
      <c r="F8" s="384"/>
      <c r="G8" s="384"/>
      <c r="H8" s="384"/>
      <c r="I8" s="1"/>
      <c r="J8" s="1"/>
    </row>
    <row r="9" spans="1:16" x14ac:dyDescent="0.2">
      <c r="C9" s="14"/>
      <c r="D9" s="14"/>
    </row>
    <row r="10" spans="1:16" s="6" customFormat="1" x14ac:dyDescent="0.2">
      <c r="C10" s="3" t="s">
        <v>13</v>
      </c>
      <c r="D10" s="65"/>
      <c r="E10" s="60" t="s">
        <v>36</v>
      </c>
      <c r="F10" s="8"/>
      <c r="G10" s="37">
        <v>2023</v>
      </c>
      <c r="I10" s="66"/>
      <c r="J10" s="66"/>
    </row>
    <row r="11" spans="1:16" x14ac:dyDescent="0.2">
      <c r="I11" s="66"/>
      <c r="J11" s="66"/>
    </row>
    <row r="12" spans="1:16" x14ac:dyDescent="0.2">
      <c r="H12" s="43"/>
      <c r="I12" s="43"/>
      <c r="J12" s="43"/>
    </row>
    <row r="13" spans="1:16" s="72" customFormat="1" x14ac:dyDescent="0.2">
      <c r="C13" s="73" t="s">
        <v>1</v>
      </c>
      <c r="D13" s="73"/>
      <c r="E13" s="73" t="s">
        <v>0</v>
      </c>
      <c r="F13" s="73"/>
      <c r="G13" s="73"/>
      <c r="H13" s="74"/>
      <c r="I13" s="74"/>
      <c r="J13" s="74"/>
      <c r="K13" s="74"/>
      <c r="L13"/>
    </row>
    <row r="14" spans="1:16" s="1" customFormat="1" ht="12.75" customHeight="1" x14ac:dyDescent="0.2">
      <c r="C14" s="61" t="str" cm="1">
        <f t="array" ref="C14:C18">options</f>
        <v>Option 1 (base case)</v>
      </c>
      <c r="D14" s="61"/>
      <c r="E14" s="385" t="s">
        <v>58</v>
      </c>
      <c r="F14" s="385"/>
      <c r="G14" s="385"/>
      <c r="H14" s="385"/>
      <c r="I14" s="385"/>
      <c r="J14" s="385"/>
      <c r="K14" s="385"/>
      <c r="L14"/>
    </row>
    <row r="15" spans="1:16" s="1" customFormat="1" ht="12.75" customHeight="1" x14ac:dyDescent="0.2">
      <c r="C15" s="61" t="str">
        <v>Option 2</v>
      </c>
      <c r="D15" s="61"/>
      <c r="E15" s="386" t="s">
        <v>317</v>
      </c>
      <c r="F15" s="386"/>
      <c r="G15" s="386"/>
      <c r="H15" s="386"/>
      <c r="I15" s="386"/>
      <c r="J15" s="386"/>
      <c r="K15" s="386"/>
      <c r="L15"/>
    </row>
    <row r="16" spans="1:16" s="1" customFormat="1" ht="12.75" customHeight="1" x14ac:dyDescent="0.2">
      <c r="C16" s="61" t="str">
        <v>Option 3</v>
      </c>
      <c r="D16" s="61"/>
      <c r="E16" s="386" t="s">
        <v>318</v>
      </c>
      <c r="F16" s="386"/>
      <c r="G16" s="386"/>
      <c r="H16" s="386"/>
      <c r="I16" s="386"/>
      <c r="J16" s="386"/>
      <c r="K16" s="386"/>
      <c r="L16"/>
    </row>
    <row r="17" spans="1:16" s="1" customFormat="1" ht="12.75" customHeight="1" x14ac:dyDescent="0.2">
      <c r="C17" s="61" t="str">
        <v>Option 4</v>
      </c>
      <c r="D17" s="61"/>
      <c r="E17" s="329" t="s">
        <v>319</v>
      </c>
      <c r="F17" s="329"/>
      <c r="G17" s="329"/>
      <c r="H17" s="329"/>
      <c r="I17" s="329"/>
      <c r="J17" s="329"/>
      <c r="K17" s="329"/>
      <c r="L17"/>
    </row>
    <row r="18" spans="1:16" s="1" customFormat="1" ht="12.75" customHeight="1" x14ac:dyDescent="0.2">
      <c r="C18" s="61" t="str">
        <v>Option 5</v>
      </c>
      <c r="D18" s="61"/>
      <c r="E18" s="386" t="s">
        <v>320</v>
      </c>
      <c r="F18" s="386"/>
      <c r="G18" s="386"/>
      <c r="H18" s="386"/>
      <c r="I18" s="386"/>
      <c r="J18" s="386"/>
      <c r="K18" s="386"/>
      <c r="L18"/>
    </row>
    <row r="19" spans="1:16" s="1" customFormat="1" ht="12.75" customHeight="1" x14ac:dyDescent="0.2">
      <c r="C19"/>
      <c r="D19"/>
      <c r="E19"/>
      <c r="F19"/>
      <c r="G19"/>
      <c r="H19"/>
      <c r="I19"/>
      <c r="J19"/>
      <c r="K19"/>
      <c r="L19"/>
      <c r="M19"/>
    </row>
    <row r="20" spans="1:16" s="1" customFormat="1" ht="12.75" customHeight="1" x14ac:dyDescent="0.2">
      <c r="C20" s="290" t="s">
        <v>223</v>
      </c>
      <c r="D20"/>
      <c r="E20" s="291" t="s">
        <v>226</v>
      </c>
      <c r="F20"/>
      <c r="G20"/>
      <c r="H20"/>
      <c r="I20"/>
      <c r="J20"/>
      <c r="K20"/>
      <c r="L20"/>
      <c r="M20"/>
    </row>
    <row r="21" spans="1:16" s="1" customFormat="1" ht="12.75" customHeight="1" x14ac:dyDescent="0.2">
      <c r="C21"/>
      <c r="D21"/>
      <c r="E21"/>
      <c r="F21"/>
      <c r="G21"/>
      <c r="H21"/>
      <c r="I21"/>
      <c r="J21"/>
      <c r="K21"/>
      <c r="L21"/>
      <c r="M21"/>
    </row>
    <row r="22" spans="1:16" s="1" customFormat="1" x14ac:dyDescent="0.2">
      <c r="C22" s="1" t="s">
        <v>236</v>
      </c>
      <c r="E22" s="296" t="s">
        <v>19</v>
      </c>
      <c r="F22" s="68" t="s">
        <v>65</v>
      </c>
      <c r="J22" s="68"/>
    </row>
    <row r="23" spans="1:16" s="1" customFormat="1" ht="12.75" customHeight="1" x14ac:dyDescent="0.2">
      <c r="C23"/>
      <c r="D23"/>
      <c r="E23"/>
      <c r="F23"/>
      <c r="G23"/>
      <c r="H23"/>
      <c r="I23"/>
      <c r="J23"/>
      <c r="K23"/>
      <c r="L23"/>
      <c r="M23"/>
    </row>
    <row r="24" spans="1:16" s="1" customFormat="1" ht="15.75" x14ac:dyDescent="0.25">
      <c r="E24" s="5"/>
      <c r="F24" s="5"/>
      <c r="L24" s="8"/>
    </row>
    <row r="25" spans="1:16" s="1" customFormat="1" ht="15" x14ac:dyDescent="0.2">
      <c r="A25" s="18" t="s">
        <v>180</v>
      </c>
      <c r="B25" s="18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</row>
    <row r="26" spans="1:16" s="1" customFormat="1" x14ac:dyDescent="0.2"/>
    <row r="27" spans="1:16" s="1" customFormat="1" x14ac:dyDescent="0.2">
      <c r="C27" s="1" t="s">
        <v>46</v>
      </c>
      <c r="G27" s="67">
        <f>EOMONTH(DATE(Assumptions!$G$10,INDEX(Data!$K$107:$K$108, MATCH(Assumptions!$E$10, Data!$J$107:$J$108,0)), 1),0)</f>
        <v>45291</v>
      </c>
      <c r="H27" s="68" t="s">
        <v>70</v>
      </c>
    </row>
    <row r="28" spans="1:16" s="1" customFormat="1" x14ac:dyDescent="0.2">
      <c r="C28" s="1" t="s">
        <v>181</v>
      </c>
      <c r="G28" s="302">
        <v>3.5000000000000003E-2</v>
      </c>
      <c r="H28" s="68" t="s">
        <v>66</v>
      </c>
      <c r="J28" s="68"/>
    </row>
    <row r="29" spans="1:16" s="1" customFormat="1" x14ac:dyDescent="0.2">
      <c r="C29" s="1" t="s">
        <v>61</v>
      </c>
      <c r="G29" s="303">
        <v>45291</v>
      </c>
      <c r="H29" s="68" t="s">
        <v>67</v>
      </c>
      <c r="J29" s="68"/>
    </row>
    <row r="30" spans="1:16" s="1" customFormat="1" x14ac:dyDescent="0.2">
      <c r="J30" s="68"/>
    </row>
    <row r="31" spans="1:16" x14ac:dyDescent="0.2">
      <c r="C31" s="8" t="s">
        <v>194</v>
      </c>
      <c r="G31" s="304">
        <v>20</v>
      </c>
      <c r="H31" s="68" t="s">
        <v>195</v>
      </c>
    </row>
    <row r="32" spans="1:16" s="1" customFormat="1" x14ac:dyDescent="0.2"/>
    <row r="33" spans="1:20" s="1" customFormat="1" x14ac:dyDescent="0.2">
      <c r="C33" s="1" t="s">
        <v>32</v>
      </c>
      <c r="G33" s="305">
        <v>46203</v>
      </c>
      <c r="H33" s="68" t="s">
        <v>64</v>
      </c>
      <c r="J33" s="68"/>
    </row>
    <row r="34" spans="1:20" s="1" customFormat="1" x14ac:dyDescent="0.2">
      <c r="C34" s="1" t="s">
        <v>71</v>
      </c>
      <c r="G34" s="321">
        <v>45291</v>
      </c>
      <c r="H34" s="68" t="s">
        <v>72</v>
      </c>
      <c r="J34" s="68"/>
    </row>
    <row r="35" spans="1:20" s="1" customFormat="1" ht="13.5" x14ac:dyDescent="0.25">
      <c r="C35" s="1" t="s">
        <v>238</v>
      </c>
      <c r="G35" s="303">
        <v>45107</v>
      </c>
      <c r="H35" s="68"/>
      <c r="J35" s="68"/>
    </row>
    <row r="39" spans="1:20" s="1" customFormat="1" ht="15" x14ac:dyDescent="0.2">
      <c r="A39" s="18" t="s">
        <v>8</v>
      </c>
      <c r="B39" s="18"/>
      <c r="C39" s="16"/>
      <c r="D39" s="16"/>
      <c r="E39" s="16"/>
      <c r="F39" s="16"/>
      <c r="G39" s="16"/>
      <c r="H39" s="16"/>
      <c r="I39" s="16"/>
      <c r="J39" s="16"/>
      <c r="K39" s="16"/>
      <c r="L39" s="17"/>
      <c r="M39" s="17"/>
      <c r="N39" s="17"/>
      <c r="O39" s="17"/>
      <c r="P39" s="17"/>
    </row>
    <row r="40" spans="1:20" s="1" customFormat="1" x14ac:dyDescent="0.2">
      <c r="M40" s="12"/>
      <c r="N40" s="12"/>
      <c r="O40" s="12"/>
      <c r="P40" s="12"/>
    </row>
    <row r="41" spans="1:20" s="128" customFormat="1" x14ac:dyDescent="0.2">
      <c r="A41" s="127"/>
      <c r="B41" s="127"/>
      <c r="C41" s="1" t="s">
        <v>243</v>
      </c>
      <c r="D41" s="240" t="s">
        <v>244</v>
      </c>
      <c r="E41" s="324" t="s">
        <v>214</v>
      </c>
      <c r="F41" s="325"/>
      <c r="G41" s="326" t="s">
        <v>213</v>
      </c>
      <c r="H41" s="131">
        <v>43815.486225173103</v>
      </c>
      <c r="I41" s="327" t="s">
        <v>215</v>
      </c>
      <c r="J41" s="127"/>
      <c r="M41" s="127"/>
      <c r="N41" s="127"/>
      <c r="O41" s="127"/>
      <c r="P41" s="127"/>
      <c r="Q41" s="127"/>
      <c r="R41" s="127"/>
      <c r="S41" s="127"/>
      <c r="T41" s="127"/>
    </row>
    <row r="42" spans="1:20" s="128" customFormat="1" x14ac:dyDescent="0.2">
      <c r="A42"/>
      <c r="B42"/>
      <c r="C42"/>
      <c r="D42"/>
      <c r="E42"/>
      <c r="F42"/>
      <c r="G42"/>
      <c r="H42"/>
      <c r="I42"/>
      <c r="J42"/>
      <c r="K42"/>
      <c r="L42"/>
      <c r="M42" s="127"/>
      <c r="N42" s="127"/>
      <c r="O42" s="127"/>
      <c r="P42" s="127"/>
      <c r="Q42" s="127"/>
      <c r="R42" s="127"/>
      <c r="S42" s="127"/>
      <c r="T42" s="127"/>
    </row>
    <row r="43" spans="1:20" s="128" customFormat="1" x14ac:dyDescent="0.2">
      <c r="A43"/>
      <c r="B43"/>
      <c r="C43"/>
      <c r="D43"/>
      <c r="E43"/>
      <c r="F43"/>
      <c r="G43"/>
      <c r="H43"/>
      <c r="I43"/>
      <c r="J43"/>
      <c r="K43"/>
      <c r="L43"/>
      <c r="M43" s="127"/>
      <c r="N43" s="127"/>
      <c r="O43" s="127"/>
      <c r="P43" s="127"/>
      <c r="Q43" s="127"/>
      <c r="R43" s="127"/>
      <c r="S43" s="127"/>
      <c r="T43" s="127"/>
    </row>
    <row r="45" spans="1:20" ht="15" x14ac:dyDescent="0.2">
      <c r="A45" s="18" t="s">
        <v>148</v>
      </c>
      <c r="B45" s="18"/>
      <c r="C45" s="16"/>
      <c r="D45" s="16"/>
      <c r="E45" s="16"/>
      <c r="F45" s="16"/>
      <c r="G45" s="16"/>
      <c r="H45" s="16"/>
      <c r="I45" s="16"/>
      <c r="J45" s="16"/>
      <c r="K45" s="16"/>
      <c r="L45" s="17"/>
      <c r="M45" s="17"/>
      <c r="N45" s="17"/>
      <c r="O45" s="17"/>
      <c r="P45" s="17"/>
    </row>
    <row r="48" spans="1:20" x14ac:dyDescent="0.2">
      <c r="B48" s="30" t="s">
        <v>172</v>
      </c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</row>
    <row r="50" spans="3:8" x14ac:dyDescent="0.2">
      <c r="C50" s="8" t="s">
        <v>147</v>
      </c>
      <c r="G50" s="306">
        <v>5400000</v>
      </c>
      <c r="H50" s="69">
        <v>45107</v>
      </c>
    </row>
    <row r="52" spans="3:8" x14ac:dyDescent="0.2">
      <c r="C52" s="8" t="s">
        <v>163</v>
      </c>
      <c r="G52" s="164">
        <v>0</v>
      </c>
      <c r="H52" s="69">
        <f>input_dollars</f>
        <v>45291</v>
      </c>
    </row>
    <row r="54" spans="3:8" x14ac:dyDescent="0.2">
      <c r="C54" s="14" t="str">
        <f>Data!A83</f>
        <v>Disproportionate factors applied to various bushfire and other risk valuations</v>
      </c>
    </row>
    <row r="55" spans="3:8" x14ac:dyDescent="0.2">
      <c r="C55" s="8" t="str">
        <f>Data!B85</f>
        <v>Harm to property from network</v>
      </c>
      <c r="G55" s="304">
        <f>Data!F85</f>
        <v>1</v>
      </c>
    </row>
    <row r="56" spans="3:8" x14ac:dyDescent="0.2">
      <c r="C56" s="8" t="str">
        <f>Data!B86</f>
        <v>Harm to property from bushfire</v>
      </c>
      <c r="G56" s="304">
        <f>Data!F86</f>
        <v>1</v>
      </c>
    </row>
    <row r="57" spans="3:8" x14ac:dyDescent="0.2">
      <c r="C57" s="8" t="str">
        <f>Data!B87</f>
        <v>Harm to environment</v>
      </c>
      <c r="G57" s="304">
        <f>Data!F87</f>
        <v>1</v>
      </c>
    </row>
    <row r="58" spans="3:8" x14ac:dyDescent="0.2">
      <c r="C58" s="8" t="str">
        <f>Data!B88</f>
        <v>Safety - Public trespass</v>
      </c>
      <c r="G58" s="304">
        <f>Data!F88</f>
        <v>1</v>
      </c>
    </row>
    <row r="59" spans="3:8" x14ac:dyDescent="0.2">
      <c r="C59" s="8" t="str">
        <f>Data!B89</f>
        <v>Safety - Single fatality or serious injury ^</v>
      </c>
      <c r="G59" s="304">
        <f>Data!F89</f>
        <v>3</v>
      </c>
    </row>
    <row r="60" spans="3:8" x14ac:dyDescent="0.2">
      <c r="C60" s="8" t="str">
        <f>Data!B90</f>
        <v>Safety from bushfire in HBRA</v>
      </c>
      <c r="G60" s="304">
        <f>Data!F90</f>
        <v>3</v>
      </c>
    </row>
    <row r="61" spans="3:8" x14ac:dyDescent="0.2">
      <c r="C61" s="8" t="str">
        <f>Data!B91</f>
        <v>Safety - Multiple fatality or serious injury ^</v>
      </c>
      <c r="G61" s="304">
        <f>Data!F91</f>
        <v>6</v>
      </c>
    </row>
    <row r="62" spans="3:8" x14ac:dyDescent="0.2">
      <c r="C62" s="8" t="str">
        <f>Data!B92</f>
        <v>Safety from bushfire (REFCL declared areas)</v>
      </c>
      <c r="G62" s="304">
        <f>Data!F92</f>
        <v>6</v>
      </c>
    </row>
    <row r="63" spans="3:8" x14ac:dyDescent="0.2">
      <c r="C63" s="8" t="str">
        <f>Data!B93</f>
        <v>Safety from bushfire (electric line construction areas)</v>
      </c>
      <c r="G63" s="304">
        <f>Data!F93</f>
        <v>10</v>
      </c>
    </row>
    <row r="64" spans="3:8" x14ac:dyDescent="0.2">
      <c r="E64"/>
      <c r="F64"/>
      <c r="G64"/>
      <c r="H64"/>
    </row>
    <row r="66" spans="2:16" x14ac:dyDescent="0.2">
      <c r="C66" s="82" t="s">
        <v>113</v>
      </c>
    </row>
    <row r="69" spans="2:16" x14ac:dyDescent="0.2">
      <c r="C69" s="53" t="s">
        <v>179</v>
      </c>
      <c r="D69" s="59"/>
      <c r="E69" s="59"/>
      <c r="F69" s="59"/>
      <c r="G69" s="157" t="s">
        <v>68</v>
      </c>
      <c r="H69" s="157" t="s">
        <v>164</v>
      </c>
      <c r="I69" s="157" t="s">
        <v>178</v>
      </c>
      <c r="J69" s="156" t="s">
        <v>182</v>
      </c>
      <c r="K69" s="157"/>
      <c r="L69" s="157"/>
      <c r="M69" s="157"/>
    </row>
    <row r="70" spans="2:16" x14ac:dyDescent="0.2">
      <c r="C70" s="8" t="s">
        <v>165</v>
      </c>
      <c r="G70" s="158">
        <f>G50*INDEX(hy_escalation, MATCH(input_dollars,hy_dates,0))/INDEX(hy_escalation, MATCH(H50,hy_dates,0))</f>
        <v>5607473.5197347086</v>
      </c>
      <c r="H70" s="163">
        <v>0</v>
      </c>
      <c r="I70" s="165">
        <v>0</v>
      </c>
      <c r="J70" s="381">
        <v>0</v>
      </c>
      <c r="K70" s="382"/>
      <c r="L70" s="382"/>
      <c r="M70" s="383"/>
    </row>
    <row r="71" spans="2:16" x14ac:dyDescent="0.2">
      <c r="C71" s="8" t="s">
        <v>166</v>
      </c>
      <c r="G71" s="158">
        <f>G52*INDEX(hy_escalation, MATCH(input_dollars,hy_dates,0))/INDEX(hy_escalation, MATCH(H52,hy_dates,0))</f>
        <v>0</v>
      </c>
      <c r="H71" s="162">
        <v>0</v>
      </c>
      <c r="I71" s="165">
        <v>0</v>
      </c>
      <c r="J71" s="381">
        <v>0</v>
      </c>
      <c r="K71" s="382"/>
      <c r="L71" s="382"/>
      <c r="M71" s="383"/>
    </row>
    <row r="72" spans="2:16" x14ac:dyDescent="0.2">
      <c r="I72" s="161"/>
      <c r="M72"/>
    </row>
    <row r="73" spans="2:16" x14ac:dyDescent="0.2">
      <c r="G73" s="166"/>
    </row>
    <row r="74" spans="2:16" x14ac:dyDescent="0.2">
      <c r="C74" s="82"/>
    </row>
    <row r="77" spans="2:16" x14ac:dyDescent="0.2">
      <c r="B77" s="30" t="s">
        <v>173</v>
      </c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</row>
    <row r="78" spans="2:16" x14ac:dyDescent="0.2">
      <c r="C78" s="8" t="s">
        <v>167</v>
      </c>
      <c r="G78" s="154">
        <v>0</v>
      </c>
      <c r="H78" s="69">
        <f>input_dollars</f>
        <v>45291</v>
      </c>
    </row>
    <row r="79" spans="2:16" x14ac:dyDescent="0.2">
      <c r="C79" s="8" t="s">
        <v>168</v>
      </c>
      <c r="G79" s="154">
        <v>0</v>
      </c>
      <c r="H79" s="69">
        <f>input_dollars</f>
        <v>45291</v>
      </c>
    </row>
    <row r="81" spans="1:16" x14ac:dyDescent="0.2">
      <c r="C81" s="8" t="s">
        <v>169</v>
      </c>
      <c r="G81" s="159">
        <v>0.2</v>
      </c>
    </row>
    <row r="86" spans="1:16" x14ac:dyDescent="0.2">
      <c r="A86" s="1"/>
      <c r="B86" s="1"/>
      <c r="C86" s="1"/>
      <c r="D86" s="1"/>
      <c r="E86" s="1"/>
      <c r="F86" s="1"/>
      <c r="K86" s="1"/>
      <c r="L86" s="1"/>
      <c r="M86" s="1"/>
      <c r="N86" s="1"/>
      <c r="O86" s="1"/>
    </row>
    <row r="87" spans="1:16" ht="15" x14ac:dyDescent="0.2">
      <c r="A87" s="18" t="s">
        <v>55</v>
      </c>
      <c r="B87" s="18"/>
      <c r="C87" s="16"/>
      <c r="D87" s="16"/>
      <c r="E87" s="16"/>
      <c r="F87" s="16"/>
      <c r="G87" s="16"/>
      <c r="H87" s="16"/>
      <c r="I87" s="16"/>
      <c r="J87" s="16"/>
      <c r="K87" s="16"/>
      <c r="L87" s="17"/>
      <c r="M87" s="17"/>
      <c r="N87" s="17"/>
      <c r="O87" s="17"/>
      <c r="P87" s="17"/>
    </row>
    <row r="88" spans="1:16" x14ac:dyDescent="0.2">
      <c r="A88" s="1"/>
      <c r="B88" s="1"/>
      <c r="C88" s="1"/>
      <c r="D88" s="1"/>
      <c r="F88" s="1"/>
      <c r="H88" s="1"/>
      <c r="L88" s="1"/>
      <c r="N88" s="1"/>
      <c r="O88" s="1"/>
    </row>
    <row r="89" spans="1:16" x14ac:dyDescent="0.2">
      <c r="A89" s="1"/>
      <c r="B89" s="30" t="s">
        <v>174</v>
      </c>
      <c r="C89" s="30"/>
      <c r="D89" s="30"/>
      <c r="E89" s="30"/>
      <c r="F89" s="30"/>
      <c r="G89" s="30"/>
      <c r="H89" s="53"/>
      <c r="I89" s="53"/>
      <c r="J89" s="53"/>
      <c r="K89" s="70" t="s">
        <v>19</v>
      </c>
      <c r="L89" s="70" t="s">
        <v>21</v>
      </c>
      <c r="M89" s="70" t="s">
        <v>20</v>
      </c>
      <c r="N89" s="70" t="s">
        <v>22</v>
      </c>
      <c r="O89" s="70" t="s">
        <v>93</v>
      </c>
      <c r="P89" s="70" t="s">
        <v>94</v>
      </c>
    </row>
    <row r="90" spans="1:16" ht="13.5" x14ac:dyDescent="0.25">
      <c r="A90" s="1"/>
      <c r="B90" s="1"/>
      <c r="C90" s="1" t="s">
        <v>73</v>
      </c>
      <c r="D90" s="1"/>
      <c r="F90" s="1"/>
      <c r="G90" s="68"/>
      <c r="H90" s="69">
        <f>G35</f>
        <v>45107</v>
      </c>
      <c r="I90" s="71" t="s">
        <v>62</v>
      </c>
      <c r="J90" s="71"/>
      <c r="K90" s="307">
        <v>2.4730486797759084E-2</v>
      </c>
      <c r="L90" s="307">
        <v>2.2340740091772258E-2</v>
      </c>
      <c r="M90" s="307">
        <v>2.0196329122153123E-2</v>
      </c>
      <c r="N90" s="307">
        <v>1.806294207659629E-2</v>
      </c>
      <c r="O90" s="307">
        <v>1.5913397615084226E-2</v>
      </c>
      <c r="P90" s="307">
        <v>1.3715069432539001E-2</v>
      </c>
    </row>
    <row r="91" spans="1:16" x14ac:dyDescent="0.2">
      <c r="A91" s="1"/>
      <c r="B91" s="1"/>
      <c r="C91" s="1"/>
      <c r="D91" s="1"/>
      <c r="E91" s="1"/>
      <c r="F91" s="1"/>
      <c r="G91" s="1"/>
      <c r="K91" s="1"/>
      <c r="L91" s="1"/>
      <c r="M91" s="1"/>
      <c r="N91" s="1"/>
      <c r="O91" s="1"/>
    </row>
    <row r="92" spans="1:16" x14ac:dyDescent="0.2">
      <c r="A92" s="1"/>
      <c r="B92" s="1"/>
      <c r="C92" s="1"/>
      <c r="D92" s="1"/>
      <c r="E92" s="1"/>
      <c r="F92" s="1"/>
      <c r="K92" s="1"/>
      <c r="L92" s="1"/>
      <c r="M92" s="1"/>
      <c r="N92" s="1"/>
      <c r="O92" s="1"/>
    </row>
    <row r="93" spans="1:16" x14ac:dyDescent="0.2">
      <c r="A93" s="1"/>
      <c r="B93" s="30" t="s">
        <v>175</v>
      </c>
      <c r="C93" s="30"/>
      <c r="D93" s="30"/>
      <c r="E93" s="30"/>
      <c r="F93" s="30"/>
      <c r="G93" s="70" t="s">
        <v>68</v>
      </c>
      <c r="H93" s="30"/>
      <c r="I93" s="30"/>
      <c r="J93" s="39"/>
      <c r="K93" s="1"/>
      <c r="L93" s="1"/>
    </row>
    <row r="94" spans="1:16" x14ac:dyDescent="0.2">
      <c r="A94" s="1"/>
      <c r="B94" s="1"/>
      <c r="C94" s="1" t="str">
        <f>Data!B60</f>
        <v>Reliability in worst-served areas</v>
      </c>
      <c r="D94" s="1"/>
      <c r="E94"/>
      <c r="F94" s="1"/>
      <c r="G94" s="306">
        <v>151432.81740793545</v>
      </c>
      <c r="H94" s="69">
        <f t="shared" ref="H94:H101" si="0">custval_date</f>
        <v>45291</v>
      </c>
      <c r="I94" s="71" t="s">
        <v>53</v>
      </c>
      <c r="J94" s="71"/>
      <c r="K94" s="1"/>
      <c r="P94" s="1"/>
    </row>
    <row r="95" spans="1:16" x14ac:dyDescent="0.2">
      <c r="A95" s="1"/>
      <c r="B95" s="1"/>
      <c r="C95" s="1" t="str">
        <f>Data!B61</f>
        <v>Network resilience</v>
      </c>
      <c r="D95" s="1"/>
      <c r="E95"/>
      <c r="F95" s="1"/>
      <c r="G95" s="306">
        <v>24590</v>
      </c>
      <c r="H95" s="69">
        <f t="shared" si="0"/>
        <v>45291</v>
      </c>
      <c r="I95" s="71" t="s">
        <v>53</v>
      </c>
      <c r="J95" s="71"/>
      <c r="P95" s="1"/>
    </row>
    <row r="96" spans="1:16" x14ac:dyDescent="0.2">
      <c r="A96" s="1"/>
      <c r="B96" s="1"/>
      <c r="C96" s="1" t="str">
        <f>Data!B62</f>
        <v>Enabling solar exports</v>
      </c>
      <c r="D96" s="1"/>
      <c r="E96"/>
      <c r="G96" s="306">
        <v>88.357719508603083</v>
      </c>
      <c r="H96" s="69">
        <f t="shared" si="0"/>
        <v>45291</v>
      </c>
      <c r="I96" s="71" t="s">
        <v>53</v>
      </c>
      <c r="J96" s="71"/>
      <c r="P96" s="1"/>
    </row>
    <row r="97" spans="1:16" x14ac:dyDescent="0.2">
      <c r="A97" s="1"/>
      <c r="B97" s="1"/>
      <c r="C97" s="1" t="str">
        <f>Data!B63</f>
        <v>Aesthetics</v>
      </c>
      <c r="D97" s="1"/>
      <c r="E97"/>
      <c r="G97" s="307">
        <v>0</v>
      </c>
      <c r="H97" s="69">
        <f t="shared" si="0"/>
        <v>45291</v>
      </c>
      <c r="I97" s="71" t="s">
        <v>78</v>
      </c>
      <c r="J97" s="71"/>
      <c r="P97" s="1"/>
    </row>
    <row r="98" spans="1:16" x14ac:dyDescent="0.2">
      <c r="A98" s="1"/>
      <c r="B98" s="1"/>
      <c r="C98" s="1" t="str">
        <f>Data!B64</f>
        <v>Customer value of time - residential</v>
      </c>
      <c r="D98" s="1"/>
      <c r="E98"/>
      <c r="G98" s="307">
        <v>0.35181336539087127</v>
      </c>
      <c r="H98" s="69">
        <f t="shared" si="0"/>
        <v>45291</v>
      </c>
      <c r="I98" s="71" t="s">
        <v>79</v>
      </c>
      <c r="J98" s="71"/>
      <c r="P98" s="1"/>
    </row>
    <row r="99" spans="1:16" x14ac:dyDescent="0.2">
      <c r="A99" s="1"/>
      <c r="B99" s="1"/>
      <c r="C99" s="1" t="str">
        <f>Data!B65</f>
        <v>Customer value of time - business</v>
      </c>
      <c r="D99" s="1"/>
      <c r="E99"/>
      <c r="G99" s="307">
        <v>0.35181336539087127</v>
      </c>
      <c r="H99" s="69">
        <f t="shared" si="0"/>
        <v>45291</v>
      </c>
      <c r="I99" s="71" t="s">
        <v>79</v>
      </c>
      <c r="J99" s="71"/>
      <c r="P99" s="1"/>
    </row>
    <row r="100" spans="1:16" x14ac:dyDescent="0.2">
      <c r="A100" s="1"/>
      <c r="B100" s="1"/>
      <c r="C100" s="1" t="str">
        <f>Data!B66</f>
        <v>Communication</v>
      </c>
      <c r="D100" s="1"/>
      <c r="E100"/>
      <c r="G100" s="307">
        <v>0</v>
      </c>
      <c r="H100" s="69">
        <f t="shared" si="0"/>
        <v>45291</v>
      </c>
      <c r="I100" s="71" t="s">
        <v>78</v>
      </c>
      <c r="J100" s="71"/>
      <c r="P100" s="1"/>
    </row>
    <row r="101" spans="1:16" x14ac:dyDescent="0.2">
      <c r="A101" s="1"/>
      <c r="B101" s="1"/>
      <c r="C101" s="1" t="str">
        <f>Data!B67</f>
        <v>Information accessibility</v>
      </c>
      <c r="D101" s="1"/>
      <c r="E101"/>
      <c r="G101" s="307">
        <v>0</v>
      </c>
      <c r="H101" s="69">
        <f t="shared" si="0"/>
        <v>45291</v>
      </c>
      <c r="I101" s="71" t="s">
        <v>78</v>
      </c>
      <c r="J101" s="71"/>
      <c r="P101" s="1"/>
    </row>
    <row r="102" spans="1:16" x14ac:dyDescent="0.2">
      <c r="A102" s="1"/>
      <c r="B102" s="1"/>
      <c r="C102" s="1"/>
      <c r="D102" s="1"/>
      <c r="E102"/>
      <c r="L102" s="1"/>
      <c r="N102" s="1"/>
      <c r="O102" s="1"/>
      <c r="P102" s="1"/>
    </row>
    <row r="103" spans="1:16" x14ac:dyDescent="0.2">
      <c r="A103" s="1"/>
      <c r="B103" s="1"/>
      <c r="C103" s="1"/>
      <c r="D103" s="1"/>
      <c r="E103"/>
      <c r="F103" s="1"/>
      <c r="L103" s="1"/>
      <c r="N103" s="1"/>
      <c r="O103" s="1"/>
    </row>
    <row r="106" spans="1:16" ht="15" x14ac:dyDescent="0.2">
      <c r="A106" s="18" t="s">
        <v>217</v>
      </c>
      <c r="B106" s="18"/>
      <c r="C106" s="16"/>
      <c r="D106" s="16"/>
      <c r="E106" s="16"/>
      <c r="F106" s="16"/>
      <c r="G106" s="16"/>
      <c r="H106" s="16"/>
      <c r="I106" s="16"/>
      <c r="J106" s="16"/>
      <c r="K106" s="16"/>
      <c r="L106" s="17"/>
      <c r="M106" s="17"/>
      <c r="N106" s="17"/>
      <c r="O106" s="17"/>
      <c r="P106" s="17"/>
    </row>
    <row r="107" spans="1:16" x14ac:dyDescent="0.2">
      <c r="A107" s="1"/>
      <c r="B107" s="1"/>
      <c r="C107" s="1"/>
      <c r="D107" s="1"/>
      <c r="E107" s="1"/>
      <c r="F107" s="1"/>
      <c r="G107" s="1"/>
      <c r="K107" s="1"/>
      <c r="L107" s="1"/>
      <c r="M107" s="1"/>
      <c r="N107" s="1"/>
      <c r="O107" s="1"/>
    </row>
    <row r="108" spans="1:16" x14ac:dyDescent="0.2">
      <c r="A108" s="1"/>
      <c r="B108" s="1"/>
      <c r="C108" s="1"/>
      <c r="D108" s="1"/>
      <c r="E108" s="1"/>
      <c r="F108" s="1"/>
      <c r="G108" s="1"/>
      <c r="K108" s="1"/>
      <c r="L108" s="1"/>
      <c r="M108" s="1"/>
      <c r="N108" s="1"/>
      <c r="O108" s="1"/>
    </row>
    <row r="109" spans="1:16" x14ac:dyDescent="0.2">
      <c r="A109" s="1"/>
      <c r="B109" s="1"/>
      <c r="C109" s="1"/>
      <c r="D109" s="1"/>
      <c r="E109" s="1"/>
      <c r="F109" s="1"/>
      <c r="G109" s="1"/>
      <c r="K109" s="1"/>
      <c r="L109" s="1"/>
      <c r="M109" s="1"/>
      <c r="N109" s="1"/>
      <c r="O109" s="1"/>
    </row>
    <row r="110" spans="1:16" x14ac:dyDescent="0.2">
      <c r="A110" s="6"/>
      <c r="B110" s="171"/>
      <c r="C110" s="298"/>
      <c r="D110" s="59"/>
      <c r="E110" s="299"/>
      <c r="F110" s="298"/>
      <c r="G110" s="298" t="s">
        <v>17</v>
      </c>
      <c r="H110" s="298" t="s">
        <v>239</v>
      </c>
      <c r="I110"/>
      <c r="J110"/>
      <c r="K110"/>
      <c r="L110"/>
      <c r="M110"/>
      <c r="N110"/>
      <c r="O110"/>
      <c r="P110"/>
    </row>
    <row r="111" spans="1:16" x14ac:dyDescent="0.2">
      <c r="B111" s="8">
        <v>1</v>
      </c>
      <c r="C111" s="8" t="str">
        <f>IF(G111=0, "", G$110&amp;" "&amp;ABS($G111)*100&amp;"%"&amp;IF($G111&gt;0, " higher", " lower"))&amp;IF(AND(G111&lt;&gt;0, H111&lt;&gt;0), " &amp; ", "")&amp;IF(H111=0, "", H$110&amp;" "&amp;ABS($H111)*100&amp;"%"&amp;IF($H111&gt;0, " higher", " lower"))</f>
        <v>Capex 10% higher</v>
      </c>
      <c r="E111" s="267"/>
      <c r="G111" s="308">
        <v>0.1</v>
      </c>
      <c r="H111" s="308">
        <v>0</v>
      </c>
      <c r="I111" s="261"/>
      <c r="J111"/>
      <c r="K111"/>
      <c r="L111"/>
      <c r="M111"/>
      <c r="N111"/>
      <c r="O111"/>
      <c r="P111"/>
    </row>
    <row r="112" spans="1:16" x14ac:dyDescent="0.2">
      <c r="B112" s="8">
        <v>2</v>
      </c>
      <c r="C112" s="8" t="str">
        <f>IF(G112=0, "", G$110&amp;" "&amp;ABS($G112)*100&amp;"%"&amp;IF($G112&gt;0, " higher", " lower"))&amp;IF(AND(G112&lt;&gt;0, H112&lt;&gt;0), " &amp; ", "")&amp;IF(H112=0, "", H$110&amp;" "&amp;ABS($H112)*100&amp;"%"&amp;IF($H112&gt;0, " higher", " lower"))</f>
        <v>Capex 10% lower</v>
      </c>
      <c r="E112" s="267"/>
      <c r="G112" s="308">
        <v>-0.1</v>
      </c>
      <c r="H112" s="308">
        <v>0</v>
      </c>
      <c r="I112" s="261"/>
      <c r="J112"/>
      <c r="K112"/>
      <c r="L112"/>
      <c r="M112"/>
      <c r="N112"/>
      <c r="O112"/>
      <c r="P112"/>
    </row>
    <row r="113" spans="2:16" x14ac:dyDescent="0.2">
      <c r="B113" s="8">
        <v>3</v>
      </c>
      <c r="C113" s="8" t="str">
        <f>IF(G113=0, "", G$110&amp;" "&amp;ABS($G113)*100&amp;"%"&amp;IF($G113&gt;0, " higher", " lower"))&amp;IF(AND(G113&lt;&gt;0, H113&lt;&gt;0), " &amp; ", "")&amp;IF(H113=0, "", H$110&amp;" "&amp;ABS($H113)*100&amp;"%"&amp;IF($H113&gt;0, " higher", " lower"))</f>
        <v>Total benefits 10% higher</v>
      </c>
      <c r="E113" s="267"/>
      <c r="G113" s="309">
        <v>0</v>
      </c>
      <c r="H113" s="308">
        <v>0.1</v>
      </c>
      <c r="I113" s="261"/>
      <c r="J113"/>
      <c r="K113"/>
      <c r="L113"/>
      <c r="M113"/>
      <c r="N113"/>
      <c r="O113"/>
      <c r="P113"/>
    </row>
    <row r="114" spans="2:16" x14ac:dyDescent="0.2">
      <c r="B114" s="8">
        <v>4</v>
      </c>
      <c r="C114" s="8" t="str">
        <f>IF(G114=0, "", G$110&amp;" "&amp;ABS($G114)*100&amp;"%"&amp;IF($G114&gt;0, " higher", " lower"))&amp;IF(AND(G114&lt;&gt;0, H114&lt;&gt;0), " &amp; ", "")&amp;IF(H114=0, "", H$110&amp;" "&amp;ABS($H114)*100&amp;"%"&amp;IF($H114&gt;0, " higher", " lower"))</f>
        <v>Total benefits 10% lower</v>
      </c>
      <c r="E114" s="267"/>
      <c r="G114" s="309">
        <v>0</v>
      </c>
      <c r="H114" s="308">
        <v>-0.1</v>
      </c>
      <c r="I114" s="261"/>
      <c r="J114"/>
      <c r="K114"/>
      <c r="L114"/>
      <c r="M114"/>
      <c r="N114"/>
      <c r="O114"/>
      <c r="P114"/>
    </row>
    <row r="115" spans="2:16" x14ac:dyDescent="0.2">
      <c r="B115" s="8">
        <v>5</v>
      </c>
      <c r="C115" s="8" t="str">
        <f>IF(G115=0, "", G$110&amp;" "&amp;ABS($G115)*100&amp;"%"&amp;IF($G115&gt;0, " higher", " lower"))&amp;IF(AND(G115&lt;&gt;0, H115&lt;&gt;0), " &amp; ", "")&amp;IF(H115=0, "", H$110&amp;" "&amp;ABS($H115)*100&amp;"%"&amp;IF($H115&gt;0, " higher", " lower"))</f>
        <v>Capex 10% higher &amp; Total benefits 10% lower</v>
      </c>
      <c r="E115" s="267"/>
      <c r="G115" s="308">
        <v>0.1</v>
      </c>
      <c r="H115" s="308">
        <v>-0.1</v>
      </c>
      <c r="I115" s="261"/>
      <c r="J115"/>
      <c r="K115"/>
      <c r="L115"/>
      <c r="M115"/>
      <c r="N115"/>
      <c r="O115"/>
      <c r="P115"/>
    </row>
    <row r="116" spans="2:16" x14ac:dyDescent="0.2">
      <c r="E116" s="267"/>
      <c r="H116"/>
      <c r="I116"/>
      <c r="J116"/>
      <c r="K116"/>
      <c r="L116"/>
      <c r="M116"/>
      <c r="N116"/>
      <c r="O116"/>
      <c r="P116"/>
    </row>
    <row r="117" spans="2:16" x14ac:dyDescent="0.2">
      <c r="E117" s="260"/>
      <c r="H117"/>
      <c r="I117"/>
      <c r="J117"/>
      <c r="K117"/>
      <c r="L117"/>
      <c r="M117"/>
      <c r="N117"/>
      <c r="O117"/>
      <c r="P117"/>
    </row>
    <row r="118" spans="2:16" x14ac:dyDescent="0.2">
      <c r="H118"/>
      <c r="I118"/>
      <c r="J118"/>
      <c r="K118"/>
      <c r="L118"/>
      <c r="M118"/>
      <c r="N118"/>
      <c r="O118"/>
      <c r="P118"/>
    </row>
    <row r="119" spans="2:16" x14ac:dyDescent="0.2">
      <c r="H119"/>
      <c r="I119"/>
      <c r="J119"/>
      <c r="K119"/>
      <c r="L119"/>
      <c r="M119"/>
      <c r="N119"/>
      <c r="O119"/>
      <c r="P119"/>
    </row>
    <row r="120" spans="2:16" x14ac:dyDescent="0.2">
      <c r="H120"/>
      <c r="I120"/>
      <c r="J120"/>
      <c r="K120"/>
      <c r="L120"/>
      <c r="M120"/>
      <c r="N120"/>
      <c r="O120"/>
      <c r="P120"/>
    </row>
    <row r="121" spans="2:16" x14ac:dyDescent="0.2">
      <c r="H121"/>
      <c r="I121"/>
      <c r="J121"/>
      <c r="K121"/>
      <c r="L121"/>
      <c r="M121"/>
      <c r="N121"/>
      <c r="O121"/>
      <c r="P121"/>
    </row>
    <row r="122" spans="2:16" x14ac:dyDescent="0.2">
      <c r="H122"/>
      <c r="I122"/>
      <c r="J122"/>
      <c r="K122"/>
      <c r="L122"/>
      <c r="M122"/>
      <c r="N122"/>
      <c r="O122"/>
      <c r="P122"/>
    </row>
  </sheetData>
  <mergeCells count="7">
    <mergeCell ref="J70:M70"/>
    <mergeCell ref="J71:M71"/>
    <mergeCell ref="E8:H8"/>
    <mergeCell ref="E14:K14"/>
    <mergeCell ref="E15:K15"/>
    <mergeCell ref="E16:K16"/>
    <mergeCell ref="E18:K18"/>
  </mergeCells>
  <phoneticPr fontId="78" type="noConversion"/>
  <dataValidations count="1">
    <dataValidation type="list" allowBlank="1" showInputMessage="1" showErrorMessage="1" sqref="E41" xr:uid="{AAE8F82A-EA41-4180-B2E5-89F95150CD7B}">
      <formula1>list</formula1>
    </dataValidation>
  </dataValidations>
  <pageMargins left="0.25" right="0.25" top="0.75" bottom="0.75" header="0.3" footer="0.3"/>
  <pageSetup paperSize="9" scale="59" fitToHeight="0" orientation="portrait" horizontalDpi="90" verticalDpi="90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6" id="{F3F10DC4-43C8-4325-9D02-19BA52A23CAF}">
            <xm:f>E6=Data!#REF!</xm:f>
            <x14:dxf>
              <font>
                <color rgb="FFFF0000"/>
              </font>
            </x14:dxf>
          </x14:cfRule>
          <xm:sqref>D6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93A524C-E45A-4CD6-9037-0C9A8CB9BEDE}">
          <x14:formula1>
            <xm:f>Data!$J$107:$J$108</xm:f>
          </x14:formula1>
          <xm:sqref>E10</xm:sqref>
        </x14:dataValidation>
        <x14:dataValidation type="list" allowBlank="1" showInputMessage="1" showErrorMessage="1" xr:uid="{8AD3462E-BCDF-4C70-9696-A5196E905744}">
          <x14:formula1>
            <xm:f>Data!$T$107:$T$109</xm:f>
          </x14:formula1>
          <xm:sqref>E20</xm:sqref>
        </x14:dataValidation>
        <x14:dataValidation type="list" allowBlank="1" showInputMessage="1" showErrorMessage="1" xr:uid="{4146EE4B-BCAC-4E68-A5B1-65A7A34C1F3E}">
          <x14:formula1>
            <xm:f>Data!$R$107:$R$113</xm:f>
          </x14:formula1>
          <xm:sqref>G10</xm:sqref>
        </x14:dataValidation>
        <x14:dataValidation type="list" allowBlank="1" showInputMessage="1" showErrorMessage="1" xr:uid="{76E6FA8E-A026-4C8F-84A6-848CF895714B}">
          <x14:formula1>
            <xm:f>Data!$V$107:$V$110</xm:f>
          </x14:formula1>
          <xm:sqref>E22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4853D-D3A3-4079-BDBE-13E29B41B5A0}">
  <sheetPr codeName="Sheet3">
    <tabColor rgb="FFFF6600"/>
  </sheetPr>
  <dimension ref="A1:XER117"/>
  <sheetViews>
    <sheetView showGridLines="0" zoomScale="90" zoomScaleNormal="90" workbookViewId="0">
      <pane xSplit="7" ySplit="10" topLeftCell="H11" activePane="bottomRight" state="frozen"/>
      <selection activeCell="S27" sqref="S27"/>
      <selection pane="topRight" activeCell="S27" sqref="S27"/>
      <selection pane="bottomLeft" activeCell="S27" sqref="S27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2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6.8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Minimise bushfire risk from SWER in ELCA, REFCL and HBRA areas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3" t="s">
        <v>141</v>
      </c>
      <c r="B3" s="5"/>
      <c r="C3" s="134"/>
      <c r="D3" s="94"/>
    </row>
    <row r="4" spans="1:43" x14ac:dyDescent="0.2">
      <c r="A4" s="167"/>
      <c r="B4" s="187"/>
      <c r="C4" s="238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100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">
        <v>92</v>
      </c>
      <c r="B6" s="98"/>
      <c r="C6" s="99"/>
      <c r="D6" s="98"/>
      <c r="E6" s="100"/>
      <c r="F6" s="100"/>
      <c r="G6" s="100"/>
      <c r="H6" s="151">
        <v>0</v>
      </c>
      <c r="I6" s="101">
        <f t="shared" ref="I6:AG6" si="0">H6+1</f>
        <v>1</v>
      </c>
      <c r="J6" s="101">
        <f t="shared" si="0"/>
        <v>2</v>
      </c>
      <c r="K6" s="101">
        <f t="shared" si="0"/>
        <v>3</v>
      </c>
      <c r="L6" s="101">
        <f t="shared" si="0"/>
        <v>4</v>
      </c>
      <c r="M6" s="101">
        <f t="shared" si="0"/>
        <v>5</v>
      </c>
      <c r="N6" s="101">
        <f t="shared" si="0"/>
        <v>6</v>
      </c>
      <c r="O6" s="101">
        <f t="shared" si="0"/>
        <v>7</v>
      </c>
      <c r="P6" s="101">
        <f t="shared" si="0"/>
        <v>8</v>
      </c>
      <c r="Q6" s="101">
        <f t="shared" si="0"/>
        <v>9</v>
      </c>
      <c r="R6" s="101">
        <f t="shared" si="0"/>
        <v>10</v>
      </c>
      <c r="S6" s="101">
        <f t="shared" si="0"/>
        <v>11</v>
      </c>
      <c r="T6" s="101">
        <f t="shared" si="0"/>
        <v>12</v>
      </c>
      <c r="U6" s="101">
        <f t="shared" si="0"/>
        <v>13</v>
      </c>
      <c r="V6" s="101">
        <f t="shared" si="0"/>
        <v>14</v>
      </c>
      <c r="W6" s="101">
        <f t="shared" si="0"/>
        <v>15</v>
      </c>
      <c r="X6" s="101">
        <f t="shared" si="0"/>
        <v>16</v>
      </c>
      <c r="Y6" s="101">
        <f t="shared" si="0"/>
        <v>17</v>
      </c>
      <c r="Z6" s="101">
        <f t="shared" si="0"/>
        <v>18</v>
      </c>
      <c r="AA6" s="101">
        <f t="shared" si="0"/>
        <v>19</v>
      </c>
      <c r="AB6" s="101">
        <f t="shared" si="0"/>
        <v>20</v>
      </c>
      <c r="AC6" s="101">
        <f t="shared" si="0"/>
        <v>21</v>
      </c>
      <c r="AD6" s="101">
        <f t="shared" si="0"/>
        <v>22</v>
      </c>
      <c r="AE6" s="101">
        <f t="shared" si="0"/>
        <v>23</v>
      </c>
      <c r="AF6" s="101">
        <f t="shared" si="0"/>
        <v>24</v>
      </c>
      <c r="AG6" s="101">
        <f t="shared" si="0"/>
        <v>25</v>
      </c>
    </row>
    <row r="7" spans="1:43" hidden="1" outlineLevel="1" x14ac:dyDescent="0.2">
      <c r="A7" s="98" t="s">
        <v>127</v>
      </c>
      <c r="B7" s="98"/>
      <c r="G7" s="160" t="s">
        <v>63</v>
      </c>
      <c r="I7" s="99">
        <f>IF(ISBLANK(Assumptions!K90), H7,Assumptions!K90*thous_conv)</f>
        <v>24.730486797759085</v>
      </c>
      <c r="J7" s="99">
        <f>IF(ISBLANK(Assumptions!L90), I7,Assumptions!L90*thous_conv)</f>
        <v>22.340740091772258</v>
      </c>
      <c r="K7" s="99">
        <f>IF(ISBLANK(Assumptions!M90), J7,Assumptions!M90*thous_conv)</f>
        <v>20.196329122153124</v>
      </c>
      <c r="L7" s="99">
        <f>IF(ISBLANK(Assumptions!N90), K7,Assumptions!N90*thous_conv)</f>
        <v>18.06294207659629</v>
      </c>
      <c r="M7" s="99">
        <f>IF(ISBLANK(Assumptions!O90), L7,Assumptions!O90*thous_conv)</f>
        <v>15.913397615084225</v>
      </c>
      <c r="N7" s="99">
        <f>IF(ISBLANK(Assumptions!P90), M7,Assumptions!P90*thous_conv)</f>
        <v>13.715069432539002</v>
      </c>
      <c r="O7" s="99">
        <f>IF(ISBLANK(Assumptions!Q90), N7,Assumptions!Q90*thous_conv)</f>
        <v>13.715069432539002</v>
      </c>
      <c r="P7" s="99">
        <f>IF(ISBLANK(Assumptions!R90), O7,Assumptions!R90*thous_conv)</f>
        <v>13.715069432539002</v>
      </c>
      <c r="Q7" s="99">
        <f>IF(ISBLANK(Assumptions!S90), P7,Assumptions!S90*thous_conv)</f>
        <v>13.715069432539002</v>
      </c>
      <c r="R7" s="99">
        <f>IF(ISBLANK(Assumptions!T90), Q7,Assumptions!T90*thous_conv)</f>
        <v>13.715069432539002</v>
      </c>
      <c r="S7" s="99">
        <f>IF(ISBLANK(Assumptions!U90), R7,Assumptions!U90*thous_conv)</f>
        <v>13.715069432539002</v>
      </c>
      <c r="T7" s="99">
        <f>IF(ISBLANK(Assumptions!V90), S7,Assumptions!V90*thous_conv)</f>
        <v>13.715069432539002</v>
      </c>
      <c r="U7" s="99">
        <f>IF(ISBLANK(Assumptions!W90), T7,Assumptions!W90*thous_conv)</f>
        <v>13.715069432539002</v>
      </c>
      <c r="V7" s="99">
        <f>IF(ISBLANK(Assumptions!X90), U7,Assumptions!X90*thous_conv)</f>
        <v>13.715069432539002</v>
      </c>
      <c r="W7" s="99">
        <f>IF(ISBLANK(Assumptions!Y90), V7,Assumptions!Y90*thous_conv)</f>
        <v>13.715069432539002</v>
      </c>
      <c r="X7" s="99">
        <f>IF(ISBLANK(Assumptions!Z90), W7,Assumptions!Z90*thous_conv)</f>
        <v>13.715069432539002</v>
      </c>
      <c r="Y7" s="99">
        <f>IF(ISBLANK(Assumptions!AA90), X7,Assumptions!AA90*thous_conv)</f>
        <v>13.715069432539002</v>
      </c>
      <c r="Z7" s="99">
        <f>IF(ISBLANK(Assumptions!AB90), Y7,Assumptions!AB90*thous_conv)</f>
        <v>13.715069432539002</v>
      </c>
      <c r="AA7" s="99">
        <f>IF(ISBLANK(Assumptions!AC90), Z7,Assumptions!AC90*thous_conv)</f>
        <v>13.715069432539002</v>
      </c>
      <c r="AB7" s="99">
        <f>IF(ISBLANK(Assumptions!AD90), AA7,Assumptions!AD90*thous_conv)</f>
        <v>13.715069432539002</v>
      </c>
      <c r="AC7" s="99">
        <f>IF(ISBLANK(Assumptions!AE90), AB7,Assumptions!AE90*thous_conv)</f>
        <v>13.715069432539002</v>
      </c>
      <c r="AD7" s="99">
        <f>IF(ISBLANK(Assumptions!AF90), AC7,Assumptions!AF90*thous_conv)</f>
        <v>13.715069432539002</v>
      </c>
      <c r="AE7" s="99">
        <f>IF(ISBLANK(Assumptions!AG90), AD7,Assumptions!AG90*thous_conv)</f>
        <v>13.715069432539002</v>
      </c>
      <c r="AF7" s="99">
        <f>IF(ISBLANK(Assumptions!AH90), AE7,Assumptions!AH90*thous_conv)</f>
        <v>13.715069432539002</v>
      </c>
      <c r="AG7" s="99">
        <f>IF(ISBLANK(Assumptions!AI90), AF7,Assumptions!AI90*thous_conv)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1"/>
      <c r="B9" s="181"/>
      <c r="C9" s="181"/>
      <c r="D9" s="181"/>
      <c r="E9" s="181"/>
      <c r="F9" s="182"/>
      <c r="G9" s="181" t="s">
        <v>25</v>
      </c>
      <c r="H9" s="320">
        <f>DATE(LEFT(I9,4), 6,30)</f>
        <v>46203</v>
      </c>
      <c r="I9" s="183" t="str">
        <f>start</f>
        <v>2026-27</v>
      </c>
      <c r="J9" s="183" t="str">
        <f t="shared" ref="J9:AG9" si="1">LEFT(I9,4)+1&amp;"-"&amp;RIGHT(I9,2)+1</f>
        <v>2027-28</v>
      </c>
      <c r="K9" s="183" t="str">
        <f t="shared" si="1"/>
        <v>2028-29</v>
      </c>
      <c r="L9" s="183" t="str">
        <f t="shared" si="1"/>
        <v>2029-30</v>
      </c>
      <c r="M9" s="183" t="str">
        <f t="shared" si="1"/>
        <v>2030-31</v>
      </c>
      <c r="N9" s="183" t="str">
        <f t="shared" si="1"/>
        <v>2031-32</v>
      </c>
      <c r="O9" s="183" t="str">
        <f t="shared" si="1"/>
        <v>2032-33</v>
      </c>
      <c r="P9" s="183" t="str">
        <f t="shared" si="1"/>
        <v>2033-34</v>
      </c>
      <c r="Q9" s="183" t="str">
        <f t="shared" si="1"/>
        <v>2034-35</v>
      </c>
      <c r="R9" s="183" t="str">
        <f t="shared" si="1"/>
        <v>2035-36</v>
      </c>
      <c r="S9" s="183" t="str">
        <f t="shared" si="1"/>
        <v>2036-37</v>
      </c>
      <c r="T9" s="183" t="str">
        <f t="shared" si="1"/>
        <v>2037-38</v>
      </c>
      <c r="U9" s="183" t="str">
        <f t="shared" si="1"/>
        <v>2038-39</v>
      </c>
      <c r="V9" s="183" t="str">
        <f t="shared" si="1"/>
        <v>2039-40</v>
      </c>
      <c r="W9" s="183" t="str">
        <f t="shared" si="1"/>
        <v>2040-41</v>
      </c>
      <c r="X9" s="183" t="str">
        <f t="shared" si="1"/>
        <v>2041-42</v>
      </c>
      <c r="Y9" s="183" t="str">
        <f t="shared" si="1"/>
        <v>2042-43</v>
      </c>
      <c r="Z9" s="183" t="str">
        <f t="shared" si="1"/>
        <v>2043-44</v>
      </c>
      <c r="AA9" s="183" t="str">
        <f t="shared" si="1"/>
        <v>2044-45</v>
      </c>
      <c r="AB9" s="183" t="str">
        <f t="shared" si="1"/>
        <v>2045-46</v>
      </c>
      <c r="AC9" s="183" t="str">
        <f t="shared" si="1"/>
        <v>2046-47</v>
      </c>
      <c r="AD9" s="183" t="str">
        <f t="shared" si="1"/>
        <v>2047-48</v>
      </c>
      <c r="AE9" s="183" t="str">
        <f t="shared" si="1"/>
        <v>2048-49</v>
      </c>
      <c r="AF9" s="183" t="str">
        <f t="shared" si="1"/>
        <v>2049-50</v>
      </c>
      <c r="AG9" s="183" t="str">
        <f t="shared" si="1"/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4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43" x14ac:dyDescent="0.2">
      <c r="A12" s="3"/>
      <c r="B12" s="3"/>
      <c r="C12" s="3"/>
      <c r="D12" s="3"/>
      <c r="G12" s="205"/>
    </row>
    <row r="13" spans="1:43" x14ac:dyDescent="0.2">
      <c r="C13" s="3" t="s">
        <v>17</v>
      </c>
      <c r="D13"/>
      <c r="E13" s="126" t="s">
        <v>69</v>
      </c>
      <c r="G13" s="20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57</v>
      </c>
      <c r="D14"/>
      <c r="E14" s="148">
        <v>0</v>
      </c>
      <c r="G14" s="207">
        <f>input_dollars</f>
        <v>45291</v>
      </c>
      <c r="H14" s="2"/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57</v>
      </c>
      <c r="D15"/>
      <c r="E15" s="148">
        <v>0</v>
      </c>
      <c r="G15" s="207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 t="s">
        <v>57</v>
      </c>
      <c r="D16"/>
      <c r="E16" s="148">
        <v>0</v>
      </c>
      <c r="G16" s="207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7">
        <f>input_dollars</f>
        <v>45291</v>
      </c>
      <c r="H17" s="107"/>
      <c r="I17" s="106">
        <f t="shared" ref="I17:AB17" si="2">SUM(I14:I16)</f>
        <v>0</v>
      </c>
      <c r="J17" s="106">
        <f t="shared" si="2"/>
        <v>0</v>
      </c>
      <c r="K17" s="106">
        <f t="shared" si="2"/>
        <v>0</v>
      </c>
      <c r="L17" s="106">
        <f t="shared" si="2"/>
        <v>0</v>
      </c>
      <c r="M17" s="106">
        <f t="shared" si="2"/>
        <v>0</v>
      </c>
      <c r="N17" s="106">
        <f t="shared" si="2"/>
        <v>0</v>
      </c>
      <c r="O17" s="106">
        <f t="shared" si="2"/>
        <v>0</v>
      </c>
      <c r="P17" s="106">
        <f t="shared" si="2"/>
        <v>0</v>
      </c>
      <c r="Q17" s="106">
        <f t="shared" si="2"/>
        <v>0</v>
      </c>
      <c r="R17" s="106">
        <f t="shared" si="2"/>
        <v>0</v>
      </c>
      <c r="S17" s="106">
        <f t="shared" si="2"/>
        <v>0</v>
      </c>
      <c r="T17" s="106">
        <f t="shared" si="2"/>
        <v>0</v>
      </c>
      <c r="U17" s="106">
        <f t="shared" si="2"/>
        <v>0</v>
      </c>
      <c r="V17" s="106">
        <f t="shared" si="2"/>
        <v>0</v>
      </c>
      <c r="W17" s="106">
        <f t="shared" si="2"/>
        <v>0</v>
      </c>
      <c r="X17" s="106">
        <f t="shared" si="2"/>
        <v>0</v>
      </c>
      <c r="Y17" s="106">
        <f t="shared" si="2"/>
        <v>0</v>
      </c>
      <c r="Z17" s="106">
        <f t="shared" si="2"/>
        <v>0</v>
      </c>
      <c r="AA17" s="106">
        <f t="shared" si="2"/>
        <v>0</v>
      </c>
      <c r="AB17" s="106">
        <f t="shared" si="2"/>
        <v>0</v>
      </c>
      <c r="AC17" s="106">
        <f>SUM(AC14:AC16)</f>
        <v>0</v>
      </c>
      <c r="AD17" s="106">
        <f>SUM(AD14:AD16)</f>
        <v>0</v>
      </c>
      <c r="AE17" s="106">
        <f>SUM(AE14:AE16)</f>
        <v>0</v>
      </c>
      <c r="AF17" s="106">
        <f>SUM(AF14:AF16)</f>
        <v>0</v>
      </c>
      <c r="AG17" s="106">
        <f>SUM(AG14:AG16)</f>
        <v>0</v>
      </c>
    </row>
    <row r="18" spans="1:43" x14ac:dyDescent="0.2">
      <c r="C18"/>
      <c r="D18"/>
      <c r="E18"/>
      <c r="G18" s="20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7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</row>
    <row r="20" spans="1:43" x14ac:dyDescent="0.2">
      <c r="G20" s="205"/>
    </row>
    <row r="21" spans="1:43" x14ac:dyDescent="0.2">
      <c r="C21"/>
      <c r="D21"/>
      <c r="E21"/>
      <c r="G21" s="20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149</v>
      </c>
      <c r="B22" s="89"/>
      <c r="C22" s="89"/>
      <c r="D22" s="89"/>
      <c r="E22" s="89"/>
      <c r="F22" s="89"/>
      <c r="G22" s="204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8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150</v>
      </c>
      <c r="D24" s="111"/>
      <c r="E24" s="111"/>
      <c r="F24" s="111"/>
      <c r="G24" s="208"/>
      <c r="H24" s="111"/>
      <c r="I24" s="136">
        <v>0</v>
      </c>
      <c r="J24" s="136">
        <v>0</v>
      </c>
      <c r="K24" s="136">
        <v>0</v>
      </c>
      <c r="L24" s="136">
        <v>0</v>
      </c>
      <c r="M24" s="136">
        <v>0</v>
      </c>
      <c r="N24" s="136">
        <v>0</v>
      </c>
      <c r="O24" s="136">
        <v>0</v>
      </c>
      <c r="P24" s="136">
        <v>0</v>
      </c>
      <c r="Q24" s="136">
        <v>0</v>
      </c>
      <c r="R24" s="136">
        <v>0</v>
      </c>
      <c r="S24" s="136">
        <v>0</v>
      </c>
      <c r="T24" s="136">
        <v>0</v>
      </c>
      <c r="U24" s="136">
        <v>0</v>
      </c>
      <c r="V24" s="136">
        <v>0</v>
      </c>
      <c r="W24" s="136">
        <v>0</v>
      </c>
      <c r="X24" s="136">
        <v>0</v>
      </c>
      <c r="Y24" s="136">
        <v>0</v>
      </c>
      <c r="Z24" s="136">
        <v>0</v>
      </c>
      <c r="AA24" s="136">
        <v>0</v>
      </c>
      <c r="AB24" s="136">
        <v>0</v>
      </c>
      <c r="AC24" s="136">
        <v>0</v>
      </c>
      <c r="AD24" s="136">
        <v>0</v>
      </c>
      <c r="AE24" s="136">
        <v>0</v>
      </c>
      <c r="AF24" s="136">
        <v>0</v>
      </c>
      <c r="AG24" s="136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151</v>
      </c>
      <c r="D25" s="208"/>
      <c r="E25" s="111"/>
      <c r="F25" s="111"/>
      <c r="G25" s="208"/>
      <c r="H25" s="111"/>
      <c r="I25" s="136">
        <v>0</v>
      </c>
      <c r="J25" s="136">
        <v>0</v>
      </c>
      <c r="K25" s="136">
        <v>0</v>
      </c>
      <c r="L25" s="136">
        <v>0</v>
      </c>
      <c r="M25" s="136">
        <v>0</v>
      </c>
      <c r="N25" s="136">
        <v>0</v>
      </c>
      <c r="O25" s="136">
        <v>0</v>
      </c>
      <c r="P25" s="136">
        <v>0</v>
      </c>
      <c r="Q25" s="136">
        <v>0</v>
      </c>
      <c r="R25" s="136">
        <v>0</v>
      </c>
      <c r="S25" s="136">
        <v>0</v>
      </c>
      <c r="T25" s="136">
        <v>0</v>
      </c>
      <c r="U25" s="136">
        <v>0</v>
      </c>
      <c r="V25" s="136">
        <v>0</v>
      </c>
      <c r="W25" s="136">
        <v>0</v>
      </c>
      <c r="X25" s="136">
        <v>0</v>
      </c>
      <c r="Y25" s="136">
        <v>0</v>
      </c>
      <c r="Z25" s="136">
        <v>0</v>
      </c>
      <c r="AA25" s="136">
        <v>0</v>
      </c>
      <c r="AB25" s="136">
        <v>0</v>
      </c>
      <c r="AC25" s="136">
        <v>0</v>
      </c>
      <c r="AD25" s="136">
        <v>0</v>
      </c>
      <c r="AE25" s="136">
        <v>0</v>
      </c>
      <c r="AF25" s="136">
        <v>0</v>
      </c>
      <c r="AG25" s="136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8"/>
      <c r="E26" s="111"/>
      <c r="F26" s="111"/>
      <c r="G26" s="208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5"/>
      <c r="E27"/>
      <c r="G27" s="207" t="s">
        <v>40</v>
      </c>
      <c r="H27"/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8">
        <v>0</v>
      </c>
      <c r="Z27" s="168">
        <v>0</v>
      </c>
      <c r="AA27" s="168">
        <v>0</v>
      </c>
      <c r="AB27" s="168">
        <v>0</v>
      </c>
      <c r="AC27" s="168">
        <v>0</v>
      </c>
      <c r="AD27" s="168">
        <v>0</v>
      </c>
      <c r="AE27" s="168">
        <v>0</v>
      </c>
      <c r="AF27" s="168">
        <v>0</v>
      </c>
      <c r="AG27" s="168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5" t="s">
        <v>63</v>
      </c>
      <c r="E28" s="113">
        <f>Assumptions!H41*vcr_esc</f>
        <v>43815.486225173103</v>
      </c>
      <c r="F28" s="238" t="str">
        <f>IF(AND(SUM(I27:AG27)&lt;&gt;0, E28=0), "!", "")</f>
        <v/>
      </c>
      <c r="G28" s="207">
        <f>input_dollars</f>
        <v>45291</v>
      </c>
      <c r="H28"/>
      <c r="I28" s="32">
        <f>Workings_risks!$E$20</f>
        <v>848706.31024567073</v>
      </c>
      <c r="J28" s="32">
        <f>Workings_risks!$E$20</f>
        <v>848706.31024567073</v>
      </c>
      <c r="K28" s="32">
        <f>Workings_risks!$E$20</f>
        <v>848706.31024567073</v>
      </c>
      <c r="L28" s="32">
        <f>Workings_risks!$E$20</f>
        <v>848706.31024567073</v>
      </c>
      <c r="M28" s="32">
        <f>Workings_risks!$E$20</f>
        <v>848706.31024567073</v>
      </c>
      <c r="N28" s="32">
        <f>Workings_risks!$E$20</f>
        <v>848706.31024567073</v>
      </c>
      <c r="O28" s="32">
        <f>Workings_risks!$E$20</f>
        <v>848706.31024567073</v>
      </c>
      <c r="P28" s="32">
        <f>Workings_risks!$E$20</f>
        <v>848706.31024567073</v>
      </c>
      <c r="Q28" s="32">
        <f>Workings_risks!$E$20</f>
        <v>848706.31024567073</v>
      </c>
      <c r="R28" s="32">
        <f>Workings_risks!$E$20</f>
        <v>848706.31024567073</v>
      </c>
      <c r="S28" s="32">
        <f>Workings_risks!$E$20</f>
        <v>848706.31024567073</v>
      </c>
      <c r="T28" s="32">
        <f>Workings_risks!$E$20</f>
        <v>848706.31024567073</v>
      </c>
      <c r="U28" s="32">
        <f>Workings_risks!$E$20</f>
        <v>848706.31024567073</v>
      </c>
      <c r="V28" s="32">
        <f>Workings_risks!$E$20</f>
        <v>848706.31024567073</v>
      </c>
      <c r="W28" s="32">
        <f>Workings_risks!$E$20</f>
        <v>848706.31024567073</v>
      </c>
      <c r="X28" s="32">
        <f>Workings_risks!$E$20</f>
        <v>848706.31024567073</v>
      </c>
      <c r="Y28" s="32">
        <f>Workings_risks!$E$20</f>
        <v>848706.31024567073</v>
      </c>
      <c r="Z28" s="32">
        <f>Workings_risks!$E$20</f>
        <v>848706.31024567073</v>
      </c>
      <c r="AA28" s="32">
        <f>Workings_risks!$E$20</f>
        <v>848706.31024567073</v>
      </c>
      <c r="AB28" s="32">
        <f>Workings_risks!$E$20</f>
        <v>848706.31024567073</v>
      </c>
      <c r="AC28" s="32">
        <f>Workings_risks!$E$20</f>
        <v>848706.31024567073</v>
      </c>
      <c r="AD28" s="32">
        <f>Workings_risks!$E$20</f>
        <v>848706.31024567073</v>
      </c>
      <c r="AE28" s="32">
        <f>Workings_risks!$E$20</f>
        <v>848706.31024567073</v>
      </c>
      <c r="AF28" s="32">
        <f>Workings_risks!$E$20</f>
        <v>848706.31024567073</v>
      </c>
      <c r="AG28" s="32">
        <f>Workings_risks!$E$20</f>
        <v>848706.31024567073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6"/>
      <c r="E29"/>
      <c r="G29" s="20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5" t="s">
        <v>206</v>
      </c>
      <c r="G30" s="207">
        <f>input_dollars</f>
        <v>45291</v>
      </c>
      <c r="H30" s="149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6"/>
      <c r="E31"/>
      <c r="G31" s="207">
        <f>input_dollars</f>
        <v>45291</v>
      </c>
      <c r="H31" s="149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5" t="s">
        <v>206</v>
      </c>
      <c r="E32"/>
      <c r="G32" s="207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4" t="s">
        <v>278</v>
      </c>
      <c r="D33" s="219"/>
      <c r="E33"/>
      <c r="G33" s="207">
        <f>input_dollars</f>
        <v>45291</v>
      </c>
      <c r="H33"/>
      <c r="I33" s="32">
        <f>Workings_risks!$E$13</f>
        <v>14789168.246094229</v>
      </c>
      <c r="J33" s="32">
        <f>Workings_risks!$E$13</f>
        <v>14789168.246094229</v>
      </c>
      <c r="K33" s="32">
        <f>Workings_risks!$E$13</f>
        <v>14789168.246094229</v>
      </c>
      <c r="L33" s="32">
        <f>Workings_risks!$E$13</f>
        <v>14789168.246094229</v>
      </c>
      <c r="M33" s="32">
        <f>Workings_risks!$E$13</f>
        <v>14789168.246094229</v>
      </c>
      <c r="N33" s="32">
        <f>Workings_risks!$E$13</f>
        <v>14789168.246094229</v>
      </c>
      <c r="O33" s="32">
        <f>Workings_risks!$E$13</f>
        <v>14789168.246094229</v>
      </c>
      <c r="P33" s="32">
        <f>Workings_risks!$E$13</f>
        <v>14789168.246094229</v>
      </c>
      <c r="Q33" s="32">
        <f>Workings_risks!$E$13</f>
        <v>14789168.246094229</v>
      </c>
      <c r="R33" s="32">
        <f>Workings_risks!$E$13</f>
        <v>14789168.246094229</v>
      </c>
      <c r="S33" s="32">
        <f>Workings_risks!$E$13</f>
        <v>14789168.246094229</v>
      </c>
      <c r="T33" s="32">
        <f>Workings_risks!$E$13</f>
        <v>14789168.246094229</v>
      </c>
      <c r="U33" s="32">
        <f>Workings_risks!$E$13</f>
        <v>14789168.246094229</v>
      </c>
      <c r="V33" s="32">
        <f>Workings_risks!$E$13</f>
        <v>14789168.246094229</v>
      </c>
      <c r="W33" s="32">
        <f>Workings_risks!$E$13</f>
        <v>14789168.246094229</v>
      </c>
      <c r="X33" s="32">
        <f>Workings_risks!$E$13</f>
        <v>14789168.246094229</v>
      </c>
      <c r="Y33" s="32">
        <f>Workings_risks!$E$13</f>
        <v>14789168.246094229</v>
      </c>
      <c r="Z33" s="32">
        <f>Workings_risks!$E$13</f>
        <v>14789168.246094229</v>
      </c>
      <c r="AA33" s="32">
        <f>Workings_risks!$E$13</f>
        <v>14789168.246094229</v>
      </c>
      <c r="AB33" s="32">
        <f>Workings_risks!$E$13</f>
        <v>14789168.246094229</v>
      </c>
      <c r="AC33" s="32">
        <f>Workings_risks!$E$13</f>
        <v>14789168.246094229</v>
      </c>
      <c r="AD33" s="32">
        <f>Workings_risks!$E$13</f>
        <v>14789168.246094229</v>
      </c>
      <c r="AE33" s="32">
        <f>Workings_risks!$E$13</f>
        <v>14789168.246094229</v>
      </c>
      <c r="AF33" s="32">
        <f>Workings_risks!$E$13</f>
        <v>14789168.246094229</v>
      </c>
      <c r="AG33" s="32">
        <f>Workings_risks!$E$13</f>
        <v>14789168.246094229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4" t="s">
        <v>171</v>
      </c>
      <c r="D34" s="206"/>
      <c r="E34"/>
      <c r="G34" s="207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6"/>
      <c r="E35"/>
      <c r="G35" s="20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170</v>
      </c>
      <c r="D36" s="218"/>
      <c r="E36" s="107"/>
      <c r="F36" s="3"/>
      <c r="G36" s="209"/>
      <c r="H36" s="107"/>
      <c r="I36" s="106">
        <f>SUM(I28:I34)</f>
        <v>15637874.556339899</v>
      </c>
      <c r="J36" s="106">
        <f t="shared" ref="J36:AB36" si="3">SUM(J28:J34)</f>
        <v>15637874.556339899</v>
      </c>
      <c r="K36" s="106">
        <f t="shared" si="3"/>
        <v>15637874.556339899</v>
      </c>
      <c r="L36" s="106">
        <f t="shared" si="3"/>
        <v>15637874.556339899</v>
      </c>
      <c r="M36" s="106">
        <f t="shared" si="3"/>
        <v>15637874.556339899</v>
      </c>
      <c r="N36" s="106">
        <f t="shared" si="3"/>
        <v>15637874.556339899</v>
      </c>
      <c r="O36" s="106">
        <f t="shared" si="3"/>
        <v>15637874.556339899</v>
      </c>
      <c r="P36" s="106">
        <f t="shared" si="3"/>
        <v>15637874.556339899</v>
      </c>
      <c r="Q36" s="106">
        <f t="shared" si="3"/>
        <v>15637874.556339899</v>
      </c>
      <c r="R36" s="106">
        <f t="shared" si="3"/>
        <v>15637874.556339899</v>
      </c>
      <c r="S36" s="106">
        <f t="shared" si="3"/>
        <v>15637874.556339899</v>
      </c>
      <c r="T36" s="106">
        <f t="shared" si="3"/>
        <v>15637874.556339899</v>
      </c>
      <c r="U36" s="106">
        <f t="shared" si="3"/>
        <v>15637874.556339899</v>
      </c>
      <c r="V36" s="106">
        <f t="shared" si="3"/>
        <v>15637874.556339899</v>
      </c>
      <c r="W36" s="106">
        <f t="shared" si="3"/>
        <v>15637874.556339899</v>
      </c>
      <c r="X36" s="106">
        <f t="shared" si="3"/>
        <v>15637874.556339899</v>
      </c>
      <c r="Y36" s="106">
        <f t="shared" si="3"/>
        <v>15637874.556339899</v>
      </c>
      <c r="Z36" s="106">
        <f t="shared" si="3"/>
        <v>15637874.556339899</v>
      </c>
      <c r="AA36" s="106">
        <f t="shared" si="3"/>
        <v>15637874.556339899</v>
      </c>
      <c r="AB36" s="106">
        <f t="shared" si="3"/>
        <v>15637874.556339899</v>
      </c>
      <c r="AC36" s="106">
        <f>SUM(AC28:AC34)</f>
        <v>15637874.556339899</v>
      </c>
      <c r="AD36" s="106">
        <f>SUM(AD28:AD34)</f>
        <v>15637874.556339899</v>
      </c>
      <c r="AE36" s="106">
        <f>SUM(AE28:AE34)</f>
        <v>15637874.556339899</v>
      </c>
      <c r="AF36" s="106">
        <f>SUM(AF28:AF34)</f>
        <v>15637874.556339899</v>
      </c>
      <c r="AG36" s="106">
        <f>SUM(AG28:AG34)</f>
        <v>15637874.556339899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4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7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7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5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5" t="s">
        <v>104</v>
      </c>
      <c r="I42" s="31">
        <f>I41*I7</f>
        <v>0</v>
      </c>
      <c r="J42" s="31">
        <f t="shared" ref="J42:AG42" si="4">J41*J7</f>
        <v>0</v>
      </c>
      <c r="K42" s="31">
        <f t="shared" si="4"/>
        <v>0</v>
      </c>
      <c r="L42" s="31">
        <f t="shared" si="4"/>
        <v>0</v>
      </c>
      <c r="M42" s="31">
        <f t="shared" si="4"/>
        <v>0</v>
      </c>
      <c r="N42" s="31">
        <f t="shared" si="4"/>
        <v>0</v>
      </c>
      <c r="O42" s="31">
        <f t="shared" si="4"/>
        <v>0</v>
      </c>
      <c r="P42" s="31">
        <f t="shared" si="4"/>
        <v>0</v>
      </c>
      <c r="Q42" s="31">
        <f t="shared" si="4"/>
        <v>0</v>
      </c>
      <c r="R42" s="31">
        <f t="shared" si="4"/>
        <v>0</v>
      </c>
      <c r="S42" s="31">
        <f t="shared" si="4"/>
        <v>0</v>
      </c>
      <c r="T42" s="31">
        <f t="shared" si="4"/>
        <v>0</v>
      </c>
      <c r="U42" s="31">
        <f t="shared" si="4"/>
        <v>0</v>
      </c>
      <c r="V42" s="31">
        <f t="shared" si="4"/>
        <v>0</v>
      </c>
      <c r="W42" s="31">
        <f t="shared" si="4"/>
        <v>0</v>
      </c>
      <c r="X42" s="31">
        <f t="shared" si="4"/>
        <v>0</v>
      </c>
      <c r="Y42" s="31">
        <f t="shared" si="4"/>
        <v>0</v>
      </c>
      <c r="Z42" s="31">
        <f t="shared" si="4"/>
        <v>0</v>
      </c>
      <c r="AA42" s="31">
        <f t="shared" si="4"/>
        <v>0</v>
      </c>
      <c r="AB42" s="31">
        <f t="shared" si="4"/>
        <v>0</v>
      </c>
      <c r="AC42" s="31">
        <f t="shared" si="4"/>
        <v>0</v>
      </c>
      <c r="AD42" s="31">
        <f t="shared" si="4"/>
        <v>0</v>
      </c>
      <c r="AE42" s="31">
        <f t="shared" si="4"/>
        <v>0</v>
      </c>
      <c r="AF42" s="31">
        <f t="shared" si="4"/>
        <v>0</v>
      </c>
      <c r="AG42" s="31">
        <f t="shared" si="4"/>
        <v>0</v>
      </c>
    </row>
    <row r="43" spans="1:16372" x14ac:dyDescent="0.2">
      <c r="D43"/>
      <c r="E43"/>
      <c r="G43" s="207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6"/>
      <c r="E44"/>
      <c r="G44" s="207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14</v>
      </c>
      <c r="D45" s="205" t="s">
        <v>63</v>
      </c>
      <c r="E45" s="113">
        <f>Assumptions!G94</f>
        <v>151432.81740793545</v>
      </c>
      <c r="G45" s="207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">
        <v>4</v>
      </c>
      <c r="D46" s="205" t="s">
        <v>63</v>
      </c>
      <c r="E46" s="113">
        <f>Assumptions!G95</f>
        <v>24590</v>
      </c>
      <c r="G46" s="207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">
        <v>5</v>
      </c>
      <c r="D47" s="205" t="s">
        <v>63</v>
      </c>
      <c r="E47" s="112">
        <f>Assumptions!G96</f>
        <v>88.357719508603083</v>
      </c>
      <c r="G47" s="207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">
        <v>15</v>
      </c>
      <c r="D48" s="205" t="s">
        <v>126</v>
      </c>
      <c r="E48" s="112">
        <f>Assumptions!G97</f>
        <v>0</v>
      </c>
      <c r="G48" s="207" t="s">
        <v>203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">
        <v>201</v>
      </c>
      <c r="D49" s="205" t="s">
        <v>204</v>
      </c>
      <c r="E49" s="112">
        <f>Assumptions!G98</f>
        <v>0.35181336539087127</v>
      </c>
      <c r="G49" s="207" t="s">
        <v>205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">
        <v>202</v>
      </c>
      <c r="D50" s="205" t="s">
        <v>204</v>
      </c>
      <c r="E50" s="112">
        <f>Assumptions!G99</f>
        <v>0.35181336539087127</v>
      </c>
      <c r="G50" s="207" t="s">
        <v>205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C51" s="1" t="s">
        <v>6</v>
      </c>
      <c r="D51" s="205" t="s">
        <v>126</v>
      </c>
      <c r="E51" s="112">
        <f>Assumptions!G100</f>
        <v>0</v>
      </c>
      <c r="G51" s="207" t="s">
        <v>203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C52" s="1" t="s">
        <v>7</v>
      </c>
      <c r="D52" s="205" t="s">
        <v>126</v>
      </c>
      <c r="E52" s="112">
        <f>Assumptions!G101</f>
        <v>0</v>
      </c>
      <c r="G52" s="207" t="s">
        <v>203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5"/>
      <c r="G53" s="207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5"/>
      <c r="G54" s="207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5"/>
      <c r="G55" s="207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5"/>
      <c r="G56" s="205"/>
    </row>
    <row r="57" spans="1:43" x14ac:dyDescent="0.2">
      <c r="C57" s="3" t="s">
        <v>125</v>
      </c>
      <c r="D57" s="218"/>
      <c r="E57" s="107"/>
      <c r="F57" s="3"/>
      <c r="G57" s="210">
        <f>input_dollars</f>
        <v>45291</v>
      </c>
      <c r="H57" s="107"/>
      <c r="I57" s="106" cm="1">
        <f t="array" ref="I57">SUMPRODUCT((I$45:I$52)*($E$45:$E$52))+SUM(I54:I55)+I42</f>
        <v>0</v>
      </c>
      <c r="J57" s="106" cm="1">
        <f t="array" ref="J57">SUMPRODUCT((J$45:J$52)*($E$45:$E$52))+SUM(J54:J55)+J42</f>
        <v>0</v>
      </c>
      <c r="K57" s="106" cm="1">
        <f t="array" ref="K57">SUMPRODUCT((K$45:K$52)*($E$45:$E$52))+SUM(K54:K55)+K42</f>
        <v>0</v>
      </c>
      <c r="L57" s="106" cm="1">
        <f t="array" ref="L57">SUMPRODUCT((L$45:L$52)*($E$45:$E$52))+SUM(L54:L55)+L42</f>
        <v>0</v>
      </c>
      <c r="M57" s="106" cm="1">
        <f t="array" ref="M57">SUMPRODUCT((M$45:M$52)*($E$45:$E$52))+SUM(M54:M55)+M42</f>
        <v>0</v>
      </c>
      <c r="N57" s="106" cm="1">
        <f t="array" ref="N57">SUMPRODUCT((N$45:N$52)*($E$45:$E$52))+SUM(N54:N55)+N42</f>
        <v>0</v>
      </c>
      <c r="O57" s="106" cm="1">
        <f t="array" ref="O57">SUMPRODUCT((O$45:O$52)*($E$45:$E$52))+SUM(O54:O55)+O42</f>
        <v>0</v>
      </c>
      <c r="P57" s="106" cm="1">
        <f t="array" ref="P57">SUMPRODUCT((P$45:P$52)*($E$45:$E$52))+SUM(P54:P55)+P42</f>
        <v>0</v>
      </c>
      <c r="Q57" s="106" cm="1">
        <f t="array" ref="Q57">SUMPRODUCT((Q$45:Q$52)*($E$45:$E$52))+SUM(Q54:Q55)+Q42</f>
        <v>0</v>
      </c>
      <c r="R57" s="106" cm="1">
        <f t="array" ref="R57">SUMPRODUCT((R$45:R$52)*($E$45:$E$52))+SUM(R54:R55)+R42</f>
        <v>0</v>
      </c>
      <c r="S57" s="106" cm="1">
        <f t="array" ref="S57">SUMPRODUCT((S$45:S$52)*($E$45:$E$52))+SUM(S54:S55)+S42</f>
        <v>0</v>
      </c>
      <c r="T57" s="106" cm="1">
        <f t="array" ref="T57">SUMPRODUCT((T$45:T$52)*($E$45:$E$52))+SUM(T54:T55)+T42</f>
        <v>0</v>
      </c>
      <c r="U57" s="106" cm="1">
        <f t="array" ref="U57">SUMPRODUCT((U$45:U$52)*($E$45:$E$52))+SUM(U54:U55)+U42</f>
        <v>0</v>
      </c>
      <c r="V57" s="106" cm="1">
        <f t="array" ref="V57">SUMPRODUCT((V$45:V$52)*($E$45:$E$52))+SUM(V54:V55)+V42</f>
        <v>0</v>
      </c>
      <c r="W57" s="106" cm="1">
        <f t="array" ref="W57">SUMPRODUCT((W$45:W$52)*($E$45:$E$52))+SUM(W54:W55)+W42</f>
        <v>0</v>
      </c>
      <c r="X57" s="106" cm="1">
        <f t="array" ref="X57">SUMPRODUCT((X$45:X$52)*($E$45:$E$52))+SUM(X54:X55)+X42</f>
        <v>0</v>
      </c>
      <c r="Y57" s="106" cm="1">
        <f t="array" ref="Y57">SUMPRODUCT((Y$45:Y$52)*($E$45:$E$52))+SUM(Y54:Y55)+Y42</f>
        <v>0</v>
      </c>
      <c r="Z57" s="106" cm="1">
        <f t="array" ref="Z57">SUMPRODUCT((Z$45:Z$52)*($E$45:$E$52))+SUM(Z54:Z55)+Z42</f>
        <v>0</v>
      </c>
      <c r="AA57" s="106" cm="1">
        <f t="array" ref="AA57">SUMPRODUCT((AA$45:AA$52)*($E$45:$E$52))+SUM(AA54:AA55)+AA42</f>
        <v>0</v>
      </c>
      <c r="AB57" s="106" cm="1">
        <f t="array" ref="AB57">SUMPRODUCT((AB$45:AB$52)*($E$45:$E$52))+SUM(AB54:AB55)+AB42</f>
        <v>0</v>
      </c>
      <c r="AC57" s="106" cm="1">
        <f t="array" ref="AC57">SUMPRODUCT((AC$45:AC$52)*($E$45:$E$52))+SUM(AC54:AC55)+AC42</f>
        <v>0</v>
      </c>
      <c r="AD57" s="106" cm="1">
        <f t="array" ref="AD57">SUMPRODUCT((AD$45:AD$52)*($E$45:$E$52))+SUM(AD54:AD55)+AD42</f>
        <v>0</v>
      </c>
      <c r="AE57" s="106" cm="1">
        <f t="array" ref="AE57">SUMPRODUCT((AE$45:AE$52)*($E$45:$E$52))+SUM(AE54:AE55)+AE42</f>
        <v>0</v>
      </c>
      <c r="AF57" s="106" cm="1">
        <f t="array" ref="AF57">SUMPRODUCT((AF$45:AF$52)*($E$45:$E$52))+SUM(AF54:AF55)+AF42</f>
        <v>0</v>
      </c>
      <c r="AG57" s="106" cm="1">
        <f t="array" ref="AG57">SUMPRODUCT((AG$45:AG$52)*($E$45:$E$52))+SUM(AG54:AG55)+AG42</f>
        <v>0</v>
      </c>
    </row>
    <row r="58" spans="1:43" x14ac:dyDescent="0.2">
      <c r="D58" s="205"/>
      <c r="G58" s="205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5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4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8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2"/>
    </row>
    <row r="64" spans="1:43" x14ac:dyDescent="0.2">
      <c r="C64" s="4" t="s">
        <v>121</v>
      </c>
      <c r="G64" s="210">
        <f>input_dollars</f>
        <v>45291</v>
      </c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</row>
    <row r="65" spans="1:33" x14ac:dyDescent="0.2">
      <c r="G65" s="212"/>
    </row>
    <row r="66" spans="1:33" x14ac:dyDescent="0.2">
      <c r="A66" s="8"/>
      <c r="B66" s="8"/>
      <c r="C66" s="147" t="s">
        <v>30</v>
      </c>
      <c r="D66" s="38"/>
      <c r="F66" s="97"/>
      <c r="G66" s="213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&lt; Enter description &gt;</v>
      </c>
      <c r="D67" s="38"/>
      <c r="F67" s="97"/>
      <c r="G67" s="210">
        <f>input_dollars</f>
        <v>45291</v>
      </c>
      <c r="H67" s="31"/>
      <c r="I67" s="119">
        <f t="shared" ref="I67:AG67" si="5">-I14</f>
        <v>0</v>
      </c>
      <c r="J67" s="119">
        <f t="shared" si="5"/>
        <v>0</v>
      </c>
      <c r="K67" s="119">
        <f t="shared" si="5"/>
        <v>0</v>
      </c>
      <c r="L67" s="119">
        <f t="shared" si="5"/>
        <v>0</v>
      </c>
      <c r="M67" s="119">
        <f t="shared" si="5"/>
        <v>0</v>
      </c>
      <c r="N67" s="119">
        <f t="shared" si="5"/>
        <v>0</v>
      </c>
      <c r="O67" s="119">
        <f t="shared" si="5"/>
        <v>0</v>
      </c>
      <c r="P67" s="119">
        <f t="shared" si="5"/>
        <v>0</v>
      </c>
      <c r="Q67" s="119">
        <f t="shared" si="5"/>
        <v>0</v>
      </c>
      <c r="R67" s="119">
        <f t="shared" si="5"/>
        <v>0</v>
      </c>
      <c r="S67" s="119">
        <f t="shared" si="5"/>
        <v>0</v>
      </c>
      <c r="T67" s="119">
        <f t="shared" si="5"/>
        <v>0</v>
      </c>
      <c r="U67" s="119">
        <f t="shared" si="5"/>
        <v>0</v>
      </c>
      <c r="V67" s="119">
        <f t="shared" si="5"/>
        <v>0</v>
      </c>
      <c r="W67" s="119">
        <f t="shared" si="5"/>
        <v>0</v>
      </c>
      <c r="X67" s="119">
        <f t="shared" si="5"/>
        <v>0</v>
      </c>
      <c r="Y67" s="119">
        <f t="shared" si="5"/>
        <v>0</v>
      </c>
      <c r="Z67" s="119">
        <f t="shared" si="5"/>
        <v>0</v>
      </c>
      <c r="AA67" s="119">
        <f t="shared" si="5"/>
        <v>0</v>
      </c>
      <c r="AB67" s="119">
        <f t="shared" si="5"/>
        <v>0</v>
      </c>
      <c r="AC67" s="119">
        <f t="shared" si="5"/>
        <v>0</v>
      </c>
      <c r="AD67" s="119">
        <f t="shared" si="5"/>
        <v>0</v>
      </c>
      <c r="AE67" s="119">
        <f t="shared" si="5"/>
        <v>0</v>
      </c>
      <c r="AF67" s="119">
        <f t="shared" si="5"/>
        <v>0</v>
      </c>
      <c r="AG67" s="119">
        <f t="shared" si="5"/>
        <v>0</v>
      </c>
    </row>
    <row r="68" spans="1:33" x14ac:dyDescent="0.2">
      <c r="A68" s="8"/>
      <c r="B68" s="8"/>
      <c r="C68" s="4" t="str">
        <f>C15</f>
        <v>&lt; Enter description &gt;</v>
      </c>
      <c r="D68" s="38"/>
      <c r="F68" s="97"/>
      <c r="G68" s="210">
        <f>input_dollars</f>
        <v>45291</v>
      </c>
      <c r="H68" s="31"/>
      <c r="I68" s="119">
        <f t="shared" ref="I68:AG68" si="6">-I15</f>
        <v>0</v>
      </c>
      <c r="J68" s="119">
        <f t="shared" si="6"/>
        <v>0</v>
      </c>
      <c r="K68" s="119">
        <f t="shared" si="6"/>
        <v>0</v>
      </c>
      <c r="L68" s="119">
        <f t="shared" si="6"/>
        <v>0</v>
      </c>
      <c r="M68" s="119">
        <f t="shared" si="6"/>
        <v>0</v>
      </c>
      <c r="N68" s="119">
        <f t="shared" si="6"/>
        <v>0</v>
      </c>
      <c r="O68" s="119">
        <f t="shared" si="6"/>
        <v>0</v>
      </c>
      <c r="P68" s="119">
        <f t="shared" si="6"/>
        <v>0</v>
      </c>
      <c r="Q68" s="119">
        <f t="shared" si="6"/>
        <v>0</v>
      </c>
      <c r="R68" s="119">
        <f t="shared" si="6"/>
        <v>0</v>
      </c>
      <c r="S68" s="119">
        <f t="shared" si="6"/>
        <v>0</v>
      </c>
      <c r="T68" s="119">
        <f t="shared" si="6"/>
        <v>0</v>
      </c>
      <c r="U68" s="119">
        <f t="shared" si="6"/>
        <v>0</v>
      </c>
      <c r="V68" s="119">
        <f t="shared" si="6"/>
        <v>0</v>
      </c>
      <c r="W68" s="119">
        <f t="shared" si="6"/>
        <v>0</v>
      </c>
      <c r="X68" s="119">
        <f t="shared" si="6"/>
        <v>0</v>
      </c>
      <c r="Y68" s="119">
        <f t="shared" si="6"/>
        <v>0</v>
      </c>
      <c r="Z68" s="119">
        <f t="shared" si="6"/>
        <v>0</v>
      </c>
      <c r="AA68" s="119">
        <f t="shared" si="6"/>
        <v>0</v>
      </c>
      <c r="AB68" s="119">
        <f t="shared" si="6"/>
        <v>0</v>
      </c>
      <c r="AC68" s="119">
        <f t="shared" si="6"/>
        <v>0</v>
      </c>
      <c r="AD68" s="119">
        <f t="shared" si="6"/>
        <v>0</v>
      </c>
      <c r="AE68" s="119">
        <f t="shared" si="6"/>
        <v>0</v>
      </c>
      <c r="AF68" s="119">
        <f t="shared" si="6"/>
        <v>0</v>
      </c>
      <c r="AG68" s="119">
        <f t="shared" si="6"/>
        <v>0</v>
      </c>
    </row>
    <row r="69" spans="1:33" x14ac:dyDescent="0.2">
      <c r="A69" s="8"/>
      <c r="B69" s="8"/>
      <c r="C69" s="4" t="str">
        <f>C16</f>
        <v>&lt; Enter description &gt;</v>
      </c>
      <c r="D69" s="38"/>
      <c r="F69" s="97"/>
      <c r="G69" s="210">
        <f>input_dollars</f>
        <v>45291</v>
      </c>
      <c r="H69" s="31"/>
      <c r="I69" s="119">
        <f t="shared" ref="I69:AG69" si="7">-I16</f>
        <v>0</v>
      </c>
      <c r="J69" s="119">
        <f t="shared" si="7"/>
        <v>0</v>
      </c>
      <c r="K69" s="119">
        <f t="shared" si="7"/>
        <v>0</v>
      </c>
      <c r="L69" s="119">
        <f t="shared" si="7"/>
        <v>0</v>
      </c>
      <c r="M69" s="119">
        <f t="shared" si="7"/>
        <v>0</v>
      </c>
      <c r="N69" s="119">
        <f t="shared" si="7"/>
        <v>0</v>
      </c>
      <c r="O69" s="119">
        <f t="shared" si="7"/>
        <v>0</v>
      </c>
      <c r="P69" s="119">
        <f t="shared" si="7"/>
        <v>0</v>
      </c>
      <c r="Q69" s="119">
        <f t="shared" si="7"/>
        <v>0</v>
      </c>
      <c r="R69" s="119">
        <f t="shared" si="7"/>
        <v>0</v>
      </c>
      <c r="S69" s="119">
        <f t="shared" si="7"/>
        <v>0</v>
      </c>
      <c r="T69" s="119">
        <f t="shared" si="7"/>
        <v>0</v>
      </c>
      <c r="U69" s="119">
        <f t="shared" si="7"/>
        <v>0</v>
      </c>
      <c r="V69" s="119">
        <f t="shared" si="7"/>
        <v>0</v>
      </c>
      <c r="W69" s="119">
        <f t="shared" si="7"/>
        <v>0</v>
      </c>
      <c r="X69" s="119">
        <f t="shared" si="7"/>
        <v>0</v>
      </c>
      <c r="Y69" s="119">
        <f t="shared" si="7"/>
        <v>0</v>
      </c>
      <c r="Z69" s="119">
        <f t="shared" si="7"/>
        <v>0</v>
      </c>
      <c r="AA69" s="119">
        <f t="shared" si="7"/>
        <v>0</v>
      </c>
      <c r="AB69" s="119">
        <f t="shared" si="7"/>
        <v>0</v>
      </c>
      <c r="AC69" s="119">
        <f t="shared" si="7"/>
        <v>0</v>
      </c>
      <c r="AD69" s="119">
        <f t="shared" si="7"/>
        <v>0</v>
      </c>
      <c r="AE69" s="119">
        <f t="shared" si="7"/>
        <v>0</v>
      </c>
      <c r="AF69" s="119">
        <f t="shared" si="7"/>
        <v>0</v>
      </c>
      <c r="AG69" s="119">
        <f t="shared" si="7"/>
        <v>0</v>
      </c>
    </row>
    <row r="70" spans="1:33" x14ac:dyDescent="0.2">
      <c r="A70" s="8"/>
      <c r="B70" s="8"/>
      <c r="C70" s="4"/>
      <c r="D70" s="38"/>
      <c r="F70" s="97"/>
      <c r="G70" s="214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7" t="s">
        <v>155</v>
      </c>
      <c r="D71" s="38"/>
      <c r="F71" s="97"/>
      <c r="G71" s="213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&lt; Enter description &gt;</v>
      </c>
      <c r="D72" s="38"/>
      <c r="F72" s="97"/>
      <c r="G72" s="210">
        <f>input_dollars</f>
        <v>45291</v>
      </c>
      <c r="H72" s="31"/>
      <c r="I72" s="119" cm="1">
        <f t="array" ref="I72">SUMPRODUCT(($I67:I67))-SUMPRODUCT(($I67:I67)*($I$6:I$6&lt;=(I$6-$E14)))</f>
        <v>0</v>
      </c>
      <c r="J72" s="119" cm="1">
        <f t="array" ref="J72">SUMPRODUCT(($I67:J67))-SUMPRODUCT(($I67:J67)*($I$6:J$6&lt;=(J$6-$E14)))</f>
        <v>0</v>
      </c>
      <c r="K72" s="119" cm="1">
        <f t="array" ref="K72">SUMPRODUCT(($I67:K67))-SUMPRODUCT(($I67:K67)*($I$6:K$6&lt;=(K$6-$E14)))</f>
        <v>0</v>
      </c>
      <c r="L72" s="119" cm="1">
        <f t="array" ref="L72">SUMPRODUCT(($I67:L67))-SUMPRODUCT(($I67:L67)*($I$6:L$6&lt;=(L$6-$E14)))</f>
        <v>0</v>
      </c>
      <c r="M72" s="119" cm="1">
        <f t="array" ref="M72">SUMPRODUCT(($I67:M67))-SUMPRODUCT(($I67:M67)*($I$6:M$6&lt;=(M$6-$E14)))</f>
        <v>0</v>
      </c>
      <c r="N72" s="119" cm="1">
        <f t="array" ref="N72">SUMPRODUCT(($I67:N67))-SUMPRODUCT(($I67:N67)*($I$6:N$6&lt;=(N$6-$E14)))</f>
        <v>0</v>
      </c>
      <c r="O72" s="119" cm="1">
        <f t="array" ref="O72">SUMPRODUCT(($I67:O67))-SUMPRODUCT(($I67:O67)*($I$6:O$6&lt;=(O$6-$E14)))</f>
        <v>0</v>
      </c>
      <c r="P72" s="119" cm="1">
        <f t="array" ref="P72">SUMPRODUCT(($I67:P67))-SUMPRODUCT(($I67:P67)*($I$6:P$6&lt;=(P$6-$E14)))</f>
        <v>0</v>
      </c>
      <c r="Q72" s="119" cm="1">
        <f t="array" ref="Q72">SUMPRODUCT(($I67:Q67))-SUMPRODUCT(($I67:Q67)*($I$6:Q$6&lt;=(Q$6-$E14)))</f>
        <v>0</v>
      </c>
      <c r="R72" s="119" cm="1">
        <f t="array" ref="R72">SUMPRODUCT(($I67:R67))-SUMPRODUCT(($I67:R67)*($I$6:R$6&lt;=(R$6-$E14)))</f>
        <v>0</v>
      </c>
      <c r="S72" s="119" cm="1">
        <f t="array" ref="S72">SUMPRODUCT(($I67:S67))-SUMPRODUCT(($I67:S67)*($I$6:S$6&lt;=(S$6-$E14)))</f>
        <v>0</v>
      </c>
      <c r="T72" s="119" cm="1">
        <f t="array" ref="T72">SUMPRODUCT(($I67:T67))-SUMPRODUCT(($I67:T67)*($I$6:T$6&lt;=(T$6-$E14)))</f>
        <v>0</v>
      </c>
      <c r="U72" s="119" cm="1">
        <f t="array" ref="U72">SUMPRODUCT(($I67:U67))-SUMPRODUCT(($I67:U67)*($I$6:U$6&lt;=(U$6-$E14)))</f>
        <v>0</v>
      </c>
      <c r="V72" s="119" cm="1">
        <f t="array" ref="V72">SUMPRODUCT(($I67:V67))-SUMPRODUCT(($I67:V67)*($I$6:V$6&lt;=(V$6-$E14)))</f>
        <v>0</v>
      </c>
      <c r="W72" s="119" cm="1">
        <f t="array" ref="W72">SUMPRODUCT(($I67:W67))-SUMPRODUCT(($I67:W67)*($I$6:W$6&lt;=(W$6-$E14)))</f>
        <v>0</v>
      </c>
      <c r="X72" s="119" cm="1">
        <f t="array" ref="X72">SUMPRODUCT(($I67:X67))-SUMPRODUCT(($I67:X67)*($I$6:X$6&lt;=(X$6-$E14)))</f>
        <v>0</v>
      </c>
      <c r="Y72" s="119" cm="1">
        <f t="array" ref="Y72">SUMPRODUCT(($I67:Y67))-SUMPRODUCT(($I67:Y67)*($I$6:Y$6&lt;=(Y$6-$E14)))</f>
        <v>0</v>
      </c>
      <c r="Z72" s="119" cm="1">
        <f t="array" ref="Z72">SUMPRODUCT(($I67:Z67))-SUMPRODUCT(($I67:Z67)*($I$6:Z$6&lt;=(Z$6-$E14)))</f>
        <v>0</v>
      </c>
      <c r="AA72" s="119" cm="1">
        <f t="array" ref="AA72">SUMPRODUCT(($I67:AA67))-SUMPRODUCT(($I67:AA67)*($I$6:AA$6&lt;=(AA$6-$E14)))</f>
        <v>0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 t="str">
        <f>C15</f>
        <v>&lt; Enter description &gt;</v>
      </c>
      <c r="D73" s="38"/>
      <c r="F73" s="97"/>
      <c r="G73" s="210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 t="str">
        <f>C16</f>
        <v>&lt; Enter description &gt;</v>
      </c>
      <c r="D74" s="38"/>
      <c r="F74" s="97"/>
      <c r="G74" s="210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4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7" t="s">
        <v>91</v>
      </c>
      <c r="D76" s="38"/>
      <c r="F76" s="97"/>
      <c r="G76" s="213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&lt; Enter description &gt;</v>
      </c>
      <c r="D77" s="38"/>
      <c r="F77" s="97"/>
      <c r="G77" s="210">
        <f>input_dollars</f>
        <v>45291</v>
      </c>
      <c r="H77" s="31"/>
      <c r="I77" s="119">
        <f t="shared" ref="I77:AG77" si="8">IF($E14=0,0,-PMT(real_disc, $E14,H72,))</f>
        <v>0</v>
      </c>
      <c r="J77" s="119">
        <f t="shared" si="8"/>
        <v>0</v>
      </c>
      <c r="K77" s="119">
        <f t="shared" si="8"/>
        <v>0</v>
      </c>
      <c r="L77" s="119">
        <f t="shared" si="8"/>
        <v>0</v>
      </c>
      <c r="M77" s="119">
        <f t="shared" si="8"/>
        <v>0</v>
      </c>
      <c r="N77" s="119">
        <f t="shared" si="8"/>
        <v>0</v>
      </c>
      <c r="O77" s="119">
        <f t="shared" si="8"/>
        <v>0</v>
      </c>
      <c r="P77" s="119">
        <f t="shared" si="8"/>
        <v>0</v>
      </c>
      <c r="Q77" s="119">
        <f t="shared" si="8"/>
        <v>0</v>
      </c>
      <c r="R77" s="119">
        <f t="shared" si="8"/>
        <v>0</v>
      </c>
      <c r="S77" s="119">
        <f t="shared" si="8"/>
        <v>0</v>
      </c>
      <c r="T77" s="119">
        <f t="shared" si="8"/>
        <v>0</v>
      </c>
      <c r="U77" s="119">
        <f t="shared" si="8"/>
        <v>0</v>
      </c>
      <c r="V77" s="119">
        <f t="shared" si="8"/>
        <v>0</v>
      </c>
      <c r="W77" s="119">
        <f t="shared" si="8"/>
        <v>0</v>
      </c>
      <c r="X77" s="119">
        <f t="shared" si="8"/>
        <v>0</v>
      </c>
      <c r="Y77" s="119">
        <f t="shared" si="8"/>
        <v>0</v>
      </c>
      <c r="Z77" s="119">
        <f t="shared" si="8"/>
        <v>0</v>
      </c>
      <c r="AA77" s="119">
        <f t="shared" si="8"/>
        <v>0</v>
      </c>
      <c r="AB77" s="119">
        <f t="shared" si="8"/>
        <v>0</v>
      </c>
      <c r="AC77" s="119">
        <f t="shared" si="8"/>
        <v>0</v>
      </c>
      <c r="AD77" s="119">
        <f t="shared" si="8"/>
        <v>0</v>
      </c>
      <c r="AE77" s="119">
        <f t="shared" si="8"/>
        <v>0</v>
      </c>
      <c r="AF77" s="119">
        <f t="shared" si="8"/>
        <v>0</v>
      </c>
      <c r="AG77" s="119">
        <f t="shared" si="8"/>
        <v>0</v>
      </c>
    </row>
    <row r="78" spans="1:33" x14ac:dyDescent="0.2">
      <c r="A78" s="8"/>
      <c r="B78" s="8"/>
      <c r="C78" s="4" t="str">
        <f>$C$76&amp;" - "&amp;C15</f>
        <v>Annualised capex - &lt; Enter description &gt;</v>
      </c>
      <c r="D78" s="38"/>
      <c r="F78" s="97"/>
      <c r="G78" s="210">
        <f>input_dollars</f>
        <v>45291</v>
      </c>
      <c r="H78" s="31"/>
      <c r="I78" s="119">
        <f t="shared" ref="I78:AG78" si="9">IF($E15=0,0,-PMT(real_disc, $E15,H73,))</f>
        <v>0</v>
      </c>
      <c r="J78" s="119">
        <f t="shared" si="9"/>
        <v>0</v>
      </c>
      <c r="K78" s="119">
        <f t="shared" si="9"/>
        <v>0</v>
      </c>
      <c r="L78" s="119">
        <f t="shared" si="9"/>
        <v>0</v>
      </c>
      <c r="M78" s="119">
        <f t="shared" si="9"/>
        <v>0</v>
      </c>
      <c r="N78" s="119">
        <f t="shared" si="9"/>
        <v>0</v>
      </c>
      <c r="O78" s="119">
        <f t="shared" si="9"/>
        <v>0</v>
      </c>
      <c r="P78" s="119">
        <f t="shared" si="9"/>
        <v>0</v>
      </c>
      <c r="Q78" s="119">
        <f t="shared" si="9"/>
        <v>0</v>
      </c>
      <c r="R78" s="119">
        <f t="shared" si="9"/>
        <v>0</v>
      </c>
      <c r="S78" s="119">
        <f t="shared" si="9"/>
        <v>0</v>
      </c>
      <c r="T78" s="119">
        <f t="shared" si="9"/>
        <v>0</v>
      </c>
      <c r="U78" s="119">
        <f t="shared" si="9"/>
        <v>0</v>
      </c>
      <c r="V78" s="119">
        <f t="shared" si="9"/>
        <v>0</v>
      </c>
      <c r="W78" s="119">
        <f t="shared" si="9"/>
        <v>0</v>
      </c>
      <c r="X78" s="119">
        <f t="shared" si="9"/>
        <v>0</v>
      </c>
      <c r="Y78" s="119">
        <f t="shared" si="9"/>
        <v>0</v>
      </c>
      <c r="Z78" s="119">
        <f t="shared" si="9"/>
        <v>0</v>
      </c>
      <c r="AA78" s="119">
        <f t="shared" si="9"/>
        <v>0</v>
      </c>
      <c r="AB78" s="119">
        <f t="shared" si="9"/>
        <v>0</v>
      </c>
      <c r="AC78" s="119">
        <f t="shared" si="9"/>
        <v>0</v>
      </c>
      <c r="AD78" s="119">
        <f t="shared" si="9"/>
        <v>0</v>
      </c>
      <c r="AE78" s="119">
        <f t="shared" si="9"/>
        <v>0</v>
      </c>
      <c r="AF78" s="119">
        <f t="shared" si="9"/>
        <v>0</v>
      </c>
      <c r="AG78" s="119">
        <f t="shared" si="9"/>
        <v>0</v>
      </c>
    </row>
    <row r="79" spans="1:33" x14ac:dyDescent="0.2">
      <c r="A79" s="8"/>
      <c r="B79" s="8"/>
      <c r="C79" s="4" t="str">
        <f>$C$76&amp;" - "&amp;C16</f>
        <v>Annualised capex - &lt; Enter description &gt;</v>
      </c>
      <c r="D79" s="38"/>
      <c r="F79" s="97"/>
      <c r="G79" s="210">
        <f>input_dollars</f>
        <v>45291</v>
      </c>
      <c r="H79" s="31"/>
      <c r="I79" s="119">
        <f t="shared" ref="I79:AG79" si="10">IF($E16=0,0,-PMT(real_disc, $E16,H74,))</f>
        <v>0</v>
      </c>
      <c r="J79" s="119">
        <f t="shared" si="10"/>
        <v>0</v>
      </c>
      <c r="K79" s="119">
        <f t="shared" si="10"/>
        <v>0</v>
      </c>
      <c r="L79" s="119">
        <f t="shared" si="10"/>
        <v>0</v>
      </c>
      <c r="M79" s="119">
        <f t="shared" si="10"/>
        <v>0</v>
      </c>
      <c r="N79" s="119">
        <f t="shared" si="10"/>
        <v>0</v>
      </c>
      <c r="O79" s="119">
        <f t="shared" si="10"/>
        <v>0</v>
      </c>
      <c r="P79" s="119">
        <f t="shared" si="10"/>
        <v>0</v>
      </c>
      <c r="Q79" s="119">
        <f t="shared" si="10"/>
        <v>0</v>
      </c>
      <c r="R79" s="119">
        <f t="shared" si="10"/>
        <v>0</v>
      </c>
      <c r="S79" s="119">
        <f t="shared" si="10"/>
        <v>0</v>
      </c>
      <c r="T79" s="119">
        <f t="shared" si="10"/>
        <v>0</v>
      </c>
      <c r="U79" s="119">
        <f t="shared" si="10"/>
        <v>0</v>
      </c>
      <c r="V79" s="119">
        <f t="shared" si="10"/>
        <v>0</v>
      </c>
      <c r="W79" s="119">
        <f t="shared" si="10"/>
        <v>0</v>
      </c>
      <c r="X79" s="119">
        <f t="shared" si="10"/>
        <v>0</v>
      </c>
      <c r="Y79" s="119">
        <f t="shared" si="10"/>
        <v>0</v>
      </c>
      <c r="Z79" s="119">
        <f t="shared" si="10"/>
        <v>0</v>
      </c>
      <c r="AA79" s="119">
        <f t="shared" si="10"/>
        <v>0</v>
      </c>
      <c r="AB79" s="119">
        <f t="shared" si="10"/>
        <v>0</v>
      </c>
      <c r="AC79" s="119">
        <f t="shared" si="10"/>
        <v>0</v>
      </c>
      <c r="AD79" s="119">
        <f t="shared" si="10"/>
        <v>0</v>
      </c>
      <c r="AE79" s="119">
        <f t="shared" si="10"/>
        <v>0</v>
      </c>
      <c r="AF79" s="119">
        <f t="shared" si="10"/>
        <v>0</v>
      </c>
      <c r="AG79" s="119">
        <f t="shared" si="10"/>
        <v>0</v>
      </c>
    </row>
    <row r="80" spans="1:33" x14ac:dyDescent="0.2">
      <c r="A80" s="8"/>
      <c r="B80" s="8"/>
      <c r="C80" s="172" t="s">
        <v>156</v>
      </c>
      <c r="D80" s="172"/>
      <c r="E80" s="173"/>
      <c r="F80" s="174"/>
      <c r="G80" s="215">
        <f>input_dollars</f>
        <v>45291</v>
      </c>
      <c r="H80" s="175"/>
      <c r="I80" s="176">
        <f>SUM(I77:I79)</f>
        <v>0</v>
      </c>
      <c r="J80" s="176">
        <f t="shared" ref="J80:AB80" si="11">SUM(J77:J79)</f>
        <v>0</v>
      </c>
      <c r="K80" s="176">
        <f t="shared" si="11"/>
        <v>0</v>
      </c>
      <c r="L80" s="176">
        <f t="shared" si="11"/>
        <v>0</v>
      </c>
      <c r="M80" s="176">
        <f t="shared" si="11"/>
        <v>0</v>
      </c>
      <c r="N80" s="176">
        <f t="shared" si="11"/>
        <v>0</v>
      </c>
      <c r="O80" s="176">
        <f t="shared" si="11"/>
        <v>0</v>
      </c>
      <c r="P80" s="176">
        <f t="shared" si="11"/>
        <v>0</v>
      </c>
      <c r="Q80" s="176">
        <f t="shared" si="11"/>
        <v>0</v>
      </c>
      <c r="R80" s="176">
        <f t="shared" si="11"/>
        <v>0</v>
      </c>
      <c r="S80" s="176">
        <f t="shared" si="11"/>
        <v>0</v>
      </c>
      <c r="T80" s="176">
        <f t="shared" si="11"/>
        <v>0</v>
      </c>
      <c r="U80" s="176">
        <f t="shared" si="11"/>
        <v>0</v>
      </c>
      <c r="V80" s="176">
        <f t="shared" si="11"/>
        <v>0</v>
      </c>
      <c r="W80" s="176">
        <f t="shared" si="11"/>
        <v>0</v>
      </c>
      <c r="X80" s="176">
        <f t="shared" si="11"/>
        <v>0</v>
      </c>
      <c r="Y80" s="176">
        <f t="shared" si="11"/>
        <v>0</v>
      </c>
      <c r="Z80" s="176">
        <f t="shared" si="11"/>
        <v>0</v>
      </c>
      <c r="AA80" s="176">
        <f t="shared" si="11"/>
        <v>0</v>
      </c>
      <c r="AB80" s="176">
        <f t="shared" si="11"/>
        <v>0</v>
      </c>
      <c r="AC80" s="176">
        <f>SUM(AC77:AC79)</f>
        <v>0</v>
      </c>
      <c r="AD80" s="176">
        <f>SUM(AD77:AD79)</f>
        <v>0</v>
      </c>
      <c r="AE80" s="176">
        <f>SUM(AE77:AE79)</f>
        <v>0</v>
      </c>
      <c r="AF80" s="176">
        <f>SUM(AF77:AF79)</f>
        <v>0</v>
      </c>
      <c r="AG80" s="176">
        <f>SUM(AG77:AG79)</f>
        <v>0</v>
      </c>
    </row>
    <row r="81" spans="1:33" x14ac:dyDescent="0.2">
      <c r="A81" s="8"/>
      <c r="B81" s="8"/>
      <c r="C81" s="75"/>
      <c r="D81" s="38"/>
      <c r="F81"/>
      <c r="G81" s="216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0">
        <f t="shared" ref="G82:G87" si="12">input_dollars</f>
        <v>45291</v>
      </c>
      <c r="H82" s="31"/>
      <c r="I82" s="119">
        <f>I80</f>
        <v>0</v>
      </c>
      <c r="J82" s="119">
        <f t="shared" ref="J82:AB82" si="13">J80</f>
        <v>0</v>
      </c>
      <c r="K82" s="119">
        <f t="shared" si="13"/>
        <v>0</v>
      </c>
      <c r="L82" s="119">
        <f t="shared" si="13"/>
        <v>0</v>
      </c>
      <c r="M82" s="119">
        <f t="shared" si="13"/>
        <v>0</v>
      </c>
      <c r="N82" s="119">
        <f t="shared" si="13"/>
        <v>0</v>
      </c>
      <c r="O82" s="119">
        <f t="shared" si="13"/>
        <v>0</v>
      </c>
      <c r="P82" s="119">
        <f t="shared" si="13"/>
        <v>0</v>
      </c>
      <c r="Q82" s="119">
        <f t="shared" si="13"/>
        <v>0</v>
      </c>
      <c r="R82" s="119">
        <f t="shared" si="13"/>
        <v>0</v>
      </c>
      <c r="S82" s="119">
        <f t="shared" si="13"/>
        <v>0</v>
      </c>
      <c r="T82" s="119">
        <f t="shared" si="13"/>
        <v>0</v>
      </c>
      <c r="U82" s="119">
        <f t="shared" si="13"/>
        <v>0</v>
      </c>
      <c r="V82" s="119">
        <f t="shared" si="13"/>
        <v>0</v>
      </c>
      <c r="W82" s="119">
        <f t="shared" si="13"/>
        <v>0</v>
      </c>
      <c r="X82" s="119">
        <f t="shared" si="13"/>
        <v>0</v>
      </c>
      <c r="Y82" s="119">
        <f t="shared" si="13"/>
        <v>0</v>
      </c>
      <c r="Z82" s="119">
        <f t="shared" si="13"/>
        <v>0</v>
      </c>
      <c r="AA82" s="119">
        <f t="shared" si="13"/>
        <v>0</v>
      </c>
      <c r="AB82" s="119">
        <f t="shared" si="13"/>
        <v>0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0">
        <f t="shared" si="12"/>
        <v>45291</v>
      </c>
      <c r="H83" s="31"/>
      <c r="I83" s="31">
        <f t="shared" ref="I83:AG83" si="14">-I19</f>
        <v>0</v>
      </c>
      <c r="J83" s="31">
        <f t="shared" si="14"/>
        <v>0</v>
      </c>
      <c r="K83" s="31">
        <f t="shared" si="14"/>
        <v>0</v>
      </c>
      <c r="L83" s="31">
        <f t="shared" si="14"/>
        <v>0</v>
      </c>
      <c r="M83" s="31">
        <f t="shared" si="14"/>
        <v>0</v>
      </c>
      <c r="N83" s="31">
        <f t="shared" si="14"/>
        <v>0</v>
      </c>
      <c r="O83" s="31">
        <f t="shared" si="14"/>
        <v>0</v>
      </c>
      <c r="P83" s="31">
        <f t="shared" si="14"/>
        <v>0</v>
      </c>
      <c r="Q83" s="31">
        <f t="shared" si="14"/>
        <v>0</v>
      </c>
      <c r="R83" s="31">
        <f t="shared" si="14"/>
        <v>0</v>
      </c>
      <c r="S83" s="31">
        <f t="shared" si="14"/>
        <v>0</v>
      </c>
      <c r="T83" s="31">
        <f t="shared" si="14"/>
        <v>0</v>
      </c>
      <c r="U83" s="31">
        <f t="shared" si="14"/>
        <v>0</v>
      </c>
      <c r="V83" s="31">
        <f t="shared" si="14"/>
        <v>0</v>
      </c>
      <c r="W83" s="31">
        <f t="shared" si="14"/>
        <v>0</v>
      </c>
      <c r="X83" s="31">
        <f t="shared" si="14"/>
        <v>0</v>
      </c>
      <c r="Y83" s="31">
        <f t="shared" si="14"/>
        <v>0</v>
      </c>
      <c r="Z83" s="31">
        <f t="shared" si="14"/>
        <v>0</v>
      </c>
      <c r="AA83" s="31">
        <f t="shared" si="14"/>
        <v>0</v>
      </c>
      <c r="AB83" s="31">
        <f t="shared" si="14"/>
        <v>0</v>
      </c>
      <c r="AC83" s="31">
        <f t="shared" si="14"/>
        <v>0</v>
      </c>
      <c r="AD83" s="31">
        <f t="shared" si="14"/>
        <v>0</v>
      </c>
      <c r="AE83" s="31">
        <f t="shared" si="14"/>
        <v>0</v>
      </c>
      <c r="AF83" s="31">
        <f t="shared" si="14"/>
        <v>0</v>
      </c>
      <c r="AG83" s="31">
        <f t="shared" si="14"/>
        <v>0</v>
      </c>
    </row>
    <row r="84" spans="1:33" x14ac:dyDescent="0.2">
      <c r="A84" s="8"/>
      <c r="B84" s="8"/>
      <c r="C84" s="4" t="s">
        <v>139</v>
      </c>
      <c r="D84" s="38"/>
      <c r="F84" s="97"/>
      <c r="G84" s="210">
        <f t="shared" si="12"/>
        <v>45291</v>
      </c>
      <c r="H84" s="31"/>
      <c r="I84" s="31">
        <f>I64</f>
        <v>0</v>
      </c>
      <c r="J84" s="31">
        <f t="shared" ref="J84:AB84" si="15">J64</f>
        <v>0</v>
      </c>
      <c r="K84" s="31">
        <f t="shared" si="15"/>
        <v>0</v>
      </c>
      <c r="L84" s="31">
        <f t="shared" si="15"/>
        <v>0</v>
      </c>
      <c r="M84" s="31">
        <f t="shared" si="15"/>
        <v>0</v>
      </c>
      <c r="N84" s="31">
        <f t="shared" si="15"/>
        <v>0</v>
      </c>
      <c r="O84" s="31">
        <f t="shared" si="15"/>
        <v>0</v>
      </c>
      <c r="P84" s="31">
        <f t="shared" si="15"/>
        <v>0</v>
      </c>
      <c r="Q84" s="31">
        <f t="shared" si="15"/>
        <v>0</v>
      </c>
      <c r="R84" s="31">
        <f t="shared" si="15"/>
        <v>0</v>
      </c>
      <c r="S84" s="31">
        <f t="shared" si="15"/>
        <v>0</v>
      </c>
      <c r="T84" s="31">
        <f t="shared" si="15"/>
        <v>0</v>
      </c>
      <c r="U84" s="31">
        <f t="shared" si="15"/>
        <v>0</v>
      </c>
      <c r="V84" s="31">
        <f t="shared" si="15"/>
        <v>0</v>
      </c>
      <c r="W84" s="31">
        <f t="shared" si="15"/>
        <v>0</v>
      </c>
      <c r="X84" s="31">
        <f t="shared" si="15"/>
        <v>0</v>
      </c>
      <c r="Y84" s="31">
        <f t="shared" si="15"/>
        <v>0</v>
      </c>
      <c r="Z84" s="31">
        <f t="shared" si="15"/>
        <v>0</v>
      </c>
      <c r="AA84" s="31">
        <f t="shared" si="15"/>
        <v>0</v>
      </c>
      <c r="AB84" s="31">
        <f t="shared" si="15"/>
        <v>0</v>
      </c>
      <c r="AC84" s="31">
        <f>AC64</f>
        <v>0</v>
      </c>
      <c r="AD84" s="31">
        <f>AD64</f>
        <v>0</v>
      </c>
      <c r="AE84" s="31">
        <f>AE64</f>
        <v>0</v>
      </c>
      <c r="AF84" s="31">
        <f>AF64</f>
        <v>0</v>
      </c>
      <c r="AG84" s="31">
        <f>AG64</f>
        <v>0</v>
      </c>
    </row>
    <row r="85" spans="1:33" x14ac:dyDescent="0.2">
      <c r="A85" s="8"/>
      <c r="B85" s="8"/>
      <c r="C85" s="4" t="s">
        <v>122</v>
      </c>
      <c r="D85" s="38"/>
      <c r="F85" s="97"/>
      <c r="G85" s="210">
        <f t="shared" si="12"/>
        <v>45291</v>
      </c>
      <c r="H85" s="31"/>
      <c r="I85" s="31">
        <f t="shared" ref="I85:AG85" si="16">I57</f>
        <v>0</v>
      </c>
      <c r="J85" s="31">
        <f t="shared" si="16"/>
        <v>0</v>
      </c>
      <c r="K85" s="31">
        <f t="shared" si="16"/>
        <v>0</v>
      </c>
      <c r="L85" s="31">
        <f t="shared" si="16"/>
        <v>0</v>
      </c>
      <c r="M85" s="31">
        <f t="shared" si="16"/>
        <v>0</v>
      </c>
      <c r="N85" s="31">
        <f t="shared" si="16"/>
        <v>0</v>
      </c>
      <c r="O85" s="31">
        <f t="shared" si="16"/>
        <v>0</v>
      </c>
      <c r="P85" s="31">
        <f t="shared" si="16"/>
        <v>0</v>
      </c>
      <c r="Q85" s="31">
        <f t="shared" si="16"/>
        <v>0</v>
      </c>
      <c r="R85" s="31">
        <f t="shared" si="16"/>
        <v>0</v>
      </c>
      <c r="S85" s="31">
        <f t="shared" si="16"/>
        <v>0</v>
      </c>
      <c r="T85" s="31">
        <f t="shared" si="16"/>
        <v>0</v>
      </c>
      <c r="U85" s="31">
        <f t="shared" si="16"/>
        <v>0</v>
      </c>
      <c r="V85" s="31">
        <f t="shared" si="16"/>
        <v>0</v>
      </c>
      <c r="W85" s="31">
        <f t="shared" si="16"/>
        <v>0</v>
      </c>
      <c r="X85" s="31">
        <f t="shared" si="16"/>
        <v>0</v>
      </c>
      <c r="Y85" s="31">
        <f t="shared" si="16"/>
        <v>0</v>
      </c>
      <c r="Z85" s="31">
        <f t="shared" si="16"/>
        <v>0</v>
      </c>
      <c r="AA85" s="31">
        <f t="shared" si="16"/>
        <v>0</v>
      </c>
      <c r="AB85" s="31">
        <f t="shared" si="16"/>
        <v>0</v>
      </c>
      <c r="AC85" s="31">
        <f t="shared" si="16"/>
        <v>0</v>
      </c>
      <c r="AD85" s="31">
        <f t="shared" si="16"/>
        <v>0</v>
      </c>
      <c r="AE85" s="31">
        <f t="shared" si="16"/>
        <v>0</v>
      </c>
      <c r="AF85" s="31">
        <f t="shared" si="16"/>
        <v>0</v>
      </c>
      <c r="AG85" s="31">
        <f t="shared" si="16"/>
        <v>0</v>
      </c>
    </row>
    <row r="86" spans="1:33" x14ac:dyDescent="0.2">
      <c r="A86" s="8"/>
      <c r="B86" s="8"/>
      <c r="C86" s="4"/>
      <c r="D86" s="38"/>
      <c r="F86" s="31"/>
      <c r="G86" s="210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80" t="s">
        <v>186</v>
      </c>
      <c r="D87" s="178"/>
      <c r="E87" s="173"/>
      <c r="F87" s="179"/>
      <c r="G87" s="215">
        <f t="shared" si="12"/>
        <v>45291</v>
      </c>
      <c r="H87" s="179"/>
      <c r="I87" s="179">
        <f t="shared" ref="I87:AB87" si="17">SUM(I82:I86)</f>
        <v>0</v>
      </c>
      <c r="J87" s="179">
        <f t="shared" si="17"/>
        <v>0</v>
      </c>
      <c r="K87" s="179">
        <f t="shared" si="17"/>
        <v>0</v>
      </c>
      <c r="L87" s="179">
        <f t="shared" si="17"/>
        <v>0</v>
      </c>
      <c r="M87" s="179">
        <f t="shared" si="17"/>
        <v>0</v>
      </c>
      <c r="N87" s="179">
        <f t="shared" si="17"/>
        <v>0</v>
      </c>
      <c r="O87" s="179">
        <f t="shared" si="17"/>
        <v>0</v>
      </c>
      <c r="P87" s="179">
        <f t="shared" si="17"/>
        <v>0</v>
      </c>
      <c r="Q87" s="179">
        <f t="shared" si="17"/>
        <v>0</v>
      </c>
      <c r="R87" s="179">
        <f t="shared" si="17"/>
        <v>0</v>
      </c>
      <c r="S87" s="179">
        <f t="shared" si="17"/>
        <v>0</v>
      </c>
      <c r="T87" s="179">
        <f t="shared" si="17"/>
        <v>0</v>
      </c>
      <c r="U87" s="179">
        <f t="shared" si="17"/>
        <v>0</v>
      </c>
      <c r="V87" s="179">
        <f t="shared" si="17"/>
        <v>0</v>
      </c>
      <c r="W87" s="179">
        <f t="shared" si="17"/>
        <v>0</v>
      </c>
      <c r="X87" s="179">
        <f t="shared" si="17"/>
        <v>0</v>
      </c>
      <c r="Y87" s="179">
        <f t="shared" si="17"/>
        <v>0</v>
      </c>
      <c r="Z87" s="179">
        <f t="shared" si="17"/>
        <v>0</v>
      </c>
      <c r="AA87" s="179">
        <f t="shared" si="17"/>
        <v>0</v>
      </c>
      <c r="AB87" s="179">
        <f t="shared" si="17"/>
        <v>0</v>
      </c>
      <c r="AC87" s="179">
        <f>SUM(AC82:AC86)</f>
        <v>0</v>
      </c>
      <c r="AD87" s="179">
        <f>SUM(AD82:AD86)</f>
        <v>0</v>
      </c>
      <c r="AE87" s="179">
        <f>SUM(AE82:AE86)</f>
        <v>0</v>
      </c>
      <c r="AF87" s="179">
        <f>SUM(AF82:AF86)</f>
        <v>0</v>
      </c>
      <c r="AG87" s="179">
        <f>SUM(AG82:AG86)</f>
        <v>0</v>
      </c>
    </row>
    <row r="88" spans="1:33" x14ac:dyDescent="0.2">
      <c r="A88" s="8"/>
      <c r="B88" s="8"/>
      <c r="C88" s="75"/>
      <c r="D88" s="138"/>
      <c r="E88" s="64"/>
      <c r="F88" s="140"/>
      <c r="G88" s="217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8"/>
      <c r="E89" s="64"/>
      <c r="F89" s="140"/>
      <c r="G89" s="217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0"/>
      <c r="D90" s="82"/>
      <c r="E90" s="231"/>
      <c r="F90" s="232"/>
      <c r="G90" s="231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231"/>
      <c r="D91" s="231"/>
      <c r="E91" s="231"/>
      <c r="F91" s="231"/>
      <c r="G91" s="231"/>
    </row>
    <row r="92" spans="1:33" x14ac:dyDescent="0.2">
      <c r="C92" s="231"/>
      <c r="D92" s="231"/>
      <c r="E92" s="231"/>
      <c r="F92" s="231"/>
      <c r="G92" s="231"/>
    </row>
    <row r="94" spans="1:33" x14ac:dyDescent="0.2">
      <c r="G94" s="12"/>
    </row>
    <row r="102" spans="1:43" ht="15" x14ac:dyDescent="0.2">
      <c r="A102" s="89" t="s">
        <v>216</v>
      </c>
      <c r="B102" s="89"/>
      <c r="C102" s="89"/>
      <c r="D102" s="89"/>
      <c r="E102" s="89"/>
      <c r="F102" s="89"/>
      <c r="G102" s="204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</row>
    <row r="105" spans="1:43" x14ac:dyDescent="0.2">
      <c r="E105"/>
      <c r="F105"/>
      <c r="G105"/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</row>
    <row r="106" spans="1:43" x14ac:dyDescent="0.2">
      <c r="A106" s="1" t="s">
        <v>119</v>
      </c>
      <c r="C106" s="1" t="s">
        <v>186</v>
      </c>
      <c r="D106"/>
      <c r="E106"/>
      <c r="F106"/>
      <c r="G106" s="38" t="str">
        <f>PROPER($A$3)&amp;A106</f>
        <v>Option 1 (Base Case)NPV</v>
      </c>
      <c r="I106" s="31">
        <f>I87</f>
        <v>0</v>
      </c>
      <c r="J106" s="31">
        <f t="shared" ref="J106:AG106" si="18">J87</f>
        <v>0</v>
      </c>
      <c r="K106" s="31">
        <f t="shared" si="18"/>
        <v>0</v>
      </c>
      <c r="L106" s="31">
        <f t="shared" si="18"/>
        <v>0</v>
      </c>
      <c r="M106" s="31">
        <f t="shared" si="18"/>
        <v>0</v>
      </c>
      <c r="N106" s="31">
        <f t="shared" si="18"/>
        <v>0</v>
      </c>
      <c r="O106" s="31">
        <f t="shared" si="18"/>
        <v>0</v>
      </c>
      <c r="P106" s="31">
        <f t="shared" si="18"/>
        <v>0</v>
      </c>
      <c r="Q106" s="31">
        <f t="shared" si="18"/>
        <v>0</v>
      </c>
      <c r="R106" s="31">
        <f t="shared" si="18"/>
        <v>0</v>
      </c>
      <c r="S106" s="31">
        <f t="shared" si="18"/>
        <v>0</v>
      </c>
      <c r="T106" s="31">
        <f t="shared" si="18"/>
        <v>0</v>
      </c>
      <c r="U106" s="31">
        <f t="shared" si="18"/>
        <v>0</v>
      </c>
      <c r="V106" s="31">
        <f t="shared" si="18"/>
        <v>0</v>
      </c>
      <c r="W106" s="31">
        <f t="shared" si="18"/>
        <v>0</v>
      </c>
      <c r="X106" s="31">
        <f t="shared" si="18"/>
        <v>0</v>
      </c>
      <c r="Y106" s="31">
        <f t="shared" si="18"/>
        <v>0</v>
      </c>
      <c r="Z106" s="31">
        <f t="shared" si="18"/>
        <v>0</v>
      </c>
      <c r="AA106" s="31">
        <f t="shared" si="18"/>
        <v>0</v>
      </c>
      <c r="AB106" s="31">
        <f t="shared" si="18"/>
        <v>0</v>
      </c>
      <c r="AC106" s="31">
        <f t="shared" si="18"/>
        <v>0</v>
      </c>
      <c r="AD106" s="31">
        <f t="shared" si="18"/>
        <v>0</v>
      </c>
      <c r="AE106" s="31">
        <f t="shared" si="18"/>
        <v>0</v>
      </c>
      <c r="AF106" s="31">
        <f t="shared" si="18"/>
        <v>0</v>
      </c>
      <c r="AG106" s="31">
        <f t="shared" si="18"/>
        <v>0</v>
      </c>
    </row>
    <row r="107" spans="1:43" x14ac:dyDescent="0.2">
      <c r="C107" s="1" t="s">
        <v>156</v>
      </c>
      <c r="D107"/>
      <c r="E107"/>
      <c r="F107"/>
      <c r="G107"/>
      <c r="I107" s="31">
        <f>I82</f>
        <v>0</v>
      </c>
      <c r="J107" s="31">
        <f t="shared" ref="J107:AG107" si="19">J82</f>
        <v>0</v>
      </c>
      <c r="K107" s="31">
        <f t="shared" si="19"/>
        <v>0</v>
      </c>
      <c r="L107" s="31">
        <f t="shared" si="19"/>
        <v>0</v>
      </c>
      <c r="M107" s="31">
        <f t="shared" si="19"/>
        <v>0</v>
      </c>
      <c r="N107" s="31">
        <f t="shared" si="19"/>
        <v>0</v>
      </c>
      <c r="O107" s="31">
        <f t="shared" si="19"/>
        <v>0</v>
      </c>
      <c r="P107" s="31">
        <f t="shared" si="19"/>
        <v>0</v>
      </c>
      <c r="Q107" s="31">
        <f t="shared" si="19"/>
        <v>0</v>
      </c>
      <c r="R107" s="31">
        <f t="shared" si="19"/>
        <v>0</v>
      </c>
      <c r="S107" s="31">
        <f t="shared" si="19"/>
        <v>0</v>
      </c>
      <c r="T107" s="31">
        <f t="shared" si="19"/>
        <v>0</v>
      </c>
      <c r="U107" s="31">
        <f t="shared" si="19"/>
        <v>0</v>
      </c>
      <c r="V107" s="31">
        <f t="shared" si="19"/>
        <v>0</v>
      </c>
      <c r="W107" s="31">
        <f t="shared" si="19"/>
        <v>0</v>
      </c>
      <c r="X107" s="31">
        <f t="shared" si="19"/>
        <v>0</v>
      </c>
      <c r="Y107" s="31">
        <f t="shared" si="19"/>
        <v>0</v>
      </c>
      <c r="Z107" s="31">
        <f t="shared" si="19"/>
        <v>0</v>
      </c>
      <c r="AA107" s="31">
        <f t="shared" si="19"/>
        <v>0</v>
      </c>
      <c r="AB107" s="31">
        <f t="shared" si="19"/>
        <v>0</v>
      </c>
      <c r="AC107" s="31">
        <f t="shared" si="19"/>
        <v>0</v>
      </c>
      <c r="AD107" s="31">
        <f t="shared" si="19"/>
        <v>0</v>
      </c>
      <c r="AE107" s="31">
        <f t="shared" si="19"/>
        <v>0</v>
      </c>
      <c r="AF107" s="31">
        <f t="shared" si="19"/>
        <v>0</v>
      </c>
      <c r="AG107" s="31">
        <f t="shared" si="19"/>
        <v>0</v>
      </c>
    </row>
    <row r="108" spans="1:43" x14ac:dyDescent="0.2">
      <c r="C108" s="1" t="s">
        <v>239</v>
      </c>
      <c r="D108" s="252"/>
      <c r="E108" s="38"/>
      <c r="I108" s="31">
        <f>SUM(I84:I85)</f>
        <v>0</v>
      </c>
      <c r="J108" s="31">
        <f t="shared" ref="J108:AG108" si="20">SUM(J84:J85)</f>
        <v>0</v>
      </c>
      <c r="K108" s="31">
        <f t="shared" si="20"/>
        <v>0</v>
      </c>
      <c r="L108" s="31">
        <f t="shared" si="20"/>
        <v>0</v>
      </c>
      <c r="M108" s="31">
        <f t="shared" si="20"/>
        <v>0</v>
      </c>
      <c r="N108" s="31">
        <f t="shared" si="20"/>
        <v>0</v>
      </c>
      <c r="O108" s="31">
        <f t="shared" si="20"/>
        <v>0</v>
      </c>
      <c r="P108" s="31">
        <f t="shared" si="20"/>
        <v>0</v>
      </c>
      <c r="Q108" s="31">
        <f t="shared" si="20"/>
        <v>0</v>
      </c>
      <c r="R108" s="31">
        <f t="shared" si="20"/>
        <v>0</v>
      </c>
      <c r="S108" s="31">
        <f t="shared" si="20"/>
        <v>0</v>
      </c>
      <c r="T108" s="31">
        <f t="shared" si="20"/>
        <v>0</v>
      </c>
      <c r="U108" s="31">
        <f t="shared" si="20"/>
        <v>0</v>
      </c>
      <c r="V108" s="31">
        <f t="shared" si="20"/>
        <v>0</v>
      </c>
      <c r="W108" s="31">
        <f t="shared" si="20"/>
        <v>0</v>
      </c>
      <c r="X108" s="31">
        <f t="shared" si="20"/>
        <v>0</v>
      </c>
      <c r="Y108" s="31">
        <f t="shared" si="20"/>
        <v>0</v>
      </c>
      <c r="Z108" s="31">
        <f t="shared" si="20"/>
        <v>0</v>
      </c>
      <c r="AA108" s="31">
        <f t="shared" si="20"/>
        <v>0</v>
      </c>
      <c r="AB108" s="31">
        <f t="shared" si="20"/>
        <v>0</v>
      </c>
      <c r="AC108" s="31">
        <f t="shared" si="20"/>
        <v>0</v>
      </c>
      <c r="AD108" s="31">
        <f t="shared" si="20"/>
        <v>0</v>
      </c>
      <c r="AE108" s="31">
        <f t="shared" si="20"/>
        <v>0</v>
      </c>
      <c r="AF108" s="31">
        <f t="shared" si="20"/>
        <v>0</v>
      </c>
      <c r="AG108" s="31">
        <f t="shared" si="20"/>
        <v>0</v>
      </c>
    </row>
    <row r="109" spans="1:43" x14ac:dyDescent="0.2">
      <c r="D109" s="301" t="str">
        <f>Assumptions!G110</f>
        <v>Capex</v>
      </c>
      <c r="E109" s="301" t="str">
        <f>Assumptions!H110</f>
        <v>Total benefits</v>
      </c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</row>
    <row r="110" spans="1:43" x14ac:dyDescent="0.2">
      <c r="A110" s="1" t="str">
        <f>"sens"&amp;Assumptions!B111</f>
        <v>sens1</v>
      </c>
      <c r="C110" s="300" t="str">
        <f>Assumptions!C111</f>
        <v>Capex 10% higher</v>
      </c>
      <c r="D110" s="301">
        <f>Assumptions!G111</f>
        <v>0.1</v>
      </c>
      <c r="E110" s="301">
        <f>Assumptions!H111</f>
        <v>0</v>
      </c>
      <c r="G110" s="38" t="str">
        <f>PROPER($A$3)&amp;A110</f>
        <v>Option 1 (Base Case)sens1</v>
      </c>
      <c r="I110" s="31" cm="1">
        <f t="array" ref="I110">I$106+IF($C110&lt;&gt;0,SUMPRODUCT((I$107:I$108)*TRANSPOSE(($D110:$E110))),0)</f>
        <v>0</v>
      </c>
      <c r="J110" s="31" cm="1">
        <f t="array" ref="J110">J$106+IF($C110&lt;&gt;0,SUMPRODUCT((J$107:J$108)*TRANSPOSE(($D110:$E110))),0)</f>
        <v>0</v>
      </c>
      <c r="K110" s="31" cm="1">
        <f t="array" ref="K110">K$106+IF($C110&lt;&gt;0,SUMPRODUCT((K$107:K$108)*TRANSPOSE(($D110:$E110))),0)</f>
        <v>0</v>
      </c>
      <c r="L110" s="31" cm="1">
        <f t="array" ref="L110">L$106+IF($C110&lt;&gt;0,SUMPRODUCT((L$107:L$108)*TRANSPOSE(($D110:$E110))),0)</f>
        <v>0</v>
      </c>
      <c r="M110" s="31" cm="1">
        <f t="array" ref="M110">M$106+IF($C110&lt;&gt;0,SUMPRODUCT((M$107:M$108)*TRANSPOSE(($D110:$E110))),0)</f>
        <v>0</v>
      </c>
      <c r="N110" s="31" cm="1">
        <f t="array" ref="N110">N$106+IF($C110&lt;&gt;0,SUMPRODUCT((N$107:N$108)*TRANSPOSE(($D110:$E110))),0)</f>
        <v>0</v>
      </c>
      <c r="O110" s="31" cm="1">
        <f t="array" ref="O110">O$106+IF($C110&lt;&gt;0,SUMPRODUCT((O$107:O$108)*TRANSPOSE(($D110:$E110))),0)</f>
        <v>0</v>
      </c>
      <c r="P110" s="31" cm="1">
        <f t="array" ref="P110">P$106+IF($C110&lt;&gt;0,SUMPRODUCT((P$107:P$108)*TRANSPOSE(($D110:$E110))),0)</f>
        <v>0</v>
      </c>
      <c r="Q110" s="31" cm="1">
        <f t="array" ref="Q110">Q$106+IF($C110&lt;&gt;0,SUMPRODUCT((Q$107:Q$108)*TRANSPOSE(($D110:$E110))),0)</f>
        <v>0</v>
      </c>
      <c r="R110" s="31" cm="1">
        <f t="array" ref="R110">R$106+IF($C110&lt;&gt;0,SUMPRODUCT((R$107:R$108)*TRANSPOSE(($D110:$E110))),0)</f>
        <v>0</v>
      </c>
      <c r="S110" s="31" cm="1">
        <f t="array" ref="S110">S$106+IF($C110&lt;&gt;0,SUMPRODUCT((S$107:S$108)*TRANSPOSE(($D110:$E110))),0)</f>
        <v>0</v>
      </c>
      <c r="T110" s="31" cm="1">
        <f t="array" ref="T110">T$106+IF($C110&lt;&gt;0,SUMPRODUCT((T$107:T$108)*TRANSPOSE(($D110:$E110))),0)</f>
        <v>0</v>
      </c>
      <c r="U110" s="31" cm="1">
        <f t="array" ref="U110">U$106+IF($C110&lt;&gt;0,SUMPRODUCT((U$107:U$108)*TRANSPOSE(($D110:$E110))),0)</f>
        <v>0</v>
      </c>
      <c r="V110" s="31" cm="1">
        <f t="array" ref="V110">V$106+IF($C110&lt;&gt;0,SUMPRODUCT((V$107:V$108)*TRANSPOSE(($D110:$E110))),0)</f>
        <v>0</v>
      </c>
      <c r="W110" s="31" cm="1">
        <f t="array" ref="W110">W$106+IF($C110&lt;&gt;0,SUMPRODUCT((W$107:W$108)*TRANSPOSE(($D110:$E110))),0)</f>
        <v>0</v>
      </c>
      <c r="X110" s="31" cm="1">
        <f t="array" ref="X110">X$106+IF($C110&lt;&gt;0,SUMPRODUCT((X$107:X$108)*TRANSPOSE(($D110:$E110))),0)</f>
        <v>0</v>
      </c>
      <c r="Y110" s="31" cm="1">
        <f t="array" ref="Y110">Y$106+IF($C110&lt;&gt;0,SUMPRODUCT((Y$107:Y$108)*TRANSPOSE(($D110:$E110))),0)</f>
        <v>0</v>
      </c>
      <c r="Z110" s="31" cm="1">
        <f t="array" ref="Z110">Z$106+IF($C110&lt;&gt;0,SUMPRODUCT((Z$107:Z$108)*TRANSPOSE(($D110:$E110))),0)</f>
        <v>0</v>
      </c>
      <c r="AA110" s="31" cm="1">
        <f t="array" ref="AA110">AA$106+IF($C110&lt;&gt;0,SUMPRODUCT((AA$107:AA$108)*TRANSPOSE(($D110:$E110))),0)</f>
        <v>0</v>
      </c>
      <c r="AB110" s="31" cm="1">
        <f t="array" ref="AB110">AB$106+IF($C110&lt;&gt;0,SUMPRODUCT((AB$107:AB$108)*TRANSPOSE(($D110:$E110))),0)</f>
        <v>0</v>
      </c>
      <c r="AC110" s="31" cm="1">
        <f t="array" ref="AC110">AC$106+IF($C110&lt;&gt;0,SUMPRODUCT((AC$107:AC$108)*TRANSPOSE(($D110:$E110))),0)</f>
        <v>0</v>
      </c>
      <c r="AD110" s="31" cm="1">
        <f t="array" ref="AD110">AD$106+IF($C110&lt;&gt;0,SUMPRODUCT((AD$107:AD$108)*TRANSPOSE(($D110:$E110))),0)</f>
        <v>0</v>
      </c>
      <c r="AE110" s="31" cm="1">
        <f t="array" ref="AE110">AE$106+IF($C110&lt;&gt;0,SUMPRODUCT((AE$107:AE$108)*TRANSPOSE(($D110:$E110))),0)</f>
        <v>0</v>
      </c>
      <c r="AF110" s="31" cm="1">
        <f t="array" ref="AF110">AF$106+IF($C110&lt;&gt;0,SUMPRODUCT((AF$107:AF$108)*TRANSPOSE(($D110:$E110))),0)</f>
        <v>0</v>
      </c>
      <c r="AG110" s="31" cm="1">
        <f t="array" ref="AG110">AG$106+IF($C110&lt;&gt;0,SUMPRODUCT((AG$107:AG$108)*TRANSPOSE(($D110:$E110))),0)</f>
        <v>0</v>
      </c>
    </row>
    <row r="111" spans="1:43" x14ac:dyDescent="0.2">
      <c r="A111" s="1" t="str">
        <f>"sens"&amp;Assumptions!B112</f>
        <v>sens2</v>
      </c>
      <c r="C111" s="300" t="str">
        <f>Assumptions!C112</f>
        <v>Capex 10% lower</v>
      </c>
      <c r="D111" s="301">
        <f>Assumptions!G112</f>
        <v>-0.1</v>
      </c>
      <c r="E111" s="301">
        <f>Assumptions!H112</f>
        <v>0</v>
      </c>
      <c r="G111" s="38" t="str">
        <f t="shared" ref="G111:G117" si="21">PROPER($A$3)&amp;A111</f>
        <v>Option 1 (Base Case)sens2</v>
      </c>
      <c r="I111" s="31" cm="1">
        <f t="array" ref="I111">I$106+IF($C111&lt;&gt;0,SUMPRODUCT((I$107:I$108)*TRANSPOSE(($D111:$E111))),0)</f>
        <v>0</v>
      </c>
      <c r="J111" s="31" cm="1">
        <f t="array" ref="J111">J$106+IF($C111&lt;&gt;0,SUMPRODUCT((J$107:J$108)*TRANSPOSE(($D111:$E111))),0)</f>
        <v>0</v>
      </c>
      <c r="K111" s="31" cm="1">
        <f t="array" ref="K111">K$106+IF($C111&lt;&gt;0,SUMPRODUCT((K$107:K$108)*TRANSPOSE(($D111:$E111))),0)</f>
        <v>0</v>
      </c>
      <c r="L111" s="31" cm="1">
        <f t="array" ref="L111">L$106+IF($C111&lt;&gt;0,SUMPRODUCT((L$107:L$108)*TRANSPOSE(($D111:$E111))),0)</f>
        <v>0</v>
      </c>
      <c r="M111" s="31" cm="1">
        <f t="array" ref="M111">M$106+IF($C111&lt;&gt;0,SUMPRODUCT((M$107:M$108)*TRANSPOSE(($D111:$E111))),0)</f>
        <v>0</v>
      </c>
      <c r="N111" s="31" cm="1">
        <f t="array" ref="N111">N$106+IF($C111&lt;&gt;0,SUMPRODUCT((N$107:N$108)*TRANSPOSE(($D111:$E111))),0)</f>
        <v>0</v>
      </c>
      <c r="O111" s="31" cm="1">
        <f t="array" ref="O111">O$106+IF($C111&lt;&gt;0,SUMPRODUCT((O$107:O$108)*TRANSPOSE(($D111:$E111))),0)</f>
        <v>0</v>
      </c>
      <c r="P111" s="31" cm="1">
        <f t="array" ref="P111">P$106+IF($C111&lt;&gt;0,SUMPRODUCT((P$107:P$108)*TRANSPOSE(($D111:$E111))),0)</f>
        <v>0</v>
      </c>
      <c r="Q111" s="31" cm="1">
        <f t="array" ref="Q111">Q$106+IF($C111&lt;&gt;0,SUMPRODUCT((Q$107:Q$108)*TRANSPOSE(($D111:$E111))),0)</f>
        <v>0</v>
      </c>
      <c r="R111" s="31" cm="1">
        <f t="array" ref="R111">R$106+IF($C111&lt;&gt;0,SUMPRODUCT((R$107:R$108)*TRANSPOSE(($D111:$E111))),0)</f>
        <v>0</v>
      </c>
      <c r="S111" s="31" cm="1">
        <f t="array" ref="S111">S$106+IF($C111&lt;&gt;0,SUMPRODUCT((S$107:S$108)*TRANSPOSE(($D111:$E111))),0)</f>
        <v>0</v>
      </c>
      <c r="T111" s="31" cm="1">
        <f t="array" ref="T111">T$106+IF($C111&lt;&gt;0,SUMPRODUCT((T$107:T$108)*TRANSPOSE(($D111:$E111))),0)</f>
        <v>0</v>
      </c>
      <c r="U111" s="31" cm="1">
        <f t="array" ref="U111">U$106+IF($C111&lt;&gt;0,SUMPRODUCT((U$107:U$108)*TRANSPOSE(($D111:$E111))),0)</f>
        <v>0</v>
      </c>
      <c r="V111" s="31" cm="1">
        <f t="array" ref="V111">V$106+IF($C111&lt;&gt;0,SUMPRODUCT((V$107:V$108)*TRANSPOSE(($D111:$E111))),0)</f>
        <v>0</v>
      </c>
      <c r="W111" s="31" cm="1">
        <f t="array" ref="W111">W$106+IF($C111&lt;&gt;0,SUMPRODUCT((W$107:W$108)*TRANSPOSE(($D111:$E111))),0)</f>
        <v>0</v>
      </c>
      <c r="X111" s="31" cm="1">
        <f t="array" ref="X111">X$106+IF($C111&lt;&gt;0,SUMPRODUCT((X$107:X$108)*TRANSPOSE(($D111:$E111))),0)</f>
        <v>0</v>
      </c>
      <c r="Y111" s="31" cm="1">
        <f t="array" ref="Y111">Y$106+IF($C111&lt;&gt;0,SUMPRODUCT((Y$107:Y$108)*TRANSPOSE(($D111:$E111))),0)</f>
        <v>0</v>
      </c>
      <c r="Z111" s="31" cm="1">
        <f t="array" ref="Z111">Z$106+IF($C111&lt;&gt;0,SUMPRODUCT((Z$107:Z$108)*TRANSPOSE(($D111:$E111))),0)</f>
        <v>0</v>
      </c>
      <c r="AA111" s="31" cm="1">
        <f t="array" ref="AA111">AA$106+IF($C111&lt;&gt;0,SUMPRODUCT((AA$107:AA$108)*TRANSPOSE(($D111:$E111))),0)</f>
        <v>0</v>
      </c>
      <c r="AB111" s="31" cm="1">
        <f t="array" ref="AB111">AB$106+IF($C111&lt;&gt;0,SUMPRODUCT((AB$107:AB$108)*TRANSPOSE(($D111:$E111))),0)</f>
        <v>0</v>
      </c>
      <c r="AC111" s="31" cm="1">
        <f t="array" ref="AC111">AC$106+IF($C111&lt;&gt;0,SUMPRODUCT((AC$107:AC$108)*TRANSPOSE(($D111:$E111))),0)</f>
        <v>0</v>
      </c>
      <c r="AD111" s="31" cm="1">
        <f t="array" ref="AD111">AD$106+IF($C111&lt;&gt;0,SUMPRODUCT((AD$107:AD$108)*TRANSPOSE(($D111:$E111))),0)</f>
        <v>0</v>
      </c>
      <c r="AE111" s="31" cm="1">
        <f t="array" ref="AE111">AE$106+IF($C111&lt;&gt;0,SUMPRODUCT((AE$107:AE$108)*TRANSPOSE(($D111:$E111))),0)</f>
        <v>0</v>
      </c>
      <c r="AF111" s="31" cm="1">
        <f t="array" ref="AF111">AF$106+IF($C111&lt;&gt;0,SUMPRODUCT((AF$107:AF$108)*TRANSPOSE(($D111:$E111))),0)</f>
        <v>0</v>
      </c>
      <c r="AG111" s="31" cm="1">
        <f t="array" ref="AG111">AG$106+IF($C111&lt;&gt;0,SUMPRODUCT((AG$107:AG$108)*TRANSPOSE(($D111:$E111))),0)</f>
        <v>0</v>
      </c>
    </row>
    <row r="112" spans="1:43" x14ac:dyDescent="0.2">
      <c r="A112" s="1" t="str">
        <f>"sens"&amp;Assumptions!B113</f>
        <v>sens3</v>
      </c>
      <c r="C112" s="300" t="str">
        <f>Assumptions!C113</f>
        <v>Total benefits 10% higher</v>
      </c>
      <c r="D112" s="301">
        <f>Assumptions!G113</f>
        <v>0</v>
      </c>
      <c r="E112" s="301">
        <f>Assumptions!H113</f>
        <v>0.1</v>
      </c>
      <c r="G112" s="38" t="str">
        <f t="shared" si="21"/>
        <v>Option 1 (Base Case)sens3</v>
      </c>
      <c r="I112" s="31" cm="1">
        <f t="array" ref="I112">I$106+IF($C112&lt;&gt;0,SUMPRODUCT((I$107:I$108)*TRANSPOSE(($D112:$E112))),0)</f>
        <v>0</v>
      </c>
      <c r="J112" s="31" cm="1">
        <f t="array" ref="J112">J$106+IF($C112&lt;&gt;0,SUMPRODUCT((J$107:J$108)*TRANSPOSE(($D112:$E112))),0)</f>
        <v>0</v>
      </c>
      <c r="K112" s="31" cm="1">
        <f t="array" ref="K112">K$106+IF($C112&lt;&gt;0,SUMPRODUCT((K$107:K$108)*TRANSPOSE(($D112:$E112))),0)</f>
        <v>0</v>
      </c>
      <c r="L112" s="31" cm="1">
        <f t="array" ref="L112">L$106+IF($C112&lt;&gt;0,SUMPRODUCT((L$107:L$108)*TRANSPOSE(($D112:$E112))),0)</f>
        <v>0</v>
      </c>
      <c r="M112" s="31" cm="1">
        <f t="array" ref="M112">M$106+IF($C112&lt;&gt;0,SUMPRODUCT((M$107:M$108)*TRANSPOSE(($D112:$E112))),0)</f>
        <v>0</v>
      </c>
      <c r="N112" s="31" cm="1">
        <f t="array" ref="N112">N$106+IF($C112&lt;&gt;0,SUMPRODUCT((N$107:N$108)*TRANSPOSE(($D112:$E112))),0)</f>
        <v>0</v>
      </c>
      <c r="O112" s="31" cm="1">
        <f t="array" ref="O112">O$106+IF($C112&lt;&gt;0,SUMPRODUCT((O$107:O$108)*TRANSPOSE(($D112:$E112))),0)</f>
        <v>0</v>
      </c>
      <c r="P112" s="31" cm="1">
        <f t="array" ref="P112">P$106+IF($C112&lt;&gt;0,SUMPRODUCT((P$107:P$108)*TRANSPOSE(($D112:$E112))),0)</f>
        <v>0</v>
      </c>
      <c r="Q112" s="31" cm="1">
        <f t="array" ref="Q112">Q$106+IF($C112&lt;&gt;0,SUMPRODUCT((Q$107:Q$108)*TRANSPOSE(($D112:$E112))),0)</f>
        <v>0</v>
      </c>
      <c r="R112" s="31" cm="1">
        <f t="array" ref="R112">R$106+IF($C112&lt;&gt;0,SUMPRODUCT((R$107:R$108)*TRANSPOSE(($D112:$E112))),0)</f>
        <v>0</v>
      </c>
      <c r="S112" s="31" cm="1">
        <f t="array" ref="S112">S$106+IF($C112&lt;&gt;0,SUMPRODUCT((S$107:S$108)*TRANSPOSE(($D112:$E112))),0)</f>
        <v>0</v>
      </c>
      <c r="T112" s="31" cm="1">
        <f t="array" ref="T112">T$106+IF($C112&lt;&gt;0,SUMPRODUCT((T$107:T$108)*TRANSPOSE(($D112:$E112))),0)</f>
        <v>0</v>
      </c>
      <c r="U112" s="31" cm="1">
        <f t="array" ref="U112">U$106+IF($C112&lt;&gt;0,SUMPRODUCT((U$107:U$108)*TRANSPOSE(($D112:$E112))),0)</f>
        <v>0</v>
      </c>
      <c r="V112" s="31" cm="1">
        <f t="array" ref="V112">V$106+IF($C112&lt;&gt;0,SUMPRODUCT((V$107:V$108)*TRANSPOSE(($D112:$E112))),0)</f>
        <v>0</v>
      </c>
      <c r="W112" s="31" cm="1">
        <f t="array" ref="W112">W$106+IF($C112&lt;&gt;0,SUMPRODUCT((W$107:W$108)*TRANSPOSE(($D112:$E112))),0)</f>
        <v>0</v>
      </c>
      <c r="X112" s="31" cm="1">
        <f t="array" ref="X112">X$106+IF($C112&lt;&gt;0,SUMPRODUCT((X$107:X$108)*TRANSPOSE(($D112:$E112))),0)</f>
        <v>0</v>
      </c>
      <c r="Y112" s="31" cm="1">
        <f t="array" ref="Y112">Y$106+IF($C112&lt;&gt;0,SUMPRODUCT((Y$107:Y$108)*TRANSPOSE(($D112:$E112))),0)</f>
        <v>0</v>
      </c>
      <c r="Z112" s="31" cm="1">
        <f t="array" ref="Z112">Z$106+IF($C112&lt;&gt;0,SUMPRODUCT((Z$107:Z$108)*TRANSPOSE(($D112:$E112))),0)</f>
        <v>0</v>
      </c>
      <c r="AA112" s="31" cm="1">
        <f t="array" ref="AA112">AA$106+IF($C112&lt;&gt;0,SUMPRODUCT((AA$107:AA$108)*TRANSPOSE(($D112:$E112))),0)</f>
        <v>0</v>
      </c>
      <c r="AB112" s="31" cm="1">
        <f t="array" ref="AB112">AB$106+IF($C112&lt;&gt;0,SUMPRODUCT((AB$107:AB$108)*TRANSPOSE(($D112:$E112))),0)</f>
        <v>0</v>
      </c>
      <c r="AC112" s="31" cm="1">
        <f t="array" ref="AC112">AC$106+IF($C112&lt;&gt;0,SUMPRODUCT((AC$107:AC$108)*TRANSPOSE(($D112:$E112))),0)</f>
        <v>0</v>
      </c>
      <c r="AD112" s="31" cm="1">
        <f t="array" ref="AD112">AD$106+IF($C112&lt;&gt;0,SUMPRODUCT((AD$107:AD$108)*TRANSPOSE(($D112:$E112))),0)</f>
        <v>0</v>
      </c>
      <c r="AE112" s="31" cm="1">
        <f t="array" ref="AE112">AE$106+IF($C112&lt;&gt;0,SUMPRODUCT((AE$107:AE$108)*TRANSPOSE(($D112:$E112))),0)</f>
        <v>0</v>
      </c>
      <c r="AF112" s="31" cm="1">
        <f t="array" ref="AF112">AF$106+IF($C112&lt;&gt;0,SUMPRODUCT((AF$107:AF$108)*TRANSPOSE(($D112:$E112))),0)</f>
        <v>0</v>
      </c>
      <c r="AG112" s="31" cm="1">
        <f t="array" ref="AG112">AG$106+IF($C112&lt;&gt;0,SUMPRODUCT((AG$107:AG$108)*TRANSPOSE(($D112:$E112))),0)</f>
        <v>0</v>
      </c>
    </row>
    <row r="113" spans="1:33" x14ac:dyDescent="0.2">
      <c r="A113" s="1" t="str">
        <f>"sens"&amp;Assumptions!B114</f>
        <v>sens4</v>
      </c>
      <c r="C113" s="300" t="str">
        <f>Assumptions!C114</f>
        <v>Total benefits 10% lower</v>
      </c>
      <c r="D113" s="301">
        <f>Assumptions!G114</f>
        <v>0</v>
      </c>
      <c r="E113" s="301">
        <f>Assumptions!H114</f>
        <v>-0.1</v>
      </c>
      <c r="G113" s="38" t="str">
        <f t="shared" si="21"/>
        <v>Option 1 (Base Case)sens4</v>
      </c>
      <c r="I113" s="31" cm="1">
        <f t="array" ref="I113">I$106+IF($C113&lt;&gt;0,SUMPRODUCT((I$107:I$108)*TRANSPOSE(($D113:$E113))),0)</f>
        <v>0</v>
      </c>
      <c r="J113" s="31" cm="1">
        <f t="array" ref="J113">J$106+IF($C113&lt;&gt;0,SUMPRODUCT((J$107:J$108)*TRANSPOSE(($D113:$E113))),0)</f>
        <v>0</v>
      </c>
      <c r="K113" s="31" cm="1">
        <f t="array" ref="K113">K$106+IF($C113&lt;&gt;0,SUMPRODUCT((K$107:K$108)*TRANSPOSE(($D113:$E113))),0)</f>
        <v>0</v>
      </c>
      <c r="L113" s="31" cm="1">
        <f t="array" ref="L113">L$106+IF($C113&lt;&gt;0,SUMPRODUCT((L$107:L$108)*TRANSPOSE(($D113:$E113))),0)</f>
        <v>0</v>
      </c>
      <c r="M113" s="31" cm="1">
        <f t="array" ref="M113">M$106+IF($C113&lt;&gt;0,SUMPRODUCT((M$107:M$108)*TRANSPOSE(($D113:$E113))),0)</f>
        <v>0</v>
      </c>
      <c r="N113" s="31" cm="1">
        <f t="array" ref="N113">N$106+IF($C113&lt;&gt;0,SUMPRODUCT((N$107:N$108)*TRANSPOSE(($D113:$E113))),0)</f>
        <v>0</v>
      </c>
      <c r="O113" s="31" cm="1">
        <f t="array" ref="O113">O$106+IF($C113&lt;&gt;0,SUMPRODUCT((O$107:O$108)*TRANSPOSE(($D113:$E113))),0)</f>
        <v>0</v>
      </c>
      <c r="P113" s="31" cm="1">
        <f t="array" ref="P113">P$106+IF($C113&lt;&gt;0,SUMPRODUCT((P$107:P$108)*TRANSPOSE(($D113:$E113))),0)</f>
        <v>0</v>
      </c>
      <c r="Q113" s="31" cm="1">
        <f t="array" ref="Q113">Q$106+IF($C113&lt;&gt;0,SUMPRODUCT((Q$107:Q$108)*TRANSPOSE(($D113:$E113))),0)</f>
        <v>0</v>
      </c>
      <c r="R113" s="31" cm="1">
        <f t="array" ref="R113">R$106+IF($C113&lt;&gt;0,SUMPRODUCT((R$107:R$108)*TRANSPOSE(($D113:$E113))),0)</f>
        <v>0</v>
      </c>
      <c r="S113" s="31" cm="1">
        <f t="array" ref="S113">S$106+IF($C113&lt;&gt;0,SUMPRODUCT((S$107:S$108)*TRANSPOSE(($D113:$E113))),0)</f>
        <v>0</v>
      </c>
      <c r="T113" s="31" cm="1">
        <f t="array" ref="T113">T$106+IF($C113&lt;&gt;0,SUMPRODUCT((T$107:T$108)*TRANSPOSE(($D113:$E113))),0)</f>
        <v>0</v>
      </c>
      <c r="U113" s="31" cm="1">
        <f t="array" ref="U113">U$106+IF($C113&lt;&gt;0,SUMPRODUCT((U$107:U$108)*TRANSPOSE(($D113:$E113))),0)</f>
        <v>0</v>
      </c>
      <c r="V113" s="31" cm="1">
        <f t="array" ref="V113">V$106+IF($C113&lt;&gt;0,SUMPRODUCT((V$107:V$108)*TRANSPOSE(($D113:$E113))),0)</f>
        <v>0</v>
      </c>
      <c r="W113" s="31" cm="1">
        <f t="array" ref="W113">W$106+IF($C113&lt;&gt;0,SUMPRODUCT((W$107:W$108)*TRANSPOSE(($D113:$E113))),0)</f>
        <v>0</v>
      </c>
      <c r="X113" s="31" cm="1">
        <f t="array" ref="X113">X$106+IF($C113&lt;&gt;0,SUMPRODUCT((X$107:X$108)*TRANSPOSE(($D113:$E113))),0)</f>
        <v>0</v>
      </c>
      <c r="Y113" s="31" cm="1">
        <f t="array" ref="Y113">Y$106+IF($C113&lt;&gt;0,SUMPRODUCT((Y$107:Y$108)*TRANSPOSE(($D113:$E113))),0)</f>
        <v>0</v>
      </c>
      <c r="Z113" s="31" cm="1">
        <f t="array" ref="Z113">Z$106+IF($C113&lt;&gt;0,SUMPRODUCT((Z$107:Z$108)*TRANSPOSE(($D113:$E113))),0)</f>
        <v>0</v>
      </c>
      <c r="AA113" s="31" cm="1">
        <f t="array" ref="AA113">AA$106+IF($C113&lt;&gt;0,SUMPRODUCT((AA$107:AA$108)*TRANSPOSE(($D113:$E113))),0)</f>
        <v>0</v>
      </c>
      <c r="AB113" s="31" cm="1">
        <f t="array" ref="AB113">AB$106+IF($C113&lt;&gt;0,SUMPRODUCT((AB$107:AB$108)*TRANSPOSE(($D113:$E113))),0)</f>
        <v>0</v>
      </c>
      <c r="AC113" s="31" cm="1">
        <f t="array" ref="AC113">AC$106+IF($C113&lt;&gt;0,SUMPRODUCT((AC$107:AC$108)*TRANSPOSE(($D113:$E113))),0)</f>
        <v>0</v>
      </c>
      <c r="AD113" s="31" cm="1">
        <f t="array" ref="AD113">AD$106+IF($C113&lt;&gt;0,SUMPRODUCT((AD$107:AD$108)*TRANSPOSE(($D113:$E113))),0)</f>
        <v>0</v>
      </c>
      <c r="AE113" s="31" cm="1">
        <f t="array" ref="AE113">AE$106+IF($C113&lt;&gt;0,SUMPRODUCT((AE$107:AE$108)*TRANSPOSE(($D113:$E113))),0)</f>
        <v>0</v>
      </c>
      <c r="AF113" s="31" cm="1">
        <f t="array" ref="AF113">AF$106+IF($C113&lt;&gt;0,SUMPRODUCT((AF$107:AF$108)*TRANSPOSE(($D113:$E113))),0)</f>
        <v>0</v>
      </c>
      <c r="AG113" s="31" cm="1">
        <f t="array" ref="AG113">AG$106+IF($C113&lt;&gt;0,SUMPRODUCT((AG$107:AG$108)*TRANSPOSE(($D113:$E113))),0)</f>
        <v>0</v>
      </c>
    </row>
    <row r="114" spans="1:33" x14ac:dyDescent="0.2">
      <c r="A114" s="1" t="str">
        <f>"sens"&amp;Assumptions!B115</f>
        <v>sens5</v>
      </c>
      <c r="C114" s="300" t="str">
        <f>Assumptions!C115</f>
        <v>Capex 10% higher &amp; Total benefits 10% lower</v>
      </c>
      <c r="D114" s="301">
        <f>Assumptions!G115</f>
        <v>0.1</v>
      </c>
      <c r="E114" s="301">
        <f>Assumptions!H115</f>
        <v>-0.1</v>
      </c>
      <c r="G114" s="38" t="str">
        <f t="shared" si="21"/>
        <v>Option 1 (Base Case)sens5</v>
      </c>
      <c r="I114" s="31" cm="1">
        <f t="array" ref="I114">I$106+IF($C114&lt;&gt;0,SUMPRODUCT((I$107:I$108)*TRANSPOSE(($D114:$E114))),0)</f>
        <v>0</v>
      </c>
      <c r="J114" s="31" cm="1">
        <f t="array" ref="J114">J$106+IF($C114&lt;&gt;0,SUMPRODUCT((J$107:J$108)*TRANSPOSE(($D114:$E114))),0)</f>
        <v>0</v>
      </c>
      <c r="K114" s="31" cm="1">
        <f t="array" ref="K114">K$106+IF($C114&lt;&gt;0,SUMPRODUCT((K$107:K$108)*TRANSPOSE(($D114:$E114))),0)</f>
        <v>0</v>
      </c>
      <c r="L114" s="31" cm="1">
        <f t="array" ref="L114">L$106+IF($C114&lt;&gt;0,SUMPRODUCT((L$107:L$108)*TRANSPOSE(($D114:$E114))),0)</f>
        <v>0</v>
      </c>
      <c r="M114" s="31" cm="1">
        <f t="array" ref="M114">M$106+IF($C114&lt;&gt;0,SUMPRODUCT((M$107:M$108)*TRANSPOSE(($D114:$E114))),0)</f>
        <v>0</v>
      </c>
      <c r="N114" s="31" cm="1">
        <f t="array" ref="N114">N$106+IF($C114&lt;&gt;0,SUMPRODUCT((N$107:N$108)*TRANSPOSE(($D114:$E114))),0)</f>
        <v>0</v>
      </c>
      <c r="O114" s="31" cm="1">
        <f t="array" ref="O114">O$106+IF($C114&lt;&gt;0,SUMPRODUCT((O$107:O$108)*TRANSPOSE(($D114:$E114))),0)</f>
        <v>0</v>
      </c>
      <c r="P114" s="31" cm="1">
        <f t="array" ref="P114">P$106+IF($C114&lt;&gt;0,SUMPRODUCT((P$107:P$108)*TRANSPOSE(($D114:$E114))),0)</f>
        <v>0</v>
      </c>
      <c r="Q114" s="31" cm="1">
        <f t="array" ref="Q114">Q$106+IF($C114&lt;&gt;0,SUMPRODUCT((Q$107:Q$108)*TRANSPOSE(($D114:$E114))),0)</f>
        <v>0</v>
      </c>
      <c r="R114" s="31" cm="1">
        <f t="array" ref="R114">R$106+IF($C114&lt;&gt;0,SUMPRODUCT((R$107:R$108)*TRANSPOSE(($D114:$E114))),0)</f>
        <v>0</v>
      </c>
      <c r="S114" s="31" cm="1">
        <f t="array" ref="S114">S$106+IF($C114&lt;&gt;0,SUMPRODUCT((S$107:S$108)*TRANSPOSE(($D114:$E114))),0)</f>
        <v>0</v>
      </c>
      <c r="T114" s="31" cm="1">
        <f t="array" ref="T114">T$106+IF($C114&lt;&gt;0,SUMPRODUCT((T$107:T$108)*TRANSPOSE(($D114:$E114))),0)</f>
        <v>0</v>
      </c>
      <c r="U114" s="31" cm="1">
        <f t="array" ref="U114">U$106+IF($C114&lt;&gt;0,SUMPRODUCT((U$107:U$108)*TRANSPOSE(($D114:$E114))),0)</f>
        <v>0</v>
      </c>
      <c r="V114" s="31" cm="1">
        <f t="array" ref="V114">V$106+IF($C114&lt;&gt;0,SUMPRODUCT((V$107:V$108)*TRANSPOSE(($D114:$E114))),0)</f>
        <v>0</v>
      </c>
      <c r="W114" s="31" cm="1">
        <f t="array" ref="W114">W$106+IF($C114&lt;&gt;0,SUMPRODUCT((W$107:W$108)*TRANSPOSE(($D114:$E114))),0)</f>
        <v>0</v>
      </c>
      <c r="X114" s="31" cm="1">
        <f t="array" ref="X114">X$106+IF($C114&lt;&gt;0,SUMPRODUCT((X$107:X$108)*TRANSPOSE(($D114:$E114))),0)</f>
        <v>0</v>
      </c>
      <c r="Y114" s="31" cm="1">
        <f t="array" ref="Y114">Y$106+IF($C114&lt;&gt;0,SUMPRODUCT((Y$107:Y$108)*TRANSPOSE(($D114:$E114))),0)</f>
        <v>0</v>
      </c>
      <c r="Z114" s="31" cm="1">
        <f t="array" ref="Z114">Z$106+IF($C114&lt;&gt;0,SUMPRODUCT((Z$107:Z$108)*TRANSPOSE(($D114:$E114))),0)</f>
        <v>0</v>
      </c>
      <c r="AA114" s="31" cm="1">
        <f t="array" ref="AA114">AA$106+IF($C114&lt;&gt;0,SUMPRODUCT((AA$107:AA$108)*TRANSPOSE(($D114:$E114))),0)</f>
        <v>0</v>
      </c>
      <c r="AB114" s="31" cm="1">
        <f t="array" ref="AB114">AB$106+IF($C114&lt;&gt;0,SUMPRODUCT((AB$107:AB$108)*TRANSPOSE(($D114:$E114))),0)</f>
        <v>0</v>
      </c>
      <c r="AC114" s="31" cm="1">
        <f t="array" ref="AC114">AC$106+IF($C114&lt;&gt;0,SUMPRODUCT((AC$107:AC$108)*TRANSPOSE(($D114:$E114))),0)</f>
        <v>0</v>
      </c>
      <c r="AD114" s="31" cm="1">
        <f t="array" ref="AD114">AD$106+IF($C114&lt;&gt;0,SUMPRODUCT((AD$107:AD$108)*TRANSPOSE(($D114:$E114))),0)</f>
        <v>0</v>
      </c>
      <c r="AE114" s="31" cm="1">
        <f t="array" ref="AE114">AE$106+IF($C114&lt;&gt;0,SUMPRODUCT((AE$107:AE$108)*TRANSPOSE(($D114:$E114))),0)</f>
        <v>0</v>
      </c>
      <c r="AF114" s="31" cm="1">
        <f t="array" ref="AF114">AF$106+IF($C114&lt;&gt;0,SUMPRODUCT((AF$107:AF$108)*TRANSPOSE(($D114:$E114))),0)</f>
        <v>0</v>
      </c>
      <c r="AG114" s="31" cm="1">
        <f t="array" ref="AG114">AG$106+IF($C114&lt;&gt;0,SUMPRODUCT((AG$107:AG$108)*TRANSPOSE(($D114:$E114))),0)</f>
        <v>0</v>
      </c>
    </row>
    <row r="115" spans="1:33" x14ac:dyDescent="0.2">
      <c r="A115" s="1" t="str">
        <f>"sens"&amp;Assumptions!B116</f>
        <v>sens</v>
      </c>
      <c r="C115" s="300">
        <f>Assumptions!C116</f>
        <v>0</v>
      </c>
      <c r="D115" s="301">
        <f>Assumptions!G116</f>
        <v>0</v>
      </c>
      <c r="E115" s="301">
        <f>Assumptions!H116</f>
        <v>0</v>
      </c>
      <c r="G115" s="38" t="str">
        <f t="shared" si="21"/>
        <v>Option 1 (Base Case)sens</v>
      </c>
      <c r="I115" s="31" cm="1">
        <f t="array" ref="I115">I$106+IF($C115&lt;&gt;0,SUMPRODUCT((I$107:I$108)*TRANSPOSE(($D115:$E115))),0)</f>
        <v>0</v>
      </c>
      <c r="J115" s="31" cm="1">
        <f t="array" ref="J115">J$106+IF($C115&lt;&gt;0,SUMPRODUCT((J$107:J$108)*TRANSPOSE(($D115:$E115))),0)</f>
        <v>0</v>
      </c>
      <c r="K115" s="31" cm="1">
        <f t="array" ref="K115">K$106+IF($C115&lt;&gt;0,SUMPRODUCT((K$107:K$108)*TRANSPOSE(($D115:$E115))),0)</f>
        <v>0</v>
      </c>
      <c r="L115" s="31" cm="1">
        <f t="array" ref="L115">L$106+IF($C115&lt;&gt;0,SUMPRODUCT((L$107:L$108)*TRANSPOSE(($D115:$E115))),0)</f>
        <v>0</v>
      </c>
      <c r="M115" s="31" cm="1">
        <f t="array" ref="M115">M$106+IF($C115&lt;&gt;0,SUMPRODUCT((M$107:M$108)*TRANSPOSE(($D115:$E115))),0)</f>
        <v>0</v>
      </c>
      <c r="N115" s="31" cm="1">
        <f t="array" ref="N115">N$106+IF($C115&lt;&gt;0,SUMPRODUCT((N$107:N$108)*TRANSPOSE(($D115:$E115))),0)</f>
        <v>0</v>
      </c>
      <c r="O115" s="31" cm="1">
        <f t="array" ref="O115">O$106+IF($C115&lt;&gt;0,SUMPRODUCT((O$107:O$108)*TRANSPOSE(($D115:$E115))),0)</f>
        <v>0</v>
      </c>
      <c r="P115" s="31" cm="1">
        <f t="array" ref="P115">P$106+IF($C115&lt;&gt;0,SUMPRODUCT((P$107:P$108)*TRANSPOSE(($D115:$E115))),0)</f>
        <v>0</v>
      </c>
      <c r="Q115" s="31" cm="1">
        <f t="array" ref="Q115">Q$106+IF($C115&lt;&gt;0,SUMPRODUCT((Q$107:Q$108)*TRANSPOSE(($D115:$E115))),0)</f>
        <v>0</v>
      </c>
      <c r="R115" s="31" cm="1">
        <f t="array" ref="R115">R$106+IF($C115&lt;&gt;0,SUMPRODUCT((R$107:R$108)*TRANSPOSE(($D115:$E115))),0)</f>
        <v>0</v>
      </c>
      <c r="S115" s="31" cm="1">
        <f t="array" ref="S115">S$106+IF($C115&lt;&gt;0,SUMPRODUCT((S$107:S$108)*TRANSPOSE(($D115:$E115))),0)</f>
        <v>0</v>
      </c>
      <c r="T115" s="31" cm="1">
        <f t="array" ref="T115">T$106+IF($C115&lt;&gt;0,SUMPRODUCT((T$107:T$108)*TRANSPOSE(($D115:$E115))),0)</f>
        <v>0</v>
      </c>
      <c r="U115" s="31" cm="1">
        <f t="array" ref="U115">U$106+IF($C115&lt;&gt;0,SUMPRODUCT((U$107:U$108)*TRANSPOSE(($D115:$E115))),0)</f>
        <v>0</v>
      </c>
      <c r="V115" s="31" cm="1">
        <f t="array" ref="V115">V$106+IF($C115&lt;&gt;0,SUMPRODUCT((V$107:V$108)*TRANSPOSE(($D115:$E115))),0)</f>
        <v>0</v>
      </c>
      <c r="W115" s="31" cm="1">
        <f t="array" ref="W115">W$106+IF($C115&lt;&gt;0,SUMPRODUCT((W$107:W$108)*TRANSPOSE(($D115:$E115))),0)</f>
        <v>0</v>
      </c>
      <c r="X115" s="31" cm="1">
        <f t="array" ref="X115">X$106+IF($C115&lt;&gt;0,SUMPRODUCT((X$107:X$108)*TRANSPOSE(($D115:$E115))),0)</f>
        <v>0</v>
      </c>
      <c r="Y115" s="31" cm="1">
        <f t="array" ref="Y115">Y$106+IF($C115&lt;&gt;0,SUMPRODUCT((Y$107:Y$108)*TRANSPOSE(($D115:$E115))),0)</f>
        <v>0</v>
      </c>
      <c r="Z115" s="31" cm="1">
        <f t="array" ref="Z115">Z$106+IF($C115&lt;&gt;0,SUMPRODUCT((Z$107:Z$108)*TRANSPOSE(($D115:$E115))),0)</f>
        <v>0</v>
      </c>
      <c r="AA115" s="31" cm="1">
        <f t="array" ref="AA115">AA$106+IF($C115&lt;&gt;0,SUMPRODUCT((AA$107:AA$108)*TRANSPOSE(($D115:$E115))),0)</f>
        <v>0</v>
      </c>
      <c r="AB115" s="31" cm="1">
        <f t="array" ref="AB115">AB$106+IF($C115&lt;&gt;0,SUMPRODUCT((AB$107:AB$108)*TRANSPOSE(($D115:$E115))),0)</f>
        <v>0</v>
      </c>
      <c r="AC115" s="31" cm="1">
        <f t="array" ref="AC115">AC$106+IF($C115&lt;&gt;0,SUMPRODUCT((AC$107:AC$108)*TRANSPOSE(($D115:$E115))),0)</f>
        <v>0</v>
      </c>
      <c r="AD115" s="31" cm="1">
        <f t="array" ref="AD115">AD$106+IF($C115&lt;&gt;0,SUMPRODUCT((AD$107:AD$108)*TRANSPOSE(($D115:$E115))),0)</f>
        <v>0</v>
      </c>
      <c r="AE115" s="31" cm="1">
        <f t="array" ref="AE115">AE$106+IF($C115&lt;&gt;0,SUMPRODUCT((AE$107:AE$108)*TRANSPOSE(($D115:$E115))),0)</f>
        <v>0</v>
      </c>
      <c r="AF115" s="31" cm="1">
        <f t="array" ref="AF115">AF$106+IF($C115&lt;&gt;0,SUMPRODUCT((AF$107:AF$108)*TRANSPOSE(($D115:$E115))),0)</f>
        <v>0</v>
      </c>
      <c r="AG115" s="31" cm="1">
        <f t="array" ref="AG115">AG$106+IF($C115&lt;&gt;0,SUMPRODUCT((AG$107:AG$108)*TRANSPOSE(($D115:$E115))),0)</f>
        <v>0</v>
      </c>
    </row>
    <row r="116" spans="1:33" x14ac:dyDescent="0.2">
      <c r="A116" s="1" t="str">
        <f>"sens"&amp;Assumptions!B117</f>
        <v>sens</v>
      </c>
      <c r="C116" s="300">
        <f>Assumptions!C117</f>
        <v>0</v>
      </c>
      <c r="D116" s="301">
        <f>Assumptions!G117</f>
        <v>0</v>
      </c>
      <c r="E116" s="301">
        <f>Assumptions!H117</f>
        <v>0</v>
      </c>
      <c r="G116" s="38" t="str">
        <f t="shared" si="21"/>
        <v>Option 1 (Base Case)sens</v>
      </c>
      <c r="I116" s="31" cm="1">
        <f t="array" ref="I116">I$106+IF($C116&lt;&gt;0,SUMPRODUCT((I$107:I$108)*TRANSPOSE(($D116:$E116))),0)</f>
        <v>0</v>
      </c>
      <c r="J116" s="31" cm="1">
        <f t="array" ref="J116">J$106+IF($C116&lt;&gt;0,SUMPRODUCT((J$107:J$108)*TRANSPOSE(($D116:$E116))),0)</f>
        <v>0</v>
      </c>
      <c r="K116" s="31" cm="1">
        <f t="array" ref="K116">K$106+IF($C116&lt;&gt;0,SUMPRODUCT((K$107:K$108)*TRANSPOSE(($D116:$E116))),0)</f>
        <v>0</v>
      </c>
      <c r="L116" s="31" cm="1">
        <f t="array" ref="L116">L$106+IF($C116&lt;&gt;0,SUMPRODUCT((L$107:L$108)*TRANSPOSE(($D116:$E116))),0)</f>
        <v>0</v>
      </c>
      <c r="M116" s="31" cm="1">
        <f t="array" ref="M116">M$106+IF($C116&lt;&gt;0,SUMPRODUCT((M$107:M$108)*TRANSPOSE(($D116:$E116))),0)</f>
        <v>0</v>
      </c>
      <c r="N116" s="31" cm="1">
        <f t="array" ref="N116">N$106+IF($C116&lt;&gt;0,SUMPRODUCT((N$107:N$108)*TRANSPOSE(($D116:$E116))),0)</f>
        <v>0</v>
      </c>
      <c r="O116" s="31" cm="1">
        <f t="array" ref="O116">O$106+IF($C116&lt;&gt;0,SUMPRODUCT((O$107:O$108)*TRANSPOSE(($D116:$E116))),0)</f>
        <v>0</v>
      </c>
      <c r="P116" s="31" cm="1">
        <f t="array" ref="P116">P$106+IF($C116&lt;&gt;0,SUMPRODUCT((P$107:P$108)*TRANSPOSE(($D116:$E116))),0)</f>
        <v>0</v>
      </c>
      <c r="Q116" s="31" cm="1">
        <f t="array" ref="Q116">Q$106+IF($C116&lt;&gt;0,SUMPRODUCT((Q$107:Q$108)*TRANSPOSE(($D116:$E116))),0)</f>
        <v>0</v>
      </c>
      <c r="R116" s="31" cm="1">
        <f t="array" ref="R116">R$106+IF($C116&lt;&gt;0,SUMPRODUCT((R$107:R$108)*TRANSPOSE(($D116:$E116))),0)</f>
        <v>0</v>
      </c>
      <c r="S116" s="31" cm="1">
        <f t="array" ref="S116">S$106+IF($C116&lt;&gt;0,SUMPRODUCT((S$107:S$108)*TRANSPOSE(($D116:$E116))),0)</f>
        <v>0</v>
      </c>
      <c r="T116" s="31" cm="1">
        <f t="array" ref="T116">T$106+IF($C116&lt;&gt;0,SUMPRODUCT((T$107:T$108)*TRANSPOSE(($D116:$E116))),0)</f>
        <v>0</v>
      </c>
      <c r="U116" s="31" cm="1">
        <f t="array" ref="U116">U$106+IF($C116&lt;&gt;0,SUMPRODUCT((U$107:U$108)*TRANSPOSE(($D116:$E116))),0)</f>
        <v>0</v>
      </c>
      <c r="V116" s="31" cm="1">
        <f t="array" ref="V116">V$106+IF($C116&lt;&gt;0,SUMPRODUCT((V$107:V$108)*TRANSPOSE(($D116:$E116))),0)</f>
        <v>0</v>
      </c>
      <c r="W116" s="31" cm="1">
        <f t="array" ref="W116">W$106+IF($C116&lt;&gt;0,SUMPRODUCT((W$107:W$108)*TRANSPOSE(($D116:$E116))),0)</f>
        <v>0</v>
      </c>
      <c r="X116" s="31" cm="1">
        <f t="array" ref="X116">X$106+IF($C116&lt;&gt;0,SUMPRODUCT((X$107:X$108)*TRANSPOSE(($D116:$E116))),0)</f>
        <v>0</v>
      </c>
      <c r="Y116" s="31" cm="1">
        <f t="array" ref="Y116">Y$106+IF($C116&lt;&gt;0,SUMPRODUCT((Y$107:Y$108)*TRANSPOSE(($D116:$E116))),0)</f>
        <v>0</v>
      </c>
      <c r="Z116" s="31" cm="1">
        <f t="array" ref="Z116">Z$106+IF($C116&lt;&gt;0,SUMPRODUCT((Z$107:Z$108)*TRANSPOSE(($D116:$E116))),0)</f>
        <v>0</v>
      </c>
      <c r="AA116" s="31" cm="1">
        <f t="array" ref="AA116">AA$106+IF($C116&lt;&gt;0,SUMPRODUCT((AA$107:AA$108)*TRANSPOSE(($D116:$E116))),0)</f>
        <v>0</v>
      </c>
      <c r="AB116" s="31" cm="1">
        <f t="array" ref="AB116">AB$106+IF($C116&lt;&gt;0,SUMPRODUCT((AB$107:AB$108)*TRANSPOSE(($D116:$E116))),0)</f>
        <v>0</v>
      </c>
      <c r="AC116" s="31" cm="1">
        <f t="array" ref="AC116">AC$106+IF($C116&lt;&gt;0,SUMPRODUCT((AC$107:AC$108)*TRANSPOSE(($D116:$E116))),0)</f>
        <v>0</v>
      </c>
      <c r="AD116" s="31" cm="1">
        <f t="array" ref="AD116">AD$106+IF($C116&lt;&gt;0,SUMPRODUCT((AD$107:AD$108)*TRANSPOSE(($D116:$E116))),0)</f>
        <v>0</v>
      </c>
      <c r="AE116" s="31" cm="1">
        <f t="array" ref="AE116">AE$106+IF($C116&lt;&gt;0,SUMPRODUCT((AE$107:AE$108)*TRANSPOSE(($D116:$E116))),0)</f>
        <v>0</v>
      </c>
      <c r="AF116" s="31" cm="1">
        <f t="array" ref="AF116">AF$106+IF($C116&lt;&gt;0,SUMPRODUCT((AF$107:AF$108)*TRANSPOSE(($D116:$E116))),0)</f>
        <v>0</v>
      </c>
      <c r="AG116" s="31" cm="1">
        <f t="array" ref="AG116">AG$106+IF($C116&lt;&gt;0,SUMPRODUCT((AG$107:AG$108)*TRANSPOSE(($D116:$E116))),0)</f>
        <v>0</v>
      </c>
    </row>
    <row r="117" spans="1:33" x14ac:dyDescent="0.2">
      <c r="A117" s="1" t="str">
        <f>"sens"&amp;Assumptions!B118</f>
        <v>sens</v>
      </c>
      <c r="C117" s="300">
        <f>Assumptions!C118</f>
        <v>0</v>
      </c>
      <c r="D117" s="301">
        <f>Assumptions!G118</f>
        <v>0</v>
      </c>
      <c r="E117" s="301">
        <f>Assumptions!H118</f>
        <v>0</v>
      </c>
      <c r="G117" s="38" t="str">
        <f t="shared" si="21"/>
        <v>Option 1 (Base Case)sens</v>
      </c>
      <c r="I117" s="31" cm="1">
        <f t="array" ref="I117">I$106+IF($C117&lt;&gt;0,SUMPRODUCT((I$107:I$108)*TRANSPOSE(($D117:$E117))),0)</f>
        <v>0</v>
      </c>
      <c r="J117" s="31" cm="1">
        <f t="array" ref="J117">J$106+IF($C117&lt;&gt;0,SUMPRODUCT((J$107:J$108)*TRANSPOSE(($D117:$E117))),0)</f>
        <v>0</v>
      </c>
      <c r="K117" s="31" cm="1">
        <f t="array" ref="K117">K$106+IF($C117&lt;&gt;0,SUMPRODUCT((K$107:K$108)*TRANSPOSE(($D117:$E117))),0)</f>
        <v>0</v>
      </c>
      <c r="L117" s="31" cm="1">
        <f t="array" ref="L117">L$106+IF($C117&lt;&gt;0,SUMPRODUCT((L$107:L$108)*TRANSPOSE(($D117:$E117))),0)</f>
        <v>0</v>
      </c>
      <c r="M117" s="31" cm="1">
        <f t="array" ref="M117">M$106+IF($C117&lt;&gt;0,SUMPRODUCT((M$107:M$108)*TRANSPOSE(($D117:$E117))),0)</f>
        <v>0</v>
      </c>
      <c r="N117" s="31" cm="1">
        <f t="array" ref="N117">N$106+IF($C117&lt;&gt;0,SUMPRODUCT((N$107:N$108)*TRANSPOSE(($D117:$E117))),0)</f>
        <v>0</v>
      </c>
      <c r="O117" s="31" cm="1">
        <f t="array" ref="O117">O$106+IF($C117&lt;&gt;0,SUMPRODUCT((O$107:O$108)*TRANSPOSE(($D117:$E117))),0)</f>
        <v>0</v>
      </c>
      <c r="P117" s="31" cm="1">
        <f t="array" ref="P117">P$106+IF($C117&lt;&gt;0,SUMPRODUCT((P$107:P$108)*TRANSPOSE(($D117:$E117))),0)</f>
        <v>0</v>
      </c>
      <c r="Q117" s="31" cm="1">
        <f t="array" ref="Q117">Q$106+IF($C117&lt;&gt;0,SUMPRODUCT((Q$107:Q$108)*TRANSPOSE(($D117:$E117))),0)</f>
        <v>0</v>
      </c>
      <c r="R117" s="31" cm="1">
        <f t="array" ref="R117">R$106+IF($C117&lt;&gt;0,SUMPRODUCT((R$107:R$108)*TRANSPOSE(($D117:$E117))),0)</f>
        <v>0</v>
      </c>
      <c r="S117" s="31" cm="1">
        <f t="array" ref="S117">S$106+IF($C117&lt;&gt;0,SUMPRODUCT((S$107:S$108)*TRANSPOSE(($D117:$E117))),0)</f>
        <v>0</v>
      </c>
      <c r="T117" s="31" cm="1">
        <f t="array" ref="T117">T$106+IF($C117&lt;&gt;0,SUMPRODUCT((T$107:T$108)*TRANSPOSE(($D117:$E117))),0)</f>
        <v>0</v>
      </c>
      <c r="U117" s="31" cm="1">
        <f t="array" ref="U117">U$106+IF($C117&lt;&gt;0,SUMPRODUCT((U$107:U$108)*TRANSPOSE(($D117:$E117))),0)</f>
        <v>0</v>
      </c>
      <c r="V117" s="31" cm="1">
        <f t="array" ref="V117">V$106+IF($C117&lt;&gt;0,SUMPRODUCT((V$107:V$108)*TRANSPOSE(($D117:$E117))),0)</f>
        <v>0</v>
      </c>
      <c r="W117" s="31" cm="1">
        <f t="array" ref="W117">W$106+IF($C117&lt;&gt;0,SUMPRODUCT((W$107:W$108)*TRANSPOSE(($D117:$E117))),0)</f>
        <v>0</v>
      </c>
      <c r="X117" s="31" cm="1">
        <f t="array" ref="X117">X$106+IF($C117&lt;&gt;0,SUMPRODUCT((X$107:X$108)*TRANSPOSE(($D117:$E117))),0)</f>
        <v>0</v>
      </c>
      <c r="Y117" s="31" cm="1">
        <f t="array" ref="Y117">Y$106+IF($C117&lt;&gt;0,SUMPRODUCT((Y$107:Y$108)*TRANSPOSE(($D117:$E117))),0)</f>
        <v>0</v>
      </c>
      <c r="Z117" s="31" cm="1">
        <f t="array" ref="Z117">Z$106+IF($C117&lt;&gt;0,SUMPRODUCT((Z$107:Z$108)*TRANSPOSE(($D117:$E117))),0)</f>
        <v>0</v>
      </c>
      <c r="AA117" s="31" cm="1">
        <f t="array" ref="AA117">AA$106+IF($C117&lt;&gt;0,SUMPRODUCT((AA$107:AA$108)*TRANSPOSE(($D117:$E117))),0)</f>
        <v>0</v>
      </c>
      <c r="AB117" s="31" cm="1">
        <f t="array" ref="AB117">AB$106+IF($C117&lt;&gt;0,SUMPRODUCT((AB$107:AB$108)*TRANSPOSE(($D117:$E117))),0)</f>
        <v>0</v>
      </c>
      <c r="AC117" s="31" cm="1">
        <f t="array" ref="AC117">AC$106+IF($C117&lt;&gt;0,SUMPRODUCT((AC$107:AC$108)*TRANSPOSE(($D117:$E117))),0)</f>
        <v>0</v>
      </c>
      <c r="AD117" s="31" cm="1">
        <f t="array" ref="AD117">AD$106+IF($C117&lt;&gt;0,SUMPRODUCT((AD$107:AD$108)*TRANSPOSE(($D117:$E117))),0)</f>
        <v>0</v>
      </c>
      <c r="AE117" s="31" cm="1">
        <f t="array" ref="AE117">AE$106+IF($C117&lt;&gt;0,SUMPRODUCT((AE$107:AE$108)*TRANSPOSE(($D117:$E117))),0)</f>
        <v>0</v>
      </c>
      <c r="AF117" s="31" cm="1">
        <f t="array" ref="AF117">AF$106+IF($C117&lt;&gt;0,SUMPRODUCT((AF$107:AF$108)*TRANSPOSE(($D117:$E117))),0)</f>
        <v>0</v>
      </c>
      <c r="AG117" s="31" cm="1">
        <f t="array" ref="AG117">AG$106+IF($C117&lt;&gt;0,SUMPRODUCT((AG$107:AG$108)*TRANSPOSE(($D117:$E117))),0)</f>
        <v>0</v>
      </c>
    </row>
  </sheetData>
  <conditionalFormatting sqref="E14:E16">
    <cfRule type="expression" dxfId="13" priority="12">
      <formula>AND(SUM($I14:$AB14)&lt;&gt;0, E14=0)</formula>
    </cfRule>
  </conditionalFormatting>
  <conditionalFormatting sqref="E28">
    <cfRule type="expression" dxfId="12" priority="239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5AA9D-F89B-4B5B-91A1-7D8DFA0D370D}">
  <sheetPr codeName="Sheet7">
    <tabColor rgb="FF0099FF"/>
  </sheetPr>
  <dimension ref="A1:XER136"/>
  <sheetViews>
    <sheetView showGridLines="0" zoomScale="90" zoomScaleNormal="90" workbookViewId="0">
      <pane xSplit="7" ySplit="10" topLeftCell="H11" activePane="bottomRight" state="frozen"/>
      <selection activeCell="I28" sqref="I28"/>
      <selection pane="topRight" activeCell="I28" sqref="I28"/>
      <selection pane="bottomLeft" activeCell="I28" sqref="I28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33.8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Minimise bushfire risk from SWER in ELCA, REFCL and HBRA areas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3" t="s">
        <v>130</v>
      </c>
      <c r="B3" s="5"/>
      <c r="C3" s="200" t="str">
        <f>INDEX(Assumptions!$E$14:$E$18, MATCH(A3,_xlfn.ANCHORARRAY( Assumptions!$C$14),0))</f>
        <v>Targeted installation of covered conductor on SWER lines</v>
      </c>
    </row>
    <row r="4" spans="1:43" x14ac:dyDescent="0.2">
      <c r="A4" s="201" t="str">
        <f>(INDEX(Data!$D$9:$D$13, MATCH(A3, options,0)))</f>
        <v/>
      </c>
      <c r="B4" s="187"/>
      <c r="C4" s="238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0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2"/>
      <c r="G9" s="18" t="s">
        <v>25</v>
      </c>
      <c r="H9" s="220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4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43" x14ac:dyDescent="0.2">
      <c r="A12" s="3"/>
      <c r="B12" s="3"/>
      <c r="C12" s="3"/>
      <c r="D12" s="3"/>
      <c r="G12" s="205"/>
    </row>
    <row r="13" spans="1:43" x14ac:dyDescent="0.2">
      <c r="C13" s="3" t="s">
        <v>17</v>
      </c>
      <c r="D13"/>
      <c r="E13" s="126" t="s">
        <v>69</v>
      </c>
      <c r="G13" s="20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299</v>
      </c>
      <c r="D14"/>
      <c r="E14" s="148">
        <v>30</v>
      </c>
      <c r="G14" s="207">
        <f>input_dollars</f>
        <v>45291</v>
      </c>
      <c r="H14" s="149"/>
      <c r="I14" s="32">
        <f>Workings_costs!E$23</f>
        <v>2660000</v>
      </c>
      <c r="J14" s="32">
        <f>Workings_costs!F$23</f>
        <v>2660000</v>
      </c>
      <c r="K14" s="32">
        <f>Workings_costs!G$23</f>
        <v>0</v>
      </c>
      <c r="L14" s="32">
        <f>Workings_costs!H$23</f>
        <v>0</v>
      </c>
      <c r="M14" s="32">
        <f>Workings_costs!I$23</f>
        <v>0</v>
      </c>
      <c r="N14" s="32">
        <f>Workings_costs!J$23</f>
        <v>0</v>
      </c>
      <c r="O14" s="32">
        <f>Workings_costs!K$23</f>
        <v>0</v>
      </c>
      <c r="P14" s="32">
        <f>Workings_costs!L$23</f>
        <v>0</v>
      </c>
      <c r="Q14" s="32">
        <f>Workings_costs!M$23</f>
        <v>0</v>
      </c>
      <c r="R14" s="32">
        <f>Workings_costs!N$23</f>
        <v>0</v>
      </c>
      <c r="S14" s="32">
        <f>Workings_costs!O$23</f>
        <v>0</v>
      </c>
      <c r="T14" s="32">
        <f>Workings_costs!P$23</f>
        <v>0</v>
      </c>
      <c r="U14" s="32">
        <f>Workings_costs!Q$23</f>
        <v>0</v>
      </c>
      <c r="V14" s="32">
        <f>Workings_costs!R$23</f>
        <v>0</v>
      </c>
      <c r="W14" s="32">
        <f>Workings_costs!S$23</f>
        <v>0</v>
      </c>
      <c r="X14" s="32">
        <f>Workings_costs!T$23</f>
        <v>0</v>
      </c>
      <c r="Y14" s="32">
        <f>Workings_costs!U$23</f>
        <v>0</v>
      </c>
      <c r="Z14" s="32">
        <f>Workings_costs!V$23</f>
        <v>0</v>
      </c>
      <c r="AA14" s="32">
        <f>Workings_costs!W$23</f>
        <v>0</v>
      </c>
      <c r="AB14" s="32">
        <f>Workings_costs!X$23</f>
        <v>0</v>
      </c>
      <c r="AC14" s="32">
        <f>Workings_costs!Y$23</f>
        <v>0</v>
      </c>
      <c r="AD14" s="32">
        <f>Workings_costs!Z$23</f>
        <v>0</v>
      </c>
      <c r="AE14" s="32">
        <f>Workings_costs!AA$23</f>
        <v>0</v>
      </c>
      <c r="AF14" s="32">
        <f>Workings_costs!AB$23</f>
        <v>0</v>
      </c>
      <c r="AG14" s="32">
        <f>Workings_costs!AC$23</f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/>
      <c r="D15"/>
      <c r="E15" s="148">
        <v>0</v>
      </c>
      <c r="G15" s="207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/>
      <c r="D16"/>
      <c r="E16" s="148">
        <v>0</v>
      </c>
      <c r="G16" s="207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6" t="s">
        <v>30</v>
      </c>
      <c r="G17" s="207">
        <f>input_dollars</f>
        <v>45291</v>
      </c>
      <c r="H17" s="107"/>
      <c r="I17" s="106">
        <f t="shared" ref="I17:Q17" si="0">SUM(I14:I16)</f>
        <v>2660000</v>
      </c>
      <c r="J17" s="106">
        <f t="shared" si="0"/>
        <v>2660000</v>
      </c>
      <c r="K17" s="106">
        <f t="shared" si="0"/>
        <v>0</v>
      </c>
      <c r="L17" s="106">
        <f t="shared" si="0"/>
        <v>0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</row>
    <row r="18" spans="1:43" x14ac:dyDescent="0.2">
      <c r="C18"/>
      <c r="D18"/>
      <c r="E18"/>
      <c r="G18" s="20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7">
        <f>input_dollars</f>
        <v>45291</v>
      </c>
      <c r="H19" s="107"/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</row>
    <row r="20" spans="1:43" x14ac:dyDescent="0.2">
      <c r="G20" s="205"/>
    </row>
    <row r="21" spans="1:43" x14ac:dyDescent="0.2">
      <c r="C21"/>
      <c r="D21"/>
      <c r="E21"/>
      <c r="G21" s="20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149</v>
      </c>
      <c r="B22" s="89"/>
      <c r="C22" s="89"/>
      <c r="D22" s="89"/>
      <c r="E22" s="89"/>
      <c r="F22" s="89"/>
      <c r="G22" s="204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8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150</v>
      </c>
      <c r="D24" s="111"/>
      <c r="E24" s="111"/>
      <c r="F24" s="111"/>
      <c r="G24" s="208"/>
      <c r="H24" s="111"/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69">
        <v>0</v>
      </c>
      <c r="R24" s="169">
        <v>0</v>
      </c>
      <c r="S24" s="169">
        <v>0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151</v>
      </c>
      <c r="D25" s="208"/>
      <c r="E25" s="111"/>
      <c r="F25" s="111"/>
      <c r="G25" s="208"/>
      <c r="H25" s="111"/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69">
        <v>0</v>
      </c>
      <c r="R25" s="169">
        <v>0</v>
      </c>
      <c r="S25" s="169">
        <v>0</v>
      </c>
      <c r="T25" s="169">
        <v>0</v>
      </c>
      <c r="U25" s="169">
        <v>0</v>
      </c>
      <c r="V25" s="169">
        <v>0</v>
      </c>
      <c r="W25" s="169">
        <v>0</v>
      </c>
      <c r="X25" s="169">
        <v>0</v>
      </c>
      <c r="Y25" s="169">
        <v>0</v>
      </c>
      <c r="Z25" s="169">
        <v>0</v>
      </c>
      <c r="AA25" s="169">
        <v>0</v>
      </c>
      <c r="AB25" s="169">
        <v>0</v>
      </c>
      <c r="AC25" s="169">
        <v>0</v>
      </c>
      <c r="AD25" s="169">
        <v>0</v>
      </c>
      <c r="AE25" s="169">
        <v>0</v>
      </c>
      <c r="AF25" s="169">
        <v>0</v>
      </c>
      <c r="AG25" s="169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8"/>
      <c r="E26" s="111"/>
      <c r="F26" s="111"/>
      <c r="G26" s="208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5"/>
      <c r="E27"/>
      <c r="G27" s="207" t="s">
        <v>40</v>
      </c>
      <c r="H27"/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8">
        <v>0</v>
      </c>
      <c r="Z27" s="168">
        <v>0</v>
      </c>
      <c r="AA27" s="168">
        <v>0</v>
      </c>
      <c r="AB27" s="168">
        <v>0</v>
      </c>
      <c r="AC27" s="168">
        <v>0</v>
      </c>
      <c r="AD27" s="168">
        <v>0</v>
      </c>
      <c r="AE27" s="168">
        <v>0</v>
      </c>
      <c r="AF27" s="168">
        <v>0</v>
      </c>
      <c r="AG27" s="168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5" t="s">
        <v>63</v>
      </c>
      <c r="E28" s="113">
        <f>Assumptions!H41*vcr_esc</f>
        <v>43815.486225173103</v>
      </c>
      <c r="F28" s="238" t="str">
        <f>IF(AND(SUM(I27:AG27)&lt;&gt;0, E28=0), "!", "")</f>
        <v/>
      </c>
      <c r="G28" s="207">
        <f>input_dollars</f>
        <v>45291</v>
      </c>
      <c r="H28"/>
      <c r="I28" s="32">
        <f>Workings_risks!E39</f>
        <v>847179.78779622994</v>
      </c>
      <c r="J28" s="32">
        <f>Workings_risks!F39</f>
        <v>845653.26534678915</v>
      </c>
      <c r="K28" s="32">
        <f>Workings_risks!G39</f>
        <v>845653.26534678915</v>
      </c>
      <c r="L28" s="32">
        <f>Workings_risks!H39</f>
        <v>845653.26534678915</v>
      </c>
      <c r="M28" s="32">
        <f>Workings_risks!I39</f>
        <v>845653.26534678915</v>
      </c>
      <c r="N28" s="32">
        <f>Workings_risks!J39</f>
        <v>845653.26534678915</v>
      </c>
      <c r="O28" s="32">
        <f>Workings_risks!K39</f>
        <v>845653.26534678915</v>
      </c>
      <c r="P28" s="32">
        <f>Workings_risks!L39</f>
        <v>845653.26534678915</v>
      </c>
      <c r="Q28" s="32">
        <f>Workings_risks!M39</f>
        <v>845653.26534678915</v>
      </c>
      <c r="R28" s="32">
        <f>Workings_risks!N39</f>
        <v>845653.26534678915</v>
      </c>
      <c r="S28" s="32">
        <f>Workings_risks!O39</f>
        <v>845653.26534678915</v>
      </c>
      <c r="T28" s="32">
        <f>Workings_risks!P39</f>
        <v>845653.26534678915</v>
      </c>
      <c r="U28" s="32">
        <f>Workings_risks!Q39</f>
        <v>845653.26534678915</v>
      </c>
      <c r="V28" s="32">
        <f>Workings_risks!R39</f>
        <v>845653.26534678915</v>
      </c>
      <c r="W28" s="32">
        <f>Workings_risks!S39</f>
        <v>845653.26534678915</v>
      </c>
      <c r="X28" s="32">
        <f>Workings_risks!T39</f>
        <v>845653.26534678915</v>
      </c>
      <c r="Y28" s="32">
        <f>Workings_risks!U39</f>
        <v>845653.26534678915</v>
      </c>
      <c r="Z28" s="32">
        <f>Workings_risks!V39</f>
        <v>845653.26534678915</v>
      </c>
      <c r="AA28" s="32">
        <f>Workings_risks!W39</f>
        <v>845653.26534678915</v>
      </c>
      <c r="AB28" s="32">
        <f>Workings_risks!X39</f>
        <v>845653.26534678915</v>
      </c>
      <c r="AC28" s="32">
        <f>Workings_risks!Y39</f>
        <v>0</v>
      </c>
      <c r="AD28" s="32">
        <f>Workings_risks!Z39</f>
        <v>0</v>
      </c>
      <c r="AE28" s="32">
        <f>Workings_risks!AA39</f>
        <v>0</v>
      </c>
      <c r="AF28" s="32">
        <f>Workings_risks!AB39</f>
        <v>0</v>
      </c>
      <c r="AG28" s="32">
        <f>Workings_risks!AC39</f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6"/>
      <c r="E29"/>
      <c r="G29" s="20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5" t="s">
        <v>206</v>
      </c>
      <c r="G30" s="207">
        <f>input_dollars</f>
        <v>45291</v>
      </c>
      <c r="H30" s="149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6"/>
      <c r="E31"/>
      <c r="G31" s="207">
        <f>input_dollars</f>
        <v>45291</v>
      </c>
      <c r="H31" s="149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5" t="s">
        <v>206</v>
      </c>
      <c r="E32"/>
      <c r="G32" s="207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4" t="s">
        <v>278</v>
      </c>
      <c r="D33" s="219"/>
      <c r="E33"/>
      <c r="G33" s="207">
        <f>input_dollars</f>
        <v>45291</v>
      </c>
      <c r="H33"/>
      <c r="I33" s="32">
        <f>Workings_risks!E38</f>
        <v>14619740.911597524</v>
      </c>
      <c r="J33" s="32">
        <f>Workings_risks!F38</f>
        <v>14450313.577100819</v>
      </c>
      <c r="K33" s="32">
        <f>Workings_risks!G38</f>
        <v>14450313.577100819</v>
      </c>
      <c r="L33" s="32">
        <f>Workings_risks!H38</f>
        <v>14450313.577100819</v>
      </c>
      <c r="M33" s="32">
        <f>Workings_risks!I38</f>
        <v>14450313.577100819</v>
      </c>
      <c r="N33" s="32">
        <f>Workings_risks!J38</f>
        <v>14450313.577100819</v>
      </c>
      <c r="O33" s="32">
        <f>Workings_risks!K38</f>
        <v>14450313.577100819</v>
      </c>
      <c r="P33" s="32">
        <f>Workings_risks!L38</f>
        <v>14450313.577100819</v>
      </c>
      <c r="Q33" s="32">
        <f>Workings_risks!M38</f>
        <v>14450313.577100819</v>
      </c>
      <c r="R33" s="32">
        <f>Workings_risks!N38</f>
        <v>14450313.577100819</v>
      </c>
      <c r="S33" s="32">
        <f>Workings_risks!O38</f>
        <v>14450313.577100819</v>
      </c>
      <c r="T33" s="32">
        <f>Workings_risks!P38</f>
        <v>14450313.577100819</v>
      </c>
      <c r="U33" s="32">
        <f>Workings_risks!Q38</f>
        <v>14450313.577100819</v>
      </c>
      <c r="V33" s="32">
        <f>Workings_risks!R38</f>
        <v>14450313.577100819</v>
      </c>
      <c r="W33" s="32">
        <f>Workings_risks!S38</f>
        <v>14450313.577100819</v>
      </c>
      <c r="X33" s="32">
        <f>Workings_risks!T38</f>
        <v>14450313.577100819</v>
      </c>
      <c r="Y33" s="32">
        <f>Workings_risks!U38</f>
        <v>14450313.577100819</v>
      </c>
      <c r="Z33" s="32">
        <f>Workings_risks!V38</f>
        <v>14450313.577100819</v>
      </c>
      <c r="AA33" s="32">
        <f>Workings_risks!W38</f>
        <v>14450313.577100819</v>
      </c>
      <c r="AB33" s="32">
        <f>Workings_risks!X38</f>
        <v>14450313.577100819</v>
      </c>
      <c r="AC33" s="32">
        <f>Workings_risks!Y38</f>
        <v>0</v>
      </c>
      <c r="AD33" s="32">
        <f>Workings_risks!Z38</f>
        <v>0</v>
      </c>
      <c r="AE33" s="32">
        <f>Workings_risks!AA38</f>
        <v>0</v>
      </c>
      <c r="AF33" s="32">
        <f>Workings_risks!AB38</f>
        <v>0</v>
      </c>
      <c r="AG33" s="32">
        <f>Workings_risks!AC38</f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57" t="s">
        <v>171</v>
      </c>
      <c r="D34" s="206"/>
      <c r="E34"/>
      <c r="G34" s="207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6"/>
      <c r="E35"/>
      <c r="G35" s="20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170</v>
      </c>
      <c r="D36" s="218"/>
      <c r="E36" s="107"/>
      <c r="F36" s="3"/>
      <c r="G36" s="209"/>
      <c r="H36" s="107"/>
      <c r="I36" s="170">
        <f>SUM(I28:I34)</f>
        <v>15466920.699393753</v>
      </c>
      <c r="J36" s="170">
        <f t="shared" ref="J36:AG36" si="2">SUM(J28:J34)</f>
        <v>15295966.842447609</v>
      </c>
      <c r="K36" s="170">
        <f t="shared" si="2"/>
        <v>15295966.842447609</v>
      </c>
      <c r="L36" s="170">
        <f t="shared" si="2"/>
        <v>15295966.842447609</v>
      </c>
      <c r="M36" s="170">
        <f t="shared" si="2"/>
        <v>15295966.842447609</v>
      </c>
      <c r="N36" s="170">
        <f t="shared" si="2"/>
        <v>15295966.842447609</v>
      </c>
      <c r="O36" s="170">
        <f t="shared" si="2"/>
        <v>15295966.842447609</v>
      </c>
      <c r="P36" s="170">
        <f t="shared" si="2"/>
        <v>15295966.842447609</v>
      </c>
      <c r="Q36" s="170">
        <f t="shared" si="2"/>
        <v>15295966.842447609</v>
      </c>
      <c r="R36" s="170">
        <f t="shared" si="2"/>
        <v>15295966.842447609</v>
      </c>
      <c r="S36" s="170">
        <f t="shared" si="2"/>
        <v>15295966.842447609</v>
      </c>
      <c r="T36" s="170">
        <f t="shared" si="2"/>
        <v>15295966.842447609</v>
      </c>
      <c r="U36" s="170">
        <f t="shared" si="2"/>
        <v>15295966.842447609</v>
      </c>
      <c r="V36" s="170">
        <f t="shared" si="2"/>
        <v>15295966.842447609</v>
      </c>
      <c r="W36" s="170">
        <f t="shared" si="2"/>
        <v>15295966.842447609</v>
      </c>
      <c r="X36" s="170">
        <f t="shared" si="2"/>
        <v>15295966.842447609</v>
      </c>
      <c r="Y36" s="170">
        <f t="shared" si="2"/>
        <v>15295966.842447609</v>
      </c>
      <c r="Z36" s="170">
        <f t="shared" si="2"/>
        <v>15295966.842447609</v>
      </c>
      <c r="AA36" s="170">
        <f t="shared" si="2"/>
        <v>15295966.842447609</v>
      </c>
      <c r="AB36" s="170">
        <f t="shared" si="2"/>
        <v>15295966.842447609</v>
      </c>
      <c r="AC36" s="170">
        <f t="shared" si="2"/>
        <v>0</v>
      </c>
      <c r="AD36" s="170">
        <f t="shared" si="2"/>
        <v>0</v>
      </c>
      <c r="AE36" s="170">
        <f t="shared" si="2"/>
        <v>0</v>
      </c>
      <c r="AF36" s="170">
        <f t="shared" si="2"/>
        <v>0</v>
      </c>
      <c r="AG36" s="170">
        <f t="shared" si="2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4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7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7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5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5" t="s">
        <v>104</v>
      </c>
      <c r="I42" s="85">
        <f t="shared" ref="I42:AG42" si="3">I41*I7</f>
        <v>0</v>
      </c>
      <c r="J42" s="85">
        <f t="shared" si="3"/>
        <v>0</v>
      </c>
      <c r="K42" s="85">
        <f t="shared" si="3"/>
        <v>0</v>
      </c>
      <c r="L42" s="85">
        <f t="shared" si="3"/>
        <v>0</v>
      </c>
      <c r="M42" s="85">
        <f t="shared" si="3"/>
        <v>0</v>
      </c>
      <c r="N42" s="85">
        <f t="shared" si="3"/>
        <v>0</v>
      </c>
      <c r="O42" s="85">
        <f t="shared" si="3"/>
        <v>0</v>
      </c>
      <c r="P42" s="85">
        <f t="shared" si="3"/>
        <v>0</v>
      </c>
      <c r="Q42" s="85">
        <f t="shared" si="3"/>
        <v>0</v>
      </c>
      <c r="R42" s="85">
        <f t="shared" si="3"/>
        <v>0</v>
      </c>
      <c r="S42" s="85">
        <f t="shared" si="3"/>
        <v>0</v>
      </c>
      <c r="T42" s="85">
        <f t="shared" si="3"/>
        <v>0</v>
      </c>
      <c r="U42" s="85">
        <f t="shared" si="3"/>
        <v>0</v>
      </c>
      <c r="V42" s="85">
        <f t="shared" si="3"/>
        <v>0</v>
      </c>
      <c r="W42" s="85">
        <f t="shared" si="3"/>
        <v>0</v>
      </c>
      <c r="X42" s="85">
        <f t="shared" si="3"/>
        <v>0</v>
      </c>
      <c r="Y42" s="85">
        <f t="shared" si="3"/>
        <v>0</v>
      </c>
      <c r="Z42" s="85">
        <f t="shared" si="3"/>
        <v>0</v>
      </c>
      <c r="AA42" s="85">
        <f t="shared" si="3"/>
        <v>0</v>
      </c>
      <c r="AB42" s="85">
        <f t="shared" si="3"/>
        <v>0</v>
      </c>
      <c r="AC42" s="85">
        <f t="shared" si="3"/>
        <v>0</v>
      </c>
      <c r="AD42" s="85">
        <f t="shared" si="3"/>
        <v>0</v>
      </c>
      <c r="AE42" s="85">
        <f t="shared" si="3"/>
        <v>0</v>
      </c>
      <c r="AF42" s="85">
        <f t="shared" si="3"/>
        <v>0</v>
      </c>
      <c r="AG42" s="85">
        <f t="shared" si="3"/>
        <v>0</v>
      </c>
    </row>
    <row r="43" spans="1:16372" x14ac:dyDescent="0.2">
      <c r="D43"/>
      <c r="E43"/>
      <c r="G43" s="207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6"/>
      <c r="E44"/>
      <c r="G44" s="207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14</v>
      </c>
      <c r="D45" s="205" t="s">
        <v>63</v>
      </c>
      <c r="E45" s="113">
        <f>Assumptions!G94</f>
        <v>151432.81740793545</v>
      </c>
      <c r="G45" s="207" t="s">
        <v>40</v>
      </c>
      <c r="I45" s="322">
        <v>0</v>
      </c>
      <c r="J45" s="322">
        <v>0</v>
      </c>
      <c r="K45" s="322">
        <v>0</v>
      </c>
      <c r="L45" s="322">
        <v>0</v>
      </c>
      <c r="M45" s="322">
        <v>0</v>
      </c>
      <c r="N45" s="322">
        <v>0</v>
      </c>
      <c r="O45" s="322">
        <v>0</v>
      </c>
      <c r="P45" s="322">
        <v>0</v>
      </c>
      <c r="Q45" s="322">
        <v>0</v>
      </c>
      <c r="R45" s="322">
        <v>0</v>
      </c>
      <c r="S45" s="322">
        <v>0</v>
      </c>
      <c r="T45" s="322">
        <v>0</v>
      </c>
      <c r="U45" s="322">
        <v>0</v>
      </c>
      <c r="V45" s="322">
        <v>0</v>
      </c>
      <c r="W45" s="322">
        <v>0</v>
      </c>
      <c r="X45" s="322">
        <v>0</v>
      </c>
      <c r="Y45" s="322">
        <v>0</v>
      </c>
      <c r="Z45" s="322">
        <v>0</v>
      </c>
      <c r="AA45" s="322">
        <v>0</v>
      </c>
      <c r="AB45" s="322">
        <v>0</v>
      </c>
      <c r="AC45" s="322">
        <v>0</v>
      </c>
      <c r="AD45" s="322">
        <v>0</v>
      </c>
      <c r="AE45" s="322">
        <v>0</v>
      </c>
      <c r="AF45" s="322">
        <v>0</v>
      </c>
      <c r="AG45" s="322">
        <v>0</v>
      </c>
    </row>
    <row r="46" spans="1:16372" x14ac:dyDescent="0.2">
      <c r="C46" s="1" t="s">
        <v>4</v>
      </c>
      <c r="D46" s="205" t="s">
        <v>63</v>
      </c>
      <c r="E46" s="113">
        <f>Assumptions!G95</f>
        <v>24590</v>
      </c>
      <c r="G46" s="207" t="s">
        <v>40</v>
      </c>
      <c r="I46" s="322">
        <v>0</v>
      </c>
      <c r="J46" s="322">
        <v>0</v>
      </c>
      <c r="K46" s="322">
        <v>0</v>
      </c>
      <c r="L46" s="322">
        <v>0</v>
      </c>
      <c r="M46" s="322">
        <v>0</v>
      </c>
      <c r="N46" s="322">
        <v>0</v>
      </c>
      <c r="O46" s="322">
        <v>0</v>
      </c>
      <c r="P46" s="322">
        <v>0</v>
      </c>
      <c r="Q46" s="322">
        <v>0</v>
      </c>
      <c r="R46" s="322">
        <v>0</v>
      </c>
      <c r="S46" s="322">
        <v>0</v>
      </c>
      <c r="T46" s="322">
        <v>0</v>
      </c>
      <c r="U46" s="322">
        <v>0</v>
      </c>
      <c r="V46" s="322">
        <v>0</v>
      </c>
      <c r="W46" s="322">
        <v>0</v>
      </c>
      <c r="X46" s="322">
        <v>0</v>
      </c>
      <c r="Y46" s="322">
        <v>0</v>
      </c>
      <c r="Z46" s="322">
        <v>0</v>
      </c>
      <c r="AA46" s="322">
        <v>0</v>
      </c>
      <c r="AB46" s="322">
        <v>0</v>
      </c>
      <c r="AC46" s="322">
        <v>0</v>
      </c>
      <c r="AD46" s="322">
        <v>0</v>
      </c>
      <c r="AE46" s="322">
        <v>0</v>
      </c>
      <c r="AF46" s="322">
        <v>0</v>
      </c>
      <c r="AG46" s="322">
        <v>0</v>
      </c>
    </row>
    <row r="47" spans="1:16372" x14ac:dyDescent="0.2">
      <c r="C47" s="1" t="s">
        <v>5</v>
      </c>
      <c r="D47" s="205" t="s">
        <v>63</v>
      </c>
      <c r="E47" s="113">
        <f>Assumptions!G96</f>
        <v>88.357719508603083</v>
      </c>
      <c r="G47" s="207" t="s">
        <v>40</v>
      </c>
      <c r="I47" s="322">
        <v>0</v>
      </c>
      <c r="J47" s="322">
        <v>0</v>
      </c>
      <c r="K47" s="322">
        <v>0</v>
      </c>
      <c r="L47" s="322">
        <v>0</v>
      </c>
      <c r="M47" s="322">
        <v>0</v>
      </c>
      <c r="N47" s="322">
        <v>0</v>
      </c>
      <c r="O47" s="322">
        <v>0</v>
      </c>
      <c r="P47" s="322">
        <v>0</v>
      </c>
      <c r="Q47" s="322">
        <v>0</v>
      </c>
      <c r="R47" s="322">
        <v>0</v>
      </c>
      <c r="S47" s="322">
        <v>0</v>
      </c>
      <c r="T47" s="322">
        <v>0</v>
      </c>
      <c r="U47" s="322">
        <v>0</v>
      </c>
      <c r="V47" s="322">
        <v>0</v>
      </c>
      <c r="W47" s="322">
        <v>0</v>
      </c>
      <c r="X47" s="322">
        <v>0</v>
      </c>
      <c r="Y47" s="322">
        <v>0</v>
      </c>
      <c r="Z47" s="322">
        <v>0</v>
      </c>
      <c r="AA47" s="322">
        <v>0</v>
      </c>
      <c r="AB47" s="322">
        <v>0</v>
      </c>
      <c r="AC47" s="322">
        <v>0</v>
      </c>
      <c r="AD47" s="322">
        <v>0</v>
      </c>
      <c r="AE47" s="322">
        <v>0</v>
      </c>
      <c r="AF47" s="322">
        <v>0</v>
      </c>
      <c r="AG47" s="322">
        <v>0</v>
      </c>
    </row>
    <row r="48" spans="1:16372" x14ac:dyDescent="0.2">
      <c r="C48" s="1" t="s">
        <v>15</v>
      </c>
      <c r="D48" s="205" t="s">
        <v>126</v>
      </c>
      <c r="E48" s="112">
        <f>Assumptions!G97</f>
        <v>0</v>
      </c>
      <c r="G48" s="207" t="s">
        <v>203</v>
      </c>
      <c r="I48" s="322">
        <v>0</v>
      </c>
      <c r="J48" s="322">
        <v>0</v>
      </c>
      <c r="K48" s="322">
        <v>0</v>
      </c>
      <c r="L48" s="322">
        <v>0</v>
      </c>
      <c r="M48" s="322">
        <v>0</v>
      </c>
      <c r="N48" s="322">
        <v>0</v>
      </c>
      <c r="O48" s="322">
        <v>0</v>
      </c>
      <c r="P48" s="322">
        <v>0</v>
      </c>
      <c r="Q48" s="322">
        <v>0</v>
      </c>
      <c r="R48" s="322">
        <v>0</v>
      </c>
      <c r="S48" s="322">
        <v>0</v>
      </c>
      <c r="T48" s="322">
        <v>0</v>
      </c>
      <c r="U48" s="322">
        <v>0</v>
      </c>
      <c r="V48" s="322">
        <v>0</v>
      </c>
      <c r="W48" s="322">
        <v>0</v>
      </c>
      <c r="X48" s="322">
        <v>0</v>
      </c>
      <c r="Y48" s="322">
        <v>0</v>
      </c>
      <c r="Z48" s="322">
        <v>0</v>
      </c>
      <c r="AA48" s="322">
        <v>0</v>
      </c>
      <c r="AB48" s="322">
        <v>0</v>
      </c>
      <c r="AC48" s="322">
        <v>0</v>
      </c>
      <c r="AD48" s="322">
        <v>0</v>
      </c>
      <c r="AE48" s="322">
        <v>0</v>
      </c>
      <c r="AF48" s="322">
        <v>0</v>
      </c>
      <c r="AG48" s="322">
        <v>0</v>
      </c>
    </row>
    <row r="49" spans="1:43" x14ac:dyDescent="0.2">
      <c r="C49" s="1" t="s">
        <v>9</v>
      </c>
      <c r="D49" s="205" t="s">
        <v>204</v>
      </c>
      <c r="E49" s="112">
        <f>Assumptions!G98</f>
        <v>0.35181336539087127</v>
      </c>
      <c r="G49" s="207" t="s">
        <v>205</v>
      </c>
      <c r="I49" s="322">
        <v>0</v>
      </c>
      <c r="J49" s="322">
        <v>0</v>
      </c>
      <c r="K49" s="322">
        <v>0</v>
      </c>
      <c r="L49" s="322">
        <v>0</v>
      </c>
      <c r="M49" s="322">
        <v>0</v>
      </c>
      <c r="N49" s="322">
        <v>0</v>
      </c>
      <c r="O49" s="322">
        <v>0</v>
      </c>
      <c r="P49" s="322">
        <v>0</v>
      </c>
      <c r="Q49" s="322">
        <v>0</v>
      </c>
      <c r="R49" s="322">
        <v>0</v>
      </c>
      <c r="S49" s="322">
        <v>0</v>
      </c>
      <c r="T49" s="322">
        <v>0</v>
      </c>
      <c r="U49" s="322">
        <v>0</v>
      </c>
      <c r="V49" s="322">
        <v>0</v>
      </c>
      <c r="W49" s="322">
        <v>0</v>
      </c>
      <c r="X49" s="322">
        <v>0</v>
      </c>
      <c r="Y49" s="322">
        <v>0</v>
      </c>
      <c r="Z49" s="322">
        <v>0</v>
      </c>
      <c r="AA49" s="322">
        <v>0</v>
      </c>
      <c r="AB49" s="322">
        <v>0</v>
      </c>
      <c r="AC49" s="322">
        <v>0</v>
      </c>
      <c r="AD49" s="322">
        <v>0</v>
      </c>
      <c r="AE49" s="322">
        <v>0</v>
      </c>
      <c r="AF49" s="322">
        <v>0</v>
      </c>
      <c r="AG49" s="322">
        <v>0</v>
      </c>
    </row>
    <row r="50" spans="1:43" x14ac:dyDescent="0.2">
      <c r="C50" s="1" t="s">
        <v>10</v>
      </c>
      <c r="D50" s="205" t="s">
        <v>204</v>
      </c>
      <c r="E50" s="112">
        <f>Assumptions!G99</f>
        <v>0.35181336539087127</v>
      </c>
      <c r="G50" s="207" t="s">
        <v>205</v>
      </c>
      <c r="I50" s="322">
        <v>0</v>
      </c>
      <c r="J50" s="322">
        <v>0</v>
      </c>
      <c r="K50" s="322">
        <v>0</v>
      </c>
      <c r="L50" s="322">
        <v>0</v>
      </c>
      <c r="M50" s="322">
        <v>0</v>
      </c>
      <c r="N50" s="322">
        <v>0</v>
      </c>
      <c r="O50" s="322">
        <v>0</v>
      </c>
      <c r="P50" s="322">
        <v>0</v>
      </c>
      <c r="Q50" s="322">
        <v>0</v>
      </c>
      <c r="R50" s="322">
        <v>0</v>
      </c>
      <c r="S50" s="322">
        <v>0</v>
      </c>
      <c r="T50" s="322">
        <v>0</v>
      </c>
      <c r="U50" s="322">
        <v>0</v>
      </c>
      <c r="V50" s="322">
        <v>0</v>
      </c>
      <c r="W50" s="322">
        <v>0</v>
      </c>
      <c r="X50" s="322">
        <v>0</v>
      </c>
      <c r="Y50" s="322">
        <v>0</v>
      </c>
      <c r="Z50" s="322">
        <v>0</v>
      </c>
      <c r="AA50" s="322">
        <v>0</v>
      </c>
      <c r="AB50" s="322">
        <v>0</v>
      </c>
      <c r="AC50" s="322">
        <v>0</v>
      </c>
      <c r="AD50" s="322">
        <v>0</v>
      </c>
      <c r="AE50" s="322">
        <v>0</v>
      </c>
      <c r="AF50" s="322">
        <v>0</v>
      </c>
      <c r="AG50" s="322">
        <v>0</v>
      </c>
    </row>
    <row r="51" spans="1:43" x14ac:dyDescent="0.2">
      <c r="C51" s="1" t="s">
        <v>6</v>
      </c>
      <c r="D51" s="205" t="s">
        <v>126</v>
      </c>
      <c r="E51" s="112">
        <f>Assumptions!G100</f>
        <v>0</v>
      </c>
      <c r="G51" s="207" t="s">
        <v>203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C52" s="1" t="s">
        <v>7</v>
      </c>
      <c r="D52" s="205" t="s">
        <v>126</v>
      </c>
      <c r="E52" s="112">
        <f>Assumptions!G101</f>
        <v>0</v>
      </c>
      <c r="G52" s="207" t="s">
        <v>203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5"/>
      <c r="G53" s="207"/>
      <c r="H53" s="62"/>
      <c r="I53" s="323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5"/>
      <c r="G54" s="207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5"/>
      <c r="G55" s="207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5"/>
      <c r="G56" s="205"/>
    </row>
    <row r="57" spans="1:43" x14ac:dyDescent="0.2">
      <c r="C57" s="3" t="s">
        <v>125</v>
      </c>
      <c r="D57" s="218"/>
      <c r="E57" s="107"/>
      <c r="F57" s="3"/>
      <c r="G57" s="210">
        <f>input_dollars</f>
        <v>45291</v>
      </c>
      <c r="H57" s="107"/>
      <c r="I57" s="170" cm="1">
        <f t="array" ref="I57">SUMPRODUCT((I$45:I$52)*($E$45:$E$52))+SUM(I54:I55)+I42</f>
        <v>0</v>
      </c>
      <c r="J57" s="170" cm="1">
        <f t="array" ref="J57">SUMPRODUCT((J$45:J$52)*($E$45:$E$52))+SUM(J54:J55)+J42</f>
        <v>0</v>
      </c>
      <c r="K57" s="170" cm="1">
        <f t="array" ref="K57">SUMPRODUCT((K$45:K$52)*($E$45:$E$52))+SUM(K54:K55)+K42</f>
        <v>0</v>
      </c>
      <c r="L57" s="170" cm="1">
        <f t="array" ref="L57">SUMPRODUCT((L$45:L$52)*($E$45:$E$52))+SUM(L54:L55)+L42</f>
        <v>0</v>
      </c>
      <c r="M57" s="170" cm="1">
        <f t="array" ref="M57">SUMPRODUCT((M$45:M$52)*($E$45:$E$52))+SUM(M54:M55)+M42</f>
        <v>0</v>
      </c>
      <c r="N57" s="170" cm="1">
        <f t="array" ref="N57">SUMPRODUCT((N$45:N$52)*($E$45:$E$52))+SUM(N54:N55)+N42</f>
        <v>0</v>
      </c>
      <c r="O57" s="170" cm="1">
        <f t="array" ref="O57">SUMPRODUCT((O$45:O$52)*($E$45:$E$52))+SUM(O54:O55)+O42</f>
        <v>0</v>
      </c>
      <c r="P57" s="170" cm="1">
        <f t="array" ref="P57">SUMPRODUCT((P$45:P$52)*($E$45:$E$52))+SUM(P54:P55)+P42</f>
        <v>0</v>
      </c>
      <c r="Q57" s="170" cm="1">
        <f t="array" ref="Q57">SUMPRODUCT((Q$45:Q$52)*($E$45:$E$52))+SUM(Q54:Q55)+Q42</f>
        <v>0</v>
      </c>
      <c r="R57" s="170" cm="1">
        <f t="array" ref="R57">SUMPRODUCT((R$45:R$52)*($E$45:$E$52))+SUM(R54:R55)+R42</f>
        <v>0</v>
      </c>
      <c r="S57" s="170" cm="1">
        <f t="array" ref="S57">SUMPRODUCT((S$45:S$52)*($E$45:$E$52))+SUM(S54:S55)+S42</f>
        <v>0</v>
      </c>
      <c r="T57" s="170" cm="1">
        <f t="array" ref="T57">SUMPRODUCT((T$45:T$52)*($E$45:$E$52))+SUM(T54:T55)+T42</f>
        <v>0</v>
      </c>
      <c r="U57" s="170" cm="1">
        <f t="array" ref="U57">SUMPRODUCT((U$45:U$52)*($E$45:$E$52))+SUM(U54:U55)+U42</f>
        <v>0</v>
      </c>
      <c r="V57" s="170" cm="1">
        <f t="array" ref="V57">SUMPRODUCT((V$45:V$52)*($E$45:$E$52))+SUM(V54:V55)+V42</f>
        <v>0</v>
      </c>
      <c r="W57" s="170" cm="1">
        <f t="array" ref="W57">SUMPRODUCT((W$45:W$52)*($E$45:$E$52))+SUM(W54:W55)+W42</f>
        <v>0</v>
      </c>
      <c r="X57" s="170" cm="1">
        <f t="array" ref="X57">SUMPRODUCT((X$45:X$52)*($E$45:$E$52))+SUM(X54:X55)+X42</f>
        <v>0</v>
      </c>
      <c r="Y57" s="170" cm="1">
        <f t="array" ref="Y57">SUMPRODUCT((Y$45:Y$52)*($E$45:$E$52))+SUM(Y54:Y55)+Y42</f>
        <v>0</v>
      </c>
      <c r="Z57" s="170" cm="1">
        <f t="array" ref="Z57">SUMPRODUCT((Z$45:Z$52)*($E$45:$E$52))+SUM(Z54:Z55)+Z42</f>
        <v>0</v>
      </c>
      <c r="AA57" s="170" cm="1">
        <f t="array" ref="AA57">SUMPRODUCT((AA$45:AA$52)*($E$45:$E$52))+SUM(AA54:AA55)+AA42</f>
        <v>0</v>
      </c>
      <c r="AB57" s="170" cm="1">
        <f t="array" ref="AB57">SUMPRODUCT((AB$45:AB$52)*($E$45:$E$52))+SUM(AB54:AB55)+AB42</f>
        <v>0</v>
      </c>
      <c r="AC57" s="170" cm="1">
        <f t="array" ref="AC57">SUMPRODUCT((AC$45:AC$52)*($E$45:$E$52))+SUM(AC54:AC55)+AC42</f>
        <v>0</v>
      </c>
      <c r="AD57" s="170" cm="1">
        <f t="array" ref="AD57">SUMPRODUCT((AD$45:AD$52)*($E$45:$E$52))+SUM(AD54:AD55)+AD42</f>
        <v>0</v>
      </c>
      <c r="AE57" s="170" cm="1">
        <f t="array" ref="AE57">SUMPRODUCT((AE$45:AE$52)*($E$45:$E$52))+SUM(AE54:AE55)+AE42</f>
        <v>0</v>
      </c>
      <c r="AF57" s="170" cm="1">
        <f t="array" ref="AF57">SUMPRODUCT((AF$45:AF$52)*($E$45:$E$52))+SUM(AF54:AF55)+AF42</f>
        <v>0</v>
      </c>
      <c r="AG57" s="170" cm="1">
        <f t="array" ref="AG57">SUMPRODUCT((AG$45:AG$52)*($E$45:$E$52))+SUM(AG54:AG55)+AG42</f>
        <v>0</v>
      </c>
    </row>
    <row r="58" spans="1:43" x14ac:dyDescent="0.2">
      <c r="D58" s="205"/>
      <c r="G58" s="205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5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4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8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2"/>
      <c r="I63" s="137"/>
      <c r="J63" s="137"/>
      <c r="K63" s="137"/>
      <c r="L63" s="137"/>
      <c r="M63" s="137"/>
      <c r="N63" s="137"/>
      <c r="O63" s="137"/>
      <c r="P63" s="137"/>
      <c r="Q63" s="137"/>
      <c r="R63" s="137"/>
      <c r="S63" s="137"/>
      <c r="T63" s="137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</row>
    <row r="64" spans="1:43" x14ac:dyDescent="0.2">
      <c r="C64" s="4" t="str">
        <f>'Option1 (base case)'!C64</f>
        <v>Risks mitigated vs base case</v>
      </c>
      <c r="G64" s="210">
        <f>input_dollars</f>
        <v>45291</v>
      </c>
      <c r="I64" s="132">
        <f>(1-INDEX(Data!$C$9:$C$13, MATCH($A$3, options,0)))*('Option1 (base case)'!I36-I36)</f>
        <v>170953.85694614612</v>
      </c>
      <c r="J64" s="132">
        <f>(1-INDEX(Data!$C$9:$C$13, MATCH($A$3, options,0)))*('Option1 (base case)'!J36-J36)</f>
        <v>341907.71389229037</v>
      </c>
      <c r="K64" s="132">
        <f>(1-INDEX(Data!$C$9:$C$13, MATCH($A$3, options,0)))*('Option1 (base case)'!K36-K36)</f>
        <v>341907.71389229037</v>
      </c>
      <c r="L64" s="132">
        <f>(1-INDEX(Data!$C$9:$C$13, MATCH($A$3, options,0)))*('Option1 (base case)'!L36-L36)</f>
        <v>341907.71389229037</v>
      </c>
      <c r="M64" s="132">
        <f>(1-INDEX(Data!$C$9:$C$13, MATCH($A$3, options,0)))*('Option1 (base case)'!M36-M36)</f>
        <v>341907.71389229037</v>
      </c>
      <c r="N64" s="132">
        <f>(1-INDEX(Data!$C$9:$C$13, MATCH($A$3, options,0)))*('Option1 (base case)'!N36-N36)</f>
        <v>341907.71389229037</v>
      </c>
      <c r="O64" s="132">
        <f>(1-INDEX(Data!$C$9:$C$13, MATCH($A$3, options,0)))*('Option1 (base case)'!O36-O36)</f>
        <v>341907.71389229037</v>
      </c>
      <c r="P64" s="132">
        <f>(1-INDEX(Data!$C$9:$C$13, MATCH($A$3, options,0)))*('Option1 (base case)'!P36-P36)</f>
        <v>341907.71389229037</v>
      </c>
      <c r="Q64" s="132">
        <f>(1-INDEX(Data!$C$9:$C$13, MATCH($A$3, options,0)))*('Option1 (base case)'!Q36-Q36)</f>
        <v>341907.71389229037</v>
      </c>
      <c r="R64" s="132">
        <f>(1-INDEX(Data!$C$9:$C$13, MATCH($A$3, options,0)))*('Option1 (base case)'!R36-R36)</f>
        <v>341907.71389229037</v>
      </c>
      <c r="S64" s="132">
        <f>(1-INDEX(Data!$C$9:$C$13, MATCH($A$3, options,0)))*('Option1 (base case)'!S36-S36)</f>
        <v>341907.71389229037</v>
      </c>
      <c r="T64" s="132">
        <f>(1-INDEX(Data!$C$9:$C$13, MATCH($A$3, options,0)))*('Option1 (base case)'!T36-T36)</f>
        <v>341907.71389229037</v>
      </c>
      <c r="U64" s="132">
        <f>(1-INDEX(Data!$C$9:$C$13, MATCH($A$3, options,0)))*('Option1 (base case)'!U36-U36)</f>
        <v>341907.71389229037</v>
      </c>
      <c r="V64" s="132">
        <f>(1-INDEX(Data!$C$9:$C$13, MATCH($A$3, options,0)))*('Option1 (base case)'!V36-V36)</f>
        <v>341907.71389229037</v>
      </c>
      <c r="W64" s="132">
        <f>(1-INDEX(Data!$C$9:$C$13, MATCH($A$3, options,0)))*('Option1 (base case)'!W36-W36)</f>
        <v>341907.71389229037</v>
      </c>
      <c r="X64" s="132">
        <f>(1-INDEX(Data!$C$9:$C$13, MATCH($A$3, options,0)))*('Option1 (base case)'!X36-X36)</f>
        <v>341907.71389229037</v>
      </c>
      <c r="Y64" s="132">
        <f>(1-INDEX(Data!$C$9:$C$13, MATCH($A$3, options,0)))*('Option1 (base case)'!Y36-Y36)</f>
        <v>341907.71389229037</v>
      </c>
      <c r="Z64" s="132">
        <f>(1-INDEX(Data!$C$9:$C$13, MATCH($A$3, options,0)))*('Option1 (base case)'!Z36-Z36)</f>
        <v>341907.71389229037</v>
      </c>
      <c r="AA64" s="132">
        <f>(1-INDEX(Data!$C$9:$C$13, MATCH($A$3, options,0)))*('Option1 (base case)'!AA36-AA36)</f>
        <v>341907.71389229037</v>
      </c>
      <c r="AB64" s="132">
        <f>(1-INDEX(Data!$C$9:$C$13, MATCH($A$3, options,0)))*('Option1 (base case)'!AB36-AB36)</f>
        <v>341907.71389229037</v>
      </c>
      <c r="AC64" s="132">
        <f>(1-INDEX(Data!$C$9:$C$13, MATCH($A$3, options,0)))*('Option1 (base case)'!AC36-AC36)</f>
        <v>15637874.556339899</v>
      </c>
      <c r="AD64" s="132">
        <f>(1-INDEX(Data!$C$9:$C$13, MATCH($A$3, options,0)))*('Option1 (base case)'!AD36-AD36)</f>
        <v>15637874.556339899</v>
      </c>
      <c r="AE64" s="132">
        <f>(1-INDEX(Data!$C$9:$C$13, MATCH($A$3, options,0)))*('Option1 (base case)'!AE36-AE36)</f>
        <v>15637874.556339899</v>
      </c>
      <c r="AF64" s="132">
        <f>(1-INDEX(Data!$C$9:$C$13, MATCH($A$3, options,0)))*('Option1 (base case)'!AF36-AF36)</f>
        <v>15637874.556339899</v>
      </c>
      <c r="AG64" s="132">
        <f>(1-INDEX(Data!$C$9:$C$13, MATCH($A$3, options,0)))*('Option1 (base case)'!AG36-AG36)</f>
        <v>15637874.556339899</v>
      </c>
    </row>
    <row r="65" spans="1:33" x14ac:dyDescent="0.2">
      <c r="G65" s="212"/>
    </row>
    <row r="66" spans="1:33" x14ac:dyDescent="0.2">
      <c r="A66" s="8"/>
      <c r="B66" s="8"/>
      <c r="C66" s="147" t="s">
        <v>30</v>
      </c>
      <c r="D66" s="38"/>
      <c r="F66" s="97"/>
      <c r="G66" s="213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Covered conductor</v>
      </c>
      <c r="D67" s="38"/>
      <c r="F67" s="97"/>
      <c r="G67" s="210">
        <f>input_dollars</f>
        <v>45291</v>
      </c>
      <c r="H67" s="31"/>
      <c r="I67" s="119">
        <f t="shared" ref="I67:AG67" si="4">-I14</f>
        <v>-2660000</v>
      </c>
      <c r="J67" s="119">
        <f t="shared" si="4"/>
        <v>-2660000</v>
      </c>
      <c r="K67" s="119">
        <f t="shared" si="4"/>
        <v>0</v>
      </c>
      <c r="L67" s="119">
        <f t="shared" si="4"/>
        <v>0</v>
      </c>
      <c r="M67" s="119">
        <f t="shared" si="4"/>
        <v>0</v>
      </c>
      <c r="N67" s="119">
        <f t="shared" si="4"/>
        <v>0</v>
      </c>
      <c r="O67" s="119">
        <f t="shared" si="4"/>
        <v>0</v>
      </c>
      <c r="P67" s="119">
        <f t="shared" si="4"/>
        <v>0</v>
      </c>
      <c r="Q67" s="119">
        <f t="shared" si="4"/>
        <v>0</v>
      </c>
      <c r="R67" s="119">
        <f t="shared" si="4"/>
        <v>0</v>
      </c>
      <c r="S67" s="119">
        <f t="shared" si="4"/>
        <v>0</v>
      </c>
      <c r="T67" s="119">
        <f t="shared" si="4"/>
        <v>0</v>
      </c>
      <c r="U67" s="119">
        <f t="shared" si="4"/>
        <v>0</v>
      </c>
      <c r="V67" s="119">
        <f t="shared" si="4"/>
        <v>0</v>
      </c>
      <c r="W67" s="119">
        <f t="shared" si="4"/>
        <v>0</v>
      </c>
      <c r="X67" s="119">
        <f t="shared" si="4"/>
        <v>0</v>
      </c>
      <c r="Y67" s="119">
        <f t="shared" si="4"/>
        <v>0</v>
      </c>
      <c r="Z67" s="119">
        <f t="shared" si="4"/>
        <v>0</v>
      </c>
      <c r="AA67" s="119">
        <f t="shared" si="4"/>
        <v>0</v>
      </c>
      <c r="AB67" s="119">
        <f t="shared" si="4"/>
        <v>0</v>
      </c>
      <c r="AC67" s="119">
        <f t="shared" si="4"/>
        <v>0</v>
      </c>
      <c r="AD67" s="119">
        <f t="shared" si="4"/>
        <v>0</v>
      </c>
      <c r="AE67" s="119">
        <f t="shared" si="4"/>
        <v>0</v>
      </c>
      <c r="AF67" s="119">
        <f t="shared" si="4"/>
        <v>0</v>
      </c>
      <c r="AG67" s="119">
        <f t="shared" si="4"/>
        <v>0</v>
      </c>
    </row>
    <row r="68" spans="1:33" x14ac:dyDescent="0.2">
      <c r="A68" s="8"/>
      <c r="B68" s="8"/>
      <c r="C68" s="4">
        <f>C15</f>
        <v>0</v>
      </c>
      <c r="D68" s="38"/>
      <c r="F68" s="97"/>
      <c r="G68" s="210">
        <f>input_dollars</f>
        <v>45291</v>
      </c>
      <c r="H68" s="31"/>
      <c r="I68" s="119">
        <f t="shared" ref="I68:AG68" si="5">-I15</f>
        <v>0</v>
      </c>
      <c r="J68" s="119">
        <f t="shared" si="5"/>
        <v>0</v>
      </c>
      <c r="K68" s="119">
        <f t="shared" si="5"/>
        <v>0</v>
      </c>
      <c r="L68" s="119">
        <f t="shared" si="5"/>
        <v>0</v>
      </c>
      <c r="M68" s="119">
        <f t="shared" si="5"/>
        <v>0</v>
      </c>
      <c r="N68" s="119">
        <f t="shared" si="5"/>
        <v>0</v>
      </c>
      <c r="O68" s="119">
        <f t="shared" si="5"/>
        <v>0</v>
      </c>
      <c r="P68" s="119">
        <f t="shared" si="5"/>
        <v>0</v>
      </c>
      <c r="Q68" s="119">
        <f t="shared" si="5"/>
        <v>0</v>
      </c>
      <c r="R68" s="119">
        <f t="shared" si="5"/>
        <v>0</v>
      </c>
      <c r="S68" s="119">
        <f t="shared" si="5"/>
        <v>0</v>
      </c>
      <c r="T68" s="119">
        <f t="shared" si="5"/>
        <v>0</v>
      </c>
      <c r="U68" s="119">
        <f t="shared" si="5"/>
        <v>0</v>
      </c>
      <c r="V68" s="119">
        <f t="shared" si="5"/>
        <v>0</v>
      </c>
      <c r="W68" s="119">
        <f t="shared" si="5"/>
        <v>0</v>
      </c>
      <c r="X68" s="119">
        <f t="shared" si="5"/>
        <v>0</v>
      </c>
      <c r="Y68" s="119">
        <f t="shared" si="5"/>
        <v>0</v>
      </c>
      <c r="Z68" s="119">
        <f t="shared" si="5"/>
        <v>0</v>
      </c>
      <c r="AA68" s="119">
        <f t="shared" si="5"/>
        <v>0</v>
      </c>
      <c r="AB68" s="119">
        <f t="shared" si="5"/>
        <v>0</v>
      </c>
      <c r="AC68" s="119">
        <f t="shared" si="5"/>
        <v>0</v>
      </c>
      <c r="AD68" s="119">
        <f t="shared" si="5"/>
        <v>0</v>
      </c>
      <c r="AE68" s="119">
        <f t="shared" si="5"/>
        <v>0</v>
      </c>
      <c r="AF68" s="119">
        <f t="shared" si="5"/>
        <v>0</v>
      </c>
      <c r="AG68" s="119">
        <f t="shared" si="5"/>
        <v>0</v>
      </c>
    </row>
    <row r="69" spans="1:33" x14ac:dyDescent="0.2">
      <c r="A69" s="8"/>
      <c r="B69" s="8"/>
      <c r="C69" s="4">
        <f>C16</f>
        <v>0</v>
      </c>
      <c r="D69" s="38"/>
      <c r="F69" s="97"/>
      <c r="G69" s="210">
        <f>input_dollars</f>
        <v>45291</v>
      </c>
      <c r="H69" s="31"/>
      <c r="I69" s="119">
        <f t="shared" ref="I69:AG69" si="6">-I16</f>
        <v>0</v>
      </c>
      <c r="J69" s="119">
        <f t="shared" si="6"/>
        <v>0</v>
      </c>
      <c r="K69" s="119">
        <f t="shared" si="6"/>
        <v>0</v>
      </c>
      <c r="L69" s="119">
        <f t="shared" si="6"/>
        <v>0</v>
      </c>
      <c r="M69" s="119">
        <f t="shared" si="6"/>
        <v>0</v>
      </c>
      <c r="N69" s="119">
        <f t="shared" si="6"/>
        <v>0</v>
      </c>
      <c r="O69" s="119">
        <f t="shared" si="6"/>
        <v>0</v>
      </c>
      <c r="P69" s="119">
        <f t="shared" si="6"/>
        <v>0</v>
      </c>
      <c r="Q69" s="119">
        <f t="shared" si="6"/>
        <v>0</v>
      </c>
      <c r="R69" s="119">
        <f t="shared" si="6"/>
        <v>0</v>
      </c>
      <c r="S69" s="119">
        <f t="shared" si="6"/>
        <v>0</v>
      </c>
      <c r="T69" s="119">
        <f t="shared" si="6"/>
        <v>0</v>
      </c>
      <c r="U69" s="119">
        <f t="shared" si="6"/>
        <v>0</v>
      </c>
      <c r="V69" s="119">
        <f t="shared" si="6"/>
        <v>0</v>
      </c>
      <c r="W69" s="119">
        <f t="shared" si="6"/>
        <v>0</v>
      </c>
      <c r="X69" s="119">
        <f t="shared" si="6"/>
        <v>0</v>
      </c>
      <c r="Y69" s="119">
        <f t="shared" si="6"/>
        <v>0</v>
      </c>
      <c r="Z69" s="119">
        <f t="shared" si="6"/>
        <v>0</v>
      </c>
      <c r="AA69" s="119">
        <f t="shared" si="6"/>
        <v>0</v>
      </c>
      <c r="AB69" s="119">
        <f t="shared" si="6"/>
        <v>0</v>
      </c>
      <c r="AC69" s="119">
        <f t="shared" si="6"/>
        <v>0</v>
      </c>
      <c r="AD69" s="119">
        <f t="shared" si="6"/>
        <v>0</v>
      </c>
      <c r="AE69" s="119">
        <f t="shared" si="6"/>
        <v>0</v>
      </c>
      <c r="AF69" s="119">
        <f t="shared" si="6"/>
        <v>0</v>
      </c>
      <c r="AG69" s="119">
        <f t="shared" si="6"/>
        <v>0</v>
      </c>
    </row>
    <row r="70" spans="1:33" x14ac:dyDescent="0.2">
      <c r="A70" s="8"/>
      <c r="B70" s="8"/>
      <c r="C70" s="4"/>
      <c r="D70" s="38"/>
      <c r="F70" s="97"/>
      <c r="G70" s="214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7" t="s">
        <v>155</v>
      </c>
      <c r="D71" s="38"/>
      <c r="F71" s="97"/>
      <c r="G71" s="213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Covered conductor</v>
      </c>
      <c r="D72" s="38"/>
      <c r="F72" s="97"/>
      <c r="G72" s="210">
        <f>input_dollars</f>
        <v>45291</v>
      </c>
      <c r="H72" s="31"/>
      <c r="I72" s="119" cm="1">
        <f t="array" ref="I72">SUMPRODUCT(($I67:I67))-SUMPRODUCT(($I67:I67)*($I$6:I$6&lt;=(I$6-$E14)))</f>
        <v>-2660000</v>
      </c>
      <c r="J72" s="119" cm="1">
        <f t="array" ref="J72">SUMPRODUCT(($I67:J67))-SUMPRODUCT(($I67:J67)*($I$6:J$6&lt;=(J$6-$E14)))</f>
        <v>-5320000</v>
      </c>
      <c r="K72" s="119" cm="1">
        <f t="array" ref="K72">SUMPRODUCT(($I67:K67))-SUMPRODUCT(($I67:K67)*($I$6:K$6&lt;=(K$6-$E14)))</f>
        <v>-5320000</v>
      </c>
      <c r="L72" s="119" cm="1">
        <f t="array" ref="L72">SUMPRODUCT(($I67:L67))-SUMPRODUCT(($I67:L67)*($I$6:L$6&lt;=(L$6-$E14)))</f>
        <v>-5320000</v>
      </c>
      <c r="M72" s="119" cm="1">
        <f t="array" ref="M72">SUMPRODUCT(($I67:M67))-SUMPRODUCT(($I67:M67)*($I$6:M$6&lt;=(M$6-$E14)))</f>
        <v>-5320000</v>
      </c>
      <c r="N72" s="119" cm="1">
        <f t="array" ref="N72">SUMPRODUCT(($I67:N67))-SUMPRODUCT(($I67:N67)*($I$6:N$6&lt;=(N$6-$E14)))</f>
        <v>-5320000</v>
      </c>
      <c r="O72" s="119" cm="1">
        <f t="array" ref="O72">SUMPRODUCT(($I67:O67))-SUMPRODUCT(($I67:O67)*($I$6:O$6&lt;=(O$6-$E14)))</f>
        <v>-5320000</v>
      </c>
      <c r="P72" s="119" cm="1">
        <f t="array" ref="P72">SUMPRODUCT(($I67:P67))-SUMPRODUCT(($I67:P67)*($I$6:P$6&lt;=(P$6-$E14)))</f>
        <v>-5320000</v>
      </c>
      <c r="Q72" s="119" cm="1">
        <f t="array" ref="Q72">SUMPRODUCT(($I67:Q67))-SUMPRODUCT(($I67:Q67)*($I$6:Q$6&lt;=(Q$6-$E14)))</f>
        <v>-5320000</v>
      </c>
      <c r="R72" s="119" cm="1">
        <f t="array" ref="R72">SUMPRODUCT(($I67:R67))-SUMPRODUCT(($I67:R67)*($I$6:R$6&lt;=(R$6-$E14)))</f>
        <v>-5320000</v>
      </c>
      <c r="S72" s="119" cm="1">
        <f t="array" ref="S72">SUMPRODUCT(($I67:S67))-SUMPRODUCT(($I67:S67)*($I$6:S$6&lt;=(S$6-$E14)))</f>
        <v>-5320000</v>
      </c>
      <c r="T72" s="119" cm="1">
        <f t="array" ref="T72">SUMPRODUCT(($I67:T67))-SUMPRODUCT(($I67:T67)*($I$6:T$6&lt;=(T$6-$E14)))</f>
        <v>-5320000</v>
      </c>
      <c r="U72" s="119" cm="1">
        <f t="array" ref="U72">SUMPRODUCT(($I67:U67))-SUMPRODUCT(($I67:U67)*($I$6:U$6&lt;=(U$6-$E14)))</f>
        <v>-5320000</v>
      </c>
      <c r="V72" s="119" cm="1">
        <f t="array" ref="V72">SUMPRODUCT(($I67:V67))-SUMPRODUCT(($I67:V67)*($I$6:V$6&lt;=(V$6-$E14)))</f>
        <v>-5320000</v>
      </c>
      <c r="W72" s="119" cm="1">
        <f t="array" ref="W72">SUMPRODUCT(($I67:W67))-SUMPRODUCT(($I67:W67)*($I$6:W$6&lt;=(W$6-$E14)))</f>
        <v>-5320000</v>
      </c>
      <c r="X72" s="119" cm="1">
        <f t="array" ref="X72">SUMPRODUCT(($I67:X67))-SUMPRODUCT(($I67:X67)*($I$6:X$6&lt;=(X$6-$E14)))</f>
        <v>-5320000</v>
      </c>
      <c r="Y72" s="119" cm="1">
        <f t="array" ref="Y72">SUMPRODUCT(($I67:Y67))-SUMPRODUCT(($I67:Y67)*($I$6:Y$6&lt;=(Y$6-$E14)))</f>
        <v>-5320000</v>
      </c>
      <c r="Z72" s="119" cm="1">
        <f t="array" ref="Z72">SUMPRODUCT(($I67:Z67))-SUMPRODUCT(($I67:Z67)*($I$6:Z$6&lt;=(Z$6-$E14)))</f>
        <v>-5320000</v>
      </c>
      <c r="AA72" s="119" cm="1">
        <f t="array" ref="AA72">SUMPRODUCT(($I67:AA67))-SUMPRODUCT(($I67:AA67)*($I$6:AA$6&lt;=(AA$6-$E14)))</f>
        <v>-5320000</v>
      </c>
      <c r="AB72" s="119" cm="1">
        <f t="array" ref="AB72">SUMPRODUCT(($I67:AB67))-SUMPRODUCT(($I67:AB67)*($I$6:AB$6&lt;=(AB$6-$E14)))</f>
        <v>-5320000</v>
      </c>
      <c r="AC72" s="119" cm="1">
        <f t="array" ref="AC72">SUMPRODUCT(($I67:AC67))-SUMPRODUCT(($I67:AC67)*($I$6:AC$6&lt;=(AC$6-$E14)))</f>
        <v>-5320000</v>
      </c>
      <c r="AD72" s="119" cm="1">
        <f t="array" ref="AD72">SUMPRODUCT(($I67:AD67))-SUMPRODUCT(($I67:AD67)*($I$6:AD$6&lt;=(AD$6-$E14)))</f>
        <v>-5320000</v>
      </c>
      <c r="AE72" s="119" cm="1">
        <f t="array" ref="AE72">SUMPRODUCT(($I67:AE67))-SUMPRODUCT(($I67:AE67)*($I$6:AE$6&lt;=(AE$6-$E14)))</f>
        <v>-5320000</v>
      </c>
      <c r="AF72" s="119" cm="1">
        <f t="array" ref="AF72">SUMPRODUCT(($I67:AF67))-SUMPRODUCT(($I67:AF67)*($I$6:AF$6&lt;=(AF$6-$E14)))</f>
        <v>-5320000</v>
      </c>
      <c r="AG72" s="119" cm="1">
        <f t="array" ref="AG72">SUMPRODUCT(($I67:AG67))-SUMPRODUCT(($I67:AG67)*($I$6:AG$6&lt;=(AG$6-$E14)))</f>
        <v>-5320000</v>
      </c>
    </row>
    <row r="73" spans="1:33" x14ac:dyDescent="0.2">
      <c r="A73" s="8"/>
      <c r="B73" s="8"/>
      <c r="C73" s="4">
        <f>C15</f>
        <v>0</v>
      </c>
      <c r="D73" s="38"/>
      <c r="F73" s="97"/>
      <c r="G73" s="210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>
        <f>C16</f>
        <v>0</v>
      </c>
      <c r="D74" s="38"/>
      <c r="F74" s="97"/>
      <c r="G74" s="210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4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7" t="s">
        <v>91</v>
      </c>
      <c r="D76" s="38"/>
      <c r="F76" s="97"/>
      <c r="G76" s="213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Covered conductor</v>
      </c>
      <c r="D77" s="38"/>
      <c r="F77" s="97"/>
      <c r="G77" s="210">
        <f>input_dollars</f>
        <v>45291</v>
      </c>
      <c r="H77" s="31"/>
      <c r="I77" s="119">
        <f t="shared" ref="I77:AG77" si="7">IF($E14=0,0,-PMT(real_disc, $E14,H72,))</f>
        <v>0</v>
      </c>
      <c r="J77" s="119">
        <f t="shared" si="7"/>
        <v>-144627.74207574665</v>
      </c>
      <c r="K77" s="119">
        <f t="shared" si="7"/>
        <v>-289255.48415149329</v>
      </c>
      <c r="L77" s="119">
        <f t="shared" si="7"/>
        <v>-289255.48415149329</v>
      </c>
      <c r="M77" s="119">
        <f t="shared" si="7"/>
        <v>-289255.48415149329</v>
      </c>
      <c r="N77" s="119">
        <f t="shared" si="7"/>
        <v>-289255.48415149329</v>
      </c>
      <c r="O77" s="119">
        <f t="shared" si="7"/>
        <v>-289255.48415149329</v>
      </c>
      <c r="P77" s="119">
        <f t="shared" si="7"/>
        <v>-289255.48415149329</v>
      </c>
      <c r="Q77" s="119">
        <f t="shared" si="7"/>
        <v>-289255.48415149329</v>
      </c>
      <c r="R77" s="119">
        <f t="shared" si="7"/>
        <v>-289255.48415149329</v>
      </c>
      <c r="S77" s="119">
        <f t="shared" si="7"/>
        <v>-289255.48415149329</v>
      </c>
      <c r="T77" s="119">
        <f t="shared" si="7"/>
        <v>-289255.48415149329</v>
      </c>
      <c r="U77" s="119">
        <f t="shared" si="7"/>
        <v>-289255.48415149329</v>
      </c>
      <c r="V77" s="119">
        <f t="shared" si="7"/>
        <v>-289255.48415149329</v>
      </c>
      <c r="W77" s="119">
        <f t="shared" si="7"/>
        <v>-289255.48415149329</v>
      </c>
      <c r="X77" s="119">
        <f t="shared" si="7"/>
        <v>-289255.48415149329</v>
      </c>
      <c r="Y77" s="119">
        <f t="shared" si="7"/>
        <v>-289255.48415149329</v>
      </c>
      <c r="Z77" s="119">
        <f t="shared" si="7"/>
        <v>-289255.48415149329</v>
      </c>
      <c r="AA77" s="119">
        <f t="shared" si="7"/>
        <v>-289255.48415149329</v>
      </c>
      <c r="AB77" s="119">
        <f t="shared" si="7"/>
        <v>-289255.48415149329</v>
      </c>
      <c r="AC77" s="119">
        <f t="shared" si="7"/>
        <v>-289255.48415149329</v>
      </c>
      <c r="AD77" s="119">
        <f t="shared" si="7"/>
        <v>-289255.48415149329</v>
      </c>
      <c r="AE77" s="119">
        <f t="shared" si="7"/>
        <v>-289255.48415149329</v>
      </c>
      <c r="AF77" s="119">
        <f t="shared" si="7"/>
        <v>-289255.48415149329</v>
      </c>
      <c r="AG77" s="119">
        <f t="shared" si="7"/>
        <v>-289255.48415149329</v>
      </c>
    </row>
    <row r="78" spans="1:33" x14ac:dyDescent="0.2">
      <c r="A78" s="8"/>
      <c r="B78" s="8"/>
      <c r="C78" s="4" t="str">
        <f>$C$76&amp;" - "&amp;C15</f>
        <v xml:space="preserve">Annualised capex - </v>
      </c>
      <c r="D78" s="38"/>
      <c r="F78" s="97"/>
      <c r="G78" s="210">
        <f>input_dollars</f>
        <v>45291</v>
      </c>
      <c r="H78" s="31"/>
      <c r="I78" s="119">
        <f t="shared" ref="I78:AG78" si="8">IF($E15=0,0,-PMT(real_disc, $E15,H73,))</f>
        <v>0</v>
      </c>
      <c r="J78" s="119">
        <f t="shared" si="8"/>
        <v>0</v>
      </c>
      <c r="K78" s="119">
        <f t="shared" si="8"/>
        <v>0</v>
      </c>
      <c r="L78" s="119">
        <f t="shared" si="8"/>
        <v>0</v>
      </c>
      <c r="M78" s="119">
        <f t="shared" si="8"/>
        <v>0</v>
      </c>
      <c r="N78" s="119">
        <f t="shared" si="8"/>
        <v>0</v>
      </c>
      <c r="O78" s="119">
        <f t="shared" si="8"/>
        <v>0</v>
      </c>
      <c r="P78" s="119">
        <f t="shared" si="8"/>
        <v>0</v>
      </c>
      <c r="Q78" s="119">
        <f t="shared" si="8"/>
        <v>0</v>
      </c>
      <c r="R78" s="119">
        <f t="shared" si="8"/>
        <v>0</v>
      </c>
      <c r="S78" s="119">
        <f t="shared" si="8"/>
        <v>0</v>
      </c>
      <c r="T78" s="119">
        <f t="shared" si="8"/>
        <v>0</v>
      </c>
      <c r="U78" s="119">
        <f t="shared" si="8"/>
        <v>0</v>
      </c>
      <c r="V78" s="119">
        <f t="shared" si="8"/>
        <v>0</v>
      </c>
      <c r="W78" s="119">
        <f t="shared" si="8"/>
        <v>0</v>
      </c>
      <c r="X78" s="119">
        <f t="shared" si="8"/>
        <v>0</v>
      </c>
      <c r="Y78" s="119">
        <f t="shared" si="8"/>
        <v>0</v>
      </c>
      <c r="Z78" s="119">
        <f t="shared" si="8"/>
        <v>0</v>
      </c>
      <c r="AA78" s="119">
        <f t="shared" si="8"/>
        <v>0</v>
      </c>
      <c r="AB78" s="119">
        <f t="shared" si="8"/>
        <v>0</v>
      </c>
      <c r="AC78" s="119">
        <f t="shared" si="8"/>
        <v>0</v>
      </c>
      <c r="AD78" s="119">
        <f t="shared" si="8"/>
        <v>0</v>
      </c>
      <c r="AE78" s="119">
        <f t="shared" si="8"/>
        <v>0</v>
      </c>
      <c r="AF78" s="119">
        <f t="shared" si="8"/>
        <v>0</v>
      </c>
      <c r="AG78" s="119">
        <f t="shared" si="8"/>
        <v>0</v>
      </c>
    </row>
    <row r="79" spans="1:33" x14ac:dyDescent="0.2">
      <c r="A79" s="8"/>
      <c r="B79" s="8"/>
      <c r="C79" s="4" t="str">
        <f>$C$76&amp;" - "&amp;C16</f>
        <v xml:space="preserve">Annualised capex - </v>
      </c>
      <c r="D79" s="38"/>
      <c r="F79" s="97"/>
      <c r="G79" s="210">
        <f>input_dollars</f>
        <v>45291</v>
      </c>
      <c r="H79" s="31"/>
      <c r="I79" s="119">
        <f t="shared" ref="I79:AG79" si="9">IF($E16=0,0,-PMT(real_disc, $E16,H74,))</f>
        <v>0</v>
      </c>
      <c r="J79" s="119">
        <f t="shared" si="9"/>
        <v>0</v>
      </c>
      <c r="K79" s="119">
        <f t="shared" si="9"/>
        <v>0</v>
      </c>
      <c r="L79" s="119">
        <f t="shared" si="9"/>
        <v>0</v>
      </c>
      <c r="M79" s="119">
        <f t="shared" si="9"/>
        <v>0</v>
      </c>
      <c r="N79" s="119">
        <f t="shared" si="9"/>
        <v>0</v>
      </c>
      <c r="O79" s="119">
        <f t="shared" si="9"/>
        <v>0</v>
      </c>
      <c r="P79" s="119">
        <f t="shared" si="9"/>
        <v>0</v>
      </c>
      <c r="Q79" s="119">
        <f t="shared" si="9"/>
        <v>0</v>
      </c>
      <c r="R79" s="119">
        <f t="shared" si="9"/>
        <v>0</v>
      </c>
      <c r="S79" s="119">
        <f t="shared" si="9"/>
        <v>0</v>
      </c>
      <c r="T79" s="119">
        <f t="shared" si="9"/>
        <v>0</v>
      </c>
      <c r="U79" s="119">
        <f t="shared" si="9"/>
        <v>0</v>
      </c>
      <c r="V79" s="119">
        <f t="shared" si="9"/>
        <v>0</v>
      </c>
      <c r="W79" s="119">
        <f t="shared" si="9"/>
        <v>0</v>
      </c>
      <c r="X79" s="119">
        <f t="shared" si="9"/>
        <v>0</v>
      </c>
      <c r="Y79" s="119">
        <f t="shared" si="9"/>
        <v>0</v>
      </c>
      <c r="Z79" s="119">
        <f t="shared" si="9"/>
        <v>0</v>
      </c>
      <c r="AA79" s="119">
        <f t="shared" si="9"/>
        <v>0</v>
      </c>
      <c r="AB79" s="119">
        <f t="shared" si="9"/>
        <v>0</v>
      </c>
      <c r="AC79" s="119">
        <f t="shared" si="9"/>
        <v>0</v>
      </c>
      <c r="AD79" s="119">
        <f t="shared" si="9"/>
        <v>0</v>
      </c>
      <c r="AE79" s="119">
        <f t="shared" si="9"/>
        <v>0</v>
      </c>
      <c r="AF79" s="119">
        <f t="shared" si="9"/>
        <v>0</v>
      </c>
      <c r="AG79" s="119">
        <f t="shared" si="9"/>
        <v>0</v>
      </c>
    </row>
    <row r="80" spans="1:33" x14ac:dyDescent="0.2">
      <c r="A80" s="8"/>
      <c r="B80" s="8"/>
      <c r="C80" s="172" t="s">
        <v>156</v>
      </c>
      <c r="D80" s="172"/>
      <c r="E80" s="173"/>
      <c r="F80" s="174"/>
      <c r="G80" s="215">
        <f>input_dollars</f>
        <v>45291</v>
      </c>
      <c r="H80" s="175"/>
      <c r="I80" s="176">
        <f>SUM(I77:I79)</f>
        <v>0</v>
      </c>
      <c r="J80" s="176">
        <f t="shared" ref="J80:AB80" si="10">SUM(J77:J79)</f>
        <v>-144627.74207574665</v>
      </c>
      <c r="K80" s="176">
        <f t="shared" si="10"/>
        <v>-289255.48415149329</v>
      </c>
      <c r="L80" s="176">
        <f t="shared" si="10"/>
        <v>-289255.48415149329</v>
      </c>
      <c r="M80" s="176">
        <f t="shared" si="10"/>
        <v>-289255.48415149329</v>
      </c>
      <c r="N80" s="176">
        <f t="shared" si="10"/>
        <v>-289255.48415149329</v>
      </c>
      <c r="O80" s="176">
        <f t="shared" si="10"/>
        <v>-289255.48415149329</v>
      </c>
      <c r="P80" s="176">
        <f t="shared" si="10"/>
        <v>-289255.48415149329</v>
      </c>
      <c r="Q80" s="176">
        <f t="shared" si="10"/>
        <v>-289255.48415149329</v>
      </c>
      <c r="R80" s="176">
        <f t="shared" si="10"/>
        <v>-289255.48415149329</v>
      </c>
      <c r="S80" s="176">
        <f t="shared" si="10"/>
        <v>-289255.48415149329</v>
      </c>
      <c r="T80" s="176">
        <f t="shared" si="10"/>
        <v>-289255.48415149329</v>
      </c>
      <c r="U80" s="176">
        <f t="shared" si="10"/>
        <v>-289255.48415149329</v>
      </c>
      <c r="V80" s="176">
        <f t="shared" si="10"/>
        <v>-289255.48415149329</v>
      </c>
      <c r="W80" s="176">
        <f t="shared" si="10"/>
        <v>-289255.48415149329</v>
      </c>
      <c r="X80" s="176">
        <f t="shared" si="10"/>
        <v>-289255.48415149329</v>
      </c>
      <c r="Y80" s="176">
        <f t="shared" si="10"/>
        <v>-289255.48415149329</v>
      </c>
      <c r="Z80" s="176">
        <f t="shared" si="10"/>
        <v>-289255.48415149329</v>
      </c>
      <c r="AA80" s="176">
        <f t="shared" si="10"/>
        <v>-289255.48415149329</v>
      </c>
      <c r="AB80" s="176">
        <f t="shared" si="10"/>
        <v>-289255.48415149329</v>
      </c>
      <c r="AC80" s="176">
        <f>SUM(AC77:AC79)</f>
        <v>-289255.48415149329</v>
      </c>
      <c r="AD80" s="176">
        <f>SUM(AD77:AD79)</f>
        <v>-289255.48415149329</v>
      </c>
      <c r="AE80" s="176">
        <f>SUM(AE77:AE79)</f>
        <v>-289255.48415149329</v>
      </c>
      <c r="AF80" s="176">
        <f>SUM(AF77:AF79)</f>
        <v>-289255.48415149329</v>
      </c>
      <c r="AG80" s="176">
        <f>SUM(AG77:AG79)</f>
        <v>-289255.48415149329</v>
      </c>
    </row>
    <row r="81" spans="1:33" x14ac:dyDescent="0.2">
      <c r="A81" s="8"/>
      <c r="B81" s="8"/>
      <c r="C81" s="75"/>
      <c r="D81" s="38"/>
      <c r="F81"/>
      <c r="G81" s="216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0">
        <f t="shared" ref="G82:G87" si="11">input_dollars</f>
        <v>45291</v>
      </c>
      <c r="H82" s="31"/>
      <c r="I82" s="119">
        <f>I80</f>
        <v>0</v>
      </c>
      <c r="J82" s="119">
        <f t="shared" ref="J82:AB82" si="12">J80</f>
        <v>-144627.74207574665</v>
      </c>
      <c r="K82" s="119">
        <f t="shared" si="12"/>
        <v>-289255.48415149329</v>
      </c>
      <c r="L82" s="119">
        <f t="shared" si="12"/>
        <v>-289255.48415149329</v>
      </c>
      <c r="M82" s="119">
        <f t="shared" si="12"/>
        <v>-289255.48415149329</v>
      </c>
      <c r="N82" s="119">
        <f t="shared" si="12"/>
        <v>-289255.48415149329</v>
      </c>
      <c r="O82" s="119">
        <f t="shared" si="12"/>
        <v>-289255.48415149329</v>
      </c>
      <c r="P82" s="119">
        <f t="shared" si="12"/>
        <v>-289255.48415149329</v>
      </c>
      <c r="Q82" s="119">
        <f t="shared" si="12"/>
        <v>-289255.48415149329</v>
      </c>
      <c r="R82" s="119">
        <f t="shared" si="12"/>
        <v>-289255.48415149329</v>
      </c>
      <c r="S82" s="119">
        <f t="shared" si="12"/>
        <v>-289255.48415149329</v>
      </c>
      <c r="T82" s="119">
        <f t="shared" si="12"/>
        <v>-289255.48415149329</v>
      </c>
      <c r="U82" s="119">
        <f t="shared" si="12"/>
        <v>-289255.48415149329</v>
      </c>
      <c r="V82" s="119">
        <f t="shared" si="12"/>
        <v>-289255.48415149329</v>
      </c>
      <c r="W82" s="119">
        <f t="shared" si="12"/>
        <v>-289255.48415149329</v>
      </c>
      <c r="X82" s="119">
        <f t="shared" si="12"/>
        <v>-289255.48415149329</v>
      </c>
      <c r="Y82" s="119">
        <f t="shared" si="12"/>
        <v>-289255.48415149329</v>
      </c>
      <c r="Z82" s="119">
        <f t="shared" si="12"/>
        <v>-289255.48415149329</v>
      </c>
      <c r="AA82" s="119">
        <f t="shared" si="12"/>
        <v>-289255.48415149329</v>
      </c>
      <c r="AB82" s="119">
        <f t="shared" si="12"/>
        <v>-289255.48415149329</v>
      </c>
      <c r="AC82" s="119">
        <f>AC80</f>
        <v>-289255.48415149329</v>
      </c>
      <c r="AD82" s="119">
        <f>AD80</f>
        <v>-289255.48415149329</v>
      </c>
      <c r="AE82" s="119">
        <f>AE80</f>
        <v>-289255.48415149329</v>
      </c>
      <c r="AF82" s="119">
        <f>AF80</f>
        <v>-289255.48415149329</v>
      </c>
      <c r="AG82" s="119">
        <f>AG80</f>
        <v>-289255.48415149329</v>
      </c>
    </row>
    <row r="83" spans="1:33" x14ac:dyDescent="0.2">
      <c r="A83" s="8"/>
      <c r="B83" s="8"/>
      <c r="C83" s="4" t="s">
        <v>31</v>
      </c>
      <c r="D83" s="38"/>
      <c r="F83" s="97"/>
      <c r="G83" s="210">
        <f t="shared" si="11"/>
        <v>45291</v>
      </c>
      <c r="H83" s="31"/>
      <c r="I83" s="31">
        <f t="shared" ref="I83:AG83" si="13">-I19</f>
        <v>0</v>
      </c>
      <c r="J83" s="31">
        <f t="shared" si="13"/>
        <v>0</v>
      </c>
      <c r="K83" s="31">
        <f t="shared" si="13"/>
        <v>0</v>
      </c>
      <c r="L83" s="31">
        <f t="shared" si="13"/>
        <v>0</v>
      </c>
      <c r="M83" s="31">
        <f t="shared" si="13"/>
        <v>0</v>
      </c>
      <c r="N83" s="31">
        <f t="shared" si="13"/>
        <v>0</v>
      </c>
      <c r="O83" s="31">
        <f t="shared" si="13"/>
        <v>0</v>
      </c>
      <c r="P83" s="31">
        <f t="shared" si="13"/>
        <v>0</v>
      </c>
      <c r="Q83" s="31">
        <f t="shared" si="13"/>
        <v>0</v>
      </c>
      <c r="R83" s="31">
        <f t="shared" si="13"/>
        <v>0</v>
      </c>
      <c r="S83" s="31">
        <f t="shared" si="13"/>
        <v>0</v>
      </c>
      <c r="T83" s="31">
        <f t="shared" si="13"/>
        <v>0</v>
      </c>
      <c r="U83" s="31">
        <f t="shared" si="13"/>
        <v>0</v>
      </c>
      <c r="V83" s="31">
        <f t="shared" si="13"/>
        <v>0</v>
      </c>
      <c r="W83" s="31">
        <f t="shared" si="13"/>
        <v>0</v>
      </c>
      <c r="X83" s="31">
        <f t="shared" si="13"/>
        <v>0</v>
      </c>
      <c r="Y83" s="31">
        <f t="shared" si="13"/>
        <v>0</v>
      </c>
      <c r="Z83" s="31">
        <f t="shared" si="13"/>
        <v>0</v>
      </c>
      <c r="AA83" s="31">
        <f t="shared" si="13"/>
        <v>0</v>
      </c>
      <c r="AB83" s="31">
        <f t="shared" si="13"/>
        <v>0</v>
      </c>
      <c r="AC83" s="31">
        <f t="shared" si="13"/>
        <v>0</v>
      </c>
      <c r="AD83" s="31">
        <f t="shared" si="13"/>
        <v>0</v>
      </c>
      <c r="AE83" s="31">
        <f t="shared" si="13"/>
        <v>0</v>
      </c>
      <c r="AF83" s="31">
        <f t="shared" si="13"/>
        <v>0</v>
      </c>
      <c r="AG83" s="31">
        <f t="shared" si="13"/>
        <v>0</v>
      </c>
    </row>
    <row r="84" spans="1:33" x14ac:dyDescent="0.2">
      <c r="A84" s="8"/>
      <c r="B84" s="8"/>
      <c r="C84" s="4" t="s">
        <v>139</v>
      </c>
      <c r="D84" s="38"/>
      <c r="F84" s="97"/>
      <c r="G84" s="210">
        <f t="shared" si="11"/>
        <v>45291</v>
      </c>
      <c r="H84" s="31"/>
      <c r="I84" s="31">
        <f>I64</f>
        <v>170953.85694614612</v>
      </c>
      <c r="J84" s="31">
        <f t="shared" ref="J84:AB84" si="14">J64</f>
        <v>341907.71389229037</v>
      </c>
      <c r="K84" s="31">
        <f t="shared" si="14"/>
        <v>341907.71389229037</v>
      </c>
      <c r="L84" s="31">
        <f t="shared" si="14"/>
        <v>341907.71389229037</v>
      </c>
      <c r="M84" s="31">
        <f t="shared" si="14"/>
        <v>341907.71389229037</v>
      </c>
      <c r="N84" s="31">
        <f t="shared" si="14"/>
        <v>341907.71389229037</v>
      </c>
      <c r="O84" s="31">
        <f t="shared" si="14"/>
        <v>341907.71389229037</v>
      </c>
      <c r="P84" s="31">
        <f t="shared" si="14"/>
        <v>341907.71389229037</v>
      </c>
      <c r="Q84" s="31">
        <f t="shared" si="14"/>
        <v>341907.71389229037</v>
      </c>
      <c r="R84" s="31">
        <f t="shared" si="14"/>
        <v>341907.71389229037</v>
      </c>
      <c r="S84" s="31">
        <f t="shared" si="14"/>
        <v>341907.71389229037</v>
      </c>
      <c r="T84" s="31">
        <f t="shared" si="14"/>
        <v>341907.71389229037</v>
      </c>
      <c r="U84" s="31">
        <f t="shared" si="14"/>
        <v>341907.71389229037</v>
      </c>
      <c r="V84" s="31">
        <f t="shared" si="14"/>
        <v>341907.71389229037</v>
      </c>
      <c r="W84" s="31">
        <f t="shared" si="14"/>
        <v>341907.71389229037</v>
      </c>
      <c r="X84" s="31">
        <f t="shared" si="14"/>
        <v>341907.71389229037</v>
      </c>
      <c r="Y84" s="31">
        <f t="shared" si="14"/>
        <v>341907.71389229037</v>
      </c>
      <c r="Z84" s="31">
        <f t="shared" si="14"/>
        <v>341907.71389229037</v>
      </c>
      <c r="AA84" s="31">
        <f t="shared" si="14"/>
        <v>341907.71389229037</v>
      </c>
      <c r="AB84" s="31">
        <f t="shared" si="14"/>
        <v>341907.71389229037</v>
      </c>
      <c r="AC84" s="31">
        <f>AC64</f>
        <v>15637874.556339899</v>
      </c>
      <c r="AD84" s="31">
        <f>AD64</f>
        <v>15637874.556339899</v>
      </c>
      <c r="AE84" s="31">
        <f>AE64</f>
        <v>15637874.556339899</v>
      </c>
      <c r="AF84" s="31">
        <f>AF64</f>
        <v>15637874.556339899</v>
      </c>
      <c r="AG84" s="31">
        <f>AG64</f>
        <v>15637874.556339899</v>
      </c>
    </row>
    <row r="85" spans="1:33" x14ac:dyDescent="0.2">
      <c r="A85" s="8"/>
      <c r="B85" s="8"/>
      <c r="C85" s="4" t="s">
        <v>122</v>
      </c>
      <c r="D85" s="38"/>
      <c r="F85" s="97"/>
      <c r="G85" s="210">
        <f t="shared" si="11"/>
        <v>45291</v>
      </c>
      <c r="H85" s="31"/>
      <c r="I85" s="31">
        <f t="shared" ref="I85:AG85" si="15">I57</f>
        <v>0</v>
      </c>
      <c r="J85" s="31">
        <f t="shared" si="15"/>
        <v>0</v>
      </c>
      <c r="K85" s="31">
        <f t="shared" si="15"/>
        <v>0</v>
      </c>
      <c r="L85" s="31">
        <f t="shared" si="15"/>
        <v>0</v>
      </c>
      <c r="M85" s="31">
        <f t="shared" si="15"/>
        <v>0</v>
      </c>
      <c r="N85" s="31">
        <f t="shared" si="15"/>
        <v>0</v>
      </c>
      <c r="O85" s="31">
        <f t="shared" si="15"/>
        <v>0</v>
      </c>
      <c r="P85" s="31">
        <f t="shared" si="15"/>
        <v>0</v>
      </c>
      <c r="Q85" s="31">
        <f t="shared" si="15"/>
        <v>0</v>
      </c>
      <c r="R85" s="31">
        <f t="shared" si="15"/>
        <v>0</v>
      </c>
      <c r="S85" s="31">
        <f t="shared" si="15"/>
        <v>0</v>
      </c>
      <c r="T85" s="31">
        <f t="shared" si="15"/>
        <v>0</v>
      </c>
      <c r="U85" s="31">
        <f t="shared" si="15"/>
        <v>0</v>
      </c>
      <c r="V85" s="31">
        <f t="shared" si="15"/>
        <v>0</v>
      </c>
      <c r="W85" s="31">
        <f t="shared" si="15"/>
        <v>0</v>
      </c>
      <c r="X85" s="31">
        <f t="shared" si="15"/>
        <v>0</v>
      </c>
      <c r="Y85" s="31">
        <f t="shared" si="15"/>
        <v>0</v>
      </c>
      <c r="Z85" s="31">
        <f t="shared" si="15"/>
        <v>0</v>
      </c>
      <c r="AA85" s="31">
        <f t="shared" si="15"/>
        <v>0</v>
      </c>
      <c r="AB85" s="31">
        <f t="shared" si="15"/>
        <v>0</v>
      </c>
      <c r="AC85" s="31">
        <f t="shared" si="15"/>
        <v>0</v>
      </c>
      <c r="AD85" s="31">
        <f t="shared" si="15"/>
        <v>0</v>
      </c>
      <c r="AE85" s="31">
        <f t="shared" si="15"/>
        <v>0</v>
      </c>
      <c r="AF85" s="31">
        <f t="shared" si="15"/>
        <v>0</v>
      </c>
      <c r="AG85" s="31">
        <f t="shared" si="15"/>
        <v>0</v>
      </c>
    </row>
    <row r="86" spans="1:33" x14ac:dyDescent="0.2">
      <c r="A86" s="8"/>
      <c r="B86" s="8"/>
      <c r="C86" s="4"/>
      <c r="D86" s="38"/>
      <c r="F86" s="31"/>
      <c r="G86" s="210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7" t="s">
        <v>186</v>
      </c>
      <c r="D87" s="178"/>
      <c r="E87" s="173"/>
      <c r="F87" s="179"/>
      <c r="G87" s="215">
        <f t="shared" si="11"/>
        <v>45291</v>
      </c>
      <c r="H87" s="179"/>
      <c r="I87" s="179">
        <f t="shared" ref="I87:AB87" si="16">SUM(I82:I86)</f>
        <v>170953.85694614612</v>
      </c>
      <c r="J87" s="179">
        <f t="shared" si="16"/>
        <v>197279.97181654372</v>
      </c>
      <c r="K87" s="179">
        <f t="shared" si="16"/>
        <v>52652.229740797076</v>
      </c>
      <c r="L87" s="179">
        <f t="shared" si="16"/>
        <v>52652.229740797076</v>
      </c>
      <c r="M87" s="179">
        <f t="shared" si="16"/>
        <v>52652.229740797076</v>
      </c>
      <c r="N87" s="179">
        <f t="shared" si="16"/>
        <v>52652.229740797076</v>
      </c>
      <c r="O87" s="179">
        <f t="shared" si="16"/>
        <v>52652.229740797076</v>
      </c>
      <c r="P87" s="179">
        <f t="shared" si="16"/>
        <v>52652.229740797076</v>
      </c>
      <c r="Q87" s="179">
        <f t="shared" si="16"/>
        <v>52652.229740797076</v>
      </c>
      <c r="R87" s="179">
        <f t="shared" si="16"/>
        <v>52652.229740797076</v>
      </c>
      <c r="S87" s="179">
        <f t="shared" si="16"/>
        <v>52652.229740797076</v>
      </c>
      <c r="T87" s="179">
        <f t="shared" si="16"/>
        <v>52652.229740797076</v>
      </c>
      <c r="U87" s="179">
        <f t="shared" si="16"/>
        <v>52652.229740797076</v>
      </c>
      <c r="V87" s="179">
        <f t="shared" si="16"/>
        <v>52652.229740797076</v>
      </c>
      <c r="W87" s="179">
        <f t="shared" si="16"/>
        <v>52652.229740797076</v>
      </c>
      <c r="X87" s="179">
        <f t="shared" si="16"/>
        <v>52652.229740797076</v>
      </c>
      <c r="Y87" s="179">
        <f t="shared" si="16"/>
        <v>52652.229740797076</v>
      </c>
      <c r="Z87" s="179">
        <f t="shared" si="16"/>
        <v>52652.229740797076</v>
      </c>
      <c r="AA87" s="179">
        <f t="shared" si="16"/>
        <v>52652.229740797076</v>
      </c>
      <c r="AB87" s="179">
        <f t="shared" si="16"/>
        <v>52652.229740797076</v>
      </c>
      <c r="AC87" s="179">
        <f>SUM(AC82:AC86)</f>
        <v>15348619.072188405</v>
      </c>
      <c r="AD87" s="179">
        <f>SUM(AD82:AD86)</f>
        <v>15348619.072188405</v>
      </c>
      <c r="AE87" s="179">
        <f>SUM(AE82:AE86)</f>
        <v>15348619.072188405</v>
      </c>
      <c r="AF87" s="179">
        <f>SUM(AF82:AF86)</f>
        <v>15348619.072188405</v>
      </c>
      <c r="AG87" s="179">
        <f>SUM(AG82:AG86)</f>
        <v>15348619.072188405</v>
      </c>
    </row>
    <row r="88" spans="1:33" x14ac:dyDescent="0.2">
      <c r="A88" s="8"/>
      <c r="B88" s="8"/>
      <c r="C88" s="75"/>
      <c r="D88" s="138"/>
      <c r="F88" s="141"/>
      <c r="G88" s="217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8"/>
      <c r="F89" s="141"/>
      <c r="G89" s="217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0" t="s">
        <v>196</v>
      </c>
      <c r="D90" s="82"/>
      <c r="E90" s="231"/>
      <c r="F90" s="232"/>
      <c r="G90" s="233" cm="1">
        <f t="array" ref="G90">IF(SUM($I17:$AG17)=0,0,(INDEX(I$6:AG$6,MATCH(TRUE,INDEX($I17:$AG17&lt;&gt;0,),0))))</f>
        <v>1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A91" s="8"/>
      <c r="B91" s="8"/>
      <c r="C91" s="82"/>
      <c r="D91" s="234"/>
      <c r="E91" s="231"/>
      <c r="F91" s="232"/>
      <c r="G91" s="233"/>
      <c r="H91" s="3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  <c r="Z91" s="105"/>
      <c r="AA91" s="105"/>
      <c r="AB91" s="105"/>
      <c r="AC91" s="105"/>
      <c r="AD91" s="105"/>
      <c r="AE91" s="105"/>
      <c r="AF91" s="105"/>
      <c r="AG91" s="105"/>
    </row>
    <row r="92" spans="1:33" x14ac:dyDescent="0.2">
      <c r="C92" s="235" t="s">
        <v>191</v>
      </c>
      <c r="D92" s="236"/>
      <c r="E92" s="236"/>
      <c r="F92" s="236"/>
      <c r="G92" s="237">
        <f>IF(_xlfn.MINIFS($G$90:$G$91, $G$90:$G$91, "&gt;"&amp;0)=0, $A$4, _xlfn.MINIFS($G$90:$G$91, $G$90:$G$91, "&gt;"&amp;0))</f>
        <v>1</v>
      </c>
    </row>
    <row r="94" spans="1:33" x14ac:dyDescent="0.2">
      <c r="G94" s="12"/>
      <c r="I94" s="248"/>
      <c r="J94" s="248"/>
      <c r="K94" s="248"/>
      <c r="L94" s="248"/>
      <c r="M94" s="248"/>
      <c r="N94" s="248"/>
      <c r="O94" s="248"/>
      <c r="P94" s="248"/>
      <c r="Q94" s="248"/>
      <c r="R94" s="248"/>
      <c r="S94" s="248"/>
      <c r="T94" s="248"/>
      <c r="U94" s="248"/>
      <c r="V94" s="248"/>
      <c r="W94" s="248"/>
      <c r="X94" s="248"/>
      <c r="Y94" s="31"/>
      <c r="Z94" s="31"/>
      <c r="AA94" s="31"/>
      <c r="AB94" s="31"/>
      <c r="AC94" s="31"/>
      <c r="AD94" s="31"/>
      <c r="AE94" s="31"/>
      <c r="AF94" s="31"/>
      <c r="AG94" s="31"/>
    </row>
    <row r="95" spans="1:33" x14ac:dyDescent="0.2">
      <c r="I95" s="242"/>
      <c r="J95" s="242"/>
      <c r="K95" s="242"/>
      <c r="L95" s="242"/>
      <c r="M95" s="242"/>
      <c r="N95" s="242"/>
      <c r="O95" s="242"/>
      <c r="P95" s="242"/>
      <c r="Q95" s="242"/>
      <c r="R95" s="242"/>
      <c r="S95" s="242"/>
      <c r="T95" s="242"/>
      <c r="U95" s="242"/>
      <c r="V95" s="242"/>
      <c r="W95" s="242"/>
      <c r="X95" s="242"/>
      <c r="Y95" s="242"/>
      <c r="Z95" s="242"/>
    </row>
    <row r="96" spans="1:33" x14ac:dyDescent="0.2">
      <c r="I96" s="242"/>
      <c r="J96" s="242"/>
      <c r="K96" s="242"/>
      <c r="L96" s="242"/>
      <c r="M96" s="242"/>
      <c r="N96" s="242"/>
      <c r="O96" s="242"/>
      <c r="P96" s="242"/>
      <c r="Q96" s="242"/>
      <c r="R96" s="242"/>
      <c r="S96" s="242"/>
      <c r="T96" s="242"/>
      <c r="U96" s="242"/>
      <c r="V96" s="242"/>
      <c r="W96" s="242"/>
      <c r="X96" s="242"/>
      <c r="Y96" s="242"/>
      <c r="Z96" s="242"/>
    </row>
    <row r="97" spans="1:43" x14ac:dyDescent="0.2">
      <c r="I97" s="242"/>
      <c r="J97" s="242"/>
      <c r="K97" s="242"/>
      <c r="L97" s="242"/>
      <c r="M97" s="242"/>
      <c r="N97" s="242"/>
      <c r="O97" s="242"/>
      <c r="P97" s="242"/>
      <c r="Q97" s="242"/>
      <c r="R97" s="242"/>
      <c r="S97" s="242"/>
      <c r="T97" s="242"/>
      <c r="U97" s="242"/>
      <c r="V97" s="242"/>
      <c r="W97" s="242"/>
      <c r="X97" s="242"/>
      <c r="Y97" s="242"/>
      <c r="Z97" s="242"/>
    </row>
    <row r="98" spans="1:43" x14ac:dyDescent="0.2">
      <c r="I98" s="242"/>
      <c r="J98" s="242"/>
      <c r="K98" s="242"/>
      <c r="L98" s="242"/>
      <c r="M98" s="242"/>
      <c r="N98" s="242"/>
      <c r="O98" s="242"/>
      <c r="P98" s="242"/>
      <c r="Q98" s="242"/>
      <c r="R98" s="242"/>
      <c r="S98" s="242"/>
      <c r="T98" s="242"/>
      <c r="U98" s="242"/>
      <c r="V98" s="242"/>
      <c r="W98" s="242"/>
      <c r="X98" s="242"/>
      <c r="Y98" s="242"/>
      <c r="Z98" s="242"/>
    </row>
    <row r="99" spans="1:43" x14ac:dyDescent="0.2">
      <c r="I99" s="242"/>
      <c r="J99" s="242"/>
      <c r="K99" s="242"/>
      <c r="L99" s="242"/>
      <c r="M99" s="242"/>
      <c r="N99" s="242"/>
      <c r="O99" s="242"/>
      <c r="P99" s="242"/>
      <c r="Q99" s="242"/>
      <c r="R99" s="242"/>
      <c r="S99" s="242"/>
      <c r="T99" s="242"/>
      <c r="U99" s="242"/>
      <c r="V99" s="242"/>
      <c r="W99" s="242"/>
      <c r="X99" s="242"/>
      <c r="Y99" s="242"/>
      <c r="Z99" s="242"/>
    </row>
    <row r="100" spans="1:43" x14ac:dyDescent="0.2">
      <c r="I100" s="242"/>
      <c r="J100" s="242"/>
      <c r="K100" s="242"/>
      <c r="L100" s="242"/>
      <c r="M100" s="242"/>
      <c r="N100" s="242"/>
      <c r="O100" s="242"/>
      <c r="P100" s="242"/>
      <c r="Q100" s="242"/>
      <c r="R100" s="242"/>
      <c r="S100" s="242"/>
      <c r="T100" s="242"/>
      <c r="U100" s="242"/>
      <c r="V100" s="242"/>
      <c r="W100" s="242"/>
      <c r="X100" s="242"/>
      <c r="Y100" s="242"/>
      <c r="Z100" s="242"/>
    </row>
    <row r="101" spans="1:43" x14ac:dyDescent="0.2">
      <c r="I101" s="242"/>
      <c r="J101" s="242"/>
      <c r="K101" s="242"/>
      <c r="L101" s="242"/>
      <c r="M101" s="242"/>
      <c r="N101" s="242"/>
      <c r="O101" s="242"/>
      <c r="P101" s="242"/>
      <c r="Q101" s="242"/>
      <c r="R101" s="242"/>
      <c r="S101" s="242"/>
      <c r="T101" s="242"/>
      <c r="U101" s="242"/>
      <c r="V101" s="242"/>
      <c r="W101" s="242"/>
      <c r="X101" s="242"/>
      <c r="Y101" s="242"/>
      <c r="Z101" s="242"/>
    </row>
    <row r="102" spans="1:43" ht="15" x14ac:dyDescent="0.2">
      <c r="A102" s="89" t="s">
        <v>216</v>
      </c>
      <c r="B102" s="89"/>
      <c r="C102" s="89"/>
      <c r="D102" s="89"/>
      <c r="E102" s="89"/>
      <c r="F102" s="89"/>
      <c r="G102" s="204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</row>
    <row r="105" spans="1:43" x14ac:dyDescent="0.2">
      <c r="D105"/>
      <c r="E105"/>
      <c r="F105"/>
      <c r="G105"/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</row>
    <row r="106" spans="1:43" x14ac:dyDescent="0.2">
      <c r="A106" s="1" t="s">
        <v>119</v>
      </c>
      <c r="C106" s="1" t="s">
        <v>186</v>
      </c>
      <c r="D106"/>
      <c r="E106"/>
      <c r="F106"/>
      <c r="G106" s="38" t="str">
        <f>PROPER($A$3)&amp;A106</f>
        <v>Option 2NPV</v>
      </c>
      <c r="I106" s="31">
        <f>I87</f>
        <v>170953.85694614612</v>
      </c>
      <c r="J106" s="31">
        <f t="shared" ref="J106:AG106" si="17">J87</f>
        <v>197279.97181654372</v>
      </c>
      <c r="K106" s="31">
        <f t="shared" si="17"/>
        <v>52652.229740797076</v>
      </c>
      <c r="L106" s="31">
        <f t="shared" si="17"/>
        <v>52652.229740797076</v>
      </c>
      <c r="M106" s="31">
        <f t="shared" si="17"/>
        <v>52652.229740797076</v>
      </c>
      <c r="N106" s="31">
        <f t="shared" si="17"/>
        <v>52652.229740797076</v>
      </c>
      <c r="O106" s="31">
        <f t="shared" si="17"/>
        <v>52652.229740797076</v>
      </c>
      <c r="P106" s="31">
        <f t="shared" si="17"/>
        <v>52652.229740797076</v>
      </c>
      <c r="Q106" s="31">
        <f t="shared" si="17"/>
        <v>52652.229740797076</v>
      </c>
      <c r="R106" s="31">
        <f t="shared" si="17"/>
        <v>52652.229740797076</v>
      </c>
      <c r="S106" s="31">
        <f t="shared" si="17"/>
        <v>52652.229740797076</v>
      </c>
      <c r="T106" s="31">
        <f t="shared" si="17"/>
        <v>52652.229740797076</v>
      </c>
      <c r="U106" s="31">
        <f t="shared" si="17"/>
        <v>52652.229740797076</v>
      </c>
      <c r="V106" s="31">
        <f t="shared" si="17"/>
        <v>52652.229740797076</v>
      </c>
      <c r="W106" s="31">
        <f t="shared" si="17"/>
        <v>52652.229740797076</v>
      </c>
      <c r="X106" s="31">
        <f t="shared" si="17"/>
        <v>52652.229740797076</v>
      </c>
      <c r="Y106" s="31">
        <f t="shared" si="17"/>
        <v>52652.229740797076</v>
      </c>
      <c r="Z106" s="31">
        <f t="shared" si="17"/>
        <v>52652.229740797076</v>
      </c>
      <c r="AA106" s="31">
        <f t="shared" si="17"/>
        <v>52652.229740797076</v>
      </c>
      <c r="AB106" s="31">
        <f t="shared" si="17"/>
        <v>52652.229740797076</v>
      </c>
      <c r="AC106" s="31">
        <f t="shared" si="17"/>
        <v>15348619.072188405</v>
      </c>
      <c r="AD106" s="31">
        <f t="shared" si="17"/>
        <v>15348619.072188405</v>
      </c>
      <c r="AE106" s="31">
        <f t="shared" si="17"/>
        <v>15348619.072188405</v>
      </c>
      <c r="AF106" s="31">
        <f t="shared" si="17"/>
        <v>15348619.072188405</v>
      </c>
      <c r="AG106" s="31">
        <f t="shared" si="17"/>
        <v>15348619.072188405</v>
      </c>
    </row>
    <row r="107" spans="1:43" x14ac:dyDescent="0.2">
      <c r="C107" s="1" t="s">
        <v>156</v>
      </c>
      <c r="D107"/>
      <c r="E107"/>
      <c r="F107"/>
      <c r="G107"/>
      <c r="I107" s="31">
        <f>I82</f>
        <v>0</v>
      </c>
      <c r="J107" s="31">
        <f t="shared" ref="J107:AG107" si="18">J82</f>
        <v>-144627.74207574665</v>
      </c>
      <c r="K107" s="31">
        <f t="shared" si="18"/>
        <v>-289255.48415149329</v>
      </c>
      <c r="L107" s="31">
        <f t="shared" si="18"/>
        <v>-289255.48415149329</v>
      </c>
      <c r="M107" s="31">
        <f t="shared" si="18"/>
        <v>-289255.48415149329</v>
      </c>
      <c r="N107" s="31">
        <f t="shared" si="18"/>
        <v>-289255.48415149329</v>
      </c>
      <c r="O107" s="31">
        <f t="shared" si="18"/>
        <v>-289255.48415149329</v>
      </c>
      <c r="P107" s="31">
        <f t="shared" si="18"/>
        <v>-289255.48415149329</v>
      </c>
      <c r="Q107" s="31">
        <f t="shared" si="18"/>
        <v>-289255.48415149329</v>
      </c>
      <c r="R107" s="31">
        <f t="shared" si="18"/>
        <v>-289255.48415149329</v>
      </c>
      <c r="S107" s="31">
        <f t="shared" si="18"/>
        <v>-289255.48415149329</v>
      </c>
      <c r="T107" s="31">
        <f t="shared" si="18"/>
        <v>-289255.48415149329</v>
      </c>
      <c r="U107" s="31">
        <f t="shared" si="18"/>
        <v>-289255.48415149329</v>
      </c>
      <c r="V107" s="31">
        <f t="shared" si="18"/>
        <v>-289255.48415149329</v>
      </c>
      <c r="W107" s="31">
        <f t="shared" si="18"/>
        <v>-289255.48415149329</v>
      </c>
      <c r="X107" s="31">
        <f t="shared" si="18"/>
        <v>-289255.48415149329</v>
      </c>
      <c r="Y107" s="31">
        <f t="shared" si="18"/>
        <v>-289255.48415149329</v>
      </c>
      <c r="Z107" s="31">
        <f t="shared" si="18"/>
        <v>-289255.48415149329</v>
      </c>
      <c r="AA107" s="31">
        <f t="shared" si="18"/>
        <v>-289255.48415149329</v>
      </c>
      <c r="AB107" s="31">
        <f t="shared" si="18"/>
        <v>-289255.48415149329</v>
      </c>
      <c r="AC107" s="31">
        <f t="shared" si="18"/>
        <v>-289255.48415149329</v>
      </c>
      <c r="AD107" s="31">
        <f t="shared" si="18"/>
        <v>-289255.48415149329</v>
      </c>
      <c r="AE107" s="31">
        <f t="shared" si="18"/>
        <v>-289255.48415149329</v>
      </c>
      <c r="AF107" s="31">
        <f t="shared" si="18"/>
        <v>-289255.48415149329</v>
      </c>
      <c r="AG107" s="31">
        <f t="shared" si="18"/>
        <v>-289255.48415149329</v>
      </c>
    </row>
    <row r="108" spans="1:43" x14ac:dyDescent="0.2">
      <c r="C108" s="1" t="s">
        <v>239</v>
      </c>
      <c r="D108" s="252"/>
      <c r="E108" s="38"/>
      <c r="I108" s="31">
        <f>SUM(I84:I85)</f>
        <v>170953.85694614612</v>
      </c>
      <c r="J108" s="31">
        <f t="shared" ref="J108:AG108" si="19">SUM(J84:J85)</f>
        <v>341907.71389229037</v>
      </c>
      <c r="K108" s="31">
        <f t="shared" si="19"/>
        <v>341907.71389229037</v>
      </c>
      <c r="L108" s="31">
        <f t="shared" si="19"/>
        <v>341907.71389229037</v>
      </c>
      <c r="M108" s="31">
        <f t="shared" si="19"/>
        <v>341907.71389229037</v>
      </c>
      <c r="N108" s="31">
        <f t="shared" si="19"/>
        <v>341907.71389229037</v>
      </c>
      <c r="O108" s="31">
        <f t="shared" si="19"/>
        <v>341907.71389229037</v>
      </c>
      <c r="P108" s="31">
        <f t="shared" si="19"/>
        <v>341907.71389229037</v>
      </c>
      <c r="Q108" s="31">
        <f t="shared" si="19"/>
        <v>341907.71389229037</v>
      </c>
      <c r="R108" s="31">
        <f t="shared" si="19"/>
        <v>341907.71389229037</v>
      </c>
      <c r="S108" s="31">
        <f t="shared" si="19"/>
        <v>341907.71389229037</v>
      </c>
      <c r="T108" s="31">
        <f t="shared" si="19"/>
        <v>341907.71389229037</v>
      </c>
      <c r="U108" s="31">
        <f t="shared" si="19"/>
        <v>341907.71389229037</v>
      </c>
      <c r="V108" s="31">
        <f t="shared" si="19"/>
        <v>341907.71389229037</v>
      </c>
      <c r="W108" s="31">
        <f t="shared" si="19"/>
        <v>341907.71389229037</v>
      </c>
      <c r="X108" s="31">
        <f t="shared" si="19"/>
        <v>341907.71389229037</v>
      </c>
      <c r="Y108" s="31">
        <f t="shared" si="19"/>
        <v>341907.71389229037</v>
      </c>
      <c r="Z108" s="31">
        <f t="shared" si="19"/>
        <v>341907.71389229037</v>
      </c>
      <c r="AA108" s="31">
        <f t="shared" si="19"/>
        <v>341907.71389229037</v>
      </c>
      <c r="AB108" s="31">
        <f t="shared" si="19"/>
        <v>341907.71389229037</v>
      </c>
      <c r="AC108" s="31">
        <f t="shared" si="19"/>
        <v>15637874.556339899</v>
      </c>
      <c r="AD108" s="31">
        <f t="shared" si="19"/>
        <v>15637874.556339899</v>
      </c>
      <c r="AE108" s="31">
        <f t="shared" si="19"/>
        <v>15637874.556339899</v>
      </c>
      <c r="AF108" s="31">
        <f t="shared" si="19"/>
        <v>15637874.556339899</v>
      </c>
      <c r="AG108" s="31">
        <f t="shared" si="19"/>
        <v>15637874.556339899</v>
      </c>
    </row>
    <row r="109" spans="1:43" x14ac:dyDescent="0.2">
      <c r="D109" s="301" t="str">
        <f>Assumptions!G110</f>
        <v>Capex</v>
      </c>
      <c r="E109" s="301" t="str">
        <f>Assumptions!H110</f>
        <v>Total benefits</v>
      </c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</row>
    <row r="110" spans="1:43" x14ac:dyDescent="0.2">
      <c r="A110" s="1" t="str">
        <f>"sens"&amp;Assumptions!B111</f>
        <v>sens1</v>
      </c>
      <c r="C110" s="300" t="str">
        <f>Assumptions!C111</f>
        <v>Capex 10% higher</v>
      </c>
      <c r="D110" s="301">
        <f>Assumptions!G111</f>
        <v>0.1</v>
      </c>
      <c r="E110" s="301">
        <f>Assumptions!H111</f>
        <v>0</v>
      </c>
      <c r="G110" s="38" t="str">
        <f>PROPER($A$3)&amp;A110</f>
        <v>Option 2sens1</v>
      </c>
      <c r="I110" s="31" cm="1">
        <f t="array" ref="I110">I$106+IF($C110&lt;&gt;0,SUMPRODUCT((I$107:I$108)*TRANSPOSE(($D110:$E110))),0)</f>
        <v>170953.85694614612</v>
      </c>
      <c r="J110" s="31" cm="1">
        <f t="array" ref="J110">J$106+IF($C110&lt;&gt;0,SUMPRODUCT((J$107:J$108)*TRANSPOSE(($D110:$E110))),0)</f>
        <v>182817.19760896906</v>
      </c>
      <c r="K110" s="31" cm="1">
        <f t="array" ref="K110">K$106+IF($C110&lt;&gt;0,SUMPRODUCT((K$107:K$108)*TRANSPOSE(($D110:$E110))),0)</f>
        <v>23726.681325647747</v>
      </c>
      <c r="L110" s="31" cm="1">
        <f t="array" ref="L110">L$106+IF($C110&lt;&gt;0,SUMPRODUCT((L$107:L$108)*TRANSPOSE(($D110:$E110))),0)</f>
        <v>23726.681325647747</v>
      </c>
      <c r="M110" s="31" cm="1">
        <f t="array" ref="M110">M$106+IF($C110&lt;&gt;0,SUMPRODUCT((M$107:M$108)*TRANSPOSE(($D110:$E110))),0)</f>
        <v>23726.681325647747</v>
      </c>
      <c r="N110" s="31" cm="1">
        <f t="array" ref="N110">N$106+IF($C110&lt;&gt;0,SUMPRODUCT((N$107:N$108)*TRANSPOSE(($D110:$E110))),0)</f>
        <v>23726.681325647747</v>
      </c>
      <c r="O110" s="31" cm="1">
        <f t="array" ref="O110">O$106+IF($C110&lt;&gt;0,SUMPRODUCT((O$107:O$108)*TRANSPOSE(($D110:$E110))),0)</f>
        <v>23726.681325647747</v>
      </c>
      <c r="P110" s="31" cm="1">
        <f t="array" ref="P110">P$106+IF($C110&lt;&gt;0,SUMPRODUCT((P$107:P$108)*TRANSPOSE(($D110:$E110))),0)</f>
        <v>23726.681325647747</v>
      </c>
      <c r="Q110" s="31" cm="1">
        <f t="array" ref="Q110">Q$106+IF($C110&lt;&gt;0,SUMPRODUCT((Q$107:Q$108)*TRANSPOSE(($D110:$E110))),0)</f>
        <v>23726.681325647747</v>
      </c>
      <c r="R110" s="31" cm="1">
        <f t="array" ref="R110">R$106+IF($C110&lt;&gt;0,SUMPRODUCT((R$107:R$108)*TRANSPOSE(($D110:$E110))),0)</f>
        <v>23726.681325647747</v>
      </c>
      <c r="S110" s="31" cm="1">
        <f t="array" ref="S110">S$106+IF($C110&lt;&gt;0,SUMPRODUCT((S$107:S$108)*TRANSPOSE(($D110:$E110))),0)</f>
        <v>23726.681325647747</v>
      </c>
      <c r="T110" s="31" cm="1">
        <f t="array" ref="T110">T$106+IF($C110&lt;&gt;0,SUMPRODUCT((T$107:T$108)*TRANSPOSE(($D110:$E110))),0)</f>
        <v>23726.681325647747</v>
      </c>
      <c r="U110" s="31" cm="1">
        <f t="array" ref="U110">U$106+IF($C110&lt;&gt;0,SUMPRODUCT((U$107:U$108)*TRANSPOSE(($D110:$E110))),0)</f>
        <v>23726.681325647747</v>
      </c>
      <c r="V110" s="31" cm="1">
        <f t="array" ref="V110">V$106+IF($C110&lt;&gt;0,SUMPRODUCT((V$107:V$108)*TRANSPOSE(($D110:$E110))),0)</f>
        <v>23726.681325647747</v>
      </c>
      <c r="W110" s="31" cm="1">
        <f t="array" ref="W110">W$106+IF($C110&lt;&gt;0,SUMPRODUCT((W$107:W$108)*TRANSPOSE(($D110:$E110))),0)</f>
        <v>23726.681325647747</v>
      </c>
      <c r="X110" s="31" cm="1">
        <f t="array" ref="X110">X$106+IF($C110&lt;&gt;0,SUMPRODUCT((X$107:X$108)*TRANSPOSE(($D110:$E110))),0)</f>
        <v>23726.681325647747</v>
      </c>
      <c r="Y110" s="31" cm="1">
        <f t="array" ref="Y110">Y$106+IF($C110&lt;&gt;0,SUMPRODUCT((Y$107:Y$108)*TRANSPOSE(($D110:$E110))),0)</f>
        <v>23726.681325647747</v>
      </c>
      <c r="Z110" s="31" cm="1">
        <f t="array" ref="Z110">Z$106+IF($C110&lt;&gt;0,SUMPRODUCT((Z$107:Z$108)*TRANSPOSE(($D110:$E110))),0)</f>
        <v>23726.681325647747</v>
      </c>
      <c r="AA110" s="31" cm="1">
        <f t="array" ref="AA110">AA$106+IF($C110&lt;&gt;0,SUMPRODUCT((AA$107:AA$108)*TRANSPOSE(($D110:$E110))),0)</f>
        <v>23726.681325647747</v>
      </c>
      <c r="AB110" s="31" cm="1">
        <f t="array" ref="AB110">AB$106+IF($C110&lt;&gt;0,SUMPRODUCT((AB$107:AB$108)*TRANSPOSE(($D110:$E110))),0)</f>
        <v>23726.681325647747</v>
      </c>
      <c r="AC110" s="31" cm="1">
        <f t="array" ref="AC110">AC$106+IF($C110&lt;&gt;0,SUMPRODUCT((AC$107:AC$108)*TRANSPOSE(($D110:$E110))),0)</f>
        <v>15319693.523773257</v>
      </c>
      <c r="AD110" s="31" cm="1">
        <f t="array" ref="AD110">AD$106+IF($C110&lt;&gt;0,SUMPRODUCT((AD$107:AD$108)*TRANSPOSE(($D110:$E110))),0)</f>
        <v>15319693.523773257</v>
      </c>
      <c r="AE110" s="31" cm="1">
        <f t="array" ref="AE110">AE$106+IF($C110&lt;&gt;0,SUMPRODUCT((AE$107:AE$108)*TRANSPOSE(($D110:$E110))),0)</f>
        <v>15319693.523773257</v>
      </c>
      <c r="AF110" s="31" cm="1">
        <f t="array" ref="AF110">AF$106+IF($C110&lt;&gt;0,SUMPRODUCT((AF$107:AF$108)*TRANSPOSE(($D110:$E110))),0)</f>
        <v>15319693.523773257</v>
      </c>
      <c r="AG110" s="31" cm="1">
        <f t="array" ref="AG110">AG$106+IF($C110&lt;&gt;0,SUMPRODUCT((AG$107:AG$108)*TRANSPOSE(($D110:$E110))),0)</f>
        <v>15319693.523773257</v>
      </c>
    </row>
    <row r="111" spans="1:43" x14ac:dyDescent="0.2">
      <c r="A111" s="1" t="str">
        <f>"sens"&amp;Assumptions!B112</f>
        <v>sens2</v>
      </c>
      <c r="C111" s="300" t="str">
        <f>Assumptions!C112</f>
        <v>Capex 10% lower</v>
      </c>
      <c r="D111" s="301">
        <f>Assumptions!G112</f>
        <v>-0.1</v>
      </c>
      <c r="E111" s="301">
        <f>Assumptions!H112</f>
        <v>0</v>
      </c>
      <c r="G111" s="38" t="str">
        <f t="shared" ref="G111:G117" si="20">PROPER($A$3)&amp;A111</f>
        <v>Option 2sens2</v>
      </c>
      <c r="I111" s="31" cm="1">
        <f t="array" ref="I111">I$106+IF($C111&lt;&gt;0,SUMPRODUCT((I$107:I$108)*TRANSPOSE(($D111:$E111))),0)</f>
        <v>170953.85694614612</v>
      </c>
      <c r="J111" s="31" cm="1">
        <f t="array" ref="J111">J$106+IF($C111&lt;&gt;0,SUMPRODUCT((J$107:J$108)*TRANSPOSE(($D111:$E111))),0)</f>
        <v>211742.74602411839</v>
      </c>
      <c r="K111" s="31" cm="1">
        <f t="array" ref="K111">K$106+IF($C111&lt;&gt;0,SUMPRODUCT((K$107:K$108)*TRANSPOSE(($D111:$E111))),0)</f>
        <v>81577.778155946406</v>
      </c>
      <c r="L111" s="31" cm="1">
        <f t="array" ref="L111">L$106+IF($C111&lt;&gt;0,SUMPRODUCT((L$107:L$108)*TRANSPOSE(($D111:$E111))),0)</f>
        <v>81577.778155946406</v>
      </c>
      <c r="M111" s="31" cm="1">
        <f t="array" ref="M111">M$106+IF($C111&lt;&gt;0,SUMPRODUCT((M$107:M$108)*TRANSPOSE(($D111:$E111))),0)</f>
        <v>81577.778155946406</v>
      </c>
      <c r="N111" s="31" cm="1">
        <f t="array" ref="N111">N$106+IF($C111&lt;&gt;0,SUMPRODUCT((N$107:N$108)*TRANSPOSE(($D111:$E111))),0)</f>
        <v>81577.778155946406</v>
      </c>
      <c r="O111" s="31" cm="1">
        <f t="array" ref="O111">O$106+IF($C111&lt;&gt;0,SUMPRODUCT((O$107:O$108)*TRANSPOSE(($D111:$E111))),0)</f>
        <v>81577.778155946406</v>
      </c>
      <c r="P111" s="31" cm="1">
        <f t="array" ref="P111">P$106+IF($C111&lt;&gt;0,SUMPRODUCT((P$107:P$108)*TRANSPOSE(($D111:$E111))),0)</f>
        <v>81577.778155946406</v>
      </c>
      <c r="Q111" s="31" cm="1">
        <f t="array" ref="Q111">Q$106+IF($C111&lt;&gt;0,SUMPRODUCT((Q$107:Q$108)*TRANSPOSE(($D111:$E111))),0)</f>
        <v>81577.778155946406</v>
      </c>
      <c r="R111" s="31" cm="1">
        <f t="array" ref="R111">R$106+IF($C111&lt;&gt;0,SUMPRODUCT((R$107:R$108)*TRANSPOSE(($D111:$E111))),0)</f>
        <v>81577.778155946406</v>
      </c>
      <c r="S111" s="31" cm="1">
        <f t="array" ref="S111">S$106+IF($C111&lt;&gt;0,SUMPRODUCT((S$107:S$108)*TRANSPOSE(($D111:$E111))),0)</f>
        <v>81577.778155946406</v>
      </c>
      <c r="T111" s="31" cm="1">
        <f t="array" ref="T111">T$106+IF($C111&lt;&gt;0,SUMPRODUCT((T$107:T$108)*TRANSPOSE(($D111:$E111))),0)</f>
        <v>81577.778155946406</v>
      </c>
      <c r="U111" s="31" cm="1">
        <f t="array" ref="U111">U$106+IF($C111&lt;&gt;0,SUMPRODUCT((U$107:U$108)*TRANSPOSE(($D111:$E111))),0)</f>
        <v>81577.778155946406</v>
      </c>
      <c r="V111" s="31" cm="1">
        <f t="array" ref="V111">V$106+IF($C111&lt;&gt;0,SUMPRODUCT((V$107:V$108)*TRANSPOSE(($D111:$E111))),0)</f>
        <v>81577.778155946406</v>
      </c>
      <c r="W111" s="31" cm="1">
        <f t="array" ref="W111">W$106+IF($C111&lt;&gt;0,SUMPRODUCT((W$107:W$108)*TRANSPOSE(($D111:$E111))),0)</f>
        <v>81577.778155946406</v>
      </c>
      <c r="X111" s="31" cm="1">
        <f t="array" ref="X111">X$106+IF($C111&lt;&gt;0,SUMPRODUCT((X$107:X$108)*TRANSPOSE(($D111:$E111))),0)</f>
        <v>81577.778155946406</v>
      </c>
      <c r="Y111" s="31" cm="1">
        <f t="array" ref="Y111">Y$106+IF($C111&lt;&gt;0,SUMPRODUCT((Y$107:Y$108)*TRANSPOSE(($D111:$E111))),0)</f>
        <v>81577.778155946406</v>
      </c>
      <c r="Z111" s="31" cm="1">
        <f t="array" ref="Z111">Z$106+IF($C111&lt;&gt;0,SUMPRODUCT((Z$107:Z$108)*TRANSPOSE(($D111:$E111))),0)</f>
        <v>81577.778155946406</v>
      </c>
      <c r="AA111" s="31" cm="1">
        <f t="array" ref="AA111">AA$106+IF($C111&lt;&gt;0,SUMPRODUCT((AA$107:AA$108)*TRANSPOSE(($D111:$E111))),0)</f>
        <v>81577.778155946406</v>
      </c>
      <c r="AB111" s="31" cm="1">
        <f t="array" ref="AB111">AB$106+IF($C111&lt;&gt;0,SUMPRODUCT((AB$107:AB$108)*TRANSPOSE(($D111:$E111))),0)</f>
        <v>81577.778155946406</v>
      </c>
      <c r="AC111" s="31" cm="1">
        <f t="array" ref="AC111">AC$106+IF($C111&lt;&gt;0,SUMPRODUCT((AC$107:AC$108)*TRANSPOSE(($D111:$E111))),0)</f>
        <v>15377544.620603554</v>
      </c>
      <c r="AD111" s="31" cm="1">
        <f t="array" ref="AD111">AD$106+IF($C111&lt;&gt;0,SUMPRODUCT((AD$107:AD$108)*TRANSPOSE(($D111:$E111))),0)</f>
        <v>15377544.620603554</v>
      </c>
      <c r="AE111" s="31" cm="1">
        <f t="array" ref="AE111">AE$106+IF($C111&lt;&gt;0,SUMPRODUCT((AE$107:AE$108)*TRANSPOSE(($D111:$E111))),0)</f>
        <v>15377544.620603554</v>
      </c>
      <c r="AF111" s="31" cm="1">
        <f t="array" ref="AF111">AF$106+IF($C111&lt;&gt;0,SUMPRODUCT((AF$107:AF$108)*TRANSPOSE(($D111:$E111))),0)</f>
        <v>15377544.620603554</v>
      </c>
      <c r="AG111" s="31" cm="1">
        <f t="array" ref="AG111">AG$106+IF($C111&lt;&gt;0,SUMPRODUCT((AG$107:AG$108)*TRANSPOSE(($D111:$E111))),0)</f>
        <v>15377544.620603554</v>
      </c>
    </row>
    <row r="112" spans="1:43" x14ac:dyDescent="0.2">
      <c r="A112" s="1" t="str">
        <f>"sens"&amp;Assumptions!B113</f>
        <v>sens3</v>
      </c>
      <c r="C112" s="300" t="str">
        <f>Assumptions!C113</f>
        <v>Total benefits 10% higher</v>
      </c>
      <c r="D112" s="301">
        <f>Assumptions!G113</f>
        <v>0</v>
      </c>
      <c r="E112" s="301">
        <f>Assumptions!H113</f>
        <v>0.1</v>
      </c>
      <c r="G112" s="38" t="str">
        <f t="shared" si="20"/>
        <v>Option 2sens3</v>
      </c>
      <c r="I112" s="31" cm="1">
        <f t="array" ref="I112">I$106+IF($C112&lt;&gt;0,SUMPRODUCT((I$107:I$108)*TRANSPOSE(($D112:$E112))),0)</f>
        <v>188049.24264076073</v>
      </c>
      <c r="J112" s="31" cm="1">
        <f t="array" ref="J112">J$106+IF($C112&lt;&gt;0,SUMPRODUCT((J$107:J$108)*TRANSPOSE(($D112:$E112))),0)</f>
        <v>231470.74320577277</v>
      </c>
      <c r="K112" s="31" cm="1">
        <f t="array" ref="K112">K$106+IF($C112&lt;&gt;0,SUMPRODUCT((K$107:K$108)*TRANSPOSE(($D112:$E112))),0)</f>
        <v>86843.001130026125</v>
      </c>
      <c r="L112" s="31" cm="1">
        <f t="array" ref="L112">L$106+IF($C112&lt;&gt;0,SUMPRODUCT((L$107:L$108)*TRANSPOSE(($D112:$E112))),0)</f>
        <v>86843.001130026125</v>
      </c>
      <c r="M112" s="31" cm="1">
        <f t="array" ref="M112">M$106+IF($C112&lt;&gt;0,SUMPRODUCT((M$107:M$108)*TRANSPOSE(($D112:$E112))),0)</f>
        <v>86843.001130026125</v>
      </c>
      <c r="N112" s="31" cm="1">
        <f t="array" ref="N112">N$106+IF($C112&lt;&gt;0,SUMPRODUCT((N$107:N$108)*TRANSPOSE(($D112:$E112))),0)</f>
        <v>86843.001130026125</v>
      </c>
      <c r="O112" s="31" cm="1">
        <f t="array" ref="O112">O$106+IF($C112&lt;&gt;0,SUMPRODUCT((O$107:O$108)*TRANSPOSE(($D112:$E112))),0)</f>
        <v>86843.001130026125</v>
      </c>
      <c r="P112" s="31" cm="1">
        <f t="array" ref="P112">P$106+IF($C112&lt;&gt;0,SUMPRODUCT((P$107:P$108)*TRANSPOSE(($D112:$E112))),0)</f>
        <v>86843.001130026125</v>
      </c>
      <c r="Q112" s="31" cm="1">
        <f t="array" ref="Q112">Q$106+IF($C112&lt;&gt;0,SUMPRODUCT((Q$107:Q$108)*TRANSPOSE(($D112:$E112))),0)</f>
        <v>86843.001130026125</v>
      </c>
      <c r="R112" s="31" cm="1">
        <f t="array" ref="R112">R$106+IF($C112&lt;&gt;0,SUMPRODUCT((R$107:R$108)*TRANSPOSE(($D112:$E112))),0)</f>
        <v>86843.001130026125</v>
      </c>
      <c r="S112" s="31" cm="1">
        <f t="array" ref="S112">S$106+IF($C112&lt;&gt;0,SUMPRODUCT((S$107:S$108)*TRANSPOSE(($D112:$E112))),0)</f>
        <v>86843.001130026125</v>
      </c>
      <c r="T112" s="31" cm="1">
        <f t="array" ref="T112">T$106+IF($C112&lt;&gt;0,SUMPRODUCT((T$107:T$108)*TRANSPOSE(($D112:$E112))),0)</f>
        <v>86843.001130026125</v>
      </c>
      <c r="U112" s="31" cm="1">
        <f t="array" ref="U112">U$106+IF($C112&lt;&gt;0,SUMPRODUCT((U$107:U$108)*TRANSPOSE(($D112:$E112))),0)</f>
        <v>86843.001130026125</v>
      </c>
      <c r="V112" s="31" cm="1">
        <f t="array" ref="V112">V$106+IF($C112&lt;&gt;0,SUMPRODUCT((V$107:V$108)*TRANSPOSE(($D112:$E112))),0)</f>
        <v>86843.001130026125</v>
      </c>
      <c r="W112" s="31" cm="1">
        <f t="array" ref="W112">W$106+IF($C112&lt;&gt;0,SUMPRODUCT((W$107:W$108)*TRANSPOSE(($D112:$E112))),0)</f>
        <v>86843.001130026125</v>
      </c>
      <c r="X112" s="31" cm="1">
        <f t="array" ref="X112">X$106+IF($C112&lt;&gt;0,SUMPRODUCT((X$107:X$108)*TRANSPOSE(($D112:$E112))),0)</f>
        <v>86843.001130026125</v>
      </c>
      <c r="Y112" s="31" cm="1">
        <f t="array" ref="Y112">Y$106+IF($C112&lt;&gt;0,SUMPRODUCT((Y$107:Y$108)*TRANSPOSE(($D112:$E112))),0)</f>
        <v>86843.001130026125</v>
      </c>
      <c r="Z112" s="31" cm="1">
        <f t="array" ref="Z112">Z$106+IF($C112&lt;&gt;0,SUMPRODUCT((Z$107:Z$108)*TRANSPOSE(($D112:$E112))),0)</f>
        <v>86843.001130026125</v>
      </c>
      <c r="AA112" s="31" cm="1">
        <f t="array" ref="AA112">AA$106+IF($C112&lt;&gt;0,SUMPRODUCT((AA$107:AA$108)*TRANSPOSE(($D112:$E112))),0)</f>
        <v>86843.001130026125</v>
      </c>
      <c r="AB112" s="31" cm="1">
        <f t="array" ref="AB112">AB$106+IF($C112&lt;&gt;0,SUMPRODUCT((AB$107:AB$108)*TRANSPOSE(($D112:$E112))),0)</f>
        <v>86843.001130026125</v>
      </c>
      <c r="AC112" s="31" cm="1">
        <f t="array" ref="AC112">AC$106+IF($C112&lt;&gt;0,SUMPRODUCT((AC$107:AC$108)*TRANSPOSE(($D112:$E112))),0)</f>
        <v>16912406.527822394</v>
      </c>
      <c r="AD112" s="31" cm="1">
        <f t="array" ref="AD112">AD$106+IF($C112&lt;&gt;0,SUMPRODUCT((AD$107:AD$108)*TRANSPOSE(($D112:$E112))),0)</f>
        <v>16912406.527822394</v>
      </c>
      <c r="AE112" s="31" cm="1">
        <f t="array" ref="AE112">AE$106+IF($C112&lt;&gt;0,SUMPRODUCT((AE$107:AE$108)*TRANSPOSE(($D112:$E112))),0)</f>
        <v>16912406.527822394</v>
      </c>
      <c r="AF112" s="31" cm="1">
        <f t="array" ref="AF112">AF$106+IF($C112&lt;&gt;0,SUMPRODUCT((AF$107:AF$108)*TRANSPOSE(($D112:$E112))),0)</f>
        <v>16912406.527822394</v>
      </c>
      <c r="AG112" s="31" cm="1">
        <f t="array" ref="AG112">AG$106+IF($C112&lt;&gt;0,SUMPRODUCT((AG$107:AG$108)*TRANSPOSE(($D112:$E112))),0)</f>
        <v>16912406.527822394</v>
      </c>
    </row>
    <row r="113" spans="1:33" x14ac:dyDescent="0.2">
      <c r="A113" s="1" t="str">
        <f>"sens"&amp;Assumptions!B114</f>
        <v>sens4</v>
      </c>
      <c r="C113" s="300" t="str">
        <f>Assumptions!C114</f>
        <v>Total benefits 10% lower</v>
      </c>
      <c r="D113" s="301">
        <f>Assumptions!G114</f>
        <v>0</v>
      </c>
      <c r="E113" s="301">
        <f>Assumptions!H114</f>
        <v>-0.1</v>
      </c>
      <c r="G113" s="38" t="str">
        <f t="shared" si="20"/>
        <v>Option 2sens4</v>
      </c>
      <c r="I113" s="31" cm="1">
        <f t="array" ref="I113">I$106+IF($C113&lt;&gt;0,SUMPRODUCT((I$107:I$108)*TRANSPOSE(($D113:$E113))),0)</f>
        <v>153858.4712515315</v>
      </c>
      <c r="J113" s="31" cm="1">
        <f t="array" ref="J113">J$106+IF($C113&lt;&gt;0,SUMPRODUCT((J$107:J$108)*TRANSPOSE(($D113:$E113))),0)</f>
        <v>163089.20042731467</v>
      </c>
      <c r="K113" s="31" cm="1">
        <f t="array" ref="K113">K$106+IF($C113&lt;&gt;0,SUMPRODUCT((K$107:K$108)*TRANSPOSE(($D113:$E113))),0)</f>
        <v>18461.458351568035</v>
      </c>
      <c r="L113" s="31" cm="1">
        <f t="array" ref="L113">L$106+IF($C113&lt;&gt;0,SUMPRODUCT((L$107:L$108)*TRANSPOSE(($D113:$E113))),0)</f>
        <v>18461.458351568035</v>
      </c>
      <c r="M113" s="31" cm="1">
        <f t="array" ref="M113">M$106+IF($C113&lt;&gt;0,SUMPRODUCT((M$107:M$108)*TRANSPOSE(($D113:$E113))),0)</f>
        <v>18461.458351568035</v>
      </c>
      <c r="N113" s="31" cm="1">
        <f t="array" ref="N113">N$106+IF($C113&lt;&gt;0,SUMPRODUCT((N$107:N$108)*TRANSPOSE(($D113:$E113))),0)</f>
        <v>18461.458351568035</v>
      </c>
      <c r="O113" s="31" cm="1">
        <f t="array" ref="O113">O$106+IF($C113&lt;&gt;0,SUMPRODUCT((O$107:O$108)*TRANSPOSE(($D113:$E113))),0)</f>
        <v>18461.458351568035</v>
      </c>
      <c r="P113" s="31" cm="1">
        <f t="array" ref="P113">P$106+IF($C113&lt;&gt;0,SUMPRODUCT((P$107:P$108)*TRANSPOSE(($D113:$E113))),0)</f>
        <v>18461.458351568035</v>
      </c>
      <c r="Q113" s="31" cm="1">
        <f t="array" ref="Q113">Q$106+IF($C113&lt;&gt;0,SUMPRODUCT((Q$107:Q$108)*TRANSPOSE(($D113:$E113))),0)</f>
        <v>18461.458351568035</v>
      </c>
      <c r="R113" s="31" cm="1">
        <f t="array" ref="R113">R$106+IF($C113&lt;&gt;0,SUMPRODUCT((R$107:R$108)*TRANSPOSE(($D113:$E113))),0)</f>
        <v>18461.458351568035</v>
      </c>
      <c r="S113" s="31" cm="1">
        <f t="array" ref="S113">S$106+IF($C113&lt;&gt;0,SUMPRODUCT((S$107:S$108)*TRANSPOSE(($D113:$E113))),0)</f>
        <v>18461.458351568035</v>
      </c>
      <c r="T113" s="31" cm="1">
        <f t="array" ref="T113">T$106+IF($C113&lt;&gt;0,SUMPRODUCT((T$107:T$108)*TRANSPOSE(($D113:$E113))),0)</f>
        <v>18461.458351568035</v>
      </c>
      <c r="U113" s="31" cm="1">
        <f t="array" ref="U113">U$106+IF($C113&lt;&gt;0,SUMPRODUCT((U$107:U$108)*TRANSPOSE(($D113:$E113))),0)</f>
        <v>18461.458351568035</v>
      </c>
      <c r="V113" s="31" cm="1">
        <f t="array" ref="V113">V$106+IF($C113&lt;&gt;0,SUMPRODUCT((V$107:V$108)*TRANSPOSE(($D113:$E113))),0)</f>
        <v>18461.458351568035</v>
      </c>
      <c r="W113" s="31" cm="1">
        <f t="array" ref="W113">W$106+IF($C113&lt;&gt;0,SUMPRODUCT((W$107:W$108)*TRANSPOSE(($D113:$E113))),0)</f>
        <v>18461.458351568035</v>
      </c>
      <c r="X113" s="31" cm="1">
        <f t="array" ref="X113">X$106+IF($C113&lt;&gt;0,SUMPRODUCT((X$107:X$108)*TRANSPOSE(($D113:$E113))),0)</f>
        <v>18461.458351568035</v>
      </c>
      <c r="Y113" s="31" cm="1">
        <f t="array" ref="Y113">Y$106+IF($C113&lt;&gt;0,SUMPRODUCT((Y$107:Y$108)*TRANSPOSE(($D113:$E113))),0)</f>
        <v>18461.458351568035</v>
      </c>
      <c r="Z113" s="31" cm="1">
        <f t="array" ref="Z113">Z$106+IF($C113&lt;&gt;0,SUMPRODUCT((Z$107:Z$108)*TRANSPOSE(($D113:$E113))),0)</f>
        <v>18461.458351568035</v>
      </c>
      <c r="AA113" s="31" cm="1">
        <f t="array" ref="AA113">AA$106+IF($C113&lt;&gt;0,SUMPRODUCT((AA$107:AA$108)*TRANSPOSE(($D113:$E113))),0)</f>
        <v>18461.458351568035</v>
      </c>
      <c r="AB113" s="31" cm="1">
        <f t="array" ref="AB113">AB$106+IF($C113&lt;&gt;0,SUMPRODUCT((AB$107:AB$108)*TRANSPOSE(($D113:$E113))),0)</f>
        <v>18461.458351568035</v>
      </c>
      <c r="AC113" s="31" cm="1">
        <f t="array" ref="AC113">AC$106+IF($C113&lt;&gt;0,SUMPRODUCT((AC$107:AC$108)*TRANSPOSE(($D113:$E113))),0)</f>
        <v>13784831.616554415</v>
      </c>
      <c r="AD113" s="31" cm="1">
        <f t="array" ref="AD113">AD$106+IF($C113&lt;&gt;0,SUMPRODUCT((AD$107:AD$108)*TRANSPOSE(($D113:$E113))),0)</f>
        <v>13784831.616554415</v>
      </c>
      <c r="AE113" s="31" cm="1">
        <f t="array" ref="AE113">AE$106+IF($C113&lt;&gt;0,SUMPRODUCT((AE$107:AE$108)*TRANSPOSE(($D113:$E113))),0)</f>
        <v>13784831.616554415</v>
      </c>
      <c r="AF113" s="31" cm="1">
        <f t="array" ref="AF113">AF$106+IF($C113&lt;&gt;0,SUMPRODUCT((AF$107:AF$108)*TRANSPOSE(($D113:$E113))),0)</f>
        <v>13784831.616554415</v>
      </c>
      <c r="AG113" s="31" cm="1">
        <f t="array" ref="AG113">AG$106+IF($C113&lt;&gt;0,SUMPRODUCT((AG$107:AG$108)*TRANSPOSE(($D113:$E113))),0)</f>
        <v>13784831.616554415</v>
      </c>
    </row>
    <row r="114" spans="1:33" x14ac:dyDescent="0.2">
      <c r="A114" s="1" t="str">
        <f>"sens"&amp;Assumptions!B115</f>
        <v>sens5</v>
      </c>
      <c r="C114" s="300" t="str">
        <f>Assumptions!C115</f>
        <v>Capex 10% higher &amp; Total benefits 10% lower</v>
      </c>
      <c r="D114" s="301">
        <f>Assumptions!G115</f>
        <v>0.1</v>
      </c>
      <c r="E114" s="301">
        <f>Assumptions!H115</f>
        <v>-0.1</v>
      </c>
      <c r="G114" s="38" t="str">
        <f t="shared" si="20"/>
        <v>Option 2sens5</v>
      </c>
      <c r="I114" s="31" cm="1">
        <f t="array" ref="I114">I$106+IF($C114&lt;&gt;0,SUMPRODUCT((I$107:I$108)*TRANSPOSE(($D114:$E114))),0)</f>
        <v>153858.4712515315</v>
      </c>
      <c r="J114" s="31" cm="1">
        <f t="array" ref="J114">J$106+IF($C114&lt;&gt;0,SUMPRODUCT((J$107:J$108)*TRANSPOSE(($D114:$E114))),0)</f>
        <v>148626.42621974001</v>
      </c>
      <c r="K114" s="31" cm="1">
        <f t="array" ref="K114">K$106+IF($C114&lt;&gt;0,SUMPRODUCT((K$107:K$108)*TRANSPOSE(($D114:$E114))),0)</f>
        <v>-10464.090063581294</v>
      </c>
      <c r="L114" s="31" cm="1">
        <f t="array" ref="L114">L$106+IF($C114&lt;&gt;0,SUMPRODUCT((L$107:L$108)*TRANSPOSE(($D114:$E114))),0)</f>
        <v>-10464.090063581294</v>
      </c>
      <c r="M114" s="31" cm="1">
        <f t="array" ref="M114">M$106+IF($C114&lt;&gt;0,SUMPRODUCT((M$107:M$108)*TRANSPOSE(($D114:$E114))),0)</f>
        <v>-10464.090063581294</v>
      </c>
      <c r="N114" s="31" cm="1">
        <f t="array" ref="N114">N$106+IF($C114&lt;&gt;0,SUMPRODUCT((N$107:N$108)*TRANSPOSE(($D114:$E114))),0)</f>
        <v>-10464.090063581294</v>
      </c>
      <c r="O114" s="31" cm="1">
        <f t="array" ref="O114">O$106+IF($C114&lt;&gt;0,SUMPRODUCT((O$107:O$108)*TRANSPOSE(($D114:$E114))),0)</f>
        <v>-10464.090063581294</v>
      </c>
      <c r="P114" s="31" cm="1">
        <f t="array" ref="P114">P$106+IF($C114&lt;&gt;0,SUMPRODUCT((P$107:P$108)*TRANSPOSE(($D114:$E114))),0)</f>
        <v>-10464.090063581294</v>
      </c>
      <c r="Q114" s="31" cm="1">
        <f t="array" ref="Q114">Q$106+IF($C114&lt;&gt;0,SUMPRODUCT((Q$107:Q$108)*TRANSPOSE(($D114:$E114))),0)</f>
        <v>-10464.090063581294</v>
      </c>
      <c r="R114" s="31" cm="1">
        <f t="array" ref="R114">R$106+IF($C114&lt;&gt;0,SUMPRODUCT((R$107:R$108)*TRANSPOSE(($D114:$E114))),0)</f>
        <v>-10464.090063581294</v>
      </c>
      <c r="S114" s="31" cm="1">
        <f t="array" ref="S114">S$106+IF($C114&lt;&gt;0,SUMPRODUCT((S$107:S$108)*TRANSPOSE(($D114:$E114))),0)</f>
        <v>-10464.090063581294</v>
      </c>
      <c r="T114" s="31" cm="1">
        <f t="array" ref="T114">T$106+IF($C114&lt;&gt;0,SUMPRODUCT((T$107:T$108)*TRANSPOSE(($D114:$E114))),0)</f>
        <v>-10464.090063581294</v>
      </c>
      <c r="U114" s="31" cm="1">
        <f t="array" ref="U114">U$106+IF($C114&lt;&gt;0,SUMPRODUCT((U$107:U$108)*TRANSPOSE(($D114:$E114))),0)</f>
        <v>-10464.090063581294</v>
      </c>
      <c r="V114" s="31" cm="1">
        <f t="array" ref="V114">V$106+IF($C114&lt;&gt;0,SUMPRODUCT((V$107:V$108)*TRANSPOSE(($D114:$E114))),0)</f>
        <v>-10464.090063581294</v>
      </c>
      <c r="W114" s="31" cm="1">
        <f t="array" ref="W114">W$106+IF($C114&lt;&gt;0,SUMPRODUCT((W$107:W$108)*TRANSPOSE(($D114:$E114))),0)</f>
        <v>-10464.090063581294</v>
      </c>
      <c r="X114" s="31" cm="1">
        <f t="array" ref="X114">X$106+IF($C114&lt;&gt;0,SUMPRODUCT((X$107:X$108)*TRANSPOSE(($D114:$E114))),0)</f>
        <v>-10464.090063581294</v>
      </c>
      <c r="Y114" s="31" cm="1">
        <f t="array" ref="Y114">Y$106+IF($C114&lt;&gt;0,SUMPRODUCT((Y$107:Y$108)*TRANSPOSE(($D114:$E114))),0)</f>
        <v>-10464.090063581294</v>
      </c>
      <c r="Z114" s="31" cm="1">
        <f t="array" ref="Z114">Z$106+IF($C114&lt;&gt;0,SUMPRODUCT((Z$107:Z$108)*TRANSPOSE(($D114:$E114))),0)</f>
        <v>-10464.090063581294</v>
      </c>
      <c r="AA114" s="31" cm="1">
        <f t="array" ref="AA114">AA$106+IF($C114&lt;&gt;0,SUMPRODUCT((AA$107:AA$108)*TRANSPOSE(($D114:$E114))),0)</f>
        <v>-10464.090063581294</v>
      </c>
      <c r="AB114" s="31" cm="1">
        <f t="array" ref="AB114">AB$106+IF($C114&lt;&gt;0,SUMPRODUCT((AB$107:AB$108)*TRANSPOSE(($D114:$E114))),0)</f>
        <v>-10464.090063581294</v>
      </c>
      <c r="AC114" s="31" cm="1">
        <f t="array" ref="AC114">AC$106+IF($C114&lt;&gt;0,SUMPRODUCT((AC$107:AC$108)*TRANSPOSE(($D114:$E114))),0)</f>
        <v>13755906.068139266</v>
      </c>
      <c r="AD114" s="31" cm="1">
        <f t="array" ref="AD114">AD$106+IF($C114&lt;&gt;0,SUMPRODUCT((AD$107:AD$108)*TRANSPOSE(($D114:$E114))),0)</f>
        <v>13755906.068139266</v>
      </c>
      <c r="AE114" s="31" cm="1">
        <f t="array" ref="AE114">AE$106+IF($C114&lt;&gt;0,SUMPRODUCT((AE$107:AE$108)*TRANSPOSE(($D114:$E114))),0)</f>
        <v>13755906.068139266</v>
      </c>
      <c r="AF114" s="31" cm="1">
        <f t="array" ref="AF114">AF$106+IF($C114&lt;&gt;0,SUMPRODUCT((AF$107:AF$108)*TRANSPOSE(($D114:$E114))),0)</f>
        <v>13755906.068139266</v>
      </c>
      <c r="AG114" s="31" cm="1">
        <f t="array" ref="AG114">AG$106+IF($C114&lt;&gt;0,SUMPRODUCT((AG$107:AG$108)*TRANSPOSE(($D114:$E114))),0)</f>
        <v>13755906.068139266</v>
      </c>
    </row>
    <row r="115" spans="1:33" x14ac:dyDescent="0.2">
      <c r="A115" s="1" t="str">
        <f>"sens"&amp;Assumptions!B116</f>
        <v>sens</v>
      </c>
      <c r="C115" s="300">
        <f>Assumptions!C116</f>
        <v>0</v>
      </c>
      <c r="D115" s="301">
        <f>Assumptions!G116</f>
        <v>0</v>
      </c>
      <c r="E115" s="301">
        <f>Assumptions!H116</f>
        <v>0</v>
      </c>
      <c r="G115" s="38" t="str">
        <f t="shared" si="20"/>
        <v>Option 2sens</v>
      </c>
      <c r="I115" s="31" cm="1">
        <f t="array" ref="I115">I$106+IF($C115&lt;&gt;0,SUMPRODUCT((I$107:I$108)*TRANSPOSE(($D115:$E115))),0)</f>
        <v>170953.85694614612</v>
      </c>
      <c r="J115" s="31" cm="1">
        <f t="array" ref="J115">J$106+IF($C115&lt;&gt;0,SUMPRODUCT((J$107:J$108)*TRANSPOSE(($D115:$E115))),0)</f>
        <v>197279.97181654372</v>
      </c>
      <c r="K115" s="31" cm="1">
        <f t="array" ref="K115">K$106+IF($C115&lt;&gt;0,SUMPRODUCT((K$107:K$108)*TRANSPOSE(($D115:$E115))),0)</f>
        <v>52652.229740797076</v>
      </c>
      <c r="L115" s="31" cm="1">
        <f t="array" ref="L115">L$106+IF($C115&lt;&gt;0,SUMPRODUCT((L$107:L$108)*TRANSPOSE(($D115:$E115))),0)</f>
        <v>52652.229740797076</v>
      </c>
      <c r="M115" s="31" cm="1">
        <f t="array" ref="M115">M$106+IF($C115&lt;&gt;0,SUMPRODUCT((M$107:M$108)*TRANSPOSE(($D115:$E115))),0)</f>
        <v>52652.229740797076</v>
      </c>
      <c r="N115" s="31" cm="1">
        <f t="array" ref="N115">N$106+IF($C115&lt;&gt;0,SUMPRODUCT((N$107:N$108)*TRANSPOSE(($D115:$E115))),0)</f>
        <v>52652.229740797076</v>
      </c>
      <c r="O115" s="31" cm="1">
        <f t="array" ref="O115">O$106+IF($C115&lt;&gt;0,SUMPRODUCT((O$107:O$108)*TRANSPOSE(($D115:$E115))),0)</f>
        <v>52652.229740797076</v>
      </c>
      <c r="P115" s="31" cm="1">
        <f t="array" ref="P115">P$106+IF($C115&lt;&gt;0,SUMPRODUCT((P$107:P$108)*TRANSPOSE(($D115:$E115))),0)</f>
        <v>52652.229740797076</v>
      </c>
      <c r="Q115" s="31" cm="1">
        <f t="array" ref="Q115">Q$106+IF($C115&lt;&gt;0,SUMPRODUCT((Q$107:Q$108)*TRANSPOSE(($D115:$E115))),0)</f>
        <v>52652.229740797076</v>
      </c>
      <c r="R115" s="31" cm="1">
        <f t="array" ref="R115">R$106+IF($C115&lt;&gt;0,SUMPRODUCT((R$107:R$108)*TRANSPOSE(($D115:$E115))),0)</f>
        <v>52652.229740797076</v>
      </c>
      <c r="S115" s="31" cm="1">
        <f t="array" ref="S115">S$106+IF($C115&lt;&gt;0,SUMPRODUCT((S$107:S$108)*TRANSPOSE(($D115:$E115))),0)</f>
        <v>52652.229740797076</v>
      </c>
      <c r="T115" s="31" cm="1">
        <f t="array" ref="T115">T$106+IF($C115&lt;&gt;0,SUMPRODUCT((T$107:T$108)*TRANSPOSE(($D115:$E115))),0)</f>
        <v>52652.229740797076</v>
      </c>
      <c r="U115" s="31" cm="1">
        <f t="array" ref="U115">U$106+IF($C115&lt;&gt;0,SUMPRODUCT((U$107:U$108)*TRANSPOSE(($D115:$E115))),0)</f>
        <v>52652.229740797076</v>
      </c>
      <c r="V115" s="31" cm="1">
        <f t="array" ref="V115">V$106+IF($C115&lt;&gt;0,SUMPRODUCT((V$107:V$108)*TRANSPOSE(($D115:$E115))),0)</f>
        <v>52652.229740797076</v>
      </c>
      <c r="W115" s="31" cm="1">
        <f t="array" ref="W115">W$106+IF($C115&lt;&gt;0,SUMPRODUCT((W$107:W$108)*TRANSPOSE(($D115:$E115))),0)</f>
        <v>52652.229740797076</v>
      </c>
      <c r="X115" s="31" cm="1">
        <f t="array" ref="X115">X$106+IF($C115&lt;&gt;0,SUMPRODUCT((X$107:X$108)*TRANSPOSE(($D115:$E115))),0)</f>
        <v>52652.229740797076</v>
      </c>
      <c r="Y115" s="31" cm="1">
        <f t="array" ref="Y115">Y$106+IF($C115&lt;&gt;0,SUMPRODUCT((Y$107:Y$108)*TRANSPOSE(($D115:$E115))),0)</f>
        <v>52652.229740797076</v>
      </c>
      <c r="Z115" s="31" cm="1">
        <f t="array" ref="Z115">Z$106+IF($C115&lt;&gt;0,SUMPRODUCT((Z$107:Z$108)*TRANSPOSE(($D115:$E115))),0)</f>
        <v>52652.229740797076</v>
      </c>
      <c r="AA115" s="31" cm="1">
        <f t="array" ref="AA115">AA$106+IF($C115&lt;&gt;0,SUMPRODUCT((AA$107:AA$108)*TRANSPOSE(($D115:$E115))),0)</f>
        <v>52652.229740797076</v>
      </c>
      <c r="AB115" s="31" cm="1">
        <f t="array" ref="AB115">AB$106+IF($C115&lt;&gt;0,SUMPRODUCT((AB$107:AB$108)*TRANSPOSE(($D115:$E115))),0)</f>
        <v>52652.229740797076</v>
      </c>
      <c r="AC115" s="31" cm="1">
        <f t="array" ref="AC115">AC$106+IF($C115&lt;&gt;0,SUMPRODUCT((AC$107:AC$108)*TRANSPOSE(($D115:$E115))),0)</f>
        <v>15348619.072188405</v>
      </c>
      <c r="AD115" s="31" cm="1">
        <f t="array" ref="AD115">AD$106+IF($C115&lt;&gt;0,SUMPRODUCT((AD$107:AD$108)*TRANSPOSE(($D115:$E115))),0)</f>
        <v>15348619.072188405</v>
      </c>
      <c r="AE115" s="31" cm="1">
        <f t="array" ref="AE115">AE$106+IF($C115&lt;&gt;0,SUMPRODUCT((AE$107:AE$108)*TRANSPOSE(($D115:$E115))),0)</f>
        <v>15348619.072188405</v>
      </c>
      <c r="AF115" s="31" cm="1">
        <f t="array" ref="AF115">AF$106+IF($C115&lt;&gt;0,SUMPRODUCT((AF$107:AF$108)*TRANSPOSE(($D115:$E115))),0)</f>
        <v>15348619.072188405</v>
      </c>
      <c r="AG115" s="31" cm="1">
        <f t="array" ref="AG115">AG$106+IF($C115&lt;&gt;0,SUMPRODUCT((AG$107:AG$108)*TRANSPOSE(($D115:$E115))),0)</f>
        <v>15348619.072188405</v>
      </c>
    </row>
    <row r="116" spans="1:33" x14ac:dyDescent="0.2">
      <c r="A116" s="1" t="str">
        <f>"sens"&amp;Assumptions!B117</f>
        <v>sens</v>
      </c>
      <c r="C116" s="300">
        <f>Assumptions!C117</f>
        <v>0</v>
      </c>
      <c r="D116" s="301">
        <f>Assumptions!G117</f>
        <v>0</v>
      </c>
      <c r="E116" s="301">
        <f>Assumptions!H117</f>
        <v>0</v>
      </c>
      <c r="G116" s="38" t="str">
        <f t="shared" si="20"/>
        <v>Option 2sens</v>
      </c>
      <c r="I116" s="31" cm="1">
        <f t="array" ref="I116">I$106+IF($C116&lt;&gt;0,SUMPRODUCT((I$107:I$108)*TRANSPOSE(($D116:$E116))),0)</f>
        <v>170953.85694614612</v>
      </c>
      <c r="J116" s="31" cm="1">
        <f t="array" ref="J116">J$106+IF($C116&lt;&gt;0,SUMPRODUCT((J$107:J$108)*TRANSPOSE(($D116:$E116))),0)</f>
        <v>197279.97181654372</v>
      </c>
      <c r="K116" s="31" cm="1">
        <f t="array" ref="K116">K$106+IF($C116&lt;&gt;0,SUMPRODUCT((K$107:K$108)*TRANSPOSE(($D116:$E116))),0)</f>
        <v>52652.229740797076</v>
      </c>
      <c r="L116" s="31" cm="1">
        <f t="array" ref="L116">L$106+IF($C116&lt;&gt;0,SUMPRODUCT((L$107:L$108)*TRANSPOSE(($D116:$E116))),0)</f>
        <v>52652.229740797076</v>
      </c>
      <c r="M116" s="31" cm="1">
        <f t="array" ref="M116">M$106+IF($C116&lt;&gt;0,SUMPRODUCT((M$107:M$108)*TRANSPOSE(($D116:$E116))),0)</f>
        <v>52652.229740797076</v>
      </c>
      <c r="N116" s="31" cm="1">
        <f t="array" ref="N116">N$106+IF($C116&lt;&gt;0,SUMPRODUCT((N$107:N$108)*TRANSPOSE(($D116:$E116))),0)</f>
        <v>52652.229740797076</v>
      </c>
      <c r="O116" s="31" cm="1">
        <f t="array" ref="O116">O$106+IF($C116&lt;&gt;0,SUMPRODUCT((O$107:O$108)*TRANSPOSE(($D116:$E116))),0)</f>
        <v>52652.229740797076</v>
      </c>
      <c r="P116" s="31" cm="1">
        <f t="array" ref="P116">P$106+IF($C116&lt;&gt;0,SUMPRODUCT((P$107:P$108)*TRANSPOSE(($D116:$E116))),0)</f>
        <v>52652.229740797076</v>
      </c>
      <c r="Q116" s="31" cm="1">
        <f t="array" ref="Q116">Q$106+IF($C116&lt;&gt;0,SUMPRODUCT((Q$107:Q$108)*TRANSPOSE(($D116:$E116))),0)</f>
        <v>52652.229740797076</v>
      </c>
      <c r="R116" s="31" cm="1">
        <f t="array" ref="R116">R$106+IF($C116&lt;&gt;0,SUMPRODUCT((R$107:R$108)*TRANSPOSE(($D116:$E116))),0)</f>
        <v>52652.229740797076</v>
      </c>
      <c r="S116" s="31" cm="1">
        <f t="array" ref="S116">S$106+IF($C116&lt;&gt;0,SUMPRODUCT((S$107:S$108)*TRANSPOSE(($D116:$E116))),0)</f>
        <v>52652.229740797076</v>
      </c>
      <c r="T116" s="31" cm="1">
        <f t="array" ref="T116">T$106+IF($C116&lt;&gt;0,SUMPRODUCT((T$107:T$108)*TRANSPOSE(($D116:$E116))),0)</f>
        <v>52652.229740797076</v>
      </c>
      <c r="U116" s="31" cm="1">
        <f t="array" ref="U116">U$106+IF($C116&lt;&gt;0,SUMPRODUCT((U$107:U$108)*TRANSPOSE(($D116:$E116))),0)</f>
        <v>52652.229740797076</v>
      </c>
      <c r="V116" s="31" cm="1">
        <f t="array" ref="V116">V$106+IF($C116&lt;&gt;0,SUMPRODUCT((V$107:V$108)*TRANSPOSE(($D116:$E116))),0)</f>
        <v>52652.229740797076</v>
      </c>
      <c r="W116" s="31" cm="1">
        <f t="array" ref="W116">W$106+IF($C116&lt;&gt;0,SUMPRODUCT((W$107:W$108)*TRANSPOSE(($D116:$E116))),0)</f>
        <v>52652.229740797076</v>
      </c>
      <c r="X116" s="31" cm="1">
        <f t="array" ref="X116">X$106+IF($C116&lt;&gt;0,SUMPRODUCT((X$107:X$108)*TRANSPOSE(($D116:$E116))),0)</f>
        <v>52652.229740797076</v>
      </c>
      <c r="Y116" s="31" cm="1">
        <f t="array" ref="Y116">Y$106+IF($C116&lt;&gt;0,SUMPRODUCT((Y$107:Y$108)*TRANSPOSE(($D116:$E116))),0)</f>
        <v>52652.229740797076</v>
      </c>
      <c r="Z116" s="31" cm="1">
        <f t="array" ref="Z116">Z$106+IF($C116&lt;&gt;0,SUMPRODUCT((Z$107:Z$108)*TRANSPOSE(($D116:$E116))),0)</f>
        <v>52652.229740797076</v>
      </c>
      <c r="AA116" s="31" cm="1">
        <f t="array" ref="AA116">AA$106+IF($C116&lt;&gt;0,SUMPRODUCT((AA$107:AA$108)*TRANSPOSE(($D116:$E116))),0)</f>
        <v>52652.229740797076</v>
      </c>
      <c r="AB116" s="31" cm="1">
        <f t="array" ref="AB116">AB$106+IF($C116&lt;&gt;0,SUMPRODUCT((AB$107:AB$108)*TRANSPOSE(($D116:$E116))),0)</f>
        <v>52652.229740797076</v>
      </c>
      <c r="AC116" s="31" cm="1">
        <f t="array" ref="AC116">AC$106+IF($C116&lt;&gt;0,SUMPRODUCT((AC$107:AC$108)*TRANSPOSE(($D116:$E116))),0)</f>
        <v>15348619.072188405</v>
      </c>
      <c r="AD116" s="31" cm="1">
        <f t="array" ref="AD116">AD$106+IF($C116&lt;&gt;0,SUMPRODUCT((AD$107:AD$108)*TRANSPOSE(($D116:$E116))),0)</f>
        <v>15348619.072188405</v>
      </c>
      <c r="AE116" s="31" cm="1">
        <f t="array" ref="AE116">AE$106+IF($C116&lt;&gt;0,SUMPRODUCT((AE$107:AE$108)*TRANSPOSE(($D116:$E116))),0)</f>
        <v>15348619.072188405</v>
      </c>
      <c r="AF116" s="31" cm="1">
        <f t="array" ref="AF116">AF$106+IF($C116&lt;&gt;0,SUMPRODUCT((AF$107:AF$108)*TRANSPOSE(($D116:$E116))),0)</f>
        <v>15348619.072188405</v>
      </c>
      <c r="AG116" s="31" cm="1">
        <f t="array" ref="AG116">AG$106+IF($C116&lt;&gt;0,SUMPRODUCT((AG$107:AG$108)*TRANSPOSE(($D116:$E116))),0)</f>
        <v>15348619.072188405</v>
      </c>
    </row>
    <row r="117" spans="1:33" x14ac:dyDescent="0.2">
      <c r="A117" s="1" t="str">
        <f>"sens"&amp;Assumptions!B118</f>
        <v>sens</v>
      </c>
      <c r="C117" s="300">
        <f>Assumptions!C118</f>
        <v>0</v>
      </c>
      <c r="D117" s="301">
        <f>Assumptions!G118</f>
        <v>0</v>
      </c>
      <c r="E117" s="301">
        <f>Assumptions!H118</f>
        <v>0</v>
      </c>
      <c r="G117" s="38" t="str">
        <f t="shared" si="20"/>
        <v>Option 2sens</v>
      </c>
      <c r="I117" s="31" cm="1">
        <f t="array" ref="I117">I$106+IF($C117&lt;&gt;0,SUMPRODUCT((I$107:I$108)*TRANSPOSE(($D117:$E117))),0)</f>
        <v>170953.85694614612</v>
      </c>
      <c r="J117" s="31" cm="1">
        <f t="array" ref="J117">J$106+IF($C117&lt;&gt;0,SUMPRODUCT((J$107:J$108)*TRANSPOSE(($D117:$E117))),0)</f>
        <v>197279.97181654372</v>
      </c>
      <c r="K117" s="31" cm="1">
        <f t="array" ref="K117">K$106+IF($C117&lt;&gt;0,SUMPRODUCT((K$107:K$108)*TRANSPOSE(($D117:$E117))),0)</f>
        <v>52652.229740797076</v>
      </c>
      <c r="L117" s="31" cm="1">
        <f t="array" ref="L117">L$106+IF($C117&lt;&gt;0,SUMPRODUCT((L$107:L$108)*TRANSPOSE(($D117:$E117))),0)</f>
        <v>52652.229740797076</v>
      </c>
      <c r="M117" s="31" cm="1">
        <f t="array" ref="M117">M$106+IF($C117&lt;&gt;0,SUMPRODUCT((M$107:M$108)*TRANSPOSE(($D117:$E117))),0)</f>
        <v>52652.229740797076</v>
      </c>
      <c r="N117" s="31" cm="1">
        <f t="array" ref="N117">N$106+IF($C117&lt;&gt;0,SUMPRODUCT((N$107:N$108)*TRANSPOSE(($D117:$E117))),0)</f>
        <v>52652.229740797076</v>
      </c>
      <c r="O117" s="31" cm="1">
        <f t="array" ref="O117">O$106+IF($C117&lt;&gt;0,SUMPRODUCT((O$107:O$108)*TRANSPOSE(($D117:$E117))),0)</f>
        <v>52652.229740797076</v>
      </c>
      <c r="P117" s="31" cm="1">
        <f t="array" ref="P117">P$106+IF($C117&lt;&gt;0,SUMPRODUCT((P$107:P$108)*TRANSPOSE(($D117:$E117))),0)</f>
        <v>52652.229740797076</v>
      </c>
      <c r="Q117" s="31" cm="1">
        <f t="array" ref="Q117">Q$106+IF($C117&lt;&gt;0,SUMPRODUCT((Q$107:Q$108)*TRANSPOSE(($D117:$E117))),0)</f>
        <v>52652.229740797076</v>
      </c>
      <c r="R117" s="31" cm="1">
        <f t="array" ref="R117">R$106+IF($C117&lt;&gt;0,SUMPRODUCT((R$107:R$108)*TRANSPOSE(($D117:$E117))),0)</f>
        <v>52652.229740797076</v>
      </c>
      <c r="S117" s="31" cm="1">
        <f t="array" ref="S117">S$106+IF($C117&lt;&gt;0,SUMPRODUCT((S$107:S$108)*TRANSPOSE(($D117:$E117))),0)</f>
        <v>52652.229740797076</v>
      </c>
      <c r="T117" s="31" cm="1">
        <f t="array" ref="T117">T$106+IF($C117&lt;&gt;0,SUMPRODUCT((T$107:T$108)*TRANSPOSE(($D117:$E117))),0)</f>
        <v>52652.229740797076</v>
      </c>
      <c r="U117" s="31" cm="1">
        <f t="array" ref="U117">U$106+IF($C117&lt;&gt;0,SUMPRODUCT((U$107:U$108)*TRANSPOSE(($D117:$E117))),0)</f>
        <v>52652.229740797076</v>
      </c>
      <c r="V117" s="31" cm="1">
        <f t="array" ref="V117">V$106+IF($C117&lt;&gt;0,SUMPRODUCT((V$107:V$108)*TRANSPOSE(($D117:$E117))),0)</f>
        <v>52652.229740797076</v>
      </c>
      <c r="W117" s="31" cm="1">
        <f t="array" ref="W117">W$106+IF($C117&lt;&gt;0,SUMPRODUCT((W$107:W$108)*TRANSPOSE(($D117:$E117))),0)</f>
        <v>52652.229740797076</v>
      </c>
      <c r="X117" s="31" cm="1">
        <f t="array" ref="X117">X$106+IF($C117&lt;&gt;0,SUMPRODUCT((X$107:X$108)*TRANSPOSE(($D117:$E117))),0)</f>
        <v>52652.229740797076</v>
      </c>
      <c r="Y117" s="31" cm="1">
        <f t="array" ref="Y117">Y$106+IF($C117&lt;&gt;0,SUMPRODUCT((Y$107:Y$108)*TRANSPOSE(($D117:$E117))),0)</f>
        <v>52652.229740797076</v>
      </c>
      <c r="Z117" s="31" cm="1">
        <f t="array" ref="Z117">Z$106+IF($C117&lt;&gt;0,SUMPRODUCT((Z$107:Z$108)*TRANSPOSE(($D117:$E117))),0)</f>
        <v>52652.229740797076</v>
      </c>
      <c r="AA117" s="31" cm="1">
        <f t="array" ref="AA117">AA$106+IF($C117&lt;&gt;0,SUMPRODUCT((AA$107:AA$108)*TRANSPOSE(($D117:$E117))),0)</f>
        <v>52652.229740797076</v>
      </c>
      <c r="AB117" s="31" cm="1">
        <f t="array" ref="AB117">AB$106+IF($C117&lt;&gt;0,SUMPRODUCT((AB$107:AB$108)*TRANSPOSE(($D117:$E117))),0)</f>
        <v>52652.229740797076</v>
      </c>
      <c r="AC117" s="31" cm="1">
        <f t="array" ref="AC117">AC$106+IF($C117&lt;&gt;0,SUMPRODUCT((AC$107:AC$108)*TRANSPOSE(($D117:$E117))),0)</f>
        <v>15348619.072188405</v>
      </c>
      <c r="AD117" s="31" cm="1">
        <f t="array" ref="AD117">AD$106+IF($C117&lt;&gt;0,SUMPRODUCT((AD$107:AD$108)*TRANSPOSE(($D117:$E117))),0)</f>
        <v>15348619.072188405</v>
      </c>
      <c r="AE117" s="31" cm="1">
        <f t="array" ref="AE117">AE$106+IF($C117&lt;&gt;0,SUMPRODUCT((AE$107:AE$108)*TRANSPOSE(($D117:$E117))),0)</f>
        <v>15348619.072188405</v>
      </c>
      <c r="AF117" s="31" cm="1">
        <f t="array" ref="AF117">AF$106+IF($C117&lt;&gt;0,SUMPRODUCT((AF$107:AF$108)*TRANSPOSE(($D117:$E117))),0)</f>
        <v>15348619.072188405</v>
      </c>
      <c r="AG117" s="31" cm="1">
        <f t="array" ref="AG117">AG$106+IF($C117&lt;&gt;0,SUMPRODUCT((AG$107:AG$108)*TRANSPOSE(($D117:$E117))),0)</f>
        <v>15348619.072188405</v>
      </c>
    </row>
    <row r="118" spans="1:33" x14ac:dyDescent="0.2">
      <c r="E118" s="243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</row>
    <row r="129" spans="9:12" x14ac:dyDescent="0.2">
      <c r="I129" s="248"/>
      <c r="J129" s="248"/>
      <c r="K129" s="248"/>
      <c r="L129" s="248"/>
    </row>
    <row r="130" spans="9:12" x14ac:dyDescent="0.2">
      <c r="I130" s="248"/>
      <c r="J130" s="248"/>
      <c r="K130" s="248"/>
      <c r="L130" s="248"/>
    </row>
    <row r="131" spans="9:12" x14ac:dyDescent="0.2">
      <c r="I131" s="248"/>
      <c r="J131" s="248"/>
      <c r="K131" s="248"/>
      <c r="L131" s="248"/>
    </row>
    <row r="132" spans="9:12" x14ac:dyDescent="0.2">
      <c r="I132" s="248"/>
      <c r="J132" s="248"/>
      <c r="K132" s="248"/>
      <c r="L132" s="248"/>
    </row>
    <row r="133" spans="9:12" x14ac:dyDescent="0.2">
      <c r="I133" s="248"/>
      <c r="J133" s="248"/>
      <c r="K133" s="248"/>
      <c r="L133" s="248"/>
    </row>
    <row r="134" spans="9:12" x14ac:dyDescent="0.2">
      <c r="I134" s="248"/>
      <c r="J134" s="248"/>
      <c r="K134" s="248"/>
      <c r="L134" s="248"/>
    </row>
    <row r="135" spans="9:12" x14ac:dyDescent="0.2">
      <c r="I135" s="248"/>
      <c r="J135" s="248"/>
      <c r="K135" s="248"/>
      <c r="L135" s="248"/>
    </row>
    <row r="136" spans="9:12" x14ac:dyDescent="0.2">
      <c r="I136" s="248"/>
      <c r="J136" s="248"/>
      <c r="K136" s="248"/>
      <c r="L136" s="248"/>
    </row>
  </sheetData>
  <conditionalFormatting sqref="E14:E16">
    <cfRule type="expression" dxfId="10" priority="1">
      <formula>AND(SUM($I14:$AB14)&lt;&gt;0, E14=0)</formula>
    </cfRule>
  </conditionalFormatting>
  <conditionalFormatting sqref="E28">
    <cfRule type="expression" dxfId="9" priority="236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0" id="{4F65EB60-FCE6-4945-964C-D8B8AF8E6CEB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8E919-3C6A-4976-AA18-0C14B57A2441}">
  <sheetPr codeName="Sheet5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I28" sqref="I28"/>
      <selection pane="topRight" activeCell="I28" sqref="I28"/>
      <selection pane="bottomLeft" activeCell="I28" sqref="I28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2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Minimise bushfire risk from SWER in ELCA, REFCL and HBRA areas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3" t="s">
        <v>135</v>
      </c>
      <c r="B3" s="5"/>
      <c r="C3" s="200" t="str">
        <f>INDEX(Assumptions!$E$14:$E$18, MATCH(A3,_xlfn.ANCHORARRAY( Assumptions!$C$14),0))</f>
        <v>Install EFD on all SWER lines</v>
      </c>
    </row>
    <row r="4" spans="1:43" x14ac:dyDescent="0.2">
      <c r="A4" s="201" t="str">
        <f>(INDEX(Data!$D$9:$D$13, MATCH(A3, options,0)))</f>
        <v/>
      </c>
      <c r="B4" s="187"/>
      <c r="C4" s="238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0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2"/>
      <c r="G9" s="18" t="s">
        <v>25</v>
      </c>
      <c r="H9" s="220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4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43" x14ac:dyDescent="0.2">
      <c r="A12" s="3"/>
      <c r="B12" s="3"/>
      <c r="C12" s="3"/>
      <c r="D12" s="3"/>
      <c r="G12" s="205"/>
      <c r="AH12"/>
    </row>
    <row r="13" spans="1:43" x14ac:dyDescent="0.2">
      <c r="C13" s="3" t="s">
        <v>17</v>
      </c>
      <c r="D13"/>
      <c r="E13" s="126" t="s">
        <v>69</v>
      </c>
      <c r="G13" s="20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300</v>
      </c>
      <c r="D14"/>
      <c r="E14" s="148">
        <v>15</v>
      </c>
      <c r="G14" s="207">
        <f>input_dollars</f>
        <v>45291</v>
      </c>
      <c r="H14" s="149"/>
      <c r="I14" s="32">
        <f>Workings_costs!E44</f>
        <v>12684374.918704107</v>
      </c>
      <c r="J14" s="32">
        <f>Workings_costs!F44</f>
        <v>12684374.918704107</v>
      </c>
      <c r="K14" s="32">
        <f>Workings_costs!G44</f>
        <v>12684374.918704107</v>
      </c>
      <c r="L14" s="32">
        <f>Workings_costs!H44</f>
        <v>12684374.918704107</v>
      </c>
      <c r="M14" s="32">
        <f>Workings_costs!I44</f>
        <v>12684374.918704107</v>
      </c>
      <c r="N14" s="32">
        <f>Workings_costs!J44</f>
        <v>0</v>
      </c>
      <c r="O14" s="32">
        <f>Workings_costs!K44</f>
        <v>0</v>
      </c>
      <c r="P14" s="32">
        <f>Workings_costs!L44</f>
        <v>0</v>
      </c>
      <c r="Q14" s="32">
        <f>Workings_costs!M44</f>
        <v>0</v>
      </c>
      <c r="R14" s="32">
        <f>Workings_costs!N44</f>
        <v>0</v>
      </c>
      <c r="S14" s="32">
        <f>Workings_costs!O44</f>
        <v>0</v>
      </c>
      <c r="T14" s="32">
        <f>Workings_costs!P44</f>
        <v>0</v>
      </c>
      <c r="U14" s="32">
        <f>Workings_costs!Q44</f>
        <v>0</v>
      </c>
      <c r="V14" s="32">
        <f>Workings_costs!R44</f>
        <v>0</v>
      </c>
      <c r="W14" s="32">
        <f>Workings_costs!S44</f>
        <v>0</v>
      </c>
      <c r="X14" s="32">
        <f>Workings_costs!T44</f>
        <v>0</v>
      </c>
      <c r="Y14" s="32">
        <f>Workings_costs!U44</f>
        <v>0</v>
      </c>
      <c r="Z14" s="32">
        <f>Workings_costs!V44</f>
        <v>0</v>
      </c>
      <c r="AA14" s="32">
        <f>Workings_costs!W44</f>
        <v>0</v>
      </c>
      <c r="AB14" s="32">
        <f>Workings_costs!X44</f>
        <v>0</v>
      </c>
      <c r="AC14" s="32">
        <f>Workings_costs!Y44</f>
        <v>0</v>
      </c>
      <c r="AD14" s="32">
        <f>Workings_costs!Z44</f>
        <v>0</v>
      </c>
      <c r="AE14" s="32">
        <f>Workings_costs!AA44</f>
        <v>0</v>
      </c>
      <c r="AF14" s="32">
        <f>Workings_costs!AB44</f>
        <v>0</v>
      </c>
      <c r="AG14" s="32">
        <f>Workings_costs!AC44</f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57</v>
      </c>
      <c r="D15"/>
      <c r="E15" s="148">
        <v>0</v>
      </c>
      <c r="G15" s="207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 t="s">
        <v>57</v>
      </c>
      <c r="D16"/>
      <c r="E16" s="148">
        <v>0</v>
      </c>
      <c r="G16" s="207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7">
        <f>input_dollars</f>
        <v>45291</v>
      </c>
      <c r="H17" s="107"/>
      <c r="I17" s="106">
        <f t="shared" ref="I17:Q17" si="0">SUM(I14:I16)</f>
        <v>12684374.918704107</v>
      </c>
      <c r="J17" s="106">
        <f t="shared" si="0"/>
        <v>12684374.918704107</v>
      </c>
      <c r="K17" s="106">
        <f t="shared" si="0"/>
        <v>12684374.918704107</v>
      </c>
      <c r="L17" s="106">
        <f t="shared" si="0"/>
        <v>12684374.918704107</v>
      </c>
      <c r="M17" s="106">
        <f t="shared" si="0"/>
        <v>12684374.918704107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B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>SUM(AC14:AC16)</f>
        <v>0</v>
      </c>
      <c r="AD17" s="106">
        <f>SUM(AD14:AD16)</f>
        <v>0</v>
      </c>
      <c r="AE17" s="106">
        <f>SUM(AE14:AE16)</f>
        <v>0</v>
      </c>
      <c r="AF17" s="106">
        <f>SUM(AF14:AF16)</f>
        <v>0</v>
      </c>
      <c r="AG17" s="106">
        <f>SUM(AG14:AG16)</f>
        <v>0</v>
      </c>
      <c r="AH17"/>
    </row>
    <row r="18" spans="1:43" x14ac:dyDescent="0.2">
      <c r="C18"/>
      <c r="D18"/>
      <c r="E18"/>
      <c r="G18" s="20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7">
        <f>input_dollars</f>
        <v>45291</v>
      </c>
      <c r="H19" s="107"/>
      <c r="I19" s="32">
        <f>Workings_costs!E45</f>
        <v>218216.16145530471</v>
      </c>
      <c r="J19" s="32">
        <f>Workings_costs!F45</f>
        <v>218216.16145530471</v>
      </c>
      <c r="K19" s="32">
        <f>Workings_costs!G45</f>
        <v>218216.16145530471</v>
      </c>
      <c r="L19" s="32">
        <f>Workings_costs!H45</f>
        <v>218216.16145530471</v>
      </c>
      <c r="M19" s="32">
        <f>Workings_costs!I45</f>
        <v>218216.16145530471</v>
      </c>
      <c r="N19" s="32">
        <f>Workings_costs!J45</f>
        <v>4868573.2596994303</v>
      </c>
      <c r="O19" s="32">
        <f>Workings_costs!K45</f>
        <v>4868573.2596994303</v>
      </c>
      <c r="P19" s="32">
        <f>Workings_costs!L45</f>
        <v>4868573.2596994303</v>
      </c>
      <c r="Q19" s="32">
        <f>Workings_costs!M45</f>
        <v>6016415.9138633944</v>
      </c>
      <c r="R19" s="32">
        <f>Workings_costs!N45</f>
        <v>6016415.9138633944</v>
      </c>
      <c r="S19" s="32">
        <f>Workings_costs!O45</f>
        <v>6016415.9138633944</v>
      </c>
      <c r="T19" s="32">
        <f>Workings_costs!P45</f>
        <v>6016415.9138633944</v>
      </c>
      <c r="U19" s="32">
        <f>Workings_costs!Q45</f>
        <v>6016415.9138633944</v>
      </c>
      <c r="V19" s="32">
        <f>Workings_costs!R45</f>
        <v>4868573.2596994303</v>
      </c>
      <c r="W19" s="32">
        <f>Workings_costs!S45</f>
        <v>4868573.2596994303</v>
      </c>
      <c r="X19" s="32">
        <f>Workings_costs!T45</f>
        <v>3894858.6077595442</v>
      </c>
      <c r="Y19" s="32">
        <f>Workings_costs!U45</f>
        <v>2921143.955819658</v>
      </c>
      <c r="Z19" s="32">
        <f>Workings_costs!V45</f>
        <v>1947429.3038797721</v>
      </c>
      <c r="AA19" s="32">
        <f>Workings_costs!W45</f>
        <v>973714.65193988604</v>
      </c>
      <c r="AB19" s="32">
        <f>Workings_costs!X45</f>
        <v>0</v>
      </c>
      <c r="AC19" s="32">
        <f>Workings_costs!Y45</f>
        <v>0</v>
      </c>
      <c r="AD19" s="32">
        <f>Workings_costs!Z45</f>
        <v>0</v>
      </c>
      <c r="AE19" s="32">
        <f>Workings_costs!AA45</f>
        <v>0</v>
      </c>
      <c r="AF19" s="32">
        <f>Workings_costs!AB45</f>
        <v>0</v>
      </c>
      <c r="AG19" s="32">
        <f>Workings_costs!AC45</f>
        <v>0</v>
      </c>
      <c r="AH19"/>
    </row>
    <row r="20" spans="1:43" x14ac:dyDescent="0.2">
      <c r="G20" s="205"/>
      <c r="AH20"/>
    </row>
    <row r="21" spans="1:43" x14ac:dyDescent="0.2">
      <c r="C21"/>
      <c r="D21"/>
      <c r="E21"/>
      <c r="G21" s="20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149</v>
      </c>
      <c r="B22" s="89"/>
      <c r="C22" s="89"/>
      <c r="D22" s="89"/>
      <c r="E22" s="89"/>
      <c r="F22" s="89"/>
      <c r="G22" s="204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8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150</v>
      </c>
      <c r="D24" s="111"/>
      <c r="E24" s="111"/>
      <c r="F24" s="111"/>
      <c r="G24" s="208"/>
      <c r="H24" s="111"/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69">
        <v>0</v>
      </c>
      <c r="R24" s="169">
        <v>0</v>
      </c>
      <c r="S24" s="169">
        <v>0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151</v>
      </c>
      <c r="D25" s="208"/>
      <c r="E25" s="111"/>
      <c r="F25" s="111"/>
      <c r="G25" s="208"/>
      <c r="H25" s="111"/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69">
        <v>0</v>
      </c>
      <c r="R25" s="169">
        <v>0</v>
      </c>
      <c r="S25" s="169">
        <v>0</v>
      </c>
      <c r="T25" s="169">
        <v>0</v>
      </c>
      <c r="U25" s="169">
        <v>0</v>
      </c>
      <c r="V25" s="169">
        <v>0</v>
      </c>
      <c r="W25" s="169">
        <v>0</v>
      </c>
      <c r="X25" s="169">
        <v>0</v>
      </c>
      <c r="Y25" s="169">
        <v>0</v>
      </c>
      <c r="Z25" s="169">
        <v>0</v>
      </c>
      <c r="AA25" s="169">
        <v>0</v>
      </c>
      <c r="AB25" s="169">
        <v>0</v>
      </c>
      <c r="AC25" s="169">
        <v>0</v>
      </c>
      <c r="AD25" s="169">
        <v>0</v>
      </c>
      <c r="AE25" s="169">
        <v>0</v>
      </c>
      <c r="AF25" s="169">
        <v>0</v>
      </c>
      <c r="AG25" s="169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8"/>
      <c r="E26" s="111"/>
      <c r="F26" s="111"/>
      <c r="G26" s="208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5"/>
      <c r="E27"/>
      <c r="G27" s="207" t="s">
        <v>40</v>
      </c>
      <c r="H27"/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8">
        <v>0</v>
      </c>
      <c r="Z27" s="168">
        <v>0</v>
      </c>
      <c r="AA27" s="168">
        <v>0</v>
      </c>
      <c r="AB27" s="168">
        <v>0</v>
      </c>
      <c r="AC27" s="168">
        <v>0</v>
      </c>
      <c r="AD27" s="168">
        <v>0</v>
      </c>
      <c r="AE27" s="168">
        <v>0</v>
      </c>
      <c r="AF27" s="168">
        <v>0</v>
      </c>
      <c r="AG27" s="168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5" t="s">
        <v>63</v>
      </c>
      <c r="E28" s="113">
        <f>Assumptions!H41*vcr_esc</f>
        <v>43815.486225173103</v>
      </c>
      <c r="F28" s="238" t="str">
        <f>IF(AND(SUM(I27:AG27)&lt;&gt;0, E28=0), "!", "")</f>
        <v/>
      </c>
      <c r="G28" s="207">
        <f>input_dollars</f>
        <v>45291</v>
      </c>
      <c r="H28"/>
      <c r="I28" s="32">
        <f>Workings_risks!E60</f>
        <v>792691.69376945647</v>
      </c>
      <c r="J28" s="32">
        <f>Workings_risks!F60</f>
        <v>736677.07729324221</v>
      </c>
      <c r="K28" s="32">
        <f>Workings_risks!G60</f>
        <v>680662.46081702795</v>
      </c>
      <c r="L28" s="32">
        <f>Workings_risks!H60</f>
        <v>624647.8443408137</v>
      </c>
      <c r="M28" s="32">
        <f>Workings_risks!I60</f>
        <v>568633.22786459944</v>
      </c>
      <c r="N28" s="32">
        <f>Workings_risks!J60</f>
        <v>568633.22786459944</v>
      </c>
      <c r="O28" s="32">
        <f>Workings_risks!K60</f>
        <v>568633.22786459944</v>
      </c>
      <c r="P28" s="32">
        <f>Workings_risks!L60</f>
        <v>568633.22786459944</v>
      </c>
      <c r="Q28" s="32">
        <f>Workings_risks!M60</f>
        <v>568633.22786459944</v>
      </c>
      <c r="R28" s="32">
        <f>Workings_risks!N60</f>
        <v>568633.22786459944</v>
      </c>
      <c r="S28" s="32">
        <f>Workings_risks!O60</f>
        <v>568633.22786459944</v>
      </c>
      <c r="T28" s="32">
        <f>Workings_risks!P60</f>
        <v>568633.22786459944</v>
      </c>
      <c r="U28" s="32">
        <f>Workings_risks!Q60</f>
        <v>568633.22786459944</v>
      </c>
      <c r="V28" s="32">
        <f>Workings_risks!R60</f>
        <v>568633.22786459944</v>
      </c>
      <c r="W28" s="32">
        <f>Workings_risks!S60</f>
        <v>568633.22786459944</v>
      </c>
      <c r="X28" s="32">
        <f>Workings_risks!T60</f>
        <v>624647.8443408137</v>
      </c>
      <c r="Y28" s="32">
        <f>Workings_risks!U60</f>
        <v>680662.46081702795</v>
      </c>
      <c r="Z28" s="32">
        <f>Workings_risks!V60</f>
        <v>736677.07729324221</v>
      </c>
      <c r="AA28" s="32">
        <f>Workings_risks!W60</f>
        <v>792691.69376945647</v>
      </c>
      <c r="AB28" s="32">
        <f>Workings_risks!X60</f>
        <v>848706.31024567073</v>
      </c>
      <c r="AC28" s="32">
        <f>Workings_risks!Y60</f>
        <v>0</v>
      </c>
      <c r="AD28" s="32">
        <f>Workings_risks!Z60</f>
        <v>0</v>
      </c>
      <c r="AE28" s="32">
        <f>Workings_risks!AA60</f>
        <v>0</v>
      </c>
      <c r="AF28" s="32">
        <f>Workings_risks!AB60</f>
        <v>0</v>
      </c>
      <c r="AG28" s="32">
        <f>Workings_risks!AC60</f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6"/>
      <c r="E29"/>
      <c r="G29" s="20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5" t="s">
        <v>206</v>
      </c>
      <c r="G30" s="207">
        <f>input_dollars</f>
        <v>45291</v>
      </c>
      <c r="H30" s="149"/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0</v>
      </c>
      <c r="AE30" s="32">
        <v>0</v>
      </c>
      <c r="AF30" s="32">
        <v>0</v>
      </c>
      <c r="AG30" s="32"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6"/>
      <c r="E31"/>
      <c r="G31" s="207">
        <f>input_dollars</f>
        <v>45291</v>
      </c>
      <c r="H31" s="149"/>
      <c r="I31" s="32">
        <v>0</v>
      </c>
      <c r="J31" s="32">
        <v>0</v>
      </c>
      <c r="K31" s="32">
        <v>0</v>
      </c>
      <c r="L31" s="32">
        <v>0</v>
      </c>
      <c r="M31" s="32">
        <v>0</v>
      </c>
      <c r="N31" s="32">
        <v>0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5" t="s">
        <v>206</v>
      </c>
      <c r="E32"/>
      <c r="G32" s="207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4" t="s">
        <v>278</v>
      </c>
      <c r="D33" s="219"/>
      <c r="E33"/>
      <c r="G33" s="207">
        <f>input_dollars</f>
        <v>45291</v>
      </c>
      <c r="H33"/>
      <c r="I33" s="32">
        <f>Workings_risks!E59</f>
        <v>13813083.14185201</v>
      </c>
      <c r="J33" s="32">
        <f>Workings_risks!F59</f>
        <v>12836998.037609791</v>
      </c>
      <c r="K33" s="32">
        <f>Workings_risks!G59</f>
        <v>11860912.933367573</v>
      </c>
      <c r="L33" s="32">
        <f>Workings_risks!H59</f>
        <v>10884827.829125354</v>
      </c>
      <c r="M33" s="32">
        <f>Workings_risks!I59</f>
        <v>9908742.7248831354</v>
      </c>
      <c r="N33" s="32">
        <f>Workings_risks!J59</f>
        <v>9908742.7248831354</v>
      </c>
      <c r="O33" s="32">
        <f>Workings_risks!K59</f>
        <v>9908742.7248831354</v>
      </c>
      <c r="P33" s="32">
        <f>Workings_risks!L59</f>
        <v>9908742.7248831354</v>
      </c>
      <c r="Q33" s="32">
        <f>Workings_risks!M59</f>
        <v>9908742.7248831354</v>
      </c>
      <c r="R33" s="32">
        <f>Workings_risks!N59</f>
        <v>9908742.7248831354</v>
      </c>
      <c r="S33" s="32">
        <f>Workings_risks!O59</f>
        <v>9908742.7248831354</v>
      </c>
      <c r="T33" s="32">
        <f>Workings_risks!P59</f>
        <v>9908742.7248831354</v>
      </c>
      <c r="U33" s="32">
        <f>Workings_risks!Q59</f>
        <v>9908742.7248831354</v>
      </c>
      <c r="V33" s="32">
        <f>Workings_risks!R59</f>
        <v>9908742.7248831354</v>
      </c>
      <c r="W33" s="32">
        <f>Workings_risks!S59</f>
        <v>9908742.7248831354</v>
      </c>
      <c r="X33" s="32">
        <f>Workings_risks!T59</f>
        <v>10884827.829125354</v>
      </c>
      <c r="Y33" s="32">
        <f>Workings_risks!U59</f>
        <v>11860912.933367573</v>
      </c>
      <c r="Z33" s="32">
        <f>Workings_risks!V59</f>
        <v>12836998.037609791</v>
      </c>
      <c r="AA33" s="32">
        <f>Workings_risks!W59</f>
        <v>13813083.14185201</v>
      </c>
      <c r="AB33" s="32">
        <f>Workings_risks!X59</f>
        <v>14789168.246094229</v>
      </c>
      <c r="AC33" s="32">
        <f>Workings_risks!Y59</f>
        <v>0</v>
      </c>
      <c r="AD33" s="32">
        <f>Workings_risks!Z59</f>
        <v>0</v>
      </c>
      <c r="AE33" s="32">
        <f>Workings_risks!AA59</f>
        <v>0</v>
      </c>
      <c r="AF33" s="32">
        <f>Workings_risks!AB59</f>
        <v>0</v>
      </c>
      <c r="AG33" s="32">
        <f>Workings_risks!AC59</f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4" t="s">
        <v>171</v>
      </c>
      <c r="D34" s="206"/>
      <c r="E34"/>
      <c r="G34" s="207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6"/>
      <c r="E35"/>
      <c r="G35" s="20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170</v>
      </c>
      <c r="D36" s="218"/>
      <c r="E36" s="107"/>
      <c r="F36" s="3"/>
      <c r="G36" s="209"/>
      <c r="H36" s="107"/>
      <c r="I36" s="170">
        <f>SUM(I28:I34)</f>
        <v>14605774.835621467</v>
      </c>
      <c r="J36" s="170">
        <f t="shared" ref="J36:AB36" si="2">SUM(J28:J34)</f>
        <v>13573675.114903033</v>
      </c>
      <c r="K36" s="170">
        <f t="shared" si="2"/>
        <v>12541575.394184601</v>
      </c>
      <c r="L36" s="170">
        <f t="shared" si="2"/>
        <v>11509475.673466168</v>
      </c>
      <c r="M36" s="170">
        <f t="shared" si="2"/>
        <v>10477375.952747734</v>
      </c>
      <c r="N36" s="170">
        <f t="shared" si="2"/>
        <v>10477375.952747734</v>
      </c>
      <c r="O36" s="170">
        <f t="shared" si="2"/>
        <v>10477375.952747734</v>
      </c>
      <c r="P36" s="170">
        <f t="shared" si="2"/>
        <v>10477375.952747734</v>
      </c>
      <c r="Q36" s="170">
        <f t="shared" si="2"/>
        <v>10477375.952747734</v>
      </c>
      <c r="R36" s="170">
        <f t="shared" si="2"/>
        <v>10477375.952747734</v>
      </c>
      <c r="S36" s="170">
        <f t="shared" si="2"/>
        <v>10477375.952747734</v>
      </c>
      <c r="T36" s="170">
        <f t="shared" si="2"/>
        <v>10477375.952747734</v>
      </c>
      <c r="U36" s="170">
        <f t="shared" si="2"/>
        <v>10477375.952747734</v>
      </c>
      <c r="V36" s="170">
        <f t="shared" si="2"/>
        <v>10477375.952747734</v>
      </c>
      <c r="W36" s="170">
        <f t="shared" si="2"/>
        <v>10477375.952747734</v>
      </c>
      <c r="X36" s="170">
        <f t="shared" si="2"/>
        <v>11509475.673466168</v>
      </c>
      <c r="Y36" s="170">
        <f t="shared" si="2"/>
        <v>12541575.394184601</v>
      </c>
      <c r="Z36" s="170">
        <f t="shared" si="2"/>
        <v>13573675.114903033</v>
      </c>
      <c r="AA36" s="170">
        <f t="shared" si="2"/>
        <v>14605774.835621467</v>
      </c>
      <c r="AB36" s="170">
        <f t="shared" si="2"/>
        <v>15637874.556339899</v>
      </c>
      <c r="AC36" s="170">
        <f>SUM(AC28:AC34)</f>
        <v>0</v>
      </c>
      <c r="AD36" s="170">
        <f>SUM(AD28:AD34)</f>
        <v>0</v>
      </c>
      <c r="AE36" s="170">
        <f>SUM(AE28:AE34)</f>
        <v>0</v>
      </c>
      <c r="AF36" s="170">
        <f>SUM(AF28:AF34)</f>
        <v>0</v>
      </c>
      <c r="AG36" s="170">
        <f>SUM(AG28:AG34)</f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4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7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7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5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  <c r="AH41"/>
    </row>
    <row r="42" spans="1:16372" ht="13.5" x14ac:dyDescent="0.25">
      <c r="C42" s="1" t="s">
        <v>129</v>
      </c>
      <c r="G42" s="205" t="s">
        <v>104</v>
      </c>
      <c r="I42" s="85">
        <f t="shared" ref="I42:AG42" si="3">I41*I7</f>
        <v>0</v>
      </c>
      <c r="J42" s="85">
        <f t="shared" si="3"/>
        <v>0</v>
      </c>
      <c r="K42" s="85">
        <f t="shared" si="3"/>
        <v>0</v>
      </c>
      <c r="L42" s="85">
        <f t="shared" si="3"/>
        <v>0</v>
      </c>
      <c r="M42" s="85">
        <f t="shared" si="3"/>
        <v>0</v>
      </c>
      <c r="N42" s="85">
        <f t="shared" si="3"/>
        <v>0</v>
      </c>
      <c r="O42" s="85">
        <f t="shared" si="3"/>
        <v>0</v>
      </c>
      <c r="P42" s="85">
        <f t="shared" si="3"/>
        <v>0</v>
      </c>
      <c r="Q42" s="85">
        <f t="shared" si="3"/>
        <v>0</v>
      </c>
      <c r="R42" s="85">
        <f t="shared" si="3"/>
        <v>0</v>
      </c>
      <c r="S42" s="85">
        <f t="shared" si="3"/>
        <v>0</v>
      </c>
      <c r="T42" s="85">
        <f t="shared" si="3"/>
        <v>0</v>
      </c>
      <c r="U42" s="85">
        <f t="shared" si="3"/>
        <v>0</v>
      </c>
      <c r="V42" s="85">
        <f t="shared" si="3"/>
        <v>0</v>
      </c>
      <c r="W42" s="85">
        <f t="shared" si="3"/>
        <v>0</v>
      </c>
      <c r="X42" s="85">
        <f t="shared" si="3"/>
        <v>0</v>
      </c>
      <c r="Y42" s="85">
        <f t="shared" si="3"/>
        <v>0</v>
      </c>
      <c r="Z42" s="85">
        <f t="shared" si="3"/>
        <v>0</v>
      </c>
      <c r="AA42" s="85">
        <f t="shared" si="3"/>
        <v>0</v>
      </c>
      <c r="AB42" s="85">
        <f t="shared" si="3"/>
        <v>0</v>
      </c>
      <c r="AC42" s="85">
        <f t="shared" si="3"/>
        <v>0</v>
      </c>
      <c r="AD42" s="85">
        <f t="shared" si="3"/>
        <v>0</v>
      </c>
      <c r="AE42" s="85">
        <f t="shared" si="3"/>
        <v>0</v>
      </c>
      <c r="AF42" s="85">
        <f t="shared" si="3"/>
        <v>0</v>
      </c>
      <c r="AG42" s="85">
        <f t="shared" si="3"/>
        <v>0</v>
      </c>
      <c r="AH42"/>
    </row>
    <row r="43" spans="1:16372" x14ac:dyDescent="0.2">
      <c r="D43"/>
      <c r="E43"/>
      <c r="G43" s="207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6"/>
      <c r="E44"/>
      <c r="G44" s="207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14</v>
      </c>
      <c r="D45" s="205" t="s">
        <v>63</v>
      </c>
      <c r="E45" s="113">
        <f>Assumptions!G94</f>
        <v>151432.81740793545</v>
      </c>
      <c r="G45" s="207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  <c r="AH45"/>
    </row>
    <row r="46" spans="1:16372" x14ac:dyDescent="0.2">
      <c r="C46" s="1" t="s">
        <v>4</v>
      </c>
      <c r="D46" s="205" t="s">
        <v>63</v>
      </c>
      <c r="E46" s="113">
        <f>Assumptions!G95</f>
        <v>24590</v>
      </c>
      <c r="G46" s="207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  <c r="AH46"/>
    </row>
    <row r="47" spans="1:16372" x14ac:dyDescent="0.2">
      <c r="C47" s="1" t="s">
        <v>5</v>
      </c>
      <c r="D47" s="205" t="s">
        <v>63</v>
      </c>
      <c r="E47" s="112">
        <f>Assumptions!G96</f>
        <v>88.357719508603083</v>
      </c>
      <c r="G47" s="207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  <c r="AH47"/>
    </row>
    <row r="48" spans="1:16372" x14ac:dyDescent="0.2">
      <c r="C48" s="1" t="s">
        <v>15</v>
      </c>
      <c r="D48" s="205" t="s">
        <v>126</v>
      </c>
      <c r="E48" s="112">
        <f>Assumptions!G97</f>
        <v>0</v>
      </c>
      <c r="G48" s="207" t="s">
        <v>203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  <c r="AH48"/>
    </row>
    <row r="49" spans="1:43" x14ac:dyDescent="0.2">
      <c r="C49" s="1" t="s">
        <v>201</v>
      </c>
      <c r="D49" s="205" t="s">
        <v>204</v>
      </c>
      <c r="E49" s="112">
        <f>Assumptions!G98</f>
        <v>0.35181336539087127</v>
      </c>
      <c r="G49" s="207" t="s">
        <v>205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/>
    </row>
    <row r="50" spans="1:43" x14ac:dyDescent="0.2">
      <c r="C50" s="1" t="s">
        <v>202</v>
      </c>
      <c r="D50" s="205" t="s">
        <v>204</v>
      </c>
      <c r="E50" s="112">
        <f>Assumptions!G99</f>
        <v>0.35181336539087127</v>
      </c>
      <c r="G50" s="207" t="s">
        <v>205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  <c r="AH50"/>
    </row>
    <row r="51" spans="1:43" x14ac:dyDescent="0.2">
      <c r="C51" s="1" t="s">
        <v>6</v>
      </c>
      <c r="D51" s="205" t="s">
        <v>126</v>
      </c>
      <c r="E51" s="112">
        <f>Assumptions!G100</f>
        <v>0</v>
      </c>
      <c r="G51" s="207" t="s">
        <v>203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  <c r="AH51"/>
    </row>
    <row r="52" spans="1:43" x14ac:dyDescent="0.2">
      <c r="C52" s="1" t="s">
        <v>7</v>
      </c>
      <c r="D52" s="205" t="s">
        <v>126</v>
      </c>
      <c r="E52" s="112">
        <f>Assumptions!G101</f>
        <v>0</v>
      </c>
      <c r="G52" s="207" t="s">
        <v>203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  <c r="AH52"/>
    </row>
    <row r="53" spans="1:43" x14ac:dyDescent="0.2">
      <c r="D53" s="205"/>
      <c r="G53" s="207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/>
    </row>
    <row r="54" spans="1:43" x14ac:dyDescent="0.2">
      <c r="C54" s="1" t="s">
        <v>117</v>
      </c>
      <c r="D54" s="205"/>
      <c r="G54" s="207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  <c r="AH54"/>
    </row>
    <row r="55" spans="1:43" x14ac:dyDescent="0.2">
      <c r="C55" s="1" t="s">
        <v>118</v>
      </c>
      <c r="D55" s="205"/>
      <c r="G55" s="207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  <c r="AH55"/>
    </row>
    <row r="56" spans="1:43" x14ac:dyDescent="0.2">
      <c r="D56" s="205"/>
      <c r="G56" s="205"/>
      <c r="AH56"/>
    </row>
    <row r="57" spans="1:43" x14ac:dyDescent="0.2">
      <c r="C57" s="3" t="s">
        <v>125</v>
      </c>
      <c r="D57" s="218"/>
      <c r="E57" s="107"/>
      <c r="F57" s="3"/>
      <c r="G57" s="210">
        <f>input_dollars</f>
        <v>45291</v>
      </c>
      <c r="H57" s="107"/>
      <c r="I57" s="170" cm="1">
        <f t="array" ref="I57">SUMPRODUCT((I$45:I$52)*($E$45:$E$52))+SUM(I54:I55)+I42</f>
        <v>0</v>
      </c>
      <c r="J57" s="170" cm="1">
        <f t="array" ref="J57">SUMPRODUCT((J$45:J$52)*($E$45:$E$52))+SUM(J54:J55)+J42</f>
        <v>0</v>
      </c>
      <c r="K57" s="170" cm="1">
        <f t="array" ref="K57">SUMPRODUCT((K$45:K$52)*($E$45:$E$52))+SUM(K54:K55)+K42</f>
        <v>0</v>
      </c>
      <c r="L57" s="170" cm="1">
        <f t="array" ref="L57">SUMPRODUCT((L$45:L$52)*($E$45:$E$52))+SUM(L54:L55)+L42</f>
        <v>0</v>
      </c>
      <c r="M57" s="170" cm="1">
        <f t="array" ref="M57">SUMPRODUCT((M$45:M$52)*($E$45:$E$52))+SUM(M54:M55)+M42</f>
        <v>0</v>
      </c>
      <c r="N57" s="170" cm="1">
        <f t="array" ref="N57">SUMPRODUCT((N$45:N$52)*($E$45:$E$52))+SUM(N54:N55)+N42</f>
        <v>0</v>
      </c>
      <c r="O57" s="170" cm="1">
        <f t="array" ref="O57">SUMPRODUCT((O$45:O$52)*($E$45:$E$52))+SUM(O54:O55)+O42</f>
        <v>0</v>
      </c>
      <c r="P57" s="170" cm="1">
        <f t="array" ref="P57">SUMPRODUCT((P$45:P$52)*($E$45:$E$52))+SUM(P54:P55)+P42</f>
        <v>0</v>
      </c>
      <c r="Q57" s="170" cm="1">
        <f t="array" ref="Q57">SUMPRODUCT((Q$45:Q$52)*($E$45:$E$52))+SUM(Q54:Q55)+Q42</f>
        <v>0</v>
      </c>
      <c r="R57" s="170" cm="1">
        <f t="array" ref="R57">SUMPRODUCT((R$45:R$52)*($E$45:$E$52))+SUM(R54:R55)+R42</f>
        <v>0</v>
      </c>
      <c r="S57" s="170" cm="1">
        <f t="array" ref="S57">SUMPRODUCT((S$45:S$52)*($E$45:$E$52))+SUM(S54:S55)+S42</f>
        <v>0</v>
      </c>
      <c r="T57" s="170" cm="1">
        <f t="array" ref="T57">SUMPRODUCT((T$45:T$52)*($E$45:$E$52))+SUM(T54:T55)+T42</f>
        <v>0</v>
      </c>
      <c r="U57" s="170" cm="1">
        <f t="array" ref="U57">SUMPRODUCT((U$45:U$52)*($E$45:$E$52))+SUM(U54:U55)+U42</f>
        <v>0</v>
      </c>
      <c r="V57" s="170" cm="1">
        <f t="array" ref="V57">SUMPRODUCT((V$45:V$52)*($E$45:$E$52))+SUM(V54:V55)+V42</f>
        <v>0</v>
      </c>
      <c r="W57" s="170" cm="1">
        <f t="array" ref="W57">SUMPRODUCT((W$45:W$52)*($E$45:$E$52))+SUM(W54:W55)+W42</f>
        <v>0</v>
      </c>
      <c r="X57" s="170" cm="1">
        <f t="array" ref="X57">SUMPRODUCT((X$45:X$52)*($E$45:$E$52))+SUM(X54:X55)+X42</f>
        <v>0</v>
      </c>
      <c r="Y57" s="170" cm="1">
        <f t="array" ref="Y57">SUMPRODUCT((Y$45:Y$52)*($E$45:$E$52))+SUM(Y54:Y55)+Y42</f>
        <v>0</v>
      </c>
      <c r="Z57" s="170" cm="1">
        <f t="array" ref="Z57">SUMPRODUCT((Z$45:Z$52)*($E$45:$E$52))+SUM(Z54:Z55)+Z42</f>
        <v>0</v>
      </c>
      <c r="AA57" s="170" cm="1">
        <f t="array" ref="AA57">SUMPRODUCT((AA$45:AA$52)*($E$45:$E$52))+SUM(AA54:AA55)+AA42</f>
        <v>0</v>
      </c>
      <c r="AB57" s="170" cm="1">
        <f t="array" ref="AB57">SUMPRODUCT((AB$45:AB$52)*($E$45:$E$52))+SUM(AB54:AB55)+AB42</f>
        <v>0</v>
      </c>
      <c r="AC57" s="170" cm="1">
        <f t="array" ref="AC57">SUMPRODUCT((AC$45:AC$52)*($E$45:$E$52))+SUM(AC54:AC55)+AC42</f>
        <v>0</v>
      </c>
      <c r="AD57" s="170" cm="1">
        <f t="array" ref="AD57">SUMPRODUCT((AD$45:AD$52)*($E$45:$E$52))+SUM(AD54:AD55)+AD42</f>
        <v>0</v>
      </c>
      <c r="AE57" s="170" cm="1">
        <f t="array" ref="AE57">SUMPRODUCT((AE$45:AE$52)*($E$45:$E$52))+SUM(AE54:AE55)+AE42</f>
        <v>0</v>
      </c>
      <c r="AF57" s="170" cm="1">
        <f t="array" ref="AF57">SUMPRODUCT((AF$45:AF$52)*($E$45:$E$52))+SUM(AF54:AF55)+AF42</f>
        <v>0</v>
      </c>
      <c r="AG57" s="170" cm="1">
        <f t="array" ref="AG57">SUMPRODUCT((AG$45:AG$52)*($E$45:$E$52))+SUM(AG54:AG55)+AG42</f>
        <v>0</v>
      </c>
      <c r="AH57"/>
    </row>
    <row r="58" spans="1:43" x14ac:dyDescent="0.2">
      <c r="D58" s="205"/>
      <c r="G58" s="205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/>
    </row>
    <row r="59" spans="1:43" x14ac:dyDescent="0.2">
      <c r="G59" s="205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4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8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C63" s="4"/>
      <c r="F63" s="2"/>
      <c r="G63" s="212"/>
      <c r="I63" s="137"/>
      <c r="J63" s="137"/>
      <c r="K63" s="137"/>
      <c r="L63" s="137"/>
      <c r="M63" s="137"/>
      <c r="N63" s="137"/>
      <c r="O63" s="137"/>
      <c r="P63" s="137"/>
      <c r="Q63" s="137"/>
      <c r="R63" s="137"/>
      <c r="S63" s="137"/>
      <c r="T63" s="137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/>
    </row>
    <row r="64" spans="1:43" x14ac:dyDescent="0.2">
      <c r="C64" s="4" t="str">
        <f>'Option1 (base case)'!C64</f>
        <v>Risks mitigated vs base case</v>
      </c>
      <c r="G64" s="210">
        <f>input_dollars</f>
        <v>45291</v>
      </c>
      <c r="I64" s="132">
        <f>(1-INDEX(Data!$C$9:$C$13, MATCH($A$3, options,0)))*('Option1 (base case)'!I36-I36)</f>
        <v>1032099.7207184322</v>
      </c>
      <c r="J64" s="132">
        <f>(1-INDEX(Data!$C$9:$C$13, MATCH($A$3, options,0)))*('Option1 (base case)'!J36-J36)</f>
        <v>2064199.4414368663</v>
      </c>
      <c r="K64" s="132">
        <f>(1-INDEX(Data!$C$9:$C$13, MATCH($A$3, options,0)))*('Option1 (base case)'!K36-K36)</f>
        <v>3096299.1621552985</v>
      </c>
      <c r="L64" s="132">
        <f>(1-INDEX(Data!$C$9:$C$13, MATCH($A$3, options,0)))*('Option1 (base case)'!L36-L36)</f>
        <v>4128398.8828737307</v>
      </c>
      <c r="M64" s="132">
        <f>(1-INDEX(Data!$C$9:$C$13, MATCH($A$3, options,0)))*('Option1 (base case)'!M36-M36)</f>
        <v>5160498.6035921648</v>
      </c>
      <c r="N64" s="132">
        <f>(1-INDEX(Data!$C$9:$C$13, MATCH($A$3, options,0)))*('Option1 (base case)'!N36-N36)</f>
        <v>5160498.6035921648</v>
      </c>
      <c r="O64" s="132">
        <f>(1-INDEX(Data!$C$9:$C$13, MATCH($A$3, options,0)))*('Option1 (base case)'!O36-O36)</f>
        <v>5160498.6035921648</v>
      </c>
      <c r="P64" s="132">
        <f>(1-INDEX(Data!$C$9:$C$13, MATCH($A$3, options,0)))*('Option1 (base case)'!P36-P36)</f>
        <v>5160498.6035921648</v>
      </c>
      <c r="Q64" s="132">
        <f>(1-INDEX(Data!$C$9:$C$13, MATCH($A$3, options,0)))*('Option1 (base case)'!Q36-Q36)</f>
        <v>5160498.6035921648</v>
      </c>
      <c r="R64" s="132">
        <f>(1-INDEX(Data!$C$9:$C$13, MATCH($A$3, options,0)))*('Option1 (base case)'!R36-R36)</f>
        <v>5160498.6035921648</v>
      </c>
      <c r="S64" s="132">
        <f>(1-INDEX(Data!$C$9:$C$13, MATCH($A$3, options,0)))*('Option1 (base case)'!S36-S36)</f>
        <v>5160498.6035921648</v>
      </c>
      <c r="T64" s="132">
        <f>(1-INDEX(Data!$C$9:$C$13, MATCH($A$3, options,0)))*('Option1 (base case)'!T36-T36)</f>
        <v>5160498.6035921648</v>
      </c>
      <c r="U64" s="132">
        <f>(1-INDEX(Data!$C$9:$C$13, MATCH($A$3, options,0)))*('Option1 (base case)'!U36-U36)</f>
        <v>5160498.6035921648</v>
      </c>
      <c r="V64" s="132">
        <f>(1-INDEX(Data!$C$9:$C$13, MATCH($A$3, options,0)))*('Option1 (base case)'!V36-V36)</f>
        <v>5160498.6035921648</v>
      </c>
      <c r="W64" s="132">
        <f>(1-INDEX(Data!$C$9:$C$13, MATCH($A$3, options,0)))*('Option1 (base case)'!W36-W36)</f>
        <v>5160498.6035921648</v>
      </c>
      <c r="X64" s="132">
        <f>(1-INDEX(Data!$C$9:$C$13, MATCH($A$3, options,0)))*('Option1 (base case)'!X36-X36)</f>
        <v>4128398.8828737307</v>
      </c>
      <c r="Y64" s="132">
        <f>(1-INDEX(Data!$C$9:$C$13, MATCH($A$3, options,0)))*('Option1 (base case)'!Y36-Y36)</f>
        <v>3096299.1621552985</v>
      </c>
      <c r="Z64" s="132">
        <f>(1-INDEX(Data!$C$9:$C$13, MATCH($A$3, options,0)))*('Option1 (base case)'!Z36-Z36)</f>
        <v>2064199.4414368663</v>
      </c>
      <c r="AA64" s="132">
        <f>(1-INDEX(Data!$C$9:$C$13, MATCH($A$3, options,0)))*('Option1 (base case)'!AA36-AA36)</f>
        <v>1032099.7207184322</v>
      </c>
      <c r="AB64" s="132">
        <f>(1-INDEX(Data!$C$9:$C$13, MATCH($A$3, options,0)))*('Option1 (base case)'!AB36-AB36)</f>
        <v>0</v>
      </c>
      <c r="AC64" s="132">
        <f>(1-INDEX(Data!$C$9:$C$13, MATCH($A$3, options,0)))*('Option1 (base case)'!AC36-AC36)</f>
        <v>15637874.556339899</v>
      </c>
      <c r="AD64" s="132">
        <f>(1-INDEX(Data!$C$9:$C$13, MATCH($A$3, options,0)))*('Option1 (base case)'!AD36-AD36)</f>
        <v>15637874.556339899</v>
      </c>
      <c r="AE64" s="132">
        <f>(1-INDEX(Data!$C$9:$C$13, MATCH($A$3, options,0)))*('Option1 (base case)'!AE36-AE36)</f>
        <v>15637874.556339899</v>
      </c>
      <c r="AF64" s="132">
        <f>(1-INDEX(Data!$C$9:$C$13, MATCH($A$3, options,0)))*('Option1 (base case)'!AF36-AF36)</f>
        <v>15637874.556339899</v>
      </c>
      <c r="AG64" s="132">
        <f>(1-INDEX(Data!$C$9:$C$13, MATCH($A$3, options,0)))*('Option1 (base case)'!AG36-AG36)</f>
        <v>15637874.556339899</v>
      </c>
      <c r="AH64"/>
    </row>
    <row r="65" spans="1:34" x14ac:dyDescent="0.2">
      <c r="G65" s="212"/>
      <c r="AH65"/>
    </row>
    <row r="66" spans="1:34" x14ac:dyDescent="0.2">
      <c r="A66" s="8"/>
      <c r="B66" s="8"/>
      <c r="C66" s="147" t="s">
        <v>30</v>
      </c>
      <c r="D66" s="38"/>
      <c r="F66" s="97"/>
      <c r="G66" s="213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/>
    </row>
    <row r="67" spans="1:34" x14ac:dyDescent="0.2">
      <c r="A67" s="8"/>
      <c r="B67" s="8"/>
      <c r="C67" s="4" t="str">
        <f>C14</f>
        <v>EFD</v>
      </c>
      <c r="D67" s="38"/>
      <c r="F67" s="97"/>
      <c r="G67" s="210">
        <f>input_dollars</f>
        <v>45291</v>
      </c>
      <c r="H67" s="31"/>
      <c r="I67" s="119">
        <f t="shared" ref="I67:AG67" si="4">-I14</f>
        <v>-12684374.918704107</v>
      </c>
      <c r="J67" s="119">
        <f t="shared" si="4"/>
        <v>-12684374.918704107</v>
      </c>
      <c r="K67" s="119">
        <f t="shared" si="4"/>
        <v>-12684374.918704107</v>
      </c>
      <c r="L67" s="119">
        <f t="shared" si="4"/>
        <v>-12684374.918704107</v>
      </c>
      <c r="M67" s="119">
        <f t="shared" si="4"/>
        <v>-12684374.918704107</v>
      </c>
      <c r="N67" s="119">
        <f t="shared" si="4"/>
        <v>0</v>
      </c>
      <c r="O67" s="119">
        <f t="shared" si="4"/>
        <v>0</v>
      </c>
      <c r="P67" s="119">
        <f t="shared" si="4"/>
        <v>0</v>
      </c>
      <c r="Q67" s="119">
        <f t="shared" si="4"/>
        <v>0</v>
      </c>
      <c r="R67" s="119">
        <f t="shared" si="4"/>
        <v>0</v>
      </c>
      <c r="S67" s="119">
        <f t="shared" si="4"/>
        <v>0</v>
      </c>
      <c r="T67" s="119">
        <f t="shared" si="4"/>
        <v>0</v>
      </c>
      <c r="U67" s="119">
        <f t="shared" si="4"/>
        <v>0</v>
      </c>
      <c r="V67" s="119">
        <f t="shared" si="4"/>
        <v>0</v>
      </c>
      <c r="W67" s="119">
        <f t="shared" si="4"/>
        <v>0</v>
      </c>
      <c r="X67" s="119">
        <f t="shared" si="4"/>
        <v>0</v>
      </c>
      <c r="Y67" s="119">
        <f t="shared" si="4"/>
        <v>0</v>
      </c>
      <c r="Z67" s="119">
        <f t="shared" si="4"/>
        <v>0</v>
      </c>
      <c r="AA67" s="119">
        <f t="shared" si="4"/>
        <v>0</v>
      </c>
      <c r="AB67" s="119">
        <f t="shared" si="4"/>
        <v>0</v>
      </c>
      <c r="AC67" s="119">
        <f t="shared" si="4"/>
        <v>0</v>
      </c>
      <c r="AD67" s="119">
        <f t="shared" si="4"/>
        <v>0</v>
      </c>
      <c r="AE67" s="119">
        <f t="shared" si="4"/>
        <v>0</v>
      </c>
      <c r="AF67" s="119">
        <f t="shared" si="4"/>
        <v>0</v>
      </c>
      <c r="AG67" s="119">
        <f t="shared" si="4"/>
        <v>0</v>
      </c>
      <c r="AH67"/>
    </row>
    <row r="68" spans="1:34" x14ac:dyDescent="0.2">
      <c r="A68" s="8"/>
      <c r="B68" s="8"/>
      <c r="C68" s="4" t="str">
        <f>C15</f>
        <v>&lt; Enter description &gt;</v>
      </c>
      <c r="D68" s="38"/>
      <c r="F68" s="97"/>
      <c r="G68" s="210">
        <f>input_dollars</f>
        <v>45291</v>
      </c>
      <c r="H68" s="31"/>
      <c r="I68" s="119">
        <f t="shared" ref="I68:AG68" si="5">-I15</f>
        <v>0</v>
      </c>
      <c r="J68" s="119">
        <f t="shared" si="5"/>
        <v>0</v>
      </c>
      <c r="K68" s="119">
        <f t="shared" si="5"/>
        <v>0</v>
      </c>
      <c r="L68" s="119">
        <f t="shared" si="5"/>
        <v>0</v>
      </c>
      <c r="M68" s="119">
        <f t="shared" si="5"/>
        <v>0</v>
      </c>
      <c r="N68" s="119">
        <f t="shared" si="5"/>
        <v>0</v>
      </c>
      <c r="O68" s="119">
        <f t="shared" si="5"/>
        <v>0</v>
      </c>
      <c r="P68" s="119">
        <f t="shared" si="5"/>
        <v>0</v>
      </c>
      <c r="Q68" s="119">
        <f t="shared" si="5"/>
        <v>0</v>
      </c>
      <c r="R68" s="119">
        <f t="shared" si="5"/>
        <v>0</v>
      </c>
      <c r="S68" s="119">
        <f t="shared" si="5"/>
        <v>0</v>
      </c>
      <c r="T68" s="119">
        <f t="shared" si="5"/>
        <v>0</v>
      </c>
      <c r="U68" s="119">
        <f t="shared" si="5"/>
        <v>0</v>
      </c>
      <c r="V68" s="119">
        <f t="shared" si="5"/>
        <v>0</v>
      </c>
      <c r="W68" s="119">
        <f t="shared" si="5"/>
        <v>0</v>
      </c>
      <c r="X68" s="119">
        <f t="shared" si="5"/>
        <v>0</v>
      </c>
      <c r="Y68" s="119">
        <f t="shared" si="5"/>
        <v>0</v>
      </c>
      <c r="Z68" s="119">
        <f t="shared" si="5"/>
        <v>0</v>
      </c>
      <c r="AA68" s="119">
        <f t="shared" si="5"/>
        <v>0</v>
      </c>
      <c r="AB68" s="119">
        <f t="shared" si="5"/>
        <v>0</v>
      </c>
      <c r="AC68" s="119">
        <f t="shared" si="5"/>
        <v>0</v>
      </c>
      <c r="AD68" s="119">
        <f t="shared" si="5"/>
        <v>0</v>
      </c>
      <c r="AE68" s="119">
        <f t="shared" si="5"/>
        <v>0</v>
      </c>
      <c r="AF68" s="119">
        <f t="shared" si="5"/>
        <v>0</v>
      </c>
      <c r="AG68" s="119">
        <f t="shared" si="5"/>
        <v>0</v>
      </c>
      <c r="AH68"/>
    </row>
    <row r="69" spans="1:34" x14ac:dyDescent="0.2">
      <c r="A69" s="8"/>
      <c r="B69" s="8"/>
      <c r="C69" s="4" t="str">
        <f>C16</f>
        <v>&lt; Enter description &gt;</v>
      </c>
      <c r="D69" s="38"/>
      <c r="F69" s="97"/>
      <c r="G69" s="210">
        <f>input_dollars</f>
        <v>45291</v>
      </c>
      <c r="H69" s="31"/>
      <c r="I69" s="119">
        <f t="shared" ref="I69:AG69" si="6">-I16</f>
        <v>0</v>
      </c>
      <c r="J69" s="119">
        <f t="shared" si="6"/>
        <v>0</v>
      </c>
      <c r="K69" s="119">
        <f t="shared" si="6"/>
        <v>0</v>
      </c>
      <c r="L69" s="119">
        <f t="shared" si="6"/>
        <v>0</v>
      </c>
      <c r="M69" s="119">
        <f t="shared" si="6"/>
        <v>0</v>
      </c>
      <c r="N69" s="119">
        <f t="shared" si="6"/>
        <v>0</v>
      </c>
      <c r="O69" s="119">
        <f t="shared" si="6"/>
        <v>0</v>
      </c>
      <c r="P69" s="119">
        <f t="shared" si="6"/>
        <v>0</v>
      </c>
      <c r="Q69" s="119">
        <f t="shared" si="6"/>
        <v>0</v>
      </c>
      <c r="R69" s="119">
        <f t="shared" si="6"/>
        <v>0</v>
      </c>
      <c r="S69" s="119">
        <f t="shared" si="6"/>
        <v>0</v>
      </c>
      <c r="T69" s="119">
        <f t="shared" si="6"/>
        <v>0</v>
      </c>
      <c r="U69" s="119">
        <f t="shared" si="6"/>
        <v>0</v>
      </c>
      <c r="V69" s="119">
        <f t="shared" si="6"/>
        <v>0</v>
      </c>
      <c r="W69" s="119">
        <f t="shared" si="6"/>
        <v>0</v>
      </c>
      <c r="X69" s="119">
        <f t="shared" si="6"/>
        <v>0</v>
      </c>
      <c r="Y69" s="119">
        <f t="shared" si="6"/>
        <v>0</v>
      </c>
      <c r="Z69" s="119">
        <f t="shared" si="6"/>
        <v>0</v>
      </c>
      <c r="AA69" s="119">
        <f t="shared" si="6"/>
        <v>0</v>
      </c>
      <c r="AB69" s="119">
        <f t="shared" si="6"/>
        <v>0</v>
      </c>
      <c r="AC69" s="119">
        <f t="shared" si="6"/>
        <v>0</v>
      </c>
      <c r="AD69" s="119">
        <f t="shared" si="6"/>
        <v>0</v>
      </c>
      <c r="AE69" s="119">
        <f t="shared" si="6"/>
        <v>0</v>
      </c>
      <c r="AF69" s="119">
        <f t="shared" si="6"/>
        <v>0</v>
      </c>
      <c r="AG69" s="119">
        <f t="shared" si="6"/>
        <v>0</v>
      </c>
      <c r="AH69"/>
    </row>
    <row r="70" spans="1:34" x14ac:dyDescent="0.2">
      <c r="A70" s="8"/>
      <c r="B70" s="8"/>
      <c r="C70" s="4"/>
      <c r="D70" s="38"/>
      <c r="F70" s="97"/>
      <c r="G70" s="214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/>
    </row>
    <row r="71" spans="1:34" x14ac:dyDescent="0.2">
      <c r="A71" s="8"/>
      <c r="B71" s="8"/>
      <c r="C71" s="147" t="s">
        <v>155</v>
      </c>
      <c r="D71" s="38"/>
      <c r="F71" s="97"/>
      <c r="G71" s="213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  <c r="AH71"/>
    </row>
    <row r="72" spans="1:34" x14ac:dyDescent="0.2">
      <c r="A72" s="8"/>
      <c r="B72" s="8"/>
      <c r="C72" s="4" t="str">
        <f>C14</f>
        <v>EFD</v>
      </c>
      <c r="D72" s="38"/>
      <c r="F72" s="97"/>
      <c r="G72" s="210">
        <f>input_dollars</f>
        <v>45291</v>
      </c>
      <c r="H72" s="31"/>
      <c r="I72" s="119" cm="1">
        <f t="array" ref="I72">SUMPRODUCT(($I67:I67))-SUMPRODUCT(($I67:I67)*($I$6:I$6&lt;=(I$6-$E14)))</f>
        <v>-12684374.918704107</v>
      </c>
      <c r="J72" s="119" cm="1">
        <f t="array" ref="J72">SUMPRODUCT(($I67:J67))-SUMPRODUCT(($I67:J67)*($I$6:J$6&lt;=(J$6-$E14)))</f>
        <v>-25368749.837408215</v>
      </c>
      <c r="K72" s="119" cm="1">
        <f t="array" ref="K72">SUMPRODUCT(($I67:K67))-SUMPRODUCT(($I67:K67)*($I$6:K$6&lt;=(K$6-$E14)))</f>
        <v>-38053124.756112322</v>
      </c>
      <c r="L72" s="119" cm="1">
        <f t="array" ref="L72">SUMPRODUCT(($I67:L67))-SUMPRODUCT(($I67:L67)*($I$6:L$6&lt;=(L$6-$E14)))</f>
        <v>-50737499.67481643</v>
      </c>
      <c r="M72" s="119" cm="1">
        <f t="array" ref="M72">SUMPRODUCT(($I67:M67))-SUMPRODUCT(($I67:M67)*($I$6:M$6&lt;=(M$6-$E14)))</f>
        <v>-63421874.593520537</v>
      </c>
      <c r="N72" s="119" cm="1">
        <f t="array" ref="N72">SUMPRODUCT(($I67:N67))-SUMPRODUCT(($I67:N67)*($I$6:N$6&lt;=(N$6-$E14)))</f>
        <v>-63421874.593520537</v>
      </c>
      <c r="O72" s="119" cm="1">
        <f t="array" ref="O72">SUMPRODUCT(($I67:O67))-SUMPRODUCT(($I67:O67)*($I$6:O$6&lt;=(O$6-$E14)))</f>
        <v>-63421874.593520537</v>
      </c>
      <c r="P72" s="119" cm="1">
        <f t="array" ref="P72">SUMPRODUCT(($I67:P67))-SUMPRODUCT(($I67:P67)*($I$6:P$6&lt;=(P$6-$E14)))</f>
        <v>-63421874.593520537</v>
      </c>
      <c r="Q72" s="119" cm="1">
        <f t="array" ref="Q72">SUMPRODUCT(($I67:Q67))-SUMPRODUCT(($I67:Q67)*($I$6:Q$6&lt;=(Q$6-$E14)))</f>
        <v>-63421874.593520537</v>
      </c>
      <c r="R72" s="119" cm="1">
        <f t="array" ref="R72">SUMPRODUCT(($I67:R67))-SUMPRODUCT(($I67:R67)*($I$6:R$6&lt;=(R$6-$E14)))</f>
        <v>-63421874.593520537</v>
      </c>
      <c r="S72" s="119" cm="1">
        <f t="array" ref="S72">SUMPRODUCT(($I67:S67))-SUMPRODUCT(($I67:S67)*($I$6:S$6&lt;=(S$6-$E14)))</f>
        <v>-63421874.593520537</v>
      </c>
      <c r="T72" s="119" cm="1">
        <f t="array" ref="T72">SUMPRODUCT(($I67:T67))-SUMPRODUCT(($I67:T67)*($I$6:T$6&lt;=(T$6-$E14)))</f>
        <v>-63421874.593520537</v>
      </c>
      <c r="U72" s="119" cm="1">
        <f t="array" ref="U72">SUMPRODUCT(($I67:U67))-SUMPRODUCT(($I67:U67)*($I$6:U$6&lt;=(U$6-$E14)))</f>
        <v>-63421874.593520537</v>
      </c>
      <c r="V72" s="119" cm="1">
        <f t="array" ref="V72">SUMPRODUCT(($I67:V67))-SUMPRODUCT(($I67:V67)*($I$6:V$6&lt;=(V$6-$E14)))</f>
        <v>-63421874.593520537</v>
      </c>
      <c r="W72" s="119" cm="1">
        <f t="array" ref="W72">SUMPRODUCT(($I67:W67))-SUMPRODUCT(($I67:W67)*($I$6:W$6&lt;=(W$6-$E14)))</f>
        <v>-63421874.593520537</v>
      </c>
      <c r="X72" s="119" cm="1">
        <f t="array" ref="X72">SUMPRODUCT(($I67:X67))-SUMPRODUCT(($I67:X67)*($I$6:X$6&lt;=(X$6-$E14)))</f>
        <v>-50737499.67481643</v>
      </c>
      <c r="Y72" s="119" cm="1">
        <f t="array" ref="Y72">SUMPRODUCT(($I67:Y67))-SUMPRODUCT(($I67:Y67)*($I$6:Y$6&lt;=(Y$6-$E14)))</f>
        <v>-38053124.756112322</v>
      </c>
      <c r="Z72" s="119" cm="1">
        <f t="array" ref="Z72">SUMPRODUCT(($I67:Z67))-SUMPRODUCT(($I67:Z67)*($I$6:Z$6&lt;=(Z$6-$E14)))</f>
        <v>-25368749.837408215</v>
      </c>
      <c r="AA72" s="119" cm="1">
        <f t="array" ref="AA72">SUMPRODUCT(($I67:AA67))-SUMPRODUCT(($I67:AA67)*($I$6:AA$6&lt;=(AA$6-$E14)))</f>
        <v>-12684374.918704107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  <c r="AH72"/>
    </row>
    <row r="73" spans="1:34" x14ac:dyDescent="0.2">
      <c r="A73" s="8"/>
      <c r="B73" s="8"/>
      <c r="C73" s="4" t="str">
        <f>C15</f>
        <v>&lt; Enter description &gt;</v>
      </c>
      <c r="D73" s="38"/>
      <c r="F73" s="97"/>
      <c r="G73" s="210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  <c r="AH73"/>
    </row>
    <row r="74" spans="1:34" x14ac:dyDescent="0.2">
      <c r="A74" s="8"/>
      <c r="B74" s="8"/>
      <c r="C74" s="4" t="str">
        <f>C16</f>
        <v>&lt; Enter description &gt;</v>
      </c>
      <c r="D74" s="38"/>
      <c r="F74" s="97"/>
      <c r="G74" s="210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  <c r="AH74"/>
    </row>
    <row r="75" spans="1:34" x14ac:dyDescent="0.2">
      <c r="A75" s="8"/>
      <c r="B75" s="8"/>
      <c r="C75" s="4"/>
      <c r="D75" s="38"/>
      <c r="F75" s="97"/>
      <c r="G75" s="214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  <c r="AH75"/>
    </row>
    <row r="76" spans="1:34" x14ac:dyDescent="0.2">
      <c r="A76" s="8"/>
      <c r="B76" s="8"/>
      <c r="C76" s="147" t="s">
        <v>91</v>
      </c>
      <c r="D76" s="38"/>
      <c r="G76" s="213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  <c r="AH76"/>
    </row>
    <row r="77" spans="1:34" x14ac:dyDescent="0.2">
      <c r="A77" s="8"/>
      <c r="B77" s="8"/>
      <c r="C77" s="4" t="str">
        <f>$C$76&amp;" - "&amp;C14</f>
        <v>Annualised capex - EFD</v>
      </c>
      <c r="D77" s="38"/>
      <c r="G77" s="210">
        <f>input_dollars</f>
        <v>45291</v>
      </c>
      <c r="H77" s="31"/>
      <c r="I77" s="119">
        <f t="shared" ref="I77:AG77" si="7">IF($E14=0,0,-PMT(real_disc, $E14,H72,))</f>
        <v>0</v>
      </c>
      <c r="J77" s="119">
        <f t="shared" si="7"/>
        <v>-1101321.7321812529</v>
      </c>
      <c r="K77" s="119">
        <f t="shared" si="7"/>
        <v>-2202643.4643625058</v>
      </c>
      <c r="L77" s="119">
        <f t="shared" si="7"/>
        <v>-3303965.1965437583</v>
      </c>
      <c r="M77" s="119">
        <f t="shared" si="7"/>
        <v>-4405286.9287250116</v>
      </c>
      <c r="N77" s="119">
        <f t="shared" si="7"/>
        <v>-5506608.6609062636</v>
      </c>
      <c r="O77" s="119">
        <f t="shared" si="7"/>
        <v>-5506608.6609062636</v>
      </c>
      <c r="P77" s="119">
        <f t="shared" si="7"/>
        <v>-5506608.6609062636</v>
      </c>
      <c r="Q77" s="119">
        <f t="shared" si="7"/>
        <v>-5506608.6609062636</v>
      </c>
      <c r="R77" s="119">
        <f t="shared" si="7"/>
        <v>-5506608.6609062636</v>
      </c>
      <c r="S77" s="119">
        <f t="shared" si="7"/>
        <v>-5506608.6609062636</v>
      </c>
      <c r="T77" s="119">
        <f t="shared" si="7"/>
        <v>-5506608.6609062636</v>
      </c>
      <c r="U77" s="119">
        <f t="shared" si="7"/>
        <v>-5506608.6609062636</v>
      </c>
      <c r="V77" s="119">
        <f t="shared" si="7"/>
        <v>-5506608.6609062636</v>
      </c>
      <c r="W77" s="119">
        <f t="shared" si="7"/>
        <v>-5506608.6609062636</v>
      </c>
      <c r="X77" s="119">
        <f t="shared" si="7"/>
        <v>-5506608.6609062636</v>
      </c>
      <c r="Y77" s="119">
        <f t="shared" si="7"/>
        <v>-4405286.9287250116</v>
      </c>
      <c r="Z77" s="119">
        <f t="shared" si="7"/>
        <v>-3303965.1965437583</v>
      </c>
      <c r="AA77" s="119">
        <f t="shared" si="7"/>
        <v>-2202643.4643625058</v>
      </c>
      <c r="AB77" s="119">
        <f t="shared" si="7"/>
        <v>-1101321.7321812529</v>
      </c>
      <c r="AC77" s="119">
        <f t="shared" si="7"/>
        <v>0</v>
      </c>
      <c r="AD77" s="119">
        <f t="shared" si="7"/>
        <v>0</v>
      </c>
      <c r="AE77" s="119">
        <f t="shared" si="7"/>
        <v>0</v>
      </c>
      <c r="AF77" s="119">
        <f t="shared" si="7"/>
        <v>0</v>
      </c>
      <c r="AG77" s="119">
        <f t="shared" si="7"/>
        <v>0</v>
      </c>
      <c r="AH77"/>
    </row>
    <row r="78" spans="1:34" x14ac:dyDescent="0.2">
      <c r="A78" s="8"/>
      <c r="B78" s="8"/>
      <c r="C78" s="4" t="str">
        <f>$C$76&amp;" - "&amp;C15</f>
        <v>Annualised capex - &lt; Enter description &gt;</v>
      </c>
      <c r="D78" s="38"/>
      <c r="G78" s="210">
        <f>input_dollars</f>
        <v>45291</v>
      </c>
      <c r="H78" s="31"/>
      <c r="I78" s="119">
        <f t="shared" ref="I78:AG78" si="8">IF($E15=0,0,-PMT(real_disc, $E15,H73,))</f>
        <v>0</v>
      </c>
      <c r="J78" s="119">
        <f t="shared" si="8"/>
        <v>0</v>
      </c>
      <c r="K78" s="119">
        <f t="shared" si="8"/>
        <v>0</v>
      </c>
      <c r="L78" s="119">
        <f t="shared" si="8"/>
        <v>0</v>
      </c>
      <c r="M78" s="119">
        <f t="shared" si="8"/>
        <v>0</v>
      </c>
      <c r="N78" s="119">
        <f t="shared" si="8"/>
        <v>0</v>
      </c>
      <c r="O78" s="119">
        <f t="shared" si="8"/>
        <v>0</v>
      </c>
      <c r="P78" s="119">
        <f t="shared" si="8"/>
        <v>0</v>
      </c>
      <c r="Q78" s="119">
        <f t="shared" si="8"/>
        <v>0</v>
      </c>
      <c r="R78" s="119">
        <f t="shared" si="8"/>
        <v>0</v>
      </c>
      <c r="S78" s="119">
        <f t="shared" si="8"/>
        <v>0</v>
      </c>
      <c r="T78" s="119">
        <f t="shared" si="8"/>
        <v>0</v>
      </c>
      <c r="U78" s="119">
        <f t="shared" si="8"/>
        <v>0</v>
      </c>
      <c r="V78" s="119">
        <f t="shared" si="8"/>
        <v>0</v>
      </c>
      <c r="W78" s="119">
        <f t="shared" si="8"/>
        <v>0</v>
      </c>
      <c r="X78" s="119">
        <f t="shared" si="8"/>
        <v>0</v>
      </c>
      <c r="Y78" s="119">
        <f t="shared" si="8"/>
        <v>0</v>
      </c>
      <c r="Z78" s="119">
        <f t="shared" si="8"/>
        <v>0</v>
      </c>
      <c r="AA78" s="119">
        <f t="shared" si="8"/>
        <v>0</v>
      </c>
      <c r="AB78" s="119">
        <f t="shared" si="8"/>
        <v>0</v>
      </c>
      <c r="AC78" s="119">
        <f t="shared" si="8"/>
        <v>0</v>
      </c>
      <c r="AD78" s="119">
        <f t="shared" si="8"/>
        <v>0</v>
      </c>
      <c r="AE78" s="119">
        <f t="shared" si="8"/>
        <v>0</v>
      </c>
      <c r="AF78" s="119">
        <f t="shared" si="8"/>
        <v>0</v>
      </c>
      <c r="AG78" s="119">
        <f t="shared" si="8"/>
        <v>0</v>
      </c>
      <c r="AH78"/>
    </row>
    <row r="79" spans="1:34" x14ac:dyDescent="0.2">
      <c r="A79" s="8"/>
      <c r="B79" s="8"/>
      <c r="C79" s="4" t="str">
        <f>$C$76&amp;" - "&amp;C16</f>
        <v>Annualised capex - &lt; Enter description &gt;</v>
      </c>
      <c r="D79" s="38"/>
      <c r="G79" s="210">
        <f>input_dollars</f>
        <v>45291</v>
      </c>
      <c r="H79" s="31"/>
      <c r="I79" s="119">
        <f t="shared" ref="I79:AG79" si="9">IF($E16=0,0,-PMT(real_disc, $E16,H74,))</f>
        <v>0</v>
      </c>
      <c r="J79" s="119">
        <f t="shared" si="9"/>
        <v>0</v>
      </c>
      <c r="K79" s="119">
        <f t="shared" si="9"/>
        <v>0</v>
      </c>
      <c r="L79" s="119">
        <f t="shared" si="9"/>
        <v>0</v>
      </c>
      <c r="M79" s="119">
        <f t="shared" si="9"/>
        <v>0</v>
      </c>
      <c r="N79" s="119">
        <f t="shared" si="9"/>
        <v>0</v>
      </c>
      <c r="O79" s="119">
        <f t="shared" si="9"/>
        <v>0</v>
      </c>
      <c r="P79" s="119">
        <f t="shared" si="9"/>
        <v>0</v>
      </c>
      <c r="Q79" s="119">
        <f t="shared" si="9"/>
        <v>0</v>
      </c>
      <c r="R79" s="119">
        <f t="shared" si="9"/>
        <v>0</v>
      </c>
      <c r="S79" s="119">
        <f t="shared" si="9"/>
        <v>0</v>
      </c>
      <c r="T79" s="119">
        <f t="shared" si="9"/>
        <v>0</v>
      </c>
      <c r="U79" s="119">
        <f t="shared" si="9"/>
        <v>0</v>
      </c>
      <c r="V79" s="119">
        <f t="shared" si="9"/>
        <v>0</v>
      </c>
      <c r="W79" s="119">
        <f t="shared" si="9"/>
        <v>0</v>
      </c>
      <c r="X79" s="119">
        <f t="shared" si="9"/>
        <v>0</v>
      </c>
      <c r="Y79" s="119">
        <f t="shared" si="9"/>
        <v>0</v>
      </c>
      <c r="Z79" s="119">
        <f t="shared" si="9"/>
        <v>0</v>
      </c>
      <c r="AA79" s="119">
        <f t="shared" si="9"/>
        <v>0</v>
      </c>
      <c r="AB79" s="119">
        <f t="shared" si="9"/>
        <v>0</v>
      </c>
      <c r="AC79" s="119">
        <f t="shared" si="9"/>
        <v>0</v>
      </c>
      <c r="AD79" s="119">
        <f t="shared" si="9"/>
        <v>0</v>
      </c>
      <c r="AE79" s="119">
        <f t="shared" si="9"/>
        <v>0</v>
      </c>
      <c r="AF79" s="119">
        <f t="shared" si="9"/>
        <v>0</v>
      </c>
      <c r="AG79" s="119">
        <f t="shared" si="9"/>
        <v>0</v>
      </c>
      <c r="AH79"/>
    </row>
    <row r="80" spans="1:34" x14ac:dyDescent="0.2">
      <c r="A80" s="8"/>
      <c r="B80" s="8"/>
      <c r="C80" s="172" t="s">
        <v>156</v>
      </c>
      <c r="D80" s="172"/>
      <c r="E80" s="173"/>
      <c r="F80" s="174"/>
      <c r="G80" s="215">
        <f>input_dollars</f>
        <v>45291</v>
      </c>
      <c r="H80" s="175"/>
      <c r="I80" s="176">
        <f>SUM(I77:I79)</f>
        <v>0</v>
      </c>
      <c r="J80" s="176">
        <f t="shared" ref="J80:AB80" si="10">SUM(J77:J79)</f>
        <v>-1101321.7321812529</v>
      </c>
      <c r="K80" s="176">
        <f t="shared" si="10"/>
        <v>-2202643.4643625058</v>
      </c>
      <c r="L80" s="176">
        <f t="shared" si="10"/>
        <v>-3303965.1965437583</v>
      </c>
      <c r="M80" s="176">
        <f t="shared" si="10"/>
        <v>-4405286.9287250116</v>
      </c>
      <c r="N80" s="176">
        <f t="shared" si="10"/>
        <v>-5506608.6609062636</v>
      </c>
      <c r="O80" s="176">
        <f t="shared" si="10"/>
        <v>-5506608.6609062636</v>
      </c>
      <c r="P80" s="176">
        <f t="shared" si="10"/>
        <v>-5506608.6609062636</v>
      </c>
      <c r="Q80" s="176">
        <f t="shared" si="10"/>
        <v>-5506608.6609062636</v>
      </c>
      <c r="R80" s="176">
        <f t="shared" si="10"/>
        <v>-5506608.6609062636</v>
      </c>
      <c r="S80" s="176">
        <f t="shared" si="10"/>
        <v>-5506608.6609062636</v>
      </c>
      <c r="T80" s="176">
        <f t="shared" si="10"/>
        <v>-5506608.6609062636</v>
      </c>
      <c r="U80" s="176">
        <f t="shared" si="10"/>
        <v>-5506608.6609062636</v>
      </c>
      <c r="V80" s="176">
        <f t="shared" si="10"/>
        <v>-5506608.6609062636</v>
      </c>
      <c r="W80" s="176">
        <f t="shared" si="10"/>
        <v>-5506608.6609062636</v>
      </c>
      <c r="X80" s="176">
        <f t="shared" si="10"/>
        <v>-5506608.6609062636</v>
      </c>
      <c r="Y80" s="176">
        <f t="shared" si="10"/>
        <v>-4405286.9287250116</v>
      </c>
      <c r="Z80" s="176">
        <f t="shared" si="10"/>
        <v>-3303965.1965437583</v>
      </c>
      <c r="AA80" s="176">
        <f t="shared" si="10"/>
        <v>-2202643.4643625058</v>
      </c>
      <c r="AB80" s="176">
        <f t="shared" si="10"/>
        <v>-1101321.7321812529</v>
      </c>
      <c r="AC80" s="176">
        <f>SUM(AC77:AC79)</f>
        <v>0</v>
      </c>
      <c r="AD80" s="176">
        <f>SUM(AD77:AD79)</f>
        <v>0</v>
      </c>
      <c r="AE80" s="176">
        <f>SUM(AE77:AE79)</f>
        <v>0</v>
      </c>
      <c r="AF80" s="176">
        <f>SUM(AF77:AF79)</f>
        <v>0</v>
      </c>
      <c r="AG80" s="176">
        <f>SUM(AG77:AG79)</f>
        <v>0</v>
      </c>
      <c r="AH80"/>
    </row>
    <row r="81" spans="1:34" x14ac:dyDescent="0.2">
      <c r="A81" s="8"/>
      <c r="B81" s="8"/>
      <c r="C81" s="75"/>
      <c r="D81" s="38"/>
      <c r="F81"/>
      <c r="G81" s="216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</row>
    <row r="82" spans="1:34" x14ac:dyDescent="0.2">
      <c r="A82" s="8"/>
      <c r="B82" s="8"/>
      <c r="C82" s="4" t="s">
        <v>91</v>
      </c>
      <c r="D82" s="38"/>
      <c r="F82" s="97"/>
      <c r="G82" s="210">
        <f t="shared" ref="G82:G87" si="11">input_dollars</f>
        <v>45291</v>
      </c>
      <c r="H82" s="31"/>
      <c r="I82" s="119">
        <f>I80</f>
        <v>0</v>
      </c>
      <c r="J82" s="119">
        <f t="shared" ref="J82:AB82" si="12">J80</f>
        <v>-1101321.7321812529</v>
      </c>
      <c r="K82" s="119">
        <f t="shared" si="12"/>
        <v>-2202643.4643625058</v>
      </c>
      <c r="L82" s="119">
        <f t="shared" si="12"/>
        <v>-3303965.1965437583</v>
      </c>
      <c r="M82" s="119">
        <f t="shared" si="12"/>
        <v>-4405286.9287250116</v>
      </c>
      <c r="N82" s="119">
        <f t="shared" si="12"/>
        <v>-5506608.6609062636</v>
      </c>
      <c r="O82" s="119">
        <f t="shared" si="12"/>
        <v>-5506608.6609062636</v>
      </c>
      <c r="P82" s="119">
        <f t="shared" si="12"/>
        <v>-5506608.6609062636</v>
      </c>
      <c r="Q82" s="119">
        <f t="shared" si="12"/>
        <v>-5506608.6609062636</v>
      </c>
      <c r="R82" s="119">
        <f t="shared" si="12"/>
        <v>-5506608.6609062636</v>
      </c>
      <c r="S82" s="119">
        <f t="shared" si="12"/>
        <v>-5506608.6609062636</v>
      </c>
      <c r="T82" s="119">
        <f t="shared" si="12"/>
        <v>-5506608.6609062636</v>
      </c>
      <c r="U82" s="119">
        <f t="shared" si="12"/>
        <v>-5506608.6609062636</v>
      </c>
      <c r="V82" s="119">
        <f t="shared" si="12"/>
        <v>-5506608.6609062636</v>
      </c>
      <c r="W82" s="119">
        <f t="shared" si="12"/>
        <v>-5506608.6609062636</v>
      </c>
      <c r="X82" s="119">
        <f t="shared" si="12"/>
        <v>-5506608.6609062636</v>
      </c>
      <c r="Y82" s="119">
        <f t="shared" si="12"/>
        <v>-4405286.9287250116</v>
      </c>
      <c r="Z82" s="119">
        <f t="shared" si="12"/>
        <v>-3303965.1965437583</v>
      </c>
      <c r="AA82" s="119">
        <f t="shared" si="12"/>
        <v>-2202643.4643625058</v>
      </c>
      <c r="AB82" s="119">
        <f t="shared" si="12"/>
        <v>-1101321.7321812529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  <c r="AH82"/>
    </row>
    <row r="83" spans="1:34" x14ac:dyDescent="0.2">
      <c r="A83" s="8"/>
      <c r="B83" s="8"/>
      <c r="C83" s="4" t="s">
        <v>31</v>
      </c>
      <c r="D83" s="38"/>
      <c r="F83" s="97"/>
      <c r="G83" s="210">
        <f t="shared" si="11"/>
        <v>45291</v>
      </c>
      <c r="H83" s="31"/>
      <c r="I83" s="31">
        <f t="shared" ref="I83:AG83" si="13">-I19</f>
        <v>-218216.16145530471</v>
      </c>
      <c r="J83" s="31">
        <f t="shared" si="13"/>
        <v>-218216.16145530471</v>
      </c>
      <c r="K83" s="31">
        <f t="shared" si="13"/>
        <v>-218216.16145530471</v>
      </c>
      <c r="L83" s="31">
        <f t="shared" si="13"/>
        <v>-218216.16145530471</v>
      </c>
      <c r="M83" s="31">
        <f t="shared" si="13"/>
        <v>-218216.16145530471</v>
      </c>
      <c r="N83" s="31">
        <f t="shared" si="13"/>
        <v>-4868573.2596994303</v>
      </c>
      <c r="O83" s="31">
        <f t="shared" si="13"/>
        <v>-4868573.2596994303</v>
      </c>
      <c r="P83" s="31">
        <f t="shared" si="13"/>
        <v>-4868573.2596994303</v>
      </c>
      <c r="Q83" s="31">
        <f t="shared" si="13"/>
        <v>-6016415.9138633944</v>
      </c>
      <c r="R83" s="31">
        <f t="shared" si="13"/>
        <v>-6016415.9138633944</v>
      </c>
      <c r="S83" s="31">
        <f t="shared" si="13"/>
        <v>-6016415.9138633944</v>
      </c>
      <c r="T83" s="31">
        <f t="shared" si="13"/>
        <v>-6016415.9138633944</v>
      </c>
      <c r="U83" s="31">
        <f t="shared" si="13"/>
        <v>-6016415.9138633944</v>
      </c>
      <c r="V83" s="31">
        <f t="shared" si="13"/>
        <v>-4868573.2596994303</v>
      </c>
      <c r="W83" s="31">
        <f t="shared" si="13"/>
        <v>-4868573.2596994303</v>
      </c>
      <c r="X83" s="31">
        <f t="shared" si="13"/>
        <v>-3894858.6077595442</v>
      </c>
      <c r="Y83" s="31">
        <f t="shared" si="13"/>
        <v>-2921143.955819658</v>
      </c>
      <c r="Z83" s="31">
        <f t="shared" si="13"/>
        <v>-1947429.3038797721</v>
      </c>
      <c r="AA83" s="31">
        <f t="shared" si="13"/>
        <v>-973714.65193988604</v>
      </c>
      <c r="AB83" s="31">
        <f t="shared" si="13"/>
        <v>0</v>
      </c>
      <c r="AC83" s="31">
        <f t="shared" si="13"/>
        <v>0</v>
      </c>
      <c r="AD83" s="31">
        <f t="shared" si="13"/>
        <v>0</v>
      </c>
      <c r="AE83" s="31">
        <f t="shared" si="13"/>
        <v>0</v>
      </c>
      <c r="AF83" s="31">
        <f t="shared" si="13"/>
        <v>0</v>
      </c>
      <c r="AG83" s="31">
        <f t="shared" si="13"/>
        <v>0</v>
      </c>
      <c r="AH83"/>
    </row>
    <row r="84" spans="1:34" x14ac:dyDescent="0.2">
      <c r="A84" s="8"/>
      <c r="B84" s="8"/>
      <c r="C84" s="4" t="s">
        <v>139</v>
      </c>
      <c r="D84" s="38"/>
      <c r="F84" s="97"/>
      <c r="G84" s="210">
        <f t="shared" si="11"/>
        <v>45291</v>
      </c>
      <c r="H84" s="31"/>
      <c r="I84" s="31">
        <f t="shared" ref="I84:AG84" si="14">I64</f>
        <v>1032099.7207184322</v>
      </c>
      <c r="J84" s="31">
        <f t="shared" si="14"/>
        <v>2064199.4414368663</v>
      </c>
      <c r="K84" s="31">
        <f t="shared" si="14"/>
        <v>3096299.1621552985</v>
      </c>
      <c r="L84" s="31">
        <f t="shared" si="14"/>
        <v>4128398.8828737307</v>
      </c>
      <c r="M84" s="31">
        <f t="shared" si="14"/>
        <v>5160498.6035921648</v>
      </c>
      <c r="N84" s="31">
        <f t="shared" si="14"/>
        <v>5160498.6035921648</v>
      </c>
      <c r="O84" s="31">
        <f t="shared" si="14"/>
        <v>5160498.6035921648</v>
      </c>
      <c r="P84" s="31">
        <f t="shared" si="14"/>
        <v>5160498.6035921648</v>
      </c>
      <c r="Q84" s="31">
        <f t="shared" si="14"/>
        <v>5160498.6035921648</v>
      </c>
      <c r="R84" s="31">
        <f t="shared" si="14"/>
        <v>5160498.6035921648</v>
      </c>
      <c r="S84" s="31">
        <f t="shared" si="14"/>
        <v>5160498.6035921648</v>
      </c>
      <c r="T84" s="31">
        <f t="shared" si="14"/>
        <v>5160498.6035921648</v>
      </c>
      <c r="U84" s="31">
        <f t="shared" si="14"/>
        <v>5160498.6035921648</v>
      </c>
      <c r="V84" s="31">
        <f t="shared" si="14"/>
        <v>5160498.6035921648</v>
      </c>
      <c r="W84" s="31">
        <f t="shared" si="14"/>
        <v>5160498.6035921648</v>
      </c>
      <c r="X84" s="31">
        <f t="shared" si="14"/>
        <v>4128398.8828737307</v>
      </c>
      <c r="Y84" s="31">
        <f t="shared" si="14"/>
        <v>3096299.1621552985</v>
      </c>
      <c r="Z84" s="31">
        <f t="shared" si="14"/>
        <v>2064199.4414368663</v>
      </c>
      <c r="AA84" s="31">
        <f t="shared" si="14"/>
        <v>1032099.7207184322</v>
      </c>
      <c r="AB84" s="31">
        <f t="shared" si="14"/>
        <v>0</v>
      </c>
      <c r="AC84" s="31">
        <f t="shared" si="14"/>
        <v>15637874.556339899</v>
      </c>
      <c r="AD84" s="31">
        <f t="shared" si="14"/>
        <v>15637874.556339899</v>
      </c>
      <c r="AE84" s="31">
        <f t="shared" si="14"/>
        <v>15637874.556339899</v>
      </c>
      <c r="AF84" s="31">
        <f t="shared" si="14"/>
        <v>15637874.556339899</v>
      </c>
      <c r="AG84" s="31">
        <f t="shared" si="14"/>
        <v>15637874.556339899</v>
      </c>
      <c r="AH84"/>
    </row>
    <row r="85" spans="1:34" x14ac:dyDescent="0.2">
      <c r="A85" s="8"/>
      <c r="B85" s="8"/>
      <c r="C85" s="4" t="s">
        <v>122</v>
      </c>
      <c r="D85" s="38"/>
      <c r="F85" s="97"/>
      <c r="G85" s="210">
        <f t="shared" si="11"/>
        <v>45291</v>
      </c>
      <c r="H85" s="31"/>
      <c r="I85" s="31">
        <f t="shared" ref="I85:AG85" si="15">I57</f>
        <v>0</v>
      </c>
      <c r="J85" s="31">
        <f t="shared" si="15"/>
        <v>0</v>
      </c>
      <c r="K85" s="31">
        <f t="shared" si="15"/>
        <v>0</v>
      </c>
      <c r="L85" s="31">
        <f t="shared" si="15"/>
        <v>0</v>
      </c>
      <c r="M85" s="31">
        <f t="shared" si="15"/>
        <v>0</v>
      </c>
      <c r="N85" s="31">
        <f t="shared" si="15"/>
        <v>0</v>
      </c>
      <c r="O85" s="31">
        <f t="shared" si="15"/>
        <v>0</v>
      </c>
      <c r="P85" s="31">
        <f t="shared" si="15"/>
        <v>0</v>
      </c>
      <c r="Q85" s="31">
        <f t="shared" si="15"/>
        <v>0</v>
      </c>
      <c r="R85" s="31">
        <f t="shared" si="15"/>
        <v>0</v>
      </c>
      <c r="S85" s="31">
        <f t="shared" si="15"/>
        <v>0</v>
      </c>
      <c r="T85" s="31">
        <f t="shared" si="15"/>
        <v>0</v>
      </c>
      <c r="U85" s="31">
        <f t="shared" si="15"/>
        <v>0</v>
      </c>
      <c r="V85" s="31">
        <f t="shared" si="15"/>
        <v>0</v>
      </c>
      <c r="W85" s="31">
        <f t="shared" si="15"/>
        <v>0</v>
      </c>
      <c r="X85" s="31">
        <f t="shared" si="15"/>
        <v>0</v>
      </c>
      <c r="Y85" s="31">
        <f t="shared" si="15"/>
        <v>0</v>
      </c>
      <c r="Z85" s="31">
        <f t="shared" si="15"/>
        <v>0</v>
      </c>
      <c r="AA85" s="31">
        <f t="shared" si="15"/>
        <v>0</v>
      </c>
      <c r="AB85" s="31">
        <f t="shared" si="15"/>
        <v>0</v>
      </c>
      <c r="AC85" s="31">
        <f t="shared" si="15"/>
        <v>0</v>
      </c>
      <c r="AD85" s="31">
        <f t="shared" si="15"/>
        <v>0</v>
      </c>
      <c r="AE85" s="31">
        <f t="shared" si="15"/>
        <v>0</v>
      </c>
      <c r="AF85" s="31">
        <f t="shared" si="15"/>
        <v>0</v>
      </c>
      <c r="AG85" s="31">
        <f t="shared" si="15"/>
        <v>0</v>
      </c>
      <c r="AH85"/>
    </row>
    <row r="86" spans="1:34" x14ac:dyDescent="0.2">
      <c r="A86" s="8"/>
      <c r="B86" s="8"/>
      <c r="C86" s="4"/>
      <c r="D86" s="38"/>
      <c r="F86" s="31"/>
      <c r="G86" s="210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/>
    </row>
    <row r="87" spans="1:34" x14ac:dyDescent="0.2">
      <c r="A87" s="8"/>
      <c r="B87" s="8"/>
      <c r="C87" s="177" t="s">
        <v>186</v>
      </c>
      <c r="D87" s="178"/>
      <c r="E87" s="173"/>
      <c r="F87" s="179"/>
      <c r="G87" s="215">
        <f t="shared" si="11"/>
        <v>45291</v>
      </c>
      <c r="H87" s="179"/>
      <c r="I87" s="179">
        <f t="shared" ref="I87:AB87" si="16">SUM(I82:I86)</f>
        <v>813883.55926312751</v>
      </c>
      <c r="J87" s="179">
        <f t="shared" si="16"/>
        <v>744661.54780030856</v>
      </c>
      <c r="K87" s="179">
        <f t="shared" si="16"/>
        <v>675439.53633748787</v>
      </c>
      <c r="L87" s="179">
        <f t="shared" si="16"/>
        <v>606217.52487466764</v>
      </c>
      <c r="M87" s="179">
        <f t="shared" si="16"/>
        <v>536995.51341184881</v>
      </c>
      <c r="N87" s="179">
        <f t="shared" si="16"/>
        <v>-5214683.3170135282</v>
      </c>
      <c r="O87" s="179">
        <f t="shared" si="16"/>
        <v>-5214683.3170135282</v>
      </c>
      <c r="P87" s="179">
        <f t="shared" si="16"/>
        <v>-5214683.3170135282</v>
      </c>
      <c r="Q87" s="179">
        <f t="shared" si="16"/>
        <v>-6362525.9711774923</v>
      </c>
      <c r="R87" s="179">
        <f t="shared" si="16"/>
        <v>-6362525.9711774923</v>
      </c>
      <c r="S87" s="179">
        <f t="shared" si="16"/>
        <v>-6362525.9711774923</v>
      </c>
      <c r="T87" s="179">
        <f t="shared" si="16"/>
        <v>-6362525.9711774923</v>
      </c>
      <c r="U87" s="179">
        <f t="shared" si="16"/>
        <v>-6362525.9711774923</v>
      </c>
      <c r="V87" s="179">
        <f t="shared" si="16"/>
        <v>-5214683.3170135282</v>
      </c>
      <c r="W87" s="179">
        <f t="shared" si="16"/>
        <v>-5214683.3170135282</v>
      </c>
      <c r="X87" s="179">
        <f t="shared" si="16"/>
        <v>-5273068.3857920766</v>
      </c>
      <c r="Y87" s="179">
        <f t="shared" si="16"/>
        <v>-4230131.7223893711</v>
      </c>
      <c r="Z87" s="179">
        <f t="shared" si="16"/>
        <v>-3187195.0589866638</v>
      </c>
      <c r="AA87" s="179">
        <f t="shared" si="16"/>
        <v>-2144258.3955839598</v>
      </c>
      <c r="AB87" s="179">
        <f t="shared" si="16"/>
        <v>-1101321.7321812529</v>
      </c>
      <c r="AC87" s="179">
        <f>SUM(AC82:AC86)</f>
        <v>15637874.556339899</v>
      </c>
      <c r="AD87" s="179">
        <f>SUM(AD82:AD86)</f>
        <v>15637874.556339899</v>
      </c>
      <c r="AE87" s="179">
        <f>SUM(AE82:AE86)</f>
        <v>15637874.556339899</v>
      </c>
      <c r="AF87" s="179">
        <f>SUM(AF82:AF86)</f>
        <v>15637874.556339899</v>
      </c>
      <c r="AG87" s="179">
        <f>SUM(AG82:AG86)</f>
        <v>15637874.556339899</v>
      </c>
      <c r="AH87"/>
    </row>
    <row r="88" spans="1:34" x14ac:dyDescent="0.2">
      <c r="A88" s="8"/>
      <c r="B88" s="8"/>
      <c r="C88" s="75"/>
      <c r="D88" s="138"/>
      <c r="E88" s="64"/>
      <c r="F88" s="141"/>
      <c r="G88" s="217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  <c r="AH88"/>
    </row>
    <row r="89" spans="1:34" x14ac:dyDescent="0.2">
      <c r="A89" s="8"/>
      <c r="B89" s="8"/>
      <c r="C89" s="75"/>
      <c r="D89" s="138"/>
      <c r="E89" s="64"/>
      <c r="F89" s="141"/>
      <c r="G89" s="217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  <c r="AH89"/>
    </row>
    <row r="90" spans="1:34" x14ac:dyDescent="0.2">
      <c r="A90" s="8"/>
      <c r="B90" s="8"/>
      <c r="C90" s="230" t="s">
        <v>196</v>
      </c>
      <c r="D90" s="82"/>
      <c r="E90" s="231"/>
      <c r="F90" s="232"/>
      <c r="G90" s="233" cm="1">
        <f t="array" ref="G90">IF(SUM($I17:$AG17)=0,0,(INDEX(I$6:AG$6,MATCH(TRUE,INDEX($I17:$AG17&lt;&gt;0,),0))))</f>
        <v>1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/>
    </row>
    <row r="91" spans="1:34" x14ac:dyDescent="0.2">
      <c r="C91" s="82"/>
      <c r="D91" s="234"/>
      <c r="E91" s="231"/>
      <c r="F91" s="231"/>
      <c r="G91" s="233"/>
    </row>
    <row r="92" spans="1:34" x14ac:dyDescent="0.2">
      <c r="C92" s="235" t="s">
        <v>191</v>
      </c>
      <c r="D92" s="236"/>
      <c r="E92" s="236"/>
      <c r="F92" s="236"/>
      <c r="G92" s="237">
        <f>IF(_xlfn.MINIFS($G$90:$G$91, $G$90:$G$91, "&gt;"&amp;0)=0, $A$4, _xlfn.MINIFS($G$90:$G$91, $G$90:$G$91, "&gt;"&amp;0))</f>
        <v>1</v>
      </c>
    </row>
    <row r="94" spans="1:34" x14ac:dyDescent="0.2">
      <c r="G94" s="12"/>
    </row>
    <row r="102" spans="1:43" ht="15" x14ac:dyDescent="0.2">
      <c r="A102" s="89" t="s">
        <v>216</v>
      </c>
      <c r="B102" s="89"/>
      <c r="C102" s="89"/>
      <c r="D102" s="89"/>
      <c r="E102" s="89"/>
      <c r="F102" s="89"/>
      <c r="G102" s="204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</row>
    <row r="105" spans="1:43" x14ac:dyDescent="0.2"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</row>
    <row r="106" spans="1:43" x14ac:dyDescent="0.2">
      <c r="A106" s="1" t="s">
        <v>119</v>
      </c>
      <c r="C106" s="1" t="s">
        <v>186</v>
      </c>
      <c r="D106"/>
      <c r="E106"/>
      <c r="F106"/>
      <c r="G106" s="38" t="str">
        <f>PROPER($A$3)&amp;A106</f>
        <v>Option 3NPV</v>
      </c>
      <c r="I106" s="31">
        <f>I87</f>
        <v>813883.55926312751</v>
      </c>
      <c r="J106" s="31">
        <f t="shared" ref="J106:AG106" si="17">J87</f>
        <v>744661.54780030856</v>
      </c>
      <c r="K106" s="31">
        <f t="shared" si="17"/>
        <v>675439.53633748787</v>
      </c>
      <c r="L106" s="31">
        <f t="shared" si="17"/>
        <v>606217.52487466764</v>
      </c>
      <c r="M106" s="31">
        <f t="shared" si="17"/>
        <v>536995.51341184881</v>
      </c>
      <c r="N106" s="31">
        <f t="shared" si="17"/>
        <v>-5214683.3170135282</v>
      </c>
      <c r="O106" s="31">
        <f t="shared" si="17"/>
        <v>-5214683.3170135282</v>
      </c>
      <c r="P106" s="31">
        <f t="shared" si="17"/>
        <v>-5214683.3170135282</v>
      </c>
      <c r="Q106" s="31">
        <f t="shared" si="17"/>
        <v>-6362525.9711774923</v>
      </c>
      <c r="R106" s="31">
        <f t="shared" si="17"/>
        <v>-6362525.9711774923</v>
      </c>
      <c r="S106" s="31">
        <f t="shared" si="17"/>
        <v>-6362525.9711774923</v>
      </c>
      <c r="T106" s="31">
        <f t="shared" si="17"/>
        <v>-6362525.9711774923</v>
      </c>
      <c r="U106" s="31">
        <f t="shared" si="17"/>
        <v>-6362525.9711774923</v>
      </c>
      <c r="V106" s="31">
        <f t="shared" si="17"/>
        <v>-5214683.3170135282</v>
      </c>
      <c r="W106" s="31">
        <f t="shared" si="17"/>
        <v>-5214683.3170135282</v>
      </c>
      <c r="X106" s="31">
        <f t="shared" si="17"/>
        <v>-5273068.3857920766</v>
      </c>
      <c r="Y106" s="31">
        <f t="shared" si="17"/>
        <v>-4230131.7223893711</v>
      </c>
      <c r="Z106" s="31">
        <f t="shared" si="17"/>
        <v>-3187195.0589866638</v>
      </c>
      <c r="AA106" s="31">
        <f t="shared" si="17"/>
        <v>-2144258.3955839598</v>
      </c>
      <c r="AB106" s="31">
        <f t="shared" si="17"/>
        <v>-1101321.7321812529</v>
      </c>
      <c r="AC106" s="31">
        <f t="shared" si="17"/>
        <v>15637874.556339899</v>
      </c>
      <c r="AD106" s="31">
        <f t="shared" si="17"/>
        <v>15637874.556339899</v>
      </c>
      <c r="AE106" s="31">
        <f t="shared" si="17"/>
        <v>15637874.556339899</v>
      </c>
      <c r="AF106" s="31">
        <f t="shared" si="17"/>
        <v>15637874.556339899</v>
      </c>
      <c r="AG106" s="31">
        <f t="shared" si="17"/>
        <v>15637874.556339899</v>
      </c>
    </row>
    <row r="107" spans="1:43" x14ac:dyDescent="0.2">
      <c r="C107" s="1" t="s">
        <v>156</v>
      </c>
      <c r="D107"/>
      <c r="E107"/>
      <c r="F107"/>
      <c r="G107"/>
      <c r="I107" s="31">
        <f>I82</f>
        <v>0</v>
      </c>
      <c r="J107" s="31">
        <f t="shared" ref="J107:AG107" si="18">J82</f>
        <v>-1101321.7321812529</v>
      </c>
      <c r="K107" s="31">
        <f t="shared" si="18"/>
        <v>-2202643.4643625058</v>
      </c>
      <c r="L107" s="31">
        <f t="shared" si="18"/>
        <v>-3303965.1965437583</v>
      </c>
      <c r="M107" s="31">
        <f t="shared" si="18"/>
        <v>-4405286.9287250116</v>
      </c>
      <c r="N107" s="31">
        <f t="shared" si="18"/>
        <v>-5506608.6609062636</v>
      </c>
      <c r="O107" s="31">
        <f t="shared" si="18"/>
        <v>-5506608.6609062636</v>
      </c>
      <c r="P107" s="31">
        <f t="shared" si="18"/>
        <v>-5506608.6609062636</v>
      </c>
      <c r="Q107" s="31">
        <f t="shared" si="18"/>
        <v>-5506608.6609062636</v>
      </c>
      <c r="R107" s="31">
        <f t="shared" si="18"/>
        <v>-5506608.6609062636</v>
      </c>
      <c r="S107" s="31">
        <f t="shared" si="18"/>
        <v>-5506608.6609062636</v>
      </c>
      <c r="T107" s="31">
        <f t="shared" si="18"/>
        <v>-5506608.6609062636</v>
      </c>
      <c r="U107" s="31">
        <f t="shared" si="18"/>
        <v>-5506608.6609062636</v>
      </c>
      <c r="V107" s="31">
        <f t="shared" si="18"/>
        <v>-5506608.6609062636</v>
      </c>
      <c r="W107" s="31">
        <f t="shared" si="18"/>
        <v>-5506608.6609062636</v>
      </c>
      <c r="X107" s="31">
        <f t="shared" si="18"/>
        <v>-5506608.6609062636</v>
      </c>
      <c r="Y107" s="31">
        <f t="shared" si="18"/>
        <v>-4405286.9287250116</v>
      </c>
      <c r="Z107" s="31">
        <f t="shared" si="18"/>
        <v>-3303965.1965437583</v>
      </c>
      <c r="AA107" s="31">
        <f t="shared" si="18"/>
        <v>-2202643.4643625058</v>
      </c>
      <c r="AB107" s="31">
        <f t="shared" si="18"/>
        <v>-1101321.7321812529</v>
      </c>
      <c r="AC107" s="31">
        <f t="shared" si="18"/>
        <v>0</v>
      </c>
      <c r="AD107" s="31">
        <f t="shared" si="18"/>
        <v>0</v>
      </c>
      <c r="AE107" s="31">
        <f t="shared" si="18"/>
        <v>0</v>
      </c>
      <c r="AF107" s="31">
        <f t="shared" si="18"/>
        <v>0</v>
      </c>
      <c r="AG107" s="31">
        <f t="shared" si="18"/>
        <v>0</v>
      </c>
    </row>
    <row r="108" spans="1:43" x14ac:dyDescent="0.2">
      <c r="C108" s="1" t="s">
        <v>239</v>
      </c>
      <c r="D108"/>
      <c r="E108"/>
      <c r="F108"/>
      <c r="G108"/>
      <c r="I108" s="31">
        <f>SUM(I84:I85)</f>
        <v>1032099.7207184322</v>
      </c>
      <c r="J108" s="31">
        <f t="shared" ref="J108:AG108" si="19">SUM(J84:J85)</f>
        <v>2064199.4414368663</v>
      </c>
      <c r="K108" s="31">
        <f t="shared" si="19"/>
        <v>3096299.1621552985</v>
      </c>
      <c r="L108" s="31">
        <f t="shared" si="19"/>
        <v>4128398.8828737307</v>
      </c>
      <c r="M108" s="31">
        <f t="shared" si="19"/>
        <v>5160498.6035921648</v>
      </c>
      <c r="N108" s="31">
        <f t="shared" si="19"/>
        <v>5160498.6035921648</v>
      </c>
      <c r="O108" s="31">
        <f t="shared" si="19"/>
        <v>5160498.6035921648</v>
      </c>
      <c r="P108" s="31">
        <f t="shared" si="19"/>
        <v>5160498.6035921648</v>
      </c>
      <c r="Q108" s="31">
        <f t="shared" si="19"/>
        <v>5160498.6035921648</v>
      </c>
      <c r="R108" s="31">
        <f t="shared" si="19"/>
        <v>5160498.6035921648</v>
      </c>
      <c r="S108" s="31">
        <f t="shared" si="19"/>
        <v>5160498.6035921648</v>
      </c>
      <c r="T108" s="31">
        <f t="shared" si="19"/>
        <v>5160498.6035921648</v>
      </c>
      <c r="U108" s="31">
        <f t="shared" si="19"/>
        <v>5160498.6035921648</v>
      </c>
      <c r="V108" s="31">
        <f t="shared" si="19"/>
        <v>5160498.6035921648</v>
      </c>
      <c r="W108" s="31">
        <f t="shared" si="19"/>
        <v>5160498.6035921648</v>
      </c>
      <c r="X108" s="31">
        <f t="shared" si="19"/>
        <v>4128398.8828737307</v>
      </c>
      <c r="Y108" s="31">
        <f t="shared" si="19"/>
        <v>3096299.1621552985</v>
      </c>
      <c r="Z108" s="31">
        <f t="shared" si="19"/>
        <v>2064199.4414368663</v>
      </c>
      <c r="AA108" s="31">
        <f t="shared" si="19"/>
        <v>1032099.7207184322</v>
      </c>
      <c r="AB108" s="31">
        <f t="shared" si="19"/>
        <v>0</v>
      </c>
      <c r="AC108" s="31">
        <f t="shared" si="19"/>
        <v>15637874.556339899</v>
      </c>
      <c r="AD108" s="31">
        <f t="shared" si="19"/>
        <v>15637874.556339899</v>
      </c>
      <c r="AE108" s="31">
        <f t="shared" si="19"/>
        <v>15637874.556339899</v>
      </c>
      <c r="AF108" s="31">
        <f t="shared" si="19"/>
        <v>15637874.556339899</v>
      </c>
      <c r="AG108" s="31">
        <f t="shared" si="19"/>
        <v>15637874.556339899</v>
      </c>
    </row>
    <row r="109" spans="1:43" x14ac:dyDescent="0.2">
      <c r="D109" s="301" t="str">
        <f>Assumptions!G110</f>
        <v>Capex</v>
      </c>
      <c r="E109" s="301" t="str">
        <f>Assumptions!H110</f>
        <v>Total benefits</v>
      </c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</row>
    <row r="110" spans="1:43" x14ac:dyDescent="0.2">
      <c r="A110" s="1" t="str">
        <f>"sens"&amp;Assumptions!B111</f>
        <v>sens1</v>
      </c>
      <c r="C110" s="300" t="str">
        <f>Assumptions!C111</f>
        <v>Capex 10% higher</v>
      </c>
      <c r="D110" s="301">
        <f>Assumptions!G111</f>
        <v>0.1</v>
      </c>
      <c r="E110" s="301">
        <f>Assumptions!H111</f>
        <v>0</v>
      </c>
      <c r="G110" s="38" t="str">
        <f>PROPER($A$3)&amp;A110</f>
        <v>Option 3sens1</v>
      </c>
      <c r="I110" s="31" cm="1">
        <f t="array" ref="I110">I$106+IF($C110&lt;&gt;0,SUMPRODUCT((I$107:I$108)*TRANSPOSE(($D110:$E110))),0)</f>
        <v>813883.55926312751</v>
      </c>
      <c r="J110" s="31" cm="1">
        <f t="array" ref="J110">J$106+IF($C110&lt;&gt;0,SUMPRODUCT((J$107:J$108)*TRANSPOSE(($D110:$E110))),0)</f>
        <v>634529.37458218331</v>
      </c>
      <c r="K110" s="31" cm="1">
        <f t="array" ref="K110">K$106+IF($C110&lt;&gt;0,SUMPRODUCT((K$107:K$108)*TRANSPOSE(($D110:$E110))),0)</f>
        <v>455175.18990123726</v>
      </c>
      <c r="L110" s="31" cm="1">
        <f t="array" ref="L110">L$106+IF($C110&lt;&gt;0,SUMPRODUCT((L$107:L$108)*TRANSPOSE(($D110:$E110))),0)</f>
        <v>275821.00522029179</v>
      </c>
      <c r="M110" s="31" cm="1">
        <f t="array" ref="M110">M$106+IF($C110&lt;&gt;0,SUMPRODUCT((M$107:M$108)*TRANSPOSE(($D110:$E110))),0)</f>
        <v>96466.820539347595</v>
      </c>
      <c r="N110" s="31" cm="1">
        <f t="array" ref="N110">N$106+IF($C110&lt;&gt;0,SUMPRODUCT((N$107:N$108)*TRANSPOSE(($D110:$E110))),0)</f>
        <v>-5765344.1831041547</v>
      </c>
      <c r="O110" s="31" cm="1">
        <f t="array" ref="O110">O$106+IF($C110&lt;&gt;0,SUMPRODUCT((O$107:O$108)*TRANSPOSE(($D110:$E110))),0)</f>
        <v>-5765344.1831041547</v>
      </c>
      <c r="P110" s="31" cm="1">
        <f t="array" ref="P110">P$106+IF($C110&lt;&gt;0,SUMPRODUCT((P$107:P$108)*TRANSPOSE(($D110:$E110))),0)</f>
        <v>-5765344.1831041547</v>
      </c>
      <c r="Q110" s="31" cm="1">
        <f t="array" ref="Q110">Q$106+IF($C110&lt;&gt;0,SUMPRODUCT((Q$107:Q$108)*TRANSPOSE(($D110:$E110))),0)</f>
        <v>-6913186.8372681187</v>
      </c>
      <c r="R110" s="31" cm="1">
        <f t="array" ref="R110">R$106+IF($C110&lt;&gt;0,SUMPRODUCT((R$107:R$108)*TRANSPOSE(($D110:$E110))),0)</f>
        <v>-6913186.8372681187</v>
      </c>
      <c r="S110" s="31" cm="1">
        <f t="array" ref="S110">S$106+IF($C110&lt;&gt;0,SUMPRODUCT((S$107:S$108)*TRANSPOSE(($D110:$E110))),0)</f>
        <v>-6913186.8372681187</v>
      </c>
      <c r="T110" s="31" cm="1">
        <f t="array" ref="T110">T$106+IF($C110&lt;&gt;0,SUMPRODUCT((T$107:T$108)*TRANSPOSE(($D110:$E110))),0)</f>
        <v>-6913186.8372681187</v>
      </c>
      <c r="U110" s="31" cm="1">
        <f t="array" ref="U110">U$106+IF($C110&lt;&gt;0,SUMPRODUCT((U$107:U$108)*TRANSPOSE(($D110:$E110))),0)</f>
        <v>-6913186.8372681187</v>
      </c>
      <c r="V110" s="31" cm="1">
        <f t="array" ref="V110">V$106+IF($C110&lt;&gt;0,SUMPRODUCT((V$107:V$108)*TRANSPOSE(($D110:$E110))),0)</f>
        <v>-5765344.1831041547</v>
      </c>
      <c r="W110" s="31" cm="1">
        <f t="array" ref="W110">W$106+IF($C110&lt;&gt;0,SUMPRODUCT((W$107:W$108)*TRANSPOSE(($D110:$E110))),0)</f>
        <v>-5765344.1831041547</v>
      </c>
      <c r="X110" s="31" cm="1">
        <f t="array" ref="X110">X$106+IF($C110&lt;&gt;0,SUMPRODUCT((X$107:X$108)*TRANSPOSE(($D110:$E110))),0)</f>
        <v>-5823729.251882703</v>
      </c>
      <c r="Y110" s="31" cm="1">
        <f t="array" ref="Y110">Y$106+IF($C110&lt;&gt;0,SUMPRODUCT((Y$107:Y$108)*TRANSPOSE(($D110:$E110))),0)</f>
        <v>-4670660.4152618721</v>
      </c>
      <c r="Z110" s="31" cm="1">
        <f t="array" ref="Z110">Z$106+IF($C110&lt;&gt;0,SUMPRODUCT((Z$107:Z$108)*TRANSPOSE(($D110:$E110))),0)</f>
        <v>-3517591.5786410398</v>
      </c>
      <c r="AA110" s="31" cm="1">
        <f t="array" ref="AA110">AA$106+IF($C110&lt;&gt;0,SUMPRODUCT((AA$107:AA$108)*TRANSPOSE(($D110:$E110))),0)</f>
        <v>-2364522.7420202103</v>
      </c>
      <c r="AB110" s="31" cm="1">
        <f t="array" ref="AB110">AB$106+IF($C110&lt;&gt;0,SUMPRODUCT((AB$107:AB$108)*TRANSPOSE(($D110:$E110))),0)</f>
        <v>-1211453.9053993782</v>
      </c>
      <c r="AC110" s="31" cm="1">
        <f t="array" ref="AC110">AC$106+IF($C110&lt;&gt;0,SUMPRODUCT((AC$107:AC$108)*TRANSPOSE(($D110:$E110))),0)</f>
        <v>15637874.556339899</v>
      </c>
      <c r="AD110" s="31" cm="1">
        <f t="array" ref="AD110">AD$106+IF($C110&lt;&gt;0,SUMPRODUCT((AD$107:AD$108)*TRANSPOSE(($D110:$E110))),0)</f>
        <v>15637874.556339899</v>
      </c>
      <c r="AE110" s="31" cm="1">
        <f t="array" ref="AE110">AE$106+IF($C110&lt;&gt;0,SUMPRODUCT((AE$107:AE$108)*TRANSPOSE(($D110:$E110))),0)</f>
        <v>15637874.556339899</v>
      </c>
      <c r="AF110" s="31" cm="1">
        <f t="array" ref="AF110">AF$106+IF($C110&lt;&gt;0,SUMPRODUCT((AF$107:AF$108)*TRANSPOSE(($D110:$E110))),0)</f>
        <v>15637874.556339899</v>
      </c>
      <c r="AG110" s="31" cm="1">
        <f t="array" ref="AG110">AG$106+IF($C110&lt;&gt;0,SUMPRODUCT((AG$107:AG$108)*TRANSPOSE(($D110:$E110))),0)</f>
        <v>15637874.556339899</v>
      </c>
    </row>
    <row r="111" spans="1:43" x14ac:dyDescent="0.2">
      <c r="A111" s="1" t="str">
        <f>"sens"&amp;Assumptions!B112</f>
        <v>sens2</v>
      </c>
      <c r="C111" s="300" t="str">
        <f>Assumptions!C112</f>
        <v>Capex 10% lower</v>
      </c>
      <c r="D111" s="301">
        <f>Assumptions!G112</f>
        <v>-0.1</v>
      </c>
      <c r="E111" s="301">
        <f>Assumptions!H112</f>
        <v>0</v>
      </c>
      <c r="G111" s="38" t="str">
        <f t="shared" ref="G111:G117" si="20">PROPER($A$3)&amp;A111</f>
        <v>Option 3sens2</v>
      </c>
      <c r="I111" s="31" cm="1">
        <f t="array" ref="I111">I$106+IF($C111&lt;&gt;0,SUMPRODUCT((I$107:I$108)*TRANSPOSE(($D111:$E111))),0)</f>
        <v>813883.55926312751</v>
      </c>
      <c r="J111" s="31" cm="1">
        <f t="array" ref="J111">J$106+IF($C111&lt;&gt;0,SUMPRODUCT((J$107:J$108)*TRANSPOSE(($D111:$E111))),0)</f>
        <v>854793.7210184338</v>
      </c>
      <c r="K111" s="31" cm="1">
        <f t="array" ref="K111">K$106+IF($C111&lt;&gt;0,SUMPRODUCT((K$107:K$108)*TRANSPOSE(($D111:$E111))),0)</f>
        <v>895703.88277373847</v>
      </c>
      <c r="L111" s="31" cm="1">
        <f t="array" ref="L111">L$106+IF($C111&lt;&gt;0,SUMPRODUCT((L$107:L$108)*TRANSPOSE(($D111:$E111))),0)</f>
        <v>936614.04452904349</v>
      </c>
      <c r="M111" s="31" cm="1">
        <f t="array" ref="M111">M$106+IF($C111&lt;&gt;0,SUMPRODUCT((M$107:M$108)*TRANSPOSE(($D111:$E111))),0)</f>
        <v>977524.20628435002</v>
      </c>
      <c r="N111" s="31" cm="1">
        <f t="array" ref="N111">N$106+IF($C111&lt;&gt;0,SUMPRODUCT((N$107:N$108)*TRANSPOSE(($D111:$E111))),0)</f>
        <v>-4664022.4509229017</v>
      </c>
      <c r="O111" s="31" cm="1">
        <f t="array" ref="O111">O$106+IF($C111&lt;&gt;0,SUMPRODUCT((O$107:O$108)*TRANSPOSE(($D111:$E111))),0)</f>
        <v>-4664022.4509229017</v>
      </c>
      <c r="P111" s="31" cm="1">
        <f t="array" ref="P111">P$106+IF($C111&lt;&gt;0,SUMPRODUCT((P$107:P$108)*TRANSPOSE(($D111:$E111))),0)</f>
        <v>-4664022.4509229017</v>
      </c>
      <c r="Q111" s="31" cm="1">
        <f t="array" ref="Q111">Q$106+IF($C111&lt;&gt;0,SUMPRODUCT((Q$107:Q$108)*TRANSPOSE(($D111:$E111))),0)</f>
        <v>-5811865.1050868658</v>
      </c>
      <c r="R111" s="31" cm="1">
        <f t="array" ref="R111">R$106+IF($C111&lt;&gt;0,SUMPRODUCT((R$107:R$108)*TRANSPOSE(($D111:$E111))),0)</f>
        <v>-5811865.1050868658</v>
      </c>
      <c r="S111" s="31" cm="1">
        <f t="array" ref="S111">S$106+IF($C111&lt;&gt;0,SUMPRODUCT((S$107:S$108)*TRANSPOSE(($D111:$E111))),0)</f>
        <v>-5811865.1050868658</v>
      </c>
      <c r="T111" s="31" cm="1">
        <f t="array" ref="T111">T$106+IF($C111&lt;&gt;0,SUMPRODUCT((T$107:T$108)*TRANSPOSE(($D111:$E111))),0)</f>
        <v>-5811865.1050868658</v>
      </c>
      <c r="U111" s="31" cm="1">
        <f t="array" ref="U111">U$106+IF($C111&lt;&gt;0,SUMPRODUCT((U$107:U$108)*TRANSPOSE(($D111:$E111))),0)</f>
        <v>-5811865.1050868658</v>
      </c>
      <c r="V111" s="31" cm="1">
        <f t="array" ref="V111">V$106+IF($C111&lt;&gt;0,SUMPRODUCT((V$107:V$108)*TRANSPOSE(($D111:$E111))),0)</f>
        <v>-4664022.4509229017</v>
      </c>
      <c r="W111" s="31" cm="1">
        <f t="array" ref="W111">W$106+IF($C111&lt;&gt;0,SUMPRODUCT((W$107:W$108)*TRANSPOSE(($D111:$E111))),0)</f>
        <v>-4664022.4509229017</v>
      </c>
      <c r="X111" s="31" cm="1">
        <f t="array" ref="X111">X$106+IF($C111&lt;&gt;0,SUMPRODUCT((X$107:X$108)*TRANSPOSE(($D111:$E111))),0)</f>
        <v>-4722407.5197014501</v>
      </c>
      <c r="Y111" s="31" cm="1">
        <f t="array" ref="Y111">Y$106+IF($C111&lt;&gt;0,SUMPRODUCT((Y$107:Y$108)*TRANSPOSE(($D111:$E111))),0)</f>
        <v>-3789603.0295168702</v>
      </c>
      <c r="Z111" s="31" cm="1">
        <f t="array" ref="Z111">Z$106+IF($C111&lt;&gt;0,SUMPRODUCT((Z$107:Z$108)*TRANSPOSE(($D111:$E111))),0)</f>
        <v>-2856798.5393322879</v>
      </c>
      <c r="AA111" s="31" cm="1">
        <f t="array" ref="AA111">AA$106+IF($C111&lt;&gt;0,SUMPRODUCT((AA$107:AA$108)*TRANSPOSE(($D111:$E111))),0)</f>
        <v>-1923994.0491477093</v>
      </c>
      <c r="AB111" s="31" cm="1">
        <f t="array" ref="AB111">AB$106+IF($C111&lt;&gt;0,SUMPRODUCT((AB$107:AB$108)*TRANSPOSE(($D111:$E111))),0)</f>
        <v>-991189.55896312767</v>
      </c>
      <c r="AC111" s="31" cm="1">
        <f t="array" ref="AC111">AC$106+IF($C111&lt;&gt;0,SUMPRODUCT((AC$107:AC$108)*TRANSPOSE(($D111:$E111))),0)</f>
        <v>15637874.556339899</v>
      </c>
      <c r="AD111" s="31" cm="1">
        <f t="array" ref="AD111">AD$106+IF($C111&lt;&gt;0,SUMPRODUCT((AD$107:AD$108)*TRANSPOSE(($D111:$E111))),0)</f>
        <v>15637874.556339899</v>
      </c>
      <c r="AE111" s="31" cm="1">
        <f t="array" ref="AE111">AE$106+IF($C111&lt;&gt;0,SUMPRODUCT((AE$107:AE$108)*TRANSPOSE(($D111:$E111))),0)</f>
        <v>15637874.556339899</v>
      </c>
      <c r="AF111" s="31" cm="1">
        <f t="array" ref="AF111">AF$106+IF($C111&lt;&gt;0,SUMPRODUCT((AF$107:AF$108)*TRANSPOSE(($D111:$E111))),0)</f>
        <v>15637874.556339899</v>
      </c>
      <c r="AG111" s="31" cm="1">
        <f t="array" ref="AG111">AG$106+IF($C111&lt;&gt;0,SUMPRODUCT((AG$107:AG$108)*TRANSPOSE(($D111:$E111))),0)</f>
        <v>15637874.556339899</v>
      </c>
    </row>
    <row r="112" spans="1:43" x14ac:dyDescent="0.2">
      <c r="A112" s="1" t="str">
        <f>"sens"&amp;Assumptions!B113</f>
        <v>sens3</v>
      </c>
      <c r="C112" s="300" t="str">
        <f>Assumptions!C113</f>
        <v>Total benefits 10% higher</v>
      </c>
      <c r="D112" s="301">
        <f>Assumptions!G113</f>
        <v>0</v>
      </c>
      <c r="E112" s="301">
        <f>Assumptions!H113</f>
        <v>0.1</v>
      </c>
      <c r="G112" s="38" t="str">
        <f t="shared" si="20"/>
        <v>Option 3sens3</v>
      </c>
      <c r="I112" s="31" cm="1">
        <f t="array" ref="I112">I$106+IF($C112&lt;&gt;0,SUMPRODUCT((I$107:I$108)*TRANSPOSE(($D112:$E112))),0)</f>
        <v>917093.53133497073</v>
      </c>
      <c r="J112" s="31" cm="1">
        <f t="array" ref="J112">J$106+IF($C112&lt;&gt;0,SUMPRODUCT((J$107:J$108)*TRANSPOSE(($D112:$E112))),0)</f>
        <v>951081.49194399524</v>
      </c>
      <c r="K112" s="31" cm="1">
        <f t="array" ref="K112">K$106+IF($C112&lt;&gt;0,SUMPRODUCT((K$107:K$108)*TRANSPOSE(($D112:$E112))),0)</f>
        <v>985069.45255301776</v>
      </c>
      <c r="L112" s="31" cm="1">
        <f t="array" ref="L112">L$106+IF($C112&lt;&gt;0,SUMPRODUCT((L$107:L$108)*TRANSPOSE(($D112:$E112))),0)</f>
        <v>1019057.4131620408</v>
      </c>
      <c r="M112" s="31" cm="1">
        <f t="array" ref="M112">M$106+IF($C112&lt;&gt;0,SUMPRODUCT((M$107:M$108)*TRANSPOSE(($D112:$E112))),0)</f>
        <v>1053045.3737710654</v>
      </c>
      <c r="N112" s="31" cm="1">
        <f t="array" ref="N112">N$106+IF($C112&lt;&gt;0,SUMPRODUCT((N$107:N$108)*TRANSPOSE(($D112:$E112))),0)</f>
        <v>-4698633.4566543121</v>
      </c>
      <c r="O112" s="31" cm="1">
        <f t="array" ref="O112">O$106+IF($C112&lt;&gt;0,SUMPRODUCT((O$107:O$108)*TRANSPOSE(($D112:$E112))),0)</f>
        <v>-4698633.4566543121</v>
      </c>
      <c r="P112" s="31" cm="1">
        <f t="array" ref="P112">P$106+IF($C112&lt;&gt;0,SUMPRODUCT((P$107:P$108)*TRANSPOSE(($D112:$E112))),0)</f>
        <v>-4698633.4566543121</v>
      </c>
      <c r="Q112" s="31" cm="1">
        <f t="array" ref="Q112">Q$106+IF($C112&lt;&gt;0,SUMPRODUCT((Q$107:Q$108)*TRANSPOSE(($D112:$E112))),0)</f>
        <v>-5846476.1108182762</v>
      </c>
      <c r="R112" s="31" cm="1">
        <f t="array" ref="R112">R$106+IF($C112&lt;&gt;0,SUMPRODUCT((R$107:R$108)*TRANSPOSE(($D112:$E112))),0)</f>
        <v>-5846476.1108182762</v>
      </c>
      <c r="S112" s="31" cm="1">
        <f t="array" ref="S112">S$106+IF($C112&lt;&gt;0,SUMPRODUCT((S$107:S$108)*TRANSPOSE(($D112:$E112))),0)</f>
        <v>-5846476.1108182762</v>
      </c>
      <c r="T112" s="31" cm="1">
        <f t="array" ref="T112">T$106+IF($C112&lt;&gt;0,SUMPRODUCT((T$107:T$108)*TRANSPOSE(($D112:$E112))),0)</f>
        <v>-5846476.1108182762</v>
      </c>
      <c r="U112" s="31" cm="1">
        <f t="array" ref="U112">U$106+IF($C112&lt;&gt;0,SUMPRODUCT((U$107:U$108)*TRANSPOSE(($D112:$E112))),0)</f>
        <v>-5846476.1108182762</v>
      </c>
      <c r="V112" s="31" cm="1">
        <f t="array" ref="V112">V$106+IF($C112&lt;&gt;0,SUMPRODUCT((V$107:V$108)*TRANSPOSE(($D112:$E112))),0)</f>
        <v>-4698633.4566543121</v>
      </c>
      <c r="W112" s="31" cm="1">
        <f t="array" ref="W112">W$106+IF($C112&lt;&gt;0,SUMPRODUCT((W$107:W$108)*TRANSPOSE(($D112:$E112))),0)</f>
        <v>-4698633.4566543121</v>
      </c>
      <c r="X112" s="31" cm="1">
        <f t="array" ref="X112">X$106+IF($C112&lt;&gt;0,SUMPRODUCT((X$107:X$108)*TRANSPOSE(($D112:$E112))),0)</f>
        <v>-4860228.4975047037</v>
      </c>
      <c r="Y112" s="31" cm="1">
        <f t="array" ref="Y112">Y$106+IF($C112&lt;&gt;0,SUMPRODUCT((Y$107:Y$108)*TRANSPOSE(($D112:$E112))),0)</f>
        <v>-3920501.8061738415</v>
      </c>
      <c r="Z112" s="31" cm="1">
        <f t="array" ref="Z112">Z$106+IF($C112&lt;&gt;0,SUMPRODUCT((Z$107:Z$108)*TRANSPOSE(($D112:$E112))),0)</f>
        <v>-2980775.1148429774</v>
      </c>
      <c r="AA112" s="31" cm="1">
        <f t="array" ref="AA112">AA$106+IF($C112&lt;&gt;0,SUMPRODUCT((AA$107:AA$108)*TRANSPOSE(($D112:$E112))),0)</f>
        <v>-2041048.4235121165</v>
      </c>
      <c r="AB112" s="31" cm="1">
        <f t="array" ref="AB112">AB$106+IF($C112&lt;&gt;0,SUMPRODUCT((AB$107:AB$108)*TRANSPOSE(($D112:$E112))),0)</f>
        <v>-1101321.7321812529</v>
      </c>
      <c r="AC112" s="31" cm="1">
        <f t="array" ref="AC112">AC$106+IF($C112&lt;&gt;0,SUMPRODUCT((AC$107:AC$108)*TRANSPOSE(($D112:$E112))),0)</f>
        <v>17201662.011973888</v>
      </c>
      <c r="AD112" s="31" cm="1">
        <f t="array" ref="AD112">AD$106+IF($C112&lt;&gt;0,SUMPRODUCT((AD$107:AD$108)*TRANSPOSE(($D112:$E112))),0)</f>
        <v>17201662.011973888</v>
      </c>
      <c r="AE112" s="31" cm="1">
        <f t="array" ref="AE112">AE$106+IF($C112&lt;&gt;0,SUMPRODUCT((AE$107:AE$108)*TRANSPOSE(($D112:$E112))),0)</f>
        <v>17201662.011973888</v>
      </c>
      <c r="AF112" s="31" cm="1">
        <f t="array" ref="AF112">AF$106+IF($C112&lt;&gt;0,SUMPRODUCT((AF$107:AF$108)*TRANSPOSE(($D112:$E112))),0)</f>
        <v>17201662.011973888</v>
      </c>
      <c r="AG112" s="31" cm="1">
        <f t="array" ref="AG112">AG$106+IF($C112&lt;&gt;0,SUMPRODUCT((AG$107:AG$108)*TRANSPOSE(($D112:$E112))),0)</f>
        <v>17201662.011973888</v>
      </c>
    </row>
    <row r="113" spans="1:33" x14ac:dyDescent="0.2">
      <c r="A113" s="1" t="str">
        <f>"sens"&amp;Assumptions!B114</f>
        <v>sens4</v>
      </c>
      <c r="C113" s="300" t="str">
        <f>Assumptions!C114</f>
        <v>Total benefits 10% lower</v>
      </c>
      <c r="D113" s="301">
        <f>Assumptions!G114</f>
        <v>0</v>
      </c>
      <c r="E113" s="301">
        <f>Assumptions!H114</f>
        <v>-0.1</v>
      </c>
      <c r="G113" s="38" t="str">
        <f t="shared" si="20"/>
        <v>Option 3sens4</v>
      </c>
      <c r="I113" s="31" cm="1">
        <f t="array" ref="I113">I$106+IF($C113&lt;&gt;0,SUMPRODUCT((I$107:I$108)*TRANSPOSE(($D113:$E113))),0)</f>
        <v>710673.58719128428</v>
      </c>
      <c r="J113" s="31" cm="1">
        <f t="array" ref="J113">J$106+IF($C113&lt;&gt;0,SUMPRODUCT((J$107:J$108)*TRANSPOSE(($D113:$E113))),0)</f>
        <v>538241.60365662188</v>
      </c>
      <c r="K113" s="31" cm="1">
        <f t="array" ref="K113">K$106+IF($C113&lt;&gt;0,SUMPRODUCT((K$107:K$108)*TRANSPOSE(($D113:$E113))),0)</f>
        <v>365809.62012195803</v>
      </c>
      <c r="L113" s="31" cm="1">
        <f t="array" ref="L113">L$106+IF($C113&lt;&gt;0,SUMPRODUCT((L$107:L$108)*TRANSPOSE(($D113:$E113))),0)</f>
        <v>193377.63658729452</v>
      </c>
      <c r="M113" s="31" cm="1">
        <f t="array" ref="M113">M$106+IF($C113&lt;&gt;0,SUMPRODUCT((M$107:M$108)*TRANSPOSE(($D113:$E113))),0)</f>
        <v>20945.653052632289</v>
      </c>
      <c r="N113" s="31" cm="1">
        <f t="array" ref="N113">N$106+IF($C113&lt;&gt;0,SUMPRODUCT((N$107:N$108)*TRANSPOSE(($D113:$E113))),0)</f>
        <v>-5730733.1773727443</v>
      </c>
      <c r="O113" s="31" cm="1">
        <f t="array" ref="O113">O$106+IF($C113&lt;&gt;0,SUMPRODUCT((O$107:O$108)*TRANSPOSE(($D113:$E113))),0)</f>
        <v>-5730733.1773727443</v>
      </c>
      <c r="P113" s="31" cm="1">
        <f t="array" ref="P113">P$106+IF($C113&lt;&gt;0,SUMPRODUCT((P$107:P$108)*TRANSPOSE(($D113:$E113))),0)</f>
        <v>-5730733.1773727443</v>
      </c>
      <c r="Q113" s="31" cm="1">
        <f t="array" ref="Q113">Q$106+IF($C113&lt;&gt;0,SUMPRODUCT((Q$107:Q$108)*TRANSPOSE(($D113:$E113))),0)</f>
        <v>-6878575.8315367084</v>
      </c>
      <c r="R113" s="31" cm="1">
        <f t="array" ref="R113">R$106+IF($C113&lt;&gt;0,SUMPRODUCT((R$107:R$108)*TRANSPOSE(($D113:$E113))),0)</f>
        <v>-6878575.8315367084</v>
      </c>
      <c r="S113" s="31" cm="1">
        <f t="array" ref="S113">S$106+IF($C113&lt;&gt;0,SUMPRODUCT((S$107:S$108)*TRANSPOSE(($D113:$E113))),0)</f>
        <v>-6878575.8315367084</v>
      </c>
      <c r="T113" s="31" cm="1">
        <f t="array" ref="T113">T$106+IF($C113&lt;&gt;0,SUMPRODUCT((T$107:T$108)*TRANSPOSE(($D113:$E113))),0)</f>
        <v>-6878575.8315367084</v>
      </c>
      <c r="U113" s="31" cm="1">
        <f t="array" ref="U113">U$106+IF($C113&lt;&gt;0,SUMPRODUCT((U$107:U$108)*TRANSPOSE(($D113:$E113))),0)</f>
        <v>-6878575.8315367084</v>
      </c>
      <c r="V113" s="31" cm="1">
        <f t="array" ref="V113">V$106+IF($C113&lt;&gt;0,SUMPRODUCT((V$107:V$108)*TRANSPOSE(($D113:$E113))),0)</f>
        <v>-5730733.1773727443</v>
      </c>
      <c r="W113" s="31" cm="1">
        <f t="array" ref="W113">W$106+IF($C113&lt;&gt;0,SUMPRODUCT((W$107:W$108)*TRANSPOSE(($D113:$E113))),0)</f>
        <v>-5730733.1773727443</v>
      </c>
      <c r="X113" s="31" cm="1">
        <f t="array" ref="X113">X$106+IF($C113&lt;&gt;0,SUMPRODUCT((X$107:X$108)*TRANSPOSE(($D113:$E113))),0)</f>
        <v>-5685908.2740794495</v>
      </c>
      <c r="Y113" s="31" cm="1">
        <f t="array" ref="Y113">Y$106+IF($C113&lt;&gt;0,SUMPRODUCT((Y$107:Y$108)*TRANSPOSE(($D113:$E113))),0)</f>
        <v>-4539761.6386049008</v>
      </c>
      <c r="Z113" s="31" cm="1">
        <f t="array" ref="Z113">Z$106+IF($C113&lt;&gt;0,SUMPRODUCT((Z$107:Z$108)*TRANSPOSE(($D113:$E113))),0)</f>
        <v>-3393615.0031303503</v>
      </c>
      <c r="AA113" s="31" cm="1">
        <f t="array" ref="AA113">AA$106+IF($C113&lt;&gt;0,SUMPRODUCT((AA$107:AA$108)*TRANSPOSE(($D113:$E113))),0)</f>
        <v>-2247468.367655803</v>
      </c>
      <c r="AB113" s="31" cm="1">
        <f t="array" ref="AB113">AB$106+IF($C113&lt;&gt;0,SUMPRODUCT((AB$107:AB$108)*TRANSPOSE(($D113:$E113))),0)</f>
        <v>-1101321.7321812529</v>
      </c>
      <c r="AC113" s="31" cm="1">
        <f t="array" ref="AC113">AC$106+IF($C113&lt;&gt;0,SUMPRODUCT((AC$107:AC$108)*TRANSPOSE(($D113:$E113))),0)</f>
        <v>14074087.100705909</v>
      </c>
      <c r="AD113" s="31" cm="1">
        <f t="array" ref="AD113">AD$106+IF($C113&lt;&gt;0,SUMPRODUCT((AD$107:AD$108)*TRANSPOSE(($D113:$E113))),0)</f>
        <v>14074087.100705909</v>
      </c>
      <c r="AE113" s="31" cm="1">
        <f t="array" ref="AE113">AE$106+IF($C113&lt;&gt;0,SUMPRODUCT((AE$107:AE$108)*TRANSPOSE(($D113:$E113))),0)</f>
        <v>14074087.100705909</v>
      </c>
      <c r="AF113" s="31" cm="1">
        <f t="array" ref="AF113">AF$106+IF($C113&lt;&gt;0,SUMPRODUCT((AF$107:AF$108)*TRANSPOSE(($D113:$E113))),0)</f>
        <v>14074087.100705909</v>
      </c>
      <c r="AG113" s="31" cm="1">
        <f t="array" ref="AG113">AG$106+IF($C113&lt;&gt;0,SUMPRODUCT((AG$107:AG$108)*TRANSPOSE(($D113:$E113))),0)</f>
        <v>14074087.100705909</v>
      </c>
    </row>
    <row r="114" spans="1:33" x14ac:dyDescent="0.2">
      <c r="A114" s="1" t="str">
        <f>"sens"&amp;Assumptions!B115</f>
        <v>sens5</v>
      </c>
      <c r="C114" s="300" t="str">
        <f>Assumptions!C115</f>
        <v>Capex 10% higher &amp; Total benefits 10% lower</v>
      </c>
      <c r="D114" s="301">
        <f>Assumptions!G115</f>
        <v>0.1</v>
      </c>
      <c r="E114" s="301">
        <f>Assumptions!H115</f>
        <v>-0.1</v>
      </c>
      <c r="G114" s="38" t="str">
        <f t="shared" si="20"/>
        <v>Option 3sens5</v>
      </c>
      <c r="I114" s="31" cm="1">
        <f t="array" ref="I114">I$106+IF($C114&lt;&gt;0,SUMPRODUCT((I$107:I$108)*TRANSPOSE(($D114:$E114))),0)</f>
        <v>710673.58719128428</v>
      </c>
      <c r="J114" s="31" cm="1">
        <f t="array" ref="J114">J$106+IF($C114&lt;&gt;0,SUMPRODUCT((J$107:J$108)*TRANSPOSE(($D114:$E114))),0)</f>
        <v>428109.43043849664</v>
      </c>
      <c r="K114" s="31" cm="1">
        <f t="array" ref="K114">K$106+IF($C114&lt;&gt;0,SUMPRODUCT((K$107:K$108)*TRANSPOSE(($D114:$E114))),0)</f>
        <v>145545.27368570748</v>
      </c>
      <c r="L114" s="31" cm="1">
        <f t="array" ref="L114">L$106+IF($C114&lt;&gt;0,SUMPRODUCT((L$107:L$108)*TRANSPOSE(($D114:$E114))),0)</f>
        <v>-137018.88306708133</v>
      </c>
      <c r="M114" s="31" cm="1">
        <f t="array" ref="M114">M$106+IF($C114&lt;&gt;0,SUMPRODUCT((M$107:M$108)*TRANSPOSE(($D114:$E114))),0)</f>
        <v>-419583.03981986898</v>
      </c>
      <c r="N114" s="31" cm="1">
        <f t="array" ref="N114">N$106+IF($C114&lt;&gt;0,SUMPRODUCT((N$107:N$108)*TRANSPOSE(($D114:$E114))),0)</f>
        <v>-6281394.0434633708</v>
      </c>
      <c r="O114" s="31" cm="1">
        <f t="array" ref="O114">O$106+IF($C114&lt;&gt;0,SUMPRODUCT((O$107:O$108)*TRANSPOSE(($D114:$E114))),0)</f>
        <v>-6281394.0434633708</v>
      </c>
      <c r="P114" s="31" cm="1">
        <f t="array" ref="P114">P$106+IF($C114&lt;&gt;0,SUMPRODUCT((P$107:P$108)*TRANSPOSE(($D114:$E114))),0)</f>
        <v>-6281394.0434633708</v>
      </c>
      <c r="Q114" s="31" cm="1">
        <f t="array" ref="Q114">Q$106+IF($C114&lt;&gt;0,SUMPRODUCT((Q$107:Q$108)*TRANSPOSE(($D114:$E114))),0)</f>
        <v>-7429236.6976273349</v>
      </c>
      <c r="R114" s="31" cm="1">
        <f t="array" ref="R114">R$106+IF($C114&lt;&gt;0,SUMPRODUCT((R$107:R$108)*TRANSPOSE(($D114:$E114))),0)</f>
        <v>-7429236.6976273349</v>
      </c>
      <c r="S114" s="31" cm="1">
        <f t="array" ref="S114">S$106+IF($C114&lt;&gt;0,SUMPRODUCT((S$107:S$108)*TRANSPOSE(($D114:$E114))),0)</f>
        <v>-7429236.6976273349</v>
      </c>
      <c r="T114" s="31" cm="1">
        <f t="array" ref="T114">T$106+IF($C114&lt;&gt;0,SUMPRODUCT((T$107:T$108)*TRANSPOSE(($D114:$E114))),0)</f>
        <v>-7429236.6976273349</v>
      </c>
      <c r="U114" s="31" cm="1">
        <f t="array" ref="U114">U$106+IF($C114&lt;&gt;0,SUMPRODUCT((U$107:U$108)*TRANSPOSE(($D114:$E114))),0)</f>
        <v>-7429236.6976273349</v>
      </c>
      <c r="V114" s="31" cm="1">
        <f t="array" ref="V114">V$106+IF($C114&lt;&gt;0,SUMPRODUCT((V$107:V$108)*TRANSPOSE(($D114:$E114))),0)</f>
        <v>-6281394.0434633708</v>
      </c>
      <c r="W114" s="31" cm="1">
        <f t="array" ref="W114">W$106+IF($C114&lt;&gt;0,SUMPRODUCT((W$107:W$108)*TRANSPOSE(($D114:$E114))),0)</f>
        <v>-6281394.0434633708</v>
      </c>
      <c r="X114" s="31" cm="1">
        <f t="array" ref="X114">X$106+IF($C114&lt;&gt;0,SUMPRODUCT((X$107:X$108)*TRANSPOSE(($D114:$E114))),0)</f>
        <v>-6236569.1401700759</v>
      </c>
      <c r="Y114" s="31" cm="1">
        <f t="array" ref="Y114">Y$106+IF($C114&lt;&gt;0,SUMPRODUCT((Y$107:Y$108)*TRANSPOSE(($D114:$E114))),0)</f>
        <v>-4980290.3314774018</v>
      </c>
      <c r="Z114" s="31" cm="1">
        <f t="array" ref="Z114">Z$106+IF($C114&lt;&gt;0,SUMPRODUCT((Z$107:Z$108)*TRANSPOSE(($D114:$E114))),0)</f>
        <v>-3724011.5227847262</v>
      </c>
      <c r="AA114" s="31" cm="1">
        <f t="array" ref="AA114">AA$106+IF($C114&lt;&gt;0,SUMPRODUCT((AA$107:AA$108)*TRANSPOSE(($D114:$E114))),0)</f>
        <v>-2467732.7140920535</v>
      </c>
      <c r="AB114" s="31" cm="1">
        <f t="array" ref="AB114">AB$106+IF($C114&lt;&gt;0,SUMPRODUCT((AB$107:AB$108)*TRANSPOSE(($D114:$E114))),0)</f>
        <v>-1211453.9053993782</v>
      </c>
      <c r="AC114" s="31" cm="1">
        <f t="array" ref="AC114">AC$106+IF($C114&lt;&gt;0,SUMPRODUCT((AC$107:AC$108)*TRANSPOSE(($D114:$E114))),0)</f>
        <v>14074087.100705909</v>
      </c>
      <c r="AD114" s="31" cm="1">
        <f t="array" ref="AD114">AD$106+IF($C114&lt;&gt;0,SUMPRODUCT((AD$107:AD$108)*TRANSPOSE(($D114:$E114))),0)</f>
        <v>14074087.100705909</v>
      </c>
      <c r="AE114" s="31" cm="1">
        <f t="array" ref="AE114">AE$106+IF($C114&lt;&gt;0,SUMPRODUCT((AE$107:AE$108)*TRANSPOSE(($D114:$E114))),0)</f>
        <v>14074087.100705909</v>
      </c>
      <c r="AF114" s="31" cm="1">
        <f t="array" ref="AF114">AF$106+IF($C114&lt;&gt;0,SUMPRODUCT((AF$107:AF$108)*TRANSPOSE(($D114:$E114))),0)</f>
        <v>14074087.100705909</v>
      </c>
      <c r="AG114" s="31" cm="1">
        <f t="array" ref="AG114">AG$106+IF($C114&lt;&gt;0,SUMPRODUCT((AG$107:AG$108)*TRANSPOSE(($D114:$E114))),0)</f>
        <v>14074087.100705909</v>
      </c>
    </row>
    <row r="115" spans="1:33" x14ac:dyDescent="0.2">
      <c r="A115" s="1" t="str">
        <f>"sens"&amp;Assumptions!B116</f>
        <v>sens</v>
      </c>
      <c r="C115" s="300">
        <f>Assumptions!C116</f>
        <v>0</v>
      </c>
      <c r="D115" s="301">
        <f>Assumptions!G116</f>
        <v>0</v>
      </c>
      <c r="E115" s="301">
        <f>Assumptions!H116</f>
        <v>0</v>
      </c>
      <c r="G115" s="38" t="str">
        <f t="shared" si="20"/>
        <v>Option 3sens</v>
      </c>
      <c r="I115" s="31" cm="1">
        <f t="array" ref="I115">I$106+IF($C115&lt;&gt;0,SUMPRODUCT((I$107:I$108)*TRANSPOSE(($D115:$E115))),0)</f>
        <v>813883.55926312751</v>
      </c>
      <c r="J115" s="31" cm="1">
        <f t="array" ref="J115">J$106+IF($C115&lt;&gt;0,SUMPRODUCT((J$107:J$108)*TRANSPOSE(($D115:$E115))),0)</f>
        <v>744661.54780030856</v>
      </c>
      <c r="K115" s="31" cm="1">
        <f t="array" ref="K115">K$106+IF($C115&lt;&gt;0,SUMPRODUCT((K$107:K$108)*TRANSPOSE(($D115:$E115))),0)</f>
        <v>675439.53633748787</v>
      </c>
      <c r="L115" s="31" cm="1">
        <f t="array" ref="L115">L$106+IF($C115&lt;&gt;0,SUMPRODUCT((L$107:L$108)*TRANSPOSE(($D115:$E115))),0)</f>
        <v>606217.52487466764</v>
      </c>
      <c r="M115" s="31" cm="1">
        <f t="array" ref="M115">M$106+IF($C115&lt;&gt;0,SUMPRODUCT((M$107:M$108)*TRANSPOSE(($D115:$E115))),0)</f>
        <v>536995.51341184881</v>
      </c>
      <c r="N115" s="31" cm="1">
        <f t="array" ref="N115">N$106+IF($C115&lt;&gt;0,SUMPRODUCT((N$107:N$108)*TRANSPOSE(($D115:$E115))),0)</f>
        <v>-5214683.3170135282</v>
      </c>
      <c r="O115" s="31" cm="1">
        <f t="array" ref="O115">O$106+IF($C115&lt;&gt;0,SUMPRODUCT((O$107:O$108)*TRANSPOSE(($D115:$E115))),0)</f>
        <v>-5214683.3170135282</v>
      </c>
      <c r="P115" s="31" cm="1">
        <f t="array" ref="P115">P$106+IF($C115&lt;&gt;0,SUMPRODUCT((P$107:P$108)*TRANSPOSE(($D115:$E115))),0)</f>
        <v>-5214683.3170135282</v>
      </c>
      <c r="Q115" s="31" cm="1">
        <f t="array" ref="Q115">Q$106+IF($C115&lt;&gt;0,SUMPRODUCT((Q$107:Q$108)*TRANSPOSE(($D115:$E115))),0)</f>
        <v>-6362525.9711774923</v>
      </c>
      <c r="R115" s="31" cm="1">
        <f t="array" ref="R115">R$106+IF($C115&lt;&gt;0,SUMPRODUCT((R$107:R$108)*TRANSPOSE(($D115:$E115))),0)</f>
        <v>-6362525.9711774923</v>
      </c>
      <c r="S115" s="31" cm="1">
        <f t="array" ref="S115">S$106+IF($C115&lt;&gt;0,SUMPRODUCT((S$107:S$108)*TRANSPOSE(($D115:$E115))),0)</f>
        <v>-6362525.9711774923</v>
      </c>
      <c r="T115" s="31" cm="1">
        <f t="array" ref="T115">T$106+IF($C115&lt;&gt;0,SUMPRODUCT((T$107:T$108)*TRANSPOSE(($D115:$E115))),0)</f>
        <v>-6362525.9711774923</v>
      </c>
      <c r="U115" s="31" cm="1">
        <f t="array" ref="U115">U$106+IF($C115&lt;&gt;0,SUMPRODUCT((U$107:U$108)*TRANSPOSE(($D115:$E115))),0)</f>
        <v>-6362525.9711774923</v>
      </c>
      <c r="V115" s="31" cm="1">
        <f t="array" ref="V115">V$106+IF($C115&lt;&gt;0,SUMPRODUCT((V$107:V$108)*TRANSPOSE(($D115:$E115))),0)</f>
        <v>-5214683.3170135282</v>
      </c>
      <c r="W115" s="31" cm="1">
        <f t="array" ref="W115">W$106+IF($C115&lt;&gt;0,SUMPRODUCT((W$107:W$108)*TRANSPOSE(($D115:$E115))),0)</f>
        <v>-5214683.3170135282</v>
      </c>
      <c r="X115" s="31" cm="1">
        <f t="array" ref="X115">X$106+IF($C115&lt;&gt;0,SUMPRODUCT((X$107:X$108)*TRANSPOSE(($D115:$E115))),0)</f>
        <v>-5273068.3857920766</v>
      </c>
      <c r="Y115" s="31" cm="1">
        <f t="array" ref="Y115">Y$106+IF($C115&lt;&gt;0,SUMPRODUCT((Y$107:Y$108)*TRANSPOSE(($D115:$E115))),0)</f>
        <v>-4230131.7223893711</v>
      </c>
      <c r="Z115" s="31" cm="1">
        <f t="array" ref="Z115">Z$106+IF($C115&lt;&gt;0,SUMPRODUCT((Z$107:Z$108)*TRANSPOSE(($D115:$E115))),0)</f>
        <v>-3187195.0589866638</v>
      </c>
      <c r="AA115" s="31" cm="1">
        <f t="array" ref="AA115">AA$106+IF($C115&lt;&gt;0,SUMPRODUCT((AA$107:AA$108)*TRANSPOSE(($D115:$E115))),0)</f>
        <v>-2144258.3955839598</v>
      </c>
      <c r="AB115" s="31" cm="1">
        <f t="array" ref="AB115">AB$106+IF($C115&lt;&gt;0,SUMPRODUCT((AB$107:AB$108)*TRANSPOSE(($D115:$E115))),0)</f>
        <v>-1101321.7321812529</v>
      </c>
      <c r="AC115" s="31" cm="1">
        <f t="array" ref="AC115">AC$106+IF($C115&lt;&gt;0,SUMPRODUCT((AC$107:AC$108)*TRANSPOSE(($D115:$E115))),0)</f>
        <v>15637874.556339899</v>
      </c>
      <c r="AD115" s="31" cm="1">
        <f t="array" ref="AD115">AD$106+IF($C115&lt;&gt;0,SUMPRODUCT((AD$107:AD$108)*TRANSPOSE(($D115:$E115))),0)</f>
        <v>15637874.556339899</v>
      </c>
      <c r="AE115" s="31" cm="1">
        <f t="array" ref="AE115">AE$106+IF($C115&lt;&gt;0,SUMPRODUCT((AE$107:AE$108)*TRANSPOSE(($D115:$E115))),0)</f>
        <v>15637874.556339899</v>
      </c>
      <c r="AF115" s="31" cm="1">
        <f t="array" ref="AF115">AF$106+IF($C115&lt;&gt;0,SUMPRODUCT((AF$107:AF$108)*TRANSPOSE(($D115:$E115))),0)</f>
        <v>15637874.556339899</v>
      </c>
      <c r="AG115" s="31" cm="1">
        <f t="array" ref="AG115">AG$106+IF($C115&lt;&gt;0,SUMPRODUCT((AG$107:AG$108)*TRANSPOSE(($D115:$E115))),0)</f>
        <v>15637874.556339899</v>
      </c>
    </row>
    <row r="116" spans="1:33" x14ac:dyDescent="0.2">
      <c r="A116" s="1" t="str">
        <f>"sens"&amp;Assumptions!B117</f>
        <v>sens</v>
      </c>
      <c r="C116" s="300">
        <f>Assumptions!C117</f>
        <v>0</v>
      </c>
      <c r="D116" s="301">
        <f>Assumptions!G117</f>
        <v>0</v>
      </c>
      <c r="E116" s="301">
        <f>Assumptions!H117</f>
        <v>0</v>
      </c>
      <c r="G116" s="38" t="str">
        <f t="shared" si="20"/>
        <v>Option 3sens</v>
      </c>
      <c r="I116" s="31" cm="1">
        <f t="array" ref="I116">I$106+IF($C116&lt;&gt;0,SUMPRODUCT((I$107:I$108)*TRANSPOSE(($D116:$E116))),0)</f>
        <v>813883.55926312751</v>
      </c>
      <c r="J116" s="31" cm="1">
        <f t="array" ref="J116">J$106+IF($C116&lt;&gt;0,SUMPRODUCT((J$107:J$108)*TRANSPOSE(($D116:$E116))),0)</f>
        <v>744661.54780030856</v>
      </c>
      <c r="K116" s="31" cm="1">
        <f t="array" ref="K116">K$106+IF($C116&lt;&gt;0,SUMPRODUCT((K$107:K$108)*TRANSPOSE(($D116:$E116))),0)</f>
        <v>675439.53633748787</v>
      </c>
      <c r="L116" s="31" cm="1">
        <f t="array" ref="L116">L$106+IF($C116&lt;&gt;0,SUMPRODUCT((L$107:L$108)*TRANSPOSE(($D116:$E116))),0)</f>
        <v>606217.52487466764</v>
      </c>
      <c r="M116" s="31" cm="1">
        <f t="array" ref="M116">M$106+IF($C116&lt;&gt;0,SUMPRODUCT((M$107:M$108)*TRANSPOSE(($D116:$E116))),0)</f>
        <v>536995.51341184881</v>
      </c>
      <c r="N116" s="31" cm="1">
        <f t="array" ref="N116">N$106+IF($C116&lt;&gt;0,SUMPRODUCT((N$107:N$108)*TRANSPOSE(($D116:$E116))),0)</f>
        <v>-5214683.3170135282</v>
      </c>
      <c r="O116" s="31" cm="1">
        <f t="array" ref="O116">O$106+IF($C116&lt;&gt;0,SUMPRODUCT((O$107:O$108)*TRANSPOSE(($D116:$E116))),0)</f>
        <v>-5214683.3170135282</v>
      </c>
      <c r="P116" s="31" cm="1">
        <f t="array" ref="P116">P$106+IF($C116&lt;&gt;0,SUMPRODUCT((P$107:P$108)*TRANSPOSE(($D116:$E116))),0)</f>
        <v>-5214683.3170135282</v>
      </c>
      <c r="Q116" s="31" cm="1">
        <f t="array" ref="Q116">Q$106+IF($C116&lt;&gt;0,SUMPRODUCT((Q$107:Q$108)*TRANSPOSE(($D116:$E116))),0)</f>
        <v>-6362525.9711774923</v>
      </c>
      <c r="R116" s="31" cm="1">
        <f t="array" ref="R116">R$106+IF($C116&lt;&gt;0,SUMPRODUCT((R$107:R$108)*TRANSPOSE(($D116:$E116))),0)</f>
        <v>-6362525.9711774923</v>
      </c>
      <c r="S116" s="31" cm="1">
        <f t="array" ref="S116">S$106+IF($C116&lt;&gt;0,SUMPRODUCT((S$107:S$108)*TRANSPOSE(($D116:$E116))),0)</f>
        <v>-6362525.9711774923</v>
      </c>
      <c r="T116" s="31" cm="1">
        <f t="array" ref="T116">T$106+IF($C116&lt;&gt;0,SUMPRODUCT((T$107:T$108)*TRANSPOSE(($D116:$E116))),0)</f>
        <v>-6362525.9711774923</v>
      </c>
      <c r="U116" s="31" cm="1">
        <f t="array" ref="U116">U$106+IF($C116&lt;&gt;0,SUMPRODUCT((U$107:U$108)*TRANSPOSE(($D116:$E116))),0)</f>
        <v>-6362525.9711774923</v>
      </c>
      <c r="V116" s="31" cm="1">
        <f t="array" ref="V116">V$106+IF($C116&lt;&gt;0,SUMPRODUCT((V$107:V$108)*TRANSPOSE(($D116:$E116))),0)</f>
        <v>-5214683.3170135282</v>
      </c>
      <c r="W116" s="31" cm="1">
        <f t="array" ref="W116">W$106+IF($C116&lt;&gt;0,SUMPRODUCT((W$107:W$108)*TRANSPOSE(($D116:$E116))),0)</f>
        <v>-5214683.3170135282</v>
      </c>
      <c r="X116" s="31" cm="1">
        <f t="array" ref="X116">X$106+IF($C116&lt;&gt;0,SUMPRODUCT((X$107:X$108)*TRANSPOSE(($D116:$E116))),0)</f>
        <v>-5273068.3857920766</v>
      </c>
      <c r="Y116" s="31" cm="1">
        <f t="array" ref="Y116">Y$106+IF($C116&lt;&gt;0,SUMPRODUCT((Y$107:Y$108)*TRANSPOSE(($D116:$E116))),0)</f>
        <v>-4230131.7223893711</v>
      </c>
      <c r="Z116" s="31" cm="1">
        <f t="array" ref="Z116">Z$106+IF($C116&lt;&gt;0,SUMPRODUCT((Z$107:Z$108)*TRANSPOSE(($D116:$E116))),0)</f>
        <v>-3187195.0589866638</v>
      </c>
      <c r="AA116" s="31" cm="1">
        <f t="array" ref="AA116">AA$106+IF($C116&lt;&gt;0,SUMPRODUCT((AA$107:AA$108)*TRANSPOSE(($D116:$E116))),0)</f>
        <v>-2144258.3955839598</v>
      </c>
      <c r="AB116" s="31" cm="1">
        <f t="array" ref="AB116">AB$106+IF($C116&lt;&gt;0,SUMPRODUCT((AB$107:AB$108)*TRANSPOSE(($D116:$E116))),0)</f>
        <v>-1101321.7321812529</v>
      </c>
      <c r="AC116" s="31" cm="1">
        <f t="array" ref="AC116">AC$106+IF($C116&lt;&gt;0,SUMPRODUCT((AC$107:AC$108)*TRANSPOSE(($D116:$E116))),0)</f>
        <v>15637874.556339899</v>
      </c>
      <c r="AD116" s="31" cm="1">
        <f t="array" ref="AD116">AD$106+IF($C116&lt;&gt;0,SUMPRODUCT((AD$107:AD$108)*TRANSPOSE(($D116:$E116))),0)</f>
        <v>15637874.556339899</v>
      </c>
      <c r="AE116" s="31" cm="1">
        <f t="array" ref="AE116">AE$106+IF($C116&lt;&gt;0,SUMPRODUCT((AE$107:AE$108)*TRANSPOSE(($D116:$E116))),0)</f>
        <v>15637874.556339899</v>
      </c>
      <c r="AF116" s="31" cm="1">
        <f t="array" ref="AF116">AF$106+IF($C116&lt;&gt;0,SUMPRODUCT((AF$107:AF$108)*TRANSPOSE(($D116:$E116))),0)</f>
        <v>15637874.556339899</v>
      </c>
      <c r="AG116" s="31" cm="1">
        <f t="array" ref="AG116">AG$106+IF($C116&lt;&gt;0,SUMPRODUCT((AG$107:AG$108)*TRANSPOSE(($D116:$E116))),0)</f>
        <v>15637874.556339899</v>
      </c>
    </row>
    <row r="117" spans="1:33" x14ac:dyDescent="0.2">
      <c r="A117" s="1" t="str">
        <f>"sens"&amp;Assumptions!B118</f>
        <v>sens</v>
      </c>
      <c r="C117" s="300">
        <f>Assumptions!C118</f>
        <v>0</v>
      </c>
      <c r="D117" s="301">
        <f>Assumptions!G118</f>
        <v>0</v>
      </c>
      <c r="E117" s="301">
        <f>Assumptions!H118</f>
        <v>0</v>
      </c>
      <c r="G117" s="38" t="str">
        <f t="shared" si="20"/>
        <v>Option 3sens</v>
      </c>
      <c r="I117" s="31" cm="1">
        <f t="array" ref="I117">I$106+IF($C117&lt;&gt;0,SUMPRODUCT((I$107:I$108)*TRANSPOSE(($D117:$E117))),0)</f>
        <v>813883.55926312751</v>
      </c>
      <c r="J117" s="31" cm="1">
        <f t="array" ref="J117">J$106+IF($C117&lt;&gt;0,SUMPRODUCT((J$107:J$108)*TRANSPOSE(($D117:$E117))),0)</f>
        <v>744661.54780030856</v>
      </c>
      <c r="K117" s="31" cm="1">
        <f t="array" ref="K117">K$106+IF($C117&lt;&gt;0,SUMPRODUCT((K$107:K$108)*TRANSPOSE(($D117:$E117))),0)</f>
        <v>675439.53633748787</v>
      </c>
      <c r="L117" s="31" cm="1">
        <f t="array" ref="L117">L$106+IF($C117&lt;&gt;0,SUMPRODUCT((L$107:L$108)*TRANSPOSE(($D117:$E117))),0)</f>
        <v>606217.52487466764</v>
      </c>
      <c r="M117" s="31" cm="1">
        <f t="array" ref="M117">M$106+IF($C117&lt;&gt;0,SUMPRODUCT((M$107:M$108)*TRANSPOSE(($D117:$E117))),0)</f>
        <v>536995.51341184881</v>
      </c>
      <c r="N117" s="31" cm="1">
        <f t="array" ref="N117">N$106+IF($C117&lt;&gt;0,SUMPRODUCT((N$107:N$108)*TRANSPOSE(($D117:$E117))),0)</f>
        <v>-5214683.3170135282</v>
      </c>
      <c r="O117" s="31" cm="1">
        <f t="array" ref="O117">O$106+IF($C117&lt;&gt;0,SUMPRODUCT((O$107:O$108)*TRANSPOSE(($D117:$E117))),0)</f>
        <v>-5214683.3170135282</v>
      </c>
      <c r="P117" s="31" cm="1">
        <f t="array" ref="P117">P$106+IF($C117&lt;&gt;0,SUMPRODUCT((P$107:P$108)*TRANSPOSE(($D117:$E117))),0)</f>
        <v>-5214683.3170135282</v>
      </c>
      <c r="Q117" s="31" cm="1">
        <f t="array" ref="Q117">Q$106+IF($C117&lt;&gt;0,SUMPRODUCT((Q$107:Q$108)*TRANSPOSE(($D117:$E117))),0)</f>
        <v>-6362525.9711774923</v>
      </c>
      <c r="R117" s="31" cm="1">
        <f t="array" ref="R117">R$106+IF($C117&lt;&gt;0,SUMPRODUCT((R$107:R$108)*TRANSPOSE(($D117:$E117))),0)</f>
        <v>-6362525.9711774923</v>
      </c>
      <c r="S117" s="31" cm="1">
        <f t="array" ref="S117">S$106+IF($C117&lt;&gt;0,SUMPRODUCT((S$107:S$108)*TRANSPOSE(($D117:$E117))),0)</f>
        <v>-6362525.9711774923</v>
      </c>
      <c r="T117" s="31" cm="1">
        <f t="array" ref="T117">T$106+IF($C117&lt;&gt;0,SUMPRODUCT((T$107:T$108)*TRANSPOSE(($D117:$E117))),0)</f>
        <v>-6362525.9711774923</v>
      </c>
      <c r="U117" s="31" cm="1">
        <f t="array" ref="U117">U$106+IF($C117&lt;&gt;0,SUMPRODUCT((U$107:U$108)*TRANSPOSE(($D117:$E117))),0)</f>
        <v>-6362525.9711774923</v>
      </c>
      <c r="V117" s="31" cm="1">
        <f t="array" ref="V117">V$106+IF($C117&lt;&gt;0,SUMPRODUCT((V$107:V$108)*TRANSPOSE(($D117:$E117))),0)</f>
        <v>-5214683.3170135282</v>
      </c>
      <c r="W117" s="31" cm="1">
        <f t="array" ref="W117">W$106+IF($C117&lt;&gt;0,SUMPRODUCT((W$107:W$108)*TRANSPOSE(($D117:$E117))),0)</f>
        <v>-5214683.3170135282</v>
      </c>
      <c r="X117" s="31" cm="1">
        <f t="array" ref="X117">X$106+IF($C117&lt;&gt;0,SUMPRODUCT((X$107:X$108)*TRANSPOSE(($D117:$E117))),0)</f>
        <v>-5273068.3857920766</v>
      </c>
      <c r="Y117" s="31" cm="1">
        <f t="array" ref="Y117">Y$106+IF($C117&lt;&gt;0,SUMPRODUCT((Y$107:Y$108)*TRANSPOSE(($D117:$E117))),0)</f>
        <v>-4230131.7223893711</v>
      </c>
      <c r="Z117" s="31" cm="1">
        <f t="array" ref="Z117">Z$106+IF($C117&lt;&gt;0,SUMPRODUCT((Z$107:Z$108)*TRANSPOSE(($D117:$E117))),0)</f>
        <v>-3187195.0589866638</v>
      </c>
      <c r="AA117" s="31" cm="1">
        <f t="array" ref="AA117">AA$106+IF($C117&lt;&gt;0,SUMPRODUCT((AA$107:AA$108)*TRANSPOSE(($D117:$E117))),0)</f>
        <v>-2144258.3955839598</v>
      </c>
      <c r="AB117" s="31" cm="1">
        <f t="array" ref="AB117">AB$106+IF($C117&lt;&gt;0,SUMPRODUCT((AB$107:AB$108)*TRANSPOSE(($D117:$E117))),0)</f>
        <v>-1101321.7321812529</v>
      </c>
      <c r="AC117" s="31" cm="1">
        <f t="array" ref="AC117">AC$106+IF($C117&lt;&gt;0,SUMPRODUCT((AC$107:AC$108)*TRANSPOSE(($D117:$E117))),0)</f>
        <v>15637874.556339899</v>
      </c>
      <c r="AD117" s="31" cm="1">
        <f t="array" ref="AD117">AD$106+IF($C117&lt;&gt;0,SUMPRODUCT((AD$107:AD$108)*TRANSPOSE(($D117:$E117))),0)</f>
        <v>15637874.556339899</v>
      </c>
      <c r="AE117" s="31" cm="1">
        <f t="array" ref="AE117">AE$106+IF($C117&lt;&gt;0,SUMPRODUCT((AE$107:AE$108)*TRANSPOSE(($D117:$E117))),0)</f>
        <v>15637874.556339899</v>
      </c>
      <c r="AF117" s="31" cm="1">
        <f t="array" ref="AF117">AF$106+IF($C117&lt;&gt;0,SUMPRODUCT((AF$107:AF$108)*TRANSPOSE(($D117:$E117))),0)</f>
        <v>15637874.556339899</v>
      </c>
      <c r="AG117" s="31" cm="1">
        <f t="array" ref="AG117">AG$106+IF($C117&lt;&gt;0,SUMPRODUCT((AG$107:AG$108)*TRANSPOSE(($D117:$E117))),0)</f>
        <v>15637874.556339899</v>
      </c>
    </row>
  </sheetData>
  <conditionalFormatting sqref="E14:E16">
    <cfRule type="expression" dxfId="7" priority="1">
      <formula>AND(SUM($I14:$AB14)&lt;&gt;0, E14=0)</formula>
    </cfRule>
  </conditionalFormatting>
  <conditionalFormatting sqref="E28">
    <cfRule type="expression" dxfId="6" priority="5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14" id="{1712F874-B643-4BE5-934F-196C6E7538A2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28DE2-E846-427B-B371-240E3FF764AB}">
  <sheetPr codeName="Sheet6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I28" sqref="I28"/>
      <selection pane="topRight" activeCell="I28" sqref="I28"/>
      <selection pane="bottomLeft" activeCell="I28" sqref="I28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2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Minimise bushfire risk from SWER in ELCA, REFCL and HBRA areas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3" t="s">
        <v>134</v>
      </c>
      <c r="B3" s="5"/>
      <c r="C3" s="200" t="str">
        <f>INDEX(Assumptions!$E$14:$E$18, MATCH(A3,_xlfn.ANCHORARRAY( Assumptions!$C$14),0))</f>
        <v>Targeted installation of EFD on SWER lines</v>
      </c>
    </row>
    <row r="4" spans="1:43" x14ac:dyDescent="0.2">
      <c r="A4" s="201" t="str">
        <f>(INDEX(Data!$D$9:$D$13, MATCH(A3, options,0)))</f>
        <v/>
      </c>
      <c r="B4" s="187"/>
      <c r="C4" s="238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0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2"/>
      <c r="G9" s="18" t="s">
        <v>25</v>
      </c>
      <c r="H9" s="220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4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/>
      <c r="AI11"/>
      <c r="AJ11"/>
      <c r="AK11"/>
      <c r="AL11"/>
      <c r="AM11"/>
    </row>
    <row r="12" spans="1:43" x14ac:dyDescent="0.2">
      <c r="A12" s="3"/>
      <c r="B12" s="3"/>
      <c r="C12" s="3"/>
      <c r="D12" s="3"/>
      <c r="G12" s="205"/>
      <c r="AH12"/>
      <c r="AI12"/>
      <c r="AJ12"/>
      <c r="AK12"/>
      <c r="AL12"/>
      <c r="AM12"/>
    </row>
    <row r="13" spans="1:43" x14ac:dyDescent="0.2">
      <c r="C13" s="3" t="s">
        <v>17</v>
      </c>
      <c r="D13"/>
      <c r="E13" s="126" t="s">
        <v>69</v>
      </c>
      <c r="G13" s="20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300</v>
      </c>
      <c r="D14"/>
      <c r="E14" s="148">
        <v>15</v>
      </c>
      <c r="G14" s="207">
        <f>input_dollars</f>
        <v>45291</v>
      </c>
      <c r="H14" s="149"/>
      <c r="I14" s="32">
        <f>Workings_costs!E60</f>
        <v>3162538.2157558519</v>
      </c>
      <c r="J14" s="32">
        <f>Workings_costs!F60</f>
        <v>3162538.2157558519</v>
      </c>
      <c r="K14" s="32">
        <f>Workings_costs!G60</f>
        <v>0</v>
      </c>
      <c r="L14" s="32">
        <f>Workings_costs!H60</f>
        <v>0</v>
      </c>
      <c r="M14" s="32">
        <f>Workings_costs!I60</f>
        <v>0</v>
      </c>
      <c r="N14" s="32">
        <f>Workings_costs!J60</f>
        <v>0</v>
      </c>
      <c r="O14" s="32">
        <f>Workings_costs!K60</f>
        <v>0</v>
      </c>
      <c r="P14" s="32">
        <f>Workings_costs!L60</f>
        <v>0</v>
      </c>
      <c r="Q14" s="32">
        <f>Workings_costs!M60</f>
        <v>0</v>
      </c>
      <c r="R14" s="32">
        <f>Workings_costs!N60</f>
        <v>0</v>
      </c>
      <c r="S14" s="32">
        <f>Workings_costs!O60</f>
        <v>0</v>
      </c>
      <c r="T14" s="32">
        <f>Workings_costs!P60</f>
        <v>0</v>
      </c>
      <c r="U14" s="32">
        <f>Workings_costs!Q60</f>
        <v>0</v>
      </c>
      <c r="V14" s="32">
        <f>Workings_costs!R60</f>
        <v>0</v>
      </c>
      <c r="W14" s="32">
        <f>Workings_costs!S60</f>
        <v>0</v>
      </c>
      <c r="X14" s="32">
        <f>Workings_costs!T60</f>
        <v>0</v>
      </c>
      <c r="Y14" s="32">
        <f>Workings_costs!U60</f>
        <v>0</v>
      </c>
      <c r="Z14" s="32">
        <f>Workings_costs!V60</f>
        <v>0</v>
      </c>
      <c r="AA14" s="32">
        <f>Workings_costs!W60</f>
        <v>0</v>
      </c>
      <c r="AB14" s="32">
        <f>Workings_costs!X60</f>
        <v>0</v>
      </c>
      <c r="AC14" s="32">
        <f>Workings_costs!Y60</f>
        <v>0</v>
      </c>
      <c r="AD14" s="32">
        <f>Workings_costs!Z60</f>
        <v>0</v>
      </c>
      <c r="AE14" s="32">
        <f>Workings_costs!AA60</f>
        <v>0</v>
      </c>
      <c r="AF14" s="32">
        <f>Workings_costs!AB60</f>
        <v>0</v>
      </c>
      <c r="AG14" s="32">
        <f>Workings_costs!AC60</f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/>
      <c r="D15"/>
      <c r="E15" s="148">
        <v>0</v>
      </c>
      <c r="G15" s="207">
        <f>input_dollars</f>
        <v>45291</v>
      </c>
      <c r="H15" s="2"/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0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/>
      <c r="D16"/>
      <c r="E16" s="148">
        <v>0</v>
      </c>
      <c r="G16" s="207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7">
        <f>input_dollars</f>
        <v>45291</v>
      </c>
      <c r="H17" s="107"/>
      <c r="I17" s="106">
        <f t="shared" ref="I17:Q17" si="0">SUM(I14:I16)</f>
        <v>3162538.2157558519</v>
      </c>
      <c r="J17" s="106">
        <f t="shared" si="0"/>
        <v>3162538.2157558519</v>
      </c>
      <c r="K17" s="106">
        <f t="shared" si="0"/>
        <v>0</v>
      </c>
      <c r="L17" s="106">
        <f t="shared" si="0"/>
        <v>0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  <c r="AH17"/>
      <c r="AI17"/>
      <c r="AJ17"/>
      <c r="AK17"/>
      <c r="AL17"/>
      <c r="AM17"/>
    </row>
    <row r="18" spans="1:43" x14ac:dyDescent="0.2">
      <c r="C18"/>
      <c r="D18"/>
      <c r="E18"/>
      <c r="G18" s="20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7">
        <f>input_dollars</f>
        <v>45291</v>
      </c>
      <c r="H19" s="107"/>
      <c r="I19" s="32">
        <f>Workings_costs!E61</f>
        <v>21762.742092409098</v>
      </c>
      <c r="J19" s="32">
        <f>Workings_costs!F61</f>
        <v>21762.742092409098</v>
      </c>
      <c r="K19" s="32">
        <f>Workings_costs!G61</f>
        <v>21762.742092409098</v>
      </c>
      <c r="L19" s="32">
        <f>Workings_costs!H61</f>
        <v>21762.742092409098</v>
      </c>
      <c r="M19" s="32">
        <f>Workings_costs!I61</f>
        <v>21762.742092409098</v>
      </c>
      <c r="N19" s="32">
        <f>Workings_costs!J61</f>
        <v>485543.79979110626</v>
      </c>
      <c r="O19" s="32">
        <f>Workings_costs!K61</f>
        <v>485543.79979110626</v>
      </c>
      <c r="P19" s="32">
        <f>Workings_costs!L61</f>
        <v>485543.79979110626</v>
      </c>
      <c r="Q19" s="32">
        <f>Workings_costs!M61</f>
        <v>771730.25223625591</v>
      </c>
      <c r="R19" s="32">
        <f>Workings_costs!N61</f>
        <v>771730.25223625591</v>
      </c>
      <c r="S19" s="32">
        <f>Workings_costs!O61</f>
        <v>485543.79979110626</v>
      </c>
      <c r="T19" s="32">
        <f>Workings_costs!P61</f>
        <v>485543.79979110626</v>
      </c>
      <c r="U19" s="32">
        <f>Workings_costs!Q61</f>
        <v>485543.79979110626</v>
      </c>
      <c r="V19" s="32">
        <f>Workings_costs!R61</f>
        <v>485543.79979110626</v>
      </c>
      <c r="W19" s="32">
        <f>Workings_costs!S61</f>
        <v>485543.79979110626</v>
      </c>
      <c r="X19" s="32">
        <f>Workings_costs!T61</f>
        <v>242771.89989555313</v>
      </c>
      <c r="Y19" s="32">
        <f>Workings_costs!U61</f>
        <v>0</v>
      </c>
      <c r="Z19" s="32">
        <f>Workings_costs!V61</f>
        <v>0</v>
      </c>
      <c r="AA19" s="32">
        <f>Workings_costs!W61</f>
        <v>0</v>
      </c>
      <c r="AB19" s="32">
        <f>Workings_costs!X61</f>
        <v>0</v>
      </c>
      <c r="AC19" s="32">
        <f>Workings_costs!Y61</f>
        <v>0</v>
      </c>
      <c r="AD19" s="32">
        <f>Workings_costs!Z61</f>
        <v>0</v>
      </c>
      <c r="AE19" s="32">
        <f>Workings_costs!AA61</f>
        <v>0</v>
      </c>
      <c r="AF19" s="32">
        <f>Workings_costs!AB61</f>
        <v>0</v>
      </c>
      <c r="AG19" s="32">
        <f>Workings_costs!AC61</f>
        <v>0</v>
      </c>
      <c r="AH19"/>
      <c r="AI19"/>
      <c r="AJ19"/>
      <c r="AK19"/>
      <c r="AL19"/>
      <c r="AM19"/>
    </row>
    <row r="20" spans="1:43" x14ac:dyDescent="0.2">
      <c r="G20" s="205"/>
      <c r="AH20"/>
      <c r="AI20"/>
      <c r="AJ20"/>
      <c r="AK20"/>
      <c r="AL20"/>
      <c r="AM20"/>
    </row>
    <row r="21" spans="1:43" x14ac:dyDescent="0.2">
      <c r="C21"/>
      <c r="D21"/>
      <c r="E21"/>
      <c r="G21" s="20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149</v>
      </c>
      <c r="B22" s="89"/>
      <c r="C22" s="89"/>
      <c r="D22" s="89"/>
      <c r="E22" s="89"/>
      <c r="F22" s="89"/>
      <c r="G22" s="204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8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150</v>
      </c>
      <c r="D24" s="111"/>
      <c r="E24" s="111"/>
      <c r="F24" s="111"/>
      <c r="G24" s="208"/>
      <c r="H24" s="111"/>
      <c r="I24" s="168">
        <v>0</v>
      </c>
      <c r="J24" s="168">
        <v>0</v>
      </c>
      <c r="K24" s="168">
        <v>0</v>
      </c>
      <c r="L24" s="168">
        <v>0</v>
      </c>
      <c r="M24" s="168">
        <v>0</v>
      </c>
      <c r="N24" s="168">
        <v>0</v>
      </c>
      <c r="O24" s="168">
        <v>0</v>
      </c>
      <c r="P24" s="168">
        <v>0</v>
      </c>
      <c r="Q24" s="168">
        <v>0</v>
      </c>
      <c r="R24" s="168">
        <v>0</v>
      </c>
      <c r="S24" s="168">
        <v>0</v>
      </c>
      <c r="T24" s="168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151</v>
      </c>
      <c r="D25" s="208"/>
      <c r="E25" s="111"/>
      <c r="F25" s="111"/>
      <c r="G25" s="208"/>
      <c r="H25" s="111"/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8">
        <v>0</v>
      </c>
      <c r="O25" s="168">
        <v>0</v>
      </c>
      <c r="P25" s="168">
        <v>0</v>
      </c>
      <c r="Q25" s="168">
        <v>0</v>
      </c>
      <c r="R25" s="168">
        <v>0</v>
      </c>
      <c r="S25" s="168">
        <v>0</v>
      </c>
      <c r="T25" s="168">
        <v>0</v>
      </c>
      <c r="U25" s="169">
        <v>0</v>
      </c>
      <c r="V25" s="169">
        <v>0</v>
      </c>
      <c r="W25" s="169">
        <v>0</v>
      </c>
      <c r="X25" s="169">
        <v>0</v>
      </c>
      <c r="Y25" s="169">
        <v>0</v>
      </c>
      <c r="Z25" s="169">
        <v>0</v>
      </c>
      <c r="AA25" s="169">
        <v>0</v>
      </c>
      <c r="AB25" s="169">
        <v>0</v>
      </c>
      <c r="AC25" s="169">
        <v>0</v>
      </c>
      <c r="AD25" s="169">
        <v>0</v>
      </c>
      <c r="AE25" s="169">
        <v>0</v>
      </c>
      <c r="AF25" s="169">
        <v>0</v>
      </c>
      <c r="AG25" s="169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8"/>
      <c r="E26" s="111"/>
      <c r="F26" s="111"/>
      <c r="G26" s="208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5"/>
      <c r="E27"/>
      <c r="G27" s="207" t="s">
        <v>40</v>
      </c>
      <c r="H27"/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8">
        <v>0</v>
      </c>
      <c r="Z27" s="168">
        <v>0</v>
      </c>
      <c r="AA27" s="168">
        <v>0</v>
      </c>
      <c r="AB27" s="168">
        <v>0</v>
      </c>
      <c r="AC27" s="168">
        <v>0</v>
      </c>
      <c r="AD27" s="168">
        <v>0</v>
      </c>
      <c r="AE27" s="168">
        <v>0</v>
      </c>
      <c r="AF27" s="168">
        <v>0</v>
      </c>
      <c r="AG27" s="168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5" t="s">
        <v>63</v>
      </c>
      <c r="E28" s="113">
        <f>Assumptions!H41*vcr_esc</f>
        <v>43815.486225173103</v>
      </c>
      <c r="F28" s="238" t="str">
        <f>IF(AND(SUM(I27:AG27)&lt;&gt;0, E28=0), "!", "")</f>
        <v/>
      </c>
      <c r="G28" s="207">
        <f>input_dollars</f>
        <v>45291</v>
      </c>
      <c r="H28"/>
      <c r="I28" s="32">
        <f>Workings_risks!E82</f>
        <v>834740.43755724083</v>
      </c>
      <c r="J28" s="32">
        <f>Workings_risks!F82</f>
        <v>820774.56486881094</v>
      </c>
      <c r="K28" s="32">
        <f>Workings_risks!G82</f>
        <v>820774.56486881094</v>
      </c>
      <c r="L28" s="32">
        <f>Workings_risks!H82</f>
        <v>820774.56486881094</v>
      </c>
      <c r="M28" s="32">
        <f>Workings_risks!I82</f>
        <v>820774.56486881094</v>
      </c>
      <c r="N28" s="32">
        <f>Workings_risks!J82</f>
        <v>820774.56486881094</v>
      </c>
      <c r="O28" s="32">
        <f>Workings_risks!K82</f>
        <v>820774.56486881094</v>
      </c>
      <c r="P28" s="32">
        <f>Workings_risks!L82</f>
        <v>820774.56486881094</v>
      </c>
      <c r="Q28" s="32">
        <f>Workings_risks!M82</f>
        <v>820774.56486881094</v>
      </c>
      <c r="R28" s="32">
        <f>Workings_risks!N82</f>
        <v>820774.56486881094</v>
      </c>
      <c r="S28" s="32">
        <f>Workings_risks!O82</f>
        <v>820774.56486881094</v>
      </c>
      <c r="T28" s="32">
        <f>Workings_risks!P82</f>
        <v>820774.56486881094</v>
      </c>
      <c r="U28" s="32">
        <f>Workings_risks!Q82</f>
        <v>820774.56486881094</v>
      </c>
      <c r="V28" s="32">
        <f>Workings_risks!R82</f>
        <v>820774.56486881094</v>
      </c>
      <c r="W28" s="32">
        <f>Workings_risks!S82</f>
        <v>820774.56486881094</v>
      </c>
      <c r="X28" s="32">
        <f>Workings_risks!T82</f>
        <v>834740.43755724083</v>
      </c>
      <c r="Y28" s="32">
        <f>Workings_risks!U82</f>
        <v>848706.31024567073</v>
      </c>
      <c r="Z28" s="32">
        <f>Workings_risks!V82</f>
        <v>848706.31024567073</v>
      </c>
      <c r="AA28" s="32">
        <f>Workings_risks!W82</f>
        <v>848706.31024567073</v>
      </c>
      <c r="AB28" s="32">
        <f>Workings_risks!X82</f>
        <v>848706.31024567073</v>
      </c>
      <c r="AC28" s="32">
        <f>Workings_risks!Y82</f>
        <v>0</v>
      </c>
      <c r="AD28" s="32">
        <f>Workings_risks!Z82</f>
        <v>0</v>
      </c>
      <c r="AE28" s="32">
        <f>Workings_risks!AA82</f>
        <v>0</v>
      </c>
      <c r="AF28" s="32">
        <f>Workings_risks!AB82</f>
        <v>0</v>
      </c>
      <c r="AG28" s="32">
        <f>Workings_risks!AC82</f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6"/>
      <c r="E29"/>
      <c r="G29" s="20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5" t="s">
        <v>206</v>
      </c>
      <c r="G30" s="207">
        <f>input_dollars</f>
        <v>45291</v>
      </c>
      <c r="H30" s="149"/>
      <c r="I30" s="170" cm="1">
        <f t="array" ref="I30">SUMPRODUCT((Assumptions!$H$70:$H$71)*(Assumptions!$G$70:$G$71)*(Assumptions!$I$70:$I$71)*(I$24:I$25))</f>
        <v>0</v>
      </c>
      <c r="J30" s="170" cm="1">
        <f t="array" ref="J30">SUMPRODUCT((Assumptions!$H$70:$H$71)*(Assumptions!$G$70:$G$71)*(Assumptions!$I$70:$I$71)*(J$24:J$25))</f>
        <v>0</v>
      </c>
      <c r="K30" s="170" cm="1">
        <f t="array" ref="K30">SUMPRODUCT((Assumptions!$H$70:$H$71)*(Assumptions!$G$70:$G$71)*(Assumptions!$I$70:$I$71)*(K$24:K$25))</f>
        <v>0</v>
      </c>
      <c r="L30" s="170" cm="1">
        <f t="array" ref="L30">SUMPRODUCT((Assumptions!$H$70:$H$71)*(Assumptions!$G$70:$G$71)*(Assumptions!$I$70:$I$71)*(L$24:L$25))</f>
        <v>0</v>
      </c>
      <c r="M30" s="170" cm="1">
        <f t="array" ref="M30">SUMPRODUCT((Assumptions!$H$70:$H$71)*(Assumptions!$G$70:$G$71)*(Assumptions!$I$70:$I$71)*(M$24:M$25))</f>
        <v>0</v>
      </c>
      <c r="N30" s="170" cm="1">
        <f t="array" ref="N30">SUMPRODUCT((Assumptions!$H$70:$H$71)*(Assumptions!$G$70:$G$71)*(Assumptions!$I$70:$I$71)*(N$24:N$25))</f>
        <v>0</v>
      </c>
      <c r="O30" s="170" cm="1">
        <f t="array" ref="O30">SUMPRODUCT((Assumptions!$H$70:$H$71)*(Assumptions!$G$70:$G$71)*(Assumptions!$I$70:$I$71)*(O$24:O$25))</f>
        <v>0</v>
      </c>
      <c r="P30" s="170" cm="1">
        <f t="array" ref="P30">SUMPRODUCT((Assumptions!$H$70:$H$71)*(Assumptions!$G$70:$G$71)*(Assumptions!$I$70:$I$71)*(P$24:P$25))</f>
        <v>0</v>
      </c>
      <c r="Q30" s="170" cm="1">
        <f t="array" ref="Q30">SUMPRODUCT((Assumptions!$H$70:$H$71)*(Assumptions!$G$70:$G$71)*(Assumptions!$I$70:$I$71)*(Q$24:Q$25))</f>
        <v>0</v>
      </c>
      <c r="R30" s="170" cm="1">
        <f t="array" ref="R30">SUMPRODUCT((Assumptions!$H$70:$H$71)*(Assumptions!$G$70:$G$71)*(Assumptions!$I$70:$I$71)*(R$24:R$25))</f>
        <v>0</v>
      </c>
      <c r="S30" s="170" cm="1">
        <f t="array" ref="S30">SUMPRODUCT((Assumptions!$H$70:$H$71)*(Assumptions!$G$70:$G$71)*(Assumptions!$I$70:$I$71)*(S$24:S$25))</f>
        <v>0</v>
      </c>
      <c r="T30" s="170" cm="1">
        <f t="array" ref="T30">SUMPRODUCT((Assumptions!$H$70:$H$71)*(Assumptions!$G$70:$G$71)*(Assumptions!$I$70:$I$71)*(T$24:T$25))</f>
        <v>0</v>
      </c>
      <c r="U30" s="170" cm="1">
        <f t="array" ref="U30">SUMPRODUCT((Assumptions!$H$70:$H$71)*(Assumptions!$G$70:$G$71)*(Assumptions!$I$70:$I$71)*(U$24:U$25))</f>
        <v>0</v>
      </c>
      <c r="V30" s="170" cm="1">
        <f t="array" ref="V30">SUMPRODUCT((Assumptions!$H$70:$H$71)*(Assumptions!$G$70:$G$71)*(Assumptions!$I$70:$I$71)*(V$24:V$25))</f>
        <v>0</v>
      </c>
      <c r="W30" s="170" cm="1">
        <f t="array" ref="W30">SUMPRODUCT((Assumptions!$H$70:$H$71)*(Assumptions!$G$70:$G$71)*(Assumptions!$I$70:$I$71)*(W$24:W$25))</f>
        <v>0</v>
      </c>
      <c r="X30" s="170" cm="1">
        <f t="array" ref="X30">SUMPRODUCT((Assumptions!$H$70:$H$71)*(Assumptions!$G$70:$G$71)*(Assumptions!$I$70:$I$71)*(X$24:X$25))</f>
        <v>0</v>
      </c>
      <c r="Y30" s="170" cm="1">
        <f t="array" ref="Y30">SUMPRODUCT((Assumptions!$H$70:$H$71)*(Assumptions!$G$70:$G$71)*(Assumptions!$I$70:$I$71)*(Y$24:Y$25))</f>
        <v>0</v>
      </c>
      <c r="Z30" s="170" cm="1">
        <f t="array" ref="Z30">SUMPRODUCT((Assumptions!$H$70:$H$71)*(Assumptions!$G$70:$G$71)*(Assumptions!$I$70:$I$71)*(Z$24:Z$25))</f>
        <v>0</v>
      </c>
      <c r="AA30" s="170" cm="1">
        <f t="array" ref="AA30">SUMPRODUCT((Assumptions!$H$70:$H$71)*(Assumptions!$G$70:$G$71)*(Assumptions!$I$70:$I$71)*(AA$24:AA$25))</f>
        <v>0</v>
      </c>
      <c r="AB30" s="170" cm="1">
        <f t="array" ref="AB30">SUMPRODUCT((Assumptions!$H$70:$H$71)*(Assumptions!$G$70:$G$71)*(Assumptions!$I$70:$I$71)*(AB$24:AB$25))</f>
        <v>0</v>
      </c>
      <c r="AC30" s="170" cm="1">
        <f t="array" ref="AC30">SUMPRODUCT((Assumptions!$H$70:$H$71)*(Assumptions!$G$70:$G$71)*(Assumptions!$I$70:$I$71)*(AC$24:AC$25))</f>
        <v>0</v>
      </c>
      <c r="AD30" s="170" cm="1">
        <f t="array" ref="AD30">SUMPRODUCT((Assumptions!$H$70:$H$71)*(Assumptions!$G$70:$G$71)*(Assumptions!$I$70:$I$71)*(AD$24:AD$25))</f>
        <v>0</v>
      </c>
      <c r="AE30" s="170" cm="1">
        <f t="array" ref="AE30">SUMPRODUCT((Assumptions!$H$70:$H$71)*(Assumptions!$G$70:$G$71)*(Assumptions!$I$70:$I$71)*(AE$24:AE$25))</f>
        <v>0</v>
      </c>
      <c r="AF30" s="170" cm="1">
        <f t="array" ref="AF30">SUMPRODUCT((Assumptions!$H$70:$H$71)*(Assumptions!$G$70:$G$71)*(Assumptions!$I$70:$I$71)*(AF$24:AF$25))</f>
        <v>0</v>
      </c>
      <c r="AG30" s="170" cm="1">
        <f t="array" ref="AG30">SUMPRODUCT((Assumptions!$H$70:$H$71)*(Assumptions!$G$70:$G$71)*(Assumptions!$I$70:$I$71)*(AG$24:AG$25))</f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6"/>
      <c r="E31"/>
      <c r="G31" s="207">
        <f>input_dollars</f>
        <v>45291</v>
      </c>
      <c r="H31" s="149"/>
      <c r="I31" s="170" cm="1">
        <f t="array" ref="I31">(1+Assumptions!$G$81)*SUMPRODUCT((Assumptions!$G$78:$G$79)*(I$24:I$25))</f>
        <v>0</v>
      </c>
      <c r="J31" s="170" cm="1">
        <f t="array" ref="J31">(1+Assumptions!$G$81)*SUMPRODUCT((Assumptions!$G$78:$G$79)*(J$24:J$25))</f>
        <v>0</v>
      </c>
      <c r="K31" s="170" cm="1">
        <f t="array" ref="K31">(1+Assumptions!$G$81)*SUMPRODUCT((Assumptions!$G$78:$G$79)*(K$24:K$25))</f>
        <v>0</v>
      </c>
      <c r="L31" s="170" cm="1">
        <f t="array" ref="L31">(1+Assumptions!$G$81)*SUMPRODUCT((Assumptions!$G$78:$G$79)*(L$24:L$25))</f>
        <v>0</v>
      </c>
      <c r="M31" s="170" cm="1">
        <f t="array" ref="M31">(1+Assumptions!$G$81)*SUMPRODUCT((Assumptions!$G$78:$G$79)*(M$24:M$25))</f>
        <v>0</v>
      </c>
      <c r="N31" s="170" cm="1">
        <f t="array" ref="N31">(1+Assumptions!$G$81)*SUMPRODUCT((Assumptions!$G$78:$G$79)*(N$24:N$25))</f>
        <v>0</v>
      </c>
      <c r="O31" s="170" cm="1">
        <f t="array" ref="O31">(1+Assumptions!$G$81)*SUMPRODUCT((Assumptions!$G$78:$G$79)*(O$24:O$25))</f>
        <v>0</v>
      </c>
      <c r="P31" s="170" cm="1">
        <f t="array" ref="P31">(1+Assumptions!$G$81)*SUMPRODUCT((Assumptions!$G$78:$G$79)*(P$24:P$25))</f>
        <v>0</v>
      </c>
      <c r="Q31" s="170" cm="1">
        <f t="array" ref="Q31">(1+Assumptions!$G$81)*SUMPRODUCT((Assumptions!$G$78:$G$79)*(Q$24:Q$25))</f>
        <v>0</v>
      </c>
      <c r="R31" s="170" cm="1">
        <f t="array" ref="R31">(1+Assumptions!$G$81)*SUMPRODUCT((Assumptions!$G$78:$G$79)*(R$24:R$25))</f>
        <v>0</v>
      </c>
      <c r="S31" s="170" cm="1">
        <f t="array" ref="S31">(1+Assumptions!$G$81)*SUMPRODUCT((Assumptions!$G$78:$G$79)*(S$24:S$25))</f>
        <v>0</v>
      </c>
      <c r="T31" s="170" cm="1">
        <f t="array" ref="T31">(1+Assumptions!$G$81)*SUMPRODUCT((Assumptions!$G$78:$G$79)*(T$24:T$25))</f>
        <v>0</v>
      </c>
      <c r="U31" s="170" cm="1">
        <f t="array" ref="U31">(1+Assumptions!$G$81)*SUMPRODUCT((Assumptions!$G$78:$G$79)*(U$24:U$25))</f>
        <v>0</v>
      </c>
      <c r="V31" s="170" cm="1">
        <f t="array" ref="V31">(1+Assumptions!$G$81)*SUMPRODUCT((Assumptions!$G$78:$G$79)*(V$24:V$25))</f>
        <v>0</v>
      </c>
      <c r="W31" s="170" cm="1">
        <f t="array" ref="W31">(1+Assumptions!$G$81)*SUMPRODUCT((Assumptions!$G$78:$G$79)*(W$24:W$25))</f>
        <v>0</v>
      </c>
      <c r="X31" s="170" cm="1">
        <f t="array" ref="X31">(1+Assumptions!$G$81)*SUMPRODUCT((Assumptions!$G$78:$G$79)*(X$24:X$25))</f>
        <v>0</v>
      </c>
      <c r="Y31" s="170" cm="1">
        <f t="array" ref="Y31">(1+Assumptions!$G$81)*SUMPRODUCT((Assumptions!$G$78:$G$79)*(Y$24:Y$25))</f>
        <v>0</v>
      </c>
      <c r="Z31" s="170" cm="1">
        <f t="array" ref="Z31">(1+Assumptions!$G$81)*SUMPRODUCT((Assumptions!$G$78:$G$79)*(Z$24:Z$25))</f>
        <v>0</v>
      </c>
      <c r="AA31" s="170" cm="1">
        <f t="array" ref="AA31">(1+Assumptions!$G$81)*SUMPRODUCT((Assumptions!$G$78:$G$79)*(AA$24:AA$25))</f>
        <v>0</v>
      </c>
      <c r="AB31" s="170" cm="1">
        <f t="array" ref="AB31">(1+Assumptions!$G$81)*SUMPRODUCT((Assumptions!$G$78:$G$79)*(AB$24:AB$25))</f>
        <v>0</v>
      </c>
      <c r="AC31" s="170" cm="1">
        <f t="array" ref="AC31">(1+Assumptions!$G$81)*SUMPRODUCT((Assumptions!$G$78:$G$79)*(AC$24:AC$25))</f>
        <v>0</v>
      </c>
      <c r="AD31" s="170" cm="1">
        <f t="array" ref="AD31">(1+Assumptions!$G$81)*SUMPRODUCT((Assumptions!$G$78:$G$79)*(AD$24:AD$25))</f>
        <v>0</v>
      </c>
      <c r="AE31" s="170" cm="1">
        <f t="array" ref="AE31">(1+Assumptions!$G$81)*SUMPRODUCT((Assumptions!$G$78:$G$79)*(AE$24:AE$25))</f>
        <v>0</v>
      </c>
      <c r="AF31" s="170" cm="1">
        <f t="array" ref="AF31">(1+Assumptions!$G$81)*SUMPRODUCT((Assumptions!$G$78:$G$79)*(AF$24:AF$25))</f>
        <v>0</v>
      </c>
      <c r="AG31" s="170" cm="1">
        <f t="array" ref="AG31">(1+Assumptions!$G$81)*SUMPRODUCT((Assumptions!$G$78:$G$79)*(AG$24:AG$25))</f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5" t="s">
        <v>206</v>
      </c>
      <c r="E32"/>
      <c r="G32" s="207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136">
        <v>0</v>
      </c>
      <c r="S32" s="136">
        <v>0</v>
      </c>
      <c r="T32" s="136">
        <v>0</v>
      </c>
      <c r="U32" s="136">
        <v>0</v>
      </c>
      <c r="V32" s="136">
        <v>0</v>
      </c>
      <c r="W32" s="136">
        <v>0</v>
      </c>
      <c r="X32" s="136">
        <v>0</v>
      </c>
      <c r="Y32" s="136">
        <v>0</v>
      </c>
      <c r="Z32" s="136">
        <v>0</v>
      </c>
      <c r="AA32" s="136">
        <v>0</v>
      </c>
      <c r="AB32" s="136">
        <v>0</v>
      </c>
      <c r="AC32" s="136">
        <v>0</v>
      </c>
      <c r="AD32" s="136">
        <v>0</v>
      </c>
      <c r="AE32" s="136">
        <v>0</v>
      </c>
      <c r="AF32" s="136">
        <v>0</v>
      </c>
      <c r="AG32" s="136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4" t="s">
        <v>278</v>
      </c>
      <c r="D33" s="219"/>
      <c r="E33"/>
      <c r="G33" s="207">
        <f>input_dollars</f>
        <v>45291</v>
      </c>
      <c r="H33"/>
      <c r="I33" s="32">
        <f>Workings_risks!E81</f>
        <v>14335849.53927815</v>
      </c>
      <c r="J33" s="32">
        <f>Workings_risks!F81</f>
        <v>13882530.832462071</v>
      </c>
      <c r="K33" s="32">
        <f>Workings_risks!G81</f>
        <v>13882530.832462071</v>
      </c>
      <c r="L33" s="32">
        <f>Workings_risks!H81</f>
        <v>13882530.832462071</v>
      </c>
      <c r="M33" s="32">
        <f>Workings_risks!I81</f>
        <v>13882530.832462071</v>
      </c>
      <c r="N33" s="32">
        <f>Workings_risks!J81</f>
        <v>13882530.832462071</v>
      </c>
      <c r="O33" s="32">
        <f>Workings_risks!K81</f>
        <v>13882530.832462071</v>
      </c>
      <c r="P33" s="32">
        <f>Workings_risks!L81</f>
        <v>13882530.832462071</v>
      </c>
      <c r="Q33" s="32">
        <f>Workings_risks!M81</f>
        <v>13882530.832462071</v>
      </c>
      <c r="R33" s="32">
        <f>Workings_risks!N81</f>
        <v>13882530.832462071</v>
      </c>
      <c r="S33" s="32">
        <f>Workings_risks!O81</f>
        <v>13882530.832462071</v>
      </c>
      <c r="T33" s="32">
        <f>Workings_risks!P81</f>
        <v>13882530.832462071</v>
      </c>
      <c r="U33" s="32">
        <f>Workings_risks!Q81</f>
        <v>13882530.832462071</v>
      </c>
      <c r="V33" s="32">
        <f>Workings_risks!R81</f>
        <v>13882530.832462071</v>
      </c>
      <c r="W33" s="32">
        <f>Workings_risks!S81</f>
        <v>13882530.832462071</v>
      </c>
      <c r="X33" s="32">
        <f>Workings_risks!T81</f>
        <v>14335849.53927815</v>
      </c>
      <c r="Y33" s="32">
        <f>Workings_risks!U81</f>
        <v>14789168.246094229</v>
      </c>
      <c r="Z33" s="32">
        <f>Workings_risks!V81</f>
        <v>14789168.246094229</v>
      </c>
      <c r="AA33" s="32">
        <f>Workings_risks!W81</f>
        <v>14789168.246094229</v>
      </c>
      <c r="AB33" s="32">
        <f>Workings_risks!X81</f>
        <v>14789168.246094229</v>
      </c>
      <c r="AC33" s="32">
        <f>Workings_risks!Y81</f>
        <v>0</v>
      </c>
      <c r="AD33" s="32">
        <f>Workings_risks!Z81</f>
        <v>0</v>
      </c>
      <c r="AE33" s="32">
        <f>Workings_risks!AA81</f>
        <v>0</v>
      </c>
      <c r="AF33" s="32">
        <f>Workings_risks!AB81</f>
        <v>0</v>
      </c>
      <c r="AG33" s="32">
        <f>Workings_risks!AC81</f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4" t="s">
        <v>171</v>
      </c>
      <c r="D34" s="206"/>
      <c r="E34"/>
      <c r="G34" s="207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6"/>
      <c r="E35"/>
      <c r="G35" s="20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170</v>
      </c>
      <c r="D36" s="218"/>
      <c r="E36" s="107"/>
      <c r="F36" s="3"/>
      <c r="G36" s="209"/>
      <c r="H36" s="107"/>
      <c r="I36" s="170">
        <f>SUM(I28:I34)</f>
        <v>15170589.976835391</v>
      </c>
      <c r="J36" s="170">
        <f t="shared" ref="J36:AG36" si="2">SUM(J28:J34)</f>
        <v>14703305.397330882</v>
      </c>
      <c r="K36" s="170">
        <f t="shared" si="2"/>
        <v>14703305.397330882</v>
      </c>
      <c r="L36" s="170">
        <f t="shared" si="2"/>
        <v>14703305.397330882</v>
      </c>
      <c r="M36" s="170">
        <f t="shared" si="2"/>
        <v>14703305.397330882</v>
      </c>
      <c r="N36" s="170">
        <f t="shared" si="2"/>
        <v>14703305.397330882</v>
      </c>
      <c r="O36" s="170">
        <f t="shared" si="2"/>
        <v>14703305.397330882</v>
      </c>
      <c r="P36" s="170">
        <f t="shared" si="2"/>
        <v>14703305.397330882</v>
      </c>
      <c r="Q36" s="170">
        <f t="shared" si="2"/>
        <v>14703305.397330882</v>
      </c>
      <c r="R36" s="170">
        <f t="shared" si="2"/>
        <v>14703305.397330882</v>
      </c>
      <c r="S36" s="170">
        <f t="shared" si="2"/>
        <v>14703305.397330882</v>
      </c>
      <c r="T36" s="170">
        <f t="shared" si="2"/>
        <v>14703305.397330882</v>
      </c>
      <c r="U36" s="170">
        <f t="shared" si="2"/>
        <v>14703305.397330882</v>
      </c>
      <c r="V36" s="170">
        <f t="shared" si="2"/>
        <v>14703305.397330882</v>
      </c>
      <c r="W36" s="170">
        <f t="shared" si="2"/>
        <v>14703305.397330882</v>
      </c>
      <c r="X36" s="170">
        <f t="shared" si="2"/>
        <v>15170589.976835391</v>
      </c>
      <c r="Y36" s="170">
        <f t="shared" si="2"/>
        <v>15637874.556339899</v>
      </c>
      <c r="Z36" s="170">
        <f t="shared" si="2"/>
        <v>15637874.556339899</v>
      </c>
      <c r="AA36" s="170">
        <f t="shared" si="2"/>
        <v>15637874.556339899</v>
      </c>
      <c r="AB36" s="170">
        <f t="shared" si="2"/>
        <v>15637874.556339899</v>
      </c>
      <c r="AC36" s="170">
        <f t="shared" si="2"/>
        <v>0</v>
      </c>
      <c r="AD36" s="170">
        <f t="shared" si="2"/>
        <v>0</v>
      </c>
      <c r="AE36" s="170">
        <f t="shared" si="2"/>
        <v>0</v>
      </c>
      <c r="AF36" s="170">
        <f t="shared" si="2"/>
        <v>0</v>
      </c>
      <c r="AG36" s="170">
        <f t="shared" si="2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4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7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7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5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</row>
    <row r="42" spans="1:16372" ht="13.5" x14ac:dyDescent="0.25">
      <c r="C42" s="1" t="s">
        <v>129</v>
      </c>
      <c r="G42" s="205" t="s">
        <v>104</v>
      </c>
      <c r="I42" s="85">
        <f t="shared" ref="I42:AG42" si="3">I41*I7</f>
        <v>0</v>
      </c>
      <c r="J42" s="85">
        <f t="shared" si="3"/>
        <v>0</v>
      </c>
      <c r="K42" s="85">
        <f t="shared" si="3"/>
        <v>0</v>
      </c>
      <c r="L42" s="85">
        <f t="shared" si="3"/>
        <v>0</v>
      </c>
      <c r="M42" s="85">
        <f t="shared" si="3"/>
        <v>0</v>
      </c>
      <c r="N42" s="85">
        <f t="shared" si="3"/>
        <v>0</v>
      </c>
      <c r="O42" s="85">
        <f t="shared" si="3"/>
        <v>0</v>
      </c>
      <c r="P42" s="85">
        <f t="shared" si="3"/>
        <v>0</v>
      </c>
      <c r="Q42" s="85">
        <f t="shared" si="3"/>
        <v>0</v>
      </c>
      <c r="R42" s="85">
        <f t="shared" si="3"/>
        <v>0</v>
      </c>
      <c r="S42" s="85">
        <f t="shared" si="3"/>
        <v>0</v>
      </c>
      <c r="T42" s="85">
        <f t="shared" si="3"/>
        <v>0</v>
      </c>
      <c r="U42" s="85">
        <f t="shared" si="3"/>
        <v>0</v>
      </c>
      <c r="V42" s="85">
        <f t="shared" si="3"/>
        <v>0</v>
      </c>
      <c r="W42" s="85">
        <f t="shared" si="3"/>
        <v>0</v>
      </c>
      <c r="X42" s="85">
        <f t="shared" si="3"/>
        <v>0</v>
      </c>
      <c r="Y42" s="85">
        <f t="shared" si="3"/>
        <v>0</v>
      </c>
      <c r="Z42" s="85">
        <f t="shared" si="3"/>
        <v>0</v>
      </c>
      <c r="AA42" s="85">
        <f t="shared" si="3"/>
        <v>0</v>
      </c>
      <c r="AB42" s="85">
        <f t="shared" si="3"/>
        <v>0</v>
      </c>
      <c r="AC42" s="85">
        <f t="shared" si="3"/>
        <v>0</v>
      </c>
      <c r="AD42" s="85">
        <f t="shared" si="3"/>
        <v>0</v>
      </c>
      <c r="AE42" s="85">
        <f t="shared" si="3"/>
        <v>0</v>
      </c>
      <c r="AF42" s="85">
        <f t="shared" si="3"/>
        <v>0</v>
      </c>
      <c r="AG42" s="85">
        <f t="shared" si="3"/>
        <v>0</v>
      </c>
    </row>
    <row r="43" spans="1:16372" x14ac:dyDescent="0.2">
      <c r="D43"/>
      <c r="E43"/>
      <c r="G43" s="207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6"/>
      <c r="E44"/>
      <c r="G44" s="207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14</v>
      </c>
      <c r="D45" s="205" t="s">
        <v>63</v>
      </c>
      <c r="E45" s="113">
        <f>Assumptions!G94</f>
        <v>151432.81740793545</v>
      </c>
      <c r="G45" s="207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">
        <v>4</v>
      </c>
      <c r="D46" s="205" t="s">
        <v>63</v>
      </c>
      <c r="E46" s="113">
        <f>Assumptions!G95</f>
        <v>24590</v>
      </c>
      <c r="G46" s="207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">
        <v>5</v>
      </c>
      <c r="D47" s="205" t="s">
        <v>63</v>
      </c>
      <c r="E47" s="112">
        <f>Assumptions!G96</f>
        <v>88.357719508603083</v>
      </c>
      <c r="G47" s="207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">
        <v>15</v>
      </c>
      <c r="D48" s="205" t="s">
        <v>126</v>
      </c>
      <c r="E48" s="112">
        <f>Assumptions!G97</f>
        <v>0</v>
      </c>
      <c r="G48" s="207" t="s">
        <v>203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">
        <v>201</v>
      </c>
      <c r="D49" s="205" t="s">
        <v>204</v>
      </c>
      <c r="E49" s="112">
        <f>Assumptions!G98</f>
        <v>0.35181336539087127</v>
      </c>
      <c r="G49" s="207" t="s">
        <v>205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">
        <v>202</v>
      </c>
      <c r="D50" s="205" t="s">
        <v>204</v>
      </c>
      <c r="E50" s="112">
        <f>Assumptions!G99</f>
        <v>0.35181336539087127</v>
      </c>
      <c r="G50" s="207" t="s">
        <v>205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C51" s="1" t="s">
        <v>6</v>
      </c>
      <c r="D51" s="205" t="s">
        <v>126</v>
      </c>
      <c r="E51" s="112">
        <f>Assumptions!G100</f>
        <v>0</v>
      </c>
      <c r="G51" s="207" t="s">
        <v>203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C52" s="1" t="s">
        <v>7</v>
      </c>
      <c r="D52" s="205" t="s">
        <v>126</v>
      </c>
      <c r="E52" s="112">
        <f>Assumptions!G101</f>
        <v>0</v>
      </c>
      <c r="G52" s="207" t="s">
        <v>203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5"/>
      <c r="G53" s="207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5"/>
      <c r="G54" s="207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5"/>
      <c r="G55" s="207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5"/>
      <c r="G56" s="205"/>
    </row>
    <row r="57" spans="1:43" x14ac:dyDescent="0.2">
      <c r="C57" s="3" t="s">
        <v>125</v>
      </c>
      <c r="D57" s="218"/>
      <c r="E57" s="107"/>
      <c r="F57" s="3"/>
      <c r="G57" s="207">
        <f>input_dollars</f>
        <v>45291</v>
      </c>
      <c r="H57" s="107"/>
      <c r="I57" s="170" cm="1">
        <f t="array" ref="I57">SUMPRODUCT((I$45:I$52)*($E$45:$E$52))+SUM(I54:I55)+I42</f>
        <v>0</v>
      </c>
      <c r="J57" s="170" cm="1">
        <f t="array" ref="J57">SUMPRODUCT((J$45:J$52)*($E$45:$E$52))+SUM(J54:J55)+J42</f>
        <v>0</v>
      </c>
      <c r="K57" s="170" cm="1">
        <f t="array" ref="K57">SUMPRODUCT((K$45:K$52)*($E$45:$E$52))+SUM(K54:K55)+K42</f>
        <v>0</v>
      </c>
      <c r="L57" s="170" cm="1">
        <f t="array" ref="L57">SUMPRODUCT((L$45:L$52)*($E$45:$E$52))+SUM(L54:L55)+L42</f>
        <v>0</v>
      </c>
      <c r="M57" s="170" cm="1">
        <f t="array" ref="M57">SUMPRODUCT((M$45:M$52)*($E$45:$E$52))+SUM(M54:M55)+M42</f>
        <v>0</v>
      </c>
      <c r="N57" s="170" cm="1">
        <f t="array" ref="N57">SUMPRODUCT((N$45:N$52)*($E$45:$E$52))+SUM(N54:N55)+N42</f>
        <v>0</v>
      </c>
      <c r="O57" s="170" cm="1">
        <f t="array" ref="O57">SUMPRODUCT((O$45:O$52)*($E$45:$E$52))+SUM(O54:O55)+O42</f>
        <v>0</v>
      </c>
      <c r="P57" s="170" cm="1">
        <f t="array" ref="P57">SUMPRODUCT((P$45:P$52)*($E$45:$E$52))+SUM(P54:P55)+P42</f>
        <v>0</v>
      </c>
      <c r="Q57" s="170" cm="1">
        <f t="array" ref="Q57">SUMPRODUCT((Q$45:Q$52)*($E$45:$E$52))+SUM(Q54:Q55)+Q42</f>
        <v>0</v>
      </c>
      <c r="R57" s="170" cm="1">
        <f t="array" ref="R57">SUMPRODUCT((R$45:R$52)*($E$45:$E$52))+SUM(R54:R55)+R42</f>
        <v>0</v>
      </c>
      <c r="S57" s="170" cm="1">
        <f t="array" ref="S57">SUMPRODUCT((S$45:S$52)*($E$45:$E$52))+SUM(S54:S55)+S42</f>
        <v>0</v>
      </c>
      <c r="T57" s="170" cm="1">
        <f t="array" ref="T57">SUMPRODUCT((T$45:T$52)*($E$45:$E$52))+SUM(T54:T55)+T42</f>
        <v>0</v>
      </c>
      <c r="U57" s="170" cm="1">
        <f t="array" ref="U57">SUMPRODUCT((U$45:U$52)*($E$45:$E$52))+SUM(U54:U55)+U42</f>
        <v>0</v>
      </c>
      <c r="V57" s="170" cm="1">
        <f t="array" ref="V57">SUMPRODUCT((V$45:V$52)*($E$45:$E$52))+SUM(V54:V55)+V42</f>
        <v>0</v>
      </c>
      <c r="W57" s="170" cm="1">
        <f t="array" ref="W57">SUMPRODUCT((W$45:W$52)*($E$45:$E$52))+SUM(W54:W55)+W42</f>
        <v>0</v>
      </c>
      <c r="X57" s="170" cm="1">
        <f t="array" ref="X57">SUMPRODUCT((X$45:X$52)*($E$45:$E$52))+SUM(X54:X55)+X42</f>
        <v>0</v>
      </c>
      <c r="Y57" s="170" cm="1">
        <f t="array" ref="Y57">SUMPRODUCT((Y$45:Y$52)*($E$45:$E$52))+SUM(Y54:Y55)+Y42</f>
        <v>0</v>
      </c>
      <c r="Z57" s="170" cm="1">
        <f t="array" ref="Z57">SUMPRODUCT((Z$45:Z$52)*($E$45:$E$52))+SUM(Z54:Z55)+Z42</f>
        <v>0</v>
      </c>
      <c r="AA57" s="170" cm="1">
        <f t="array" ref="AA57">SUMPRODUCT((AA$45:AA$52)*($E$45:$E$52))+SUM(AA54:AA55)+AA42</f>
        <v>0</v>
      </c>
      <c r="AB57" s="170" cm="1">
        <f t="array" ref="AB57">SUMPRODUCT((AB$45:AB$52)*($E$45:$E$52))+SUM(AB54:AB55)+AB42</f>
        <v>0</v>
      </c>
      <c r="AC57" s="170" cm="1">
        <f t="array" ref="AC57">SUMPRODUCT((AC$45:AC$52)*($E$45:$E$52))+SUM(AC54:AC55)+AC42</f>
        <v>0</v>
      </c>
      <c r="AD57" s="170" cm="1">
        <f t="array" ref="AD57">SUMPRODUCT((AD$45:AD$52)*($E$45:$E$52))+SUM(AD54:AD55)+AD42</f>
        <v>0</v>
      </c>
      <c r="AE57" s="170" cm="1">
        <f t="array" ref="AE57">SUMPRODUCT((AE$45:AE$52)*($E$45:$E$52))+SUM(AE54:AE55)+AE42</f>
        <v>0</v>
      </c>
      <c r="AF57" s="170" cm="1">
        <f t="array" ref="AF57">SUMPRODUCT((AF$45:AF$52)*($E$45:$E$52))+SUM(AF54:AF55)+AF42</f>
        <v>0</v>
      </c>
      <c r="AG57" s="170" cm="1">
        <f t="array" ref="AG57">SUMPRODUCT((AG$45:AG$52)*($E$45:$E$52))+SUM(AG54:AG55)+AG42</f>
        <v>0</v>
      </c>
    </row>
    <row r="58" spans="1:43" x14ac:dyDescent="0.2">
      <c r="D58" s="205"/>
      <c r="G58" s="205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5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4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8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F63" s="2"/>
      <c r="G63" s="212"/>
    </row>
    <row r="64" spans="1:43" x14ac:dyDescent="0.2">
      <c r="C64" s="4" t="str">
        <f>'Option1 (base case)'!C64</f>
        <v>Risks mitigated vs base case</v>
      </c>
      <c r="G64" s="210">
        <f>input_dollars</f>
        <v>45291</v>
      </c>
      <c r="I64" s="132">
        <f>(1-INDEX(Data!$C$9:$C$13, MATCH($A$3, options,0)))*('Option1 (base case)'!I36-I36)</f>
        <v>467284.57950450853</v>
      </c>
      <c r="J64" s="132">
        <f>(1-INDEX(Data!$C$9:$C$13, MATCH($A$3, options,0)))*('Option1 (base case)'!J36-J36)</f>
        <v>934569.15900901705</v>
      </c>
      <c r="K64" s="132">
        <f>(1-INDEX(Data!$C$9:$C$13, MATCH($A$3, options,0)))*('Option1 (base case)'!K36-K36)</f>
        <v>934569.15900901705</v>
      </c>
      <c r="L64" s="132">
        <f>(1-INDEX(Data!$C$9:$C$13, MATCH($A$3, options,0)))*('Option1 (base case)'!L36-L36)</f>
        <v>934569.15900901705</v>
      </c>
      <c r="M64" s="132">
        <f>(1-INDEX(Data!$C$9:$C$13, MATCH($A$3, options,0)))*('Option1 (base case)'!M36-M36)</f>
        <v>934569.15900901705</v>
      </c>
      <c r="N64" s="132">
        <f>(1-INDEX(Data!$C$9:$C$13, MATCH($A$3, options,0)))*('Option1 (base case)'!N36-N36)</f>
        <v>934569.15900901705</v>
      </c>
      <c r="O64" s="132">
        <f>(1-INDEX(Data!$C$9:$C$13, MATCH($A$3, options,0)))*('Option1 (base case)'!O36-O36)</f>
        <v>934569.15900901705</v>
      </c>
      <c r="P64" s="132">
        <f>(1-INDEX(Data!$C$9:$C$13, MATCH($A$3, options,0)))*('Option1 (base case)'!P36-P36)</f>
        <v>934569.15900901705</v>
      </c>
      <c r="Q64" s="132">
        <f>(1-INDEX(Data!$C$9:$C$13, MATCH($A$3, options,0)))*('Option1 (base case)'!Q36-Q36)</f>
        <v>934569.15900901705</v>
      </c>
      <c r="R64" s="132">
        <f>(1-INDEX(Data!$C$9:$C$13, MATCH($A$3, options,0)))*('Option1 (base case)'!R36-R36)</f>
        <v>934569.15900901705</v>
      </c>
      <c r="S64" s="132">
        <f>(1-INDEX(Data!$C$9:$C$13, MATCH($A$3, options,0)))*('Option1 (base case)'!S36-S36)</f>
        <v>934569.15900901705</v>
      </c>
      <c r="T64" s="132">
        <f>(1-INDEX(Data!$C$9:$C$13, MATCH($A$3, options,0)))*('Option1 (base case)'!T36-T36)</f>
        <v>934569.15900901705</v>
      </c>
      <c r="U64" s="132">
        <f>(1-INDEX(Data!$C$9:$C$13, MATCH($A$3, options,0)))*('Option1 (base case)'!U36-U36)</f>
        <v>934569.15900901705</v>
      </c>
      <c r="V64" s="132">
        <f>(1-INDEX(Data!$C$9:$C$13, MATCH($A$3, options,0)))*('Option1 (base case)'!V36-V36)</f>
        <v>934569.15900901705</v>
      </c>
      <c r="W64" s="132">
        <f>(1-INDEX(Data!$C$9:$C$13, MATCH($A$3, options,0)))*('Option1 (base case)'!W36-W36)</f>
        <v>934569.15900901705</v>
      </c>
      <c r="X64" s="132">
        <f>(1-INDEX(Data!$C$9:$C$13, MATCH($A$3, options,0)))*('Option1 (base case)'!X36-X36)</f>
        <v>467284.57950450853</v>
      </c>
      <c r="Y64" s="132">
        <f>(1-INDEX(Data!$C$9:$C$13, MATCH($A$3, options,0)))*('Option1 (base case)'!Y36-Y36)</f>
        <v>0</v>
      </c>
      <c r="Z64" s="132">
        <f>(1-INDEX(Data!$C$9:$C$13, MATCH($A$3, options,0)))*('Option1 (base case)'!Z36-Z36)</f>
        <v>0</v>
      </c>
      <c r="AA64" s="132">
        <f>(1-INDEX(Data!$C$9:$C$13, MATCH($A$3, options,0)))*('Option1 (base case)'!AA36-AA36)</f>
        <v>0</v>
      </c>
      <c r="AB64" s="132">
        <f>(1-INDEX(Data!$C$9:$C$13, MATCH($A$3, options,0)))*('Option1 (base case)'!AB36-AB36)</f>
        <v>0</v>
      </c>
      <c r="AC64" s="132">
        <f>(1-INDEX(Data!$C$9:$C$13, MATCH($A$3, options,0)))*('Option1 (base case)'!AC36-AC36)</f>
        <v>15637874.556339899</v>
      </c>
      <c r="AD64" s="132">
        <f>(1-INDEX(Data!$C$9:$C$13, MATCH($A$3, options,0)))*('Option1 (base case)'!AD36-AD36)</f>
        <v>15637874.556339899</v>
      </c>
      <c r="AE64" s="132">
        <f>(1-INDEX(Data!$C$9:$C$13, MATCH($A$3, options,0)))*('Option1 (base case)'!AE36-AE36)</f>
        <v>15637874.556339899</v>
      </c>
      <c r="AF64" s="132">
        <f>(1-INDEX(Data!$C$9:$C$13, MATCH($A$3, options,0)))*('Option1 (base case)'!AF36-AF36)</f>
        <v>15637874.556339899</v>
      </c>
      <c r="AG64" s="132">
        <f>(1-INDEX(Data!$C$9:$C$13, MATCH($A$3, options,0)))*('Option1 (base case)'!AG36-AG36)</f>
        <v>15637874.556339899</v>
      </c>
    </row>
    <row r="65" spans="1:33" x14ac:dyDescent="0.2">
      <c r="G65" s="212"/>
    </row>
    <row r="66" spans="1:33" x14ac:dyDescent="0.2">
      <c r="A66" s="8"/>
      <c r="B66" s="8"/>
      <c r="C66" s="147" t="s">
        <v>30</v>
      </c>
      <c r="D66" s="38"/>
      <c r="F66" s="97"/>
      <c r="G66" s="213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EFD</v>
      </c>
      <c r="D67" s="38"/>
      <c r="F67" s="97"/>
      <c r="G67" s="210">
        <f>input_dollars</f>
        <v>45291</v>
      </c>
      <c r="H67" s="31"/>
      <c r="I67" s="119">
        <f t="shared" ref="I67:AG67" si="4">-I14</f>
        <v>-3162538.2157558519</v>
      </c>
      <c r="J67" s="119">
        <f t="shared" si="4"/>
        <v>-3162538.2157558519</v>
      </c>
      <c r="K67" s="119">
        <f t="shared" si="4"/>
        <v>0</v>
      </c>
      <c r="L67" s="119">
        <f t="shared" si="4"/>
        <v>0</v>
      </c>
      <c r="M67" s="119">
        <f t="shared" si="4"/>
        <v>0</v>
      </c>
      <c r="N67" s="119">
        <f t="shared" si="4"/>
        <v>0</v>
      </c>
      <c r="O67" s="119">
        <f t="shared" si="4"/>
        <v>0</v>
      </c>
      <c r="P67" s="119">
        <f t="shared" si="4"/>
        <v>0</v>
      </c>
      <c r="Q67" s="119">
        <f t="shared" si="4"/>
        <v>0</v>
      </c>
      <c r="R67" s="119">
        <f t="shared" si="4"/>
        <v>0</v>
      </c>
      <c r="S67" s="119">
        <f t="shared" si="4"/>
        <v>0</v>
      </c>
      <c r="T67" s="119">
        <f t="shared" si="4"/>
        <v>0</v>
      </c>
      <c r="U67" s="119">
        <f t="shared" si="4"/>
        <v>0</v>
      </c>
      <c r="V67" s="119">
        <f t="shared" si="4"/>
        <v>0</v>
      </c>
      <c r="W67" s="119">
        <f t="shared" si="4"/>
        <v>0</v>
      </c>
      <c r="X67" s="119">
        <f t="shared" si="4"/>
        <v>0</v>
      </c>
      <c r="Y67" s="119">
        <f t="shared" si="4"/>
        <v>0</v>
      </c>
      <c r="Z67" s="119">
        <f t="shared" si="4"/>
        <v>0</v>
      </c>
      <c r="AA67" s="119">
        <f t="shared" si="4"/>
        <v>0</v>
      </c>
      <c r="AB67" s="119">
        <f t="shared" si="4"/>
        <v>0</v>
      </c>
      <c r="AC67" s="119">
        <f t="shared" si="4"/>
        <v>0</v>
      </c>
      <c r="AD67" s="119">
        <f t="shared" si="4"/>
        <v>0</v>
      </c>
      <c r="AE67" s="119">
        <f t="shared" si="4"/>
        <v>0</v>
      </c>
      <c r="AF67" s="119">
        <f t="shared" si="4"/>
        <v>0</v>
      </c>
      <c r="AG67" s="119">
        <f t="shared" si="4"/>
        <v>0</v>
      </c>
    </row>
    <row r="68" spans="1:33" x14ac:dyDescent="0.2">
      <c r="A68" s="8"/>
      <c r="B68" s="8"/>
      <c r="C68" s="4">
        <f>C15</f>
        <v>0</v>
      </c>
      <c r="D68" s="38"/>
      <c r="F68" s="97"/>
      <c r="G68" s="210">
        <f>input_dollars</f>
        <v>45291</v>
      </c>
      <c r="H68" s="31"/>
      <c r="I68" s="119">
        <f t="shared" ref="I68:AG68" si="5">-I15</f>
        <v>0</v>
      </c>
      <c r="J68" s="119">
        <f t="shared" si="5"/>
        <v>0</v>
      </c>
      <c r="K68" s="119">
        <f t="shared" si="5"/>
        <v>0</v>
      </c>
      <c r="L68" s="119">
        <f t="shared" si="5"/>
        <v>0</v>
      </c>
      <c r="M68" s="119">
        <f t="shared" si="5"/>
        <v>0</v>
      </c>
      <c r="N68" s="119">
        <f t="shared" si="5"/>
        <v>0</v>
      </c>
      <c r="O68" s="119">
        <f t="shared" si="5"/>
        <v>0</v>
      </c>
      <c r="P68" s="119">
        <f t="shared" si="5"/>
        <v>0</v>
      </c>
      <c r="Q68" s="119">
        <f t="shared" si="5"/>
        <v>0</v>
      </c>
      <c r="R68" s="119">
        <f t="shared" si="5"/>
        <v>0</v>
      </c>
      <c r="S68" s="119">
        <f t="shared" si="5"/>
        <v>0</v>
      </c>
      <c r="T68" s="119">
        <f t="shared" si="5"/>
        <v>0</v>
      </c>
      <c r="U68" s="119">
        <f t="shared" si="5"/>
        <v>0</v>
      </c>
      <c r="V68" s="119">
        <f t="shared" si="5"/>
        <v>0</v>
      </c>
      <c r="W68" s="119">
        <f t="shared" si="5"/>
        <v>0</v>
      </c>
      <c r="X68" s="119">
        <f t="shared" si="5"/>
        <v>0</v>
      </c>
      <c r="Y68" s="119">
        <f t="shared" si="5"/>
        <v>0</v>
      </c>
      <c r="Z68" s="119">
        <f t="shared" si="5"/>
        <v>0</v>
      </c>
      <c r="AA68" s="119">
        <f t="shared" si="5"/>
        <v>0</v>
      </c>
      <c r="AB68" s="119">
        <f t="shared" si="5"/>
        <v>0</v>
      </c>
      <c r="AC68" s="119">
        <f t="shared" si="5"/>
        <v>0</v>
      </c>
      <c r="AD68" s="119">
        <f t="shared" si="5"/>
        <v>0</v>
      </c>
      <c r="AE68" s="119">
        <f t="shared" si="5"/>
        <v>0</v>
      </c>
      <c r="AF68" s="119">
        <f t="shared" si="5"/>
        <v>0</v>
      </c>
      <c r="AG68" s="119">
        <f t="shared" si="5"/>
        <v>0</v>
      </c>
    </row>
    <row r="69" spans="1:33" x14ac:dyDescent="0.2">
      <c r="A69" s="8"/>
      <c r="B69" s="8"/>
      <c r="C69" s="4">
        <f>C16</f>
        <v>0</v>
      </c>
      <c r="D69" s="38"/>
      <c r="F69" s="97"/>
      <c r="G69" s="210">
        <f>input_dollars</f>
        <v>45291</v>
      </c>
      <c r="H69" s="31"/>
      <c r="I69" s="119">
        <f t="shared" ref="I69:AG69" si="6">-I16</f>
        <v>0</v>
      </c>
      <c r="J69" s="119">
        <f t="shared" si="6"/>
        <v>0</v>
      </c>
      <c r="K69" s="119">
        <f t="shared" si="6"/>
        <v>0</v>
      </c>
      <c r="L69" s="119">
        <f t="shared" si="6"/>
        <v>0</v>
      </c>
      <c r="M69" s="119">
        <f t="shared" si="6"/>
        <v>0</v>
      </c>
      <c r="N69" s="119">
        <f t="shared" si="6"/>
        <v>0</v>
      </c>
      <c r="O69" s="119">
        <f t="shared" si="6"/>
        <v>0</v>
      </c>
      <c r="P69" s="119">
        <f t="shared" si="6"/>
        <v>0</v>
      </c>
      <c r="Q69" s="119">
        <f t="shared" si="6"/>
        <v>0</v>
      </c>
      <c r="R69" s="119">
        <f t="shared" si="6"/>
        <v>0</v>
      </c>
      <c r="S69" s="119">
        <f t="shared" si="6"/>
        <v>0</v>
      </c>
      <c r="T69" s="119">
        <f t="shared" si="6"/>
        <v>0</v>
      </c>
      <c r="U69" s="119">
        <f t="shared" si="6"/>
        <v>0</v>
      </c>
      <c r="V69" s="119">
        <f t="shared" si="6"/>
        <v>0</v>
      </c>
      <c r="W69" s="119">
        <f t="shared" si="6"/>
        <v>0</v>
      </c>
      <c r="X69" s="119">
        <f t="shared" si="6"/>
        <v>0</v>
      </c>
      <c r="Y69" s="119">
        <f t="shared" si="6"/>
        <v>0</v>
      </c>
      <c r="Z69" s="119">
        <f t="shared" si="6"/>
        <v>0</v>
      </c>
      <c r="AA69" s="119">
        <f t="shared" si="6"/>
        <v>0</v>
      </c>
      <c r="AB69" s="119">
        <f t="shared" si="6"/>
        <v>0</v>
      </c>
      <c r="AC69" s="119">
        <f t="shared" si="6"/>
        <v>0</v>
      </c>
      <c r="AD69" s="119">
        <f t="shared" si="6"/>
        <v>0</v>
      </c>
      <c r="AE69" s="119">
        <f t="shared" si="6"/>
        <v>0</v>
      </c>
      <c r="AF69" s="119">
        <f t="shared" si="6"/>
        <v>0</v>
      </c>
      <c r="AG69" s="119">
        <f t="shared" si="6"/>
        <v>0</v>
      </c>
    </row>
    <row r="70" spans="1:33" x14ac:dyDescent="0.2">
      <c r="A70" s="8"/>
      <c r="B70" s="8"/>
      <c r="C70" s="4"/>
      <c r="D70" s="38"/>
      <c r="F70" s="97"/>
      <c r="G70" s="214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7" t="s">
        <v>155</v>
      </c>
      <c r="D71" s="38"/>
      <c r="F71" s="97"/>
      <c r="G71" s="213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EFD</v>
      </c>
      <c r="D72" s="38"/>
      <c r="F72" s="97"/>
      <c r="G72" s="210">
        <f>input_dollars</f>
        <v>45291</v>
      </c>
      <c r="H72" s="31"/>
      <c r="I72" s="119" cm="1">
        <f t="array" ref="I72">SUMPRODUCT(($I67:I67))-SUMPRODUCT(($I67:I67)*($I$6:I$6&lt;=(I$6-$E14)))</f>
        <v>-3162538.2157558519</v>
      </c>
      <c r="J72" s="119" cm="1">
        <f t="array" ref="J72">SUMPRODUCT(($I67:J67))-SUMPRODUCT(($I67:J67)*($I$6:J$6&lt;=(J$6-$E14)))</f>
        <v>-6325076.4315117039</v>
      </c>
      <c r="K72" s="119" cm="1">
        <f t="array" ref="K72">SUMPRODUCT(($I67:K67))-SUMPRODUCT(($I67:K67)*($I$6:K$6&lt;=(K$6-$E14)))</f>
        <v>-6325076.4315117039</v>
      </c>
      <c r="L72" s="119" cm="1">
        <f t="array" ref="L72">SUMPRODUCT(($I67:L67))-SUMPRODUCT(($I67:L67)*($I$6:L$6&lt;=(L$6-$E14)))</f>
        <v>-6325076.4315117039</v>
      </c>
      <c r="M72" s="119" cm="1">
        <f t="array" ref="M72">SUMPRODUCT(($I67:M67))-SUMPRODUCT(($I67:M67)*($I$6:M$6&lt;=(M$6-$E14)))</f>
        <v>-6325076.4315117039</v>
      </c>
      <c r="N72" s="119" cm="1">
        <f t="array" ref="N72">SUMPRODUCT(($I67:N67))-SUMPRODUCT(($I67:N67)*($I$6:N$6&lt;=(N$6-$E14)))</f>
        <v>-6325076.4315117039</v>
      </c>
      <c r="O72" s="119" cm="1">
        <f t="array" ref="O72">SUMPRODUCT(($I67:O67))-SUMPRODUCT(($I67:O67)*($I$6:O$6&lt;=(O$6-$E14)))</f>
        <v>-6325076.4315117039</v>
      </c>
      <c r="P72" s="119" cm="1">
        <f t="array" ref="P72">SUMPRODUCT(($I67:P67))-SUMPRODUCT(($I67:P67)*($I$6:P$6&lt;=(P$6-$E14)))</f>
        <v>-6325076.4315117039</v>
      </c>
      <c r="Q72" s="119" cm="1">
        <f t="array" ref="Q72">SUMPRODUCT(($I67:Q67))-SUMPRODUCT(($I67:Q67)*($I$6:Q$6&lt;=(Q$6-$E14)))</f>
        <v>-6325076.4315117039</v>
      </c>
      <c r="R72" s="119" cm="1">
        <f t="array" ref="R72">SUMPRODUCT(($I67:R67))-SUMPRODUCT(($I67:R67)*($I$6:R$6&lt;=(R$6-$E14)))</f>
        <v>-6325076.4315117039</v>
      </c>
      <c r="S72" s="119" cm="1">
        <f t="array" ref="S72">SUMPRODUCT(($I67:S67))-SUMPRODUCT(($I67:S67)*($I$6:S$6&lt;=(S$6-$E14)))</f>
        <v>-6325076.4315117039</v>
      </c>
      <c r="T72" s="119" cm="1">
        <f t="array" ref="T72">SUMPRODUCT(($I67:T67))-SUMPRODUCT(($I67:T67)*($I$6:T$6&lt;=(T$6-$E14)))</f>
        <v>-6325076.4315117039</v>
      </c>
      <c r="U72" s="119" cm="1">
        <f t="array" ref="U72">SUMPRODUCT(($I67:U67))-SUMPRODUCT(($I67:U67)*($I$6:U$6&lt;=(U$6-$E14)))</f>
        <v>-6325076.4315117039</v>
      </c>
      <c r="V72" s="119" cm="1">
        <f t="array" ref="V72">SUMPRODUCT(($I67:V67))-SUMPRODUCT(($I67:V67)*($I$6:V$6&lt;=(V$6-$E14)))</f>
        <v>-6325076.4315117039</v>
      </c>
      <c r="W72" s="119" cm="1">
        <f t="array" ref="W72">SUMPRODUCT(($I67:W67))-SUMPRODUCT(($I67:W67)*($I$6:W$6&lt;=(W$6-$E14)))</f>
        <v>-6325076.4315117039</v>
      </c>
      <c r="X72" s="119" cm="1">
        <f t="array" ref="X72">SUMPRODUCT(($I67:X67))-SUMPRODUCT(($I67:X67)*($I$6:X$6&lt;=(X$6-$E14)))</f>
        <v>-3162538.2157558519</v>
      </c>
      <c r="Y72" s="119" cm="1">
        <f t="array" ref="Y72">SUMPRODUCT(($I67:Y67))-SUMPRODUCT(($I67:Y67)*($I$6:Y$6&lt;=(Y$6-$E14)))</f>
        <v>0</v>
      </c>
      <c r="Z72" s="119" cm="1">
        <f t="array" ref="Z72">SUMPRODUCT(($I67:Z67))-SUMPRODUCT(($I67:Z67)*($I$6:Z$6&lt;=(Z$6-$E14)))</f>
        <v>0</v>
      </c>
      <c r="AA72" s="119" cm="1">
        <f t="array" ref="AA72">SUMPRODUCT(($I67:AA67))-SUMPRODUCT(($I67:AA67)*($I$6:AA$6&lt;=(AA$6-$E14)))</f>
        <v>0</v>
      </c>
      <c r="AB72" s="119" cm="1">
        <f t="array" ref="AB72">SUMPRODUCT(($I67:AB67))-SUMPRODUCT(($I67:AB67)*($I$6:AB$6&lt;=(AB$6-$E14)))</f>
        <v>0</v>
      </c>
      <c r="AC72" s="119" cm="1">
        <f t="array" ref="AC72">SUMPRODUCT(($I67:AC67))-SUMPRODUCT(($I67:AC67)*($I$6:AC$6&lt;=(AC$6-$E14)))</f>
        <v>0</v>
      </c>
      <c r="AD72" s="119" cm="1">
        <f t="array" ref="AD72">SUMPRODUCT(($I67:AD67))-SUMPRODUCT(($I67:AD67)*($I$6:AD$6&lt;=(AD$6-$E14)))</f>
        <v>0</v>
      </c>
      <c r="AE72" s="119" cm="1">
        <f t="array" ref="AE72">SUMPRODUCT(($I67:AE67))-SUMPRODUCT(($I67:AE67)*($I$6:AE$6&lt;=(AE$6-$E14)))</f>
        <v>0</v>
      </c>
      <c r="AF72" s="119" cm="1">
        <f t="array" ref="AF72">SUMPRODUCT(($I67:AF67))-SUMPRODUCT(($I67:AF67)*($I$6:AF$6&lt;=(AF$6-$E14)))</f>
        <v>0</v>
      </c>
      <c r="AG72" s="119" cm="1">
        <f t="array" ref="AG72">SUMPRODUCT(($I67:AG67))-SUMPRODUCT(($I67:AG67)*($I$6:AG$6&lt;=(AG$6-$E14)))</f>
        <v>0</v>
      </c>
    </row>
    <row r="73" spans="1:33" x14ac:dyDescent="0.2">
      <c r="A73" s="8"/>
      <c r="B73" s="8"/>
      <c r="C73" s="4">
        <f>C15</f>
        <v>0</v>
      </c>
      <c r="D73" s="38"/>
      <c r="F73" s="97"/>
      <c r="G73" s="210">
        <f>input_dollars</f>
        <v>45291</v>
      </c>
      <c r="H73" s="31"/>
      <c r="I73" s="119" cm="1">
        <f t="array" ref="I73">SUMPRODUCT(($I68:I68))-SUMPRODUCT(($I68:I68)*($I$6:I$6&lt;=(I$6-$E15)))</f>
        <v>0</v>
      </c>
      <c r="J73" s="119" cm="1">
        <f t="array" ref="J73">SUMPRODUCT(($I68:J68))-SUMPRODUCT(($I68:J68)*($I$6:J$6&lt;=(J$6-$E15)))</f>
        <v>0</v>
      </c>
      <c r="K73" s="119" cm="1">
        <f t="array" ref="K73">SUMPRODUCT(($I68:K68))-SUMPRODUCT(($I68:K68)*($I$6:K$6&lt;=(K$6-$E15)))</f>
        <v>0</v>
      </c>
      <c r="L73" s="119" cm="1">
        <f t="array" ref="L73">SUMPRODUCT(($I68:L68))-SUMPRODUCT(($I68:L68)*($I$6:L$6&lt;=(L$6-$E15)))</f>
        <v>0</v>
      </c>
      <c r="M73" s="119" cm="1">
        <f t="array" ref="M73">SUMPRODUCT(($I68:M68))-SUMPRODUCT(($I68:M68)*($I$6:M$6&lt;=(M$6-$E15)))</f>
        <v>0</v>
      </c>
      <c r="N73" s="119" cm="1">
        <f t="array" ref="N73">SUMPRODUCT(($I68:N68))-SUMPRODUCT(($I68:N68)*($I$6:N$6&lt;=(N$6-$E15)))</f>
        <v>0</v>
      </c>
      <c r="O73" s="119" cm="1">
        <f t="array" ref="O73">SUMPRODUCT(($I68:O68))-SUMPRODUCT(($I68:O68)*($I$6:O$6&lt;=(O$6-$E15)))</f>
        <v>0</v>
      </c>
      <c r="P73" s="119" cm="1">
        <f t="array" ref="P73">SUMPRODUCT(($I68:P68))-SUMPRODUCT(($I68:P68)*($I$6:P$6&lt;=(P$6-$E15)))</f>
        <v>0</v>
      </c>
      <c r="Q73" s="119" cm="1">
        <f t="array" ref="Q73">SUMPRODUCT(($I68:Q68))-SUMPRODUCT(($I68:Q68)*($I$6:Q$6&lt;=(Q$6-$E15)))</f>
        <v>0</v>
      </c>
      <c r="R73" s="119" cm="1">
        <f t="array" ref="R73">SUMPRODUCT(($I68:R68))-SUMPRODUCT(($I68:R68)*($I$6:R$6&lt;=(R$6-$E15)))</f>
        <v>0</v>
      </c>
      <c r="S73" s="119" cm="1">
        <f t="array" ref="S73">SUMPRODUCT(($I68:S68))-SUMPRODUCT(($I68:S68)*($I$6:S$6&lt;=(S$6-$E15)))</f>
        <v>0</v>
      </c>
      <c r="T73" s="119" cm="1">
        <f t="array" ref="T73">SUMPRODUCT(($I68:T68))-SUMPRODUCT(($I68:T68)*($I$6:T$6&lt;=(T$6-$E15)))</f>
        <v>0</v>
      </c>
      <c r="U73" s="119" cm="1">
        <f t="array" ref="U73">SUMPRODUCT(($I68:U68))-SUMPRODUCT(($I68:U68)*($I$6:U$6&lt;=(U$6-$E15)))</f>
        <v>0</v>
      </c>
      <c r="V73" s="119" cm="1">
        <f t="array" ref="V73">SUMPRODUCT(($I68:V68))-SUMPRODUCT(($I68:V68)*($I$6:V$6&lt;=(V$6-$E15)))</f>
        <v>0</v>
      </c>
      <c r="W73" s="119" cm="1">
        <f t="array" ref="W73">SUMPRODUCT(($I68:W68))-SUMPRODUCT(($I68:W68)*($I$6:W$6&lt;=(W$6-$E15)))</f>
        <v>0</v>
      </c>
      <c r="X73" s="119" cm="1">
        <f t="array" ref="X73">SUMPRODUCT(($I68:X68))-SUMPRODUCT(($I68:X68)*($I$6:X$6&lt;=(X$6-$E15)))</f>
        <v>0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>
        <f>C16</f>
        <v>0</v>
      </c>
      <c r="D74" s="38"/>
      <c r="F74" s="97"/>
      <c r="G74" s="210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4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7" t="s">
        <v>91</v>
      </c>
      <c r="D76" s="38"/>
      <c r="F76" s="97"/>
      <c r="G76" s="213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EFD</v>
      </c>
      <c r="D77" s="38"/>
      <c r="F77" s="97"/>
      <c r="G77" s="210">
        <f>input_dollars</f>
        <v>45291</v>
      </c>
      <c r="H77" s="31"/>
      <c r="I77" s="119">
        <f t="shared" ref="I77:AG77" si="7">IF($E14=0,0,-PMT(real_disc, $E14,H72,))</f>
        <v>0</v>
      </c>
      <c r="J77" s="119">
        <f t="shared" si="7"/>
        <v>-274587.599955732</v>
      </c>
      <c r="K77" s="119">
        <f t="shared" si="7"/>
        <v>-549175.19991146401</v>
      </c>
      <c r="L77" s="119">
        <f t="shared" si="7"/>
        <v>-549175.19991146401</v>
      </c>
      <c r="M77" s="119">
        <f t="shared" si="7"/>
        <v>-549175.19991146401</v>
      </c>
      <c r="N77" s="119">
        <f t="shared" si="7"/>
        <v>-549175.19991146401</v>
      </c>
      <c r="O77" s="119">
        <f t="shared" si="7"/>
        <v>-549175.19991146401</v>
      </c>
      <c r="P77" s="119">
        <f t="shared" si="7"/>
        <v>-549175.19991146401</v>
      </c>
      <c r="Q77" s="119">
        <f t="shared" si="7"/>
        <v>-549175.19991146401</v>
      </c>
      <c r="R77" s="119">
        <f t="shared" si="7"/>
        <v>-549175.19991146401</v>
      </c>
      <c r="S77" s="119">
        <f t="shared" si="7"/>
        <v>-549175.19991146401</v>
      </c>
      <c r="T77" s="119">
        <f t="shared" si="7"/>
        <v>-549175.19991146401</v>
      </c>
      <c r="U77" s="119">
        <f t="shared" si="7"/>
        <v>-549175.19991146401</v>
      </c>
      <c r="V77" s="119">
        <f t="shared" si="7"/>
        <v>-549175.19991146401</v>
      </c>
      <c r="W77" s="119">
        <f t="shared" si="7"/>
        <v>-549175.19991146401</v>
      </c>
      <c r="X77" s="119">
        <f t="shared" si="7"/>
        <v>-549175.19991146401</v>
      </c>
      <c r="Y77" s="119">
        <f t="shared" si="7"/>
        <v>-274587.599955732</v>
      </c>
      <c r="Z77" s="119">
        <f t="shared" si="7"/>
        <v>0</v>
      </c>
      <c r="AA77" s="119">
        <f t="shared" si="7"/>
        <v>0</v>
      </c>
      <c r="AB77" s="119">
        <f t="shared" si="7"/>
        <v>0</v>
      </c>
      <c r="AC77" s="119">
        <f t="shared" si="7"/>
        <v>0</v>
      </c>
      <c r="AD77" s="119">
        <f t="shared" si="7"/>
        <v>0</v>
      </c>
      <c r="AE77" s="119">
        <f t="shared" si="7"/>
        <v>0</v>
      </c>
      <c r="AF77" s="119">
        <f t="shared" si="7"/>
        <v>0</v>
      </c>
      <c r="AG77" s="119">
        <f t="shared" si="7"/>
        <v>0</v>
      </c>
    </row>
    <row r="78" spans="1:33" x14ac:dyDescent="0.2">
      <c r="A78" s="8"/>
      <c r="B78" s="8"/>
      <c r="C78" s="4" t="str">
        <f>$C$76&amp;" - "&amp;C15</f>
        <v xml:space="preserve">Annualised capex - </v>
      </c>
      <c r="D78" s="38"/>
      <c r="F78" s="97"/>
      <c r="G78" s="210">
        <f>input_dollars</f>
        <v>45291</v>
      </c>
      <c r="H78" s="31"/>
      <c r="I78" s="119">
        <f t="shared" ref="I78:AG78" si="8">IF($E15=0,0,-PMT(real_disc, $E15,H73,))</f>
        <v>0</v>
      </c>
      <c r="J78" s="119">
        <f t="shared" si="8"/>
        <v>0</v>
      </c>
      <c r="K78" s="119">
        <f t="shared" si="8"/>
        <v>0</v>
      </c>
      <c r="L78" s="119">
        <f t="shared" si="8"/>
        <v>0</v>
      </c>
      <c r="M78" s="119">
        <f t="shared" si="8"/>
        <v>0</v>
      </c>
      <c r="N78" s="119">
        <f t="shared" si="8"/>
        <v>0</v>
      </c>
      <c r="O78" s="119">
        <f t="shared" si="8"/>
        <v>0</v>
      </c>
      <c r="P78" s="119">
        <f t="shared" si="8"/>
        <v>0</v>
      </c>
      <c r="Q78" s="119">
        <f t="shared" si="8"/>
        <v>0</v>
      </c>
      <c r="R78" s="119">
        <f t="shared" si="8"/>
        <v>0</v>
      </c>
      <c r="S78" s="119">
        <f t="shared" si="8"/>
        <v>0</v>
      </c>
      <c r="T78" s="119">
        <f t="shared" si="8"/>
        <v>0</v>
      </c>
      <c r="U78" s="119">
        <f t="shared" si="8"/>
        <v>0</v>
      </c>
      <c r="V78" s="119">
        <f t="shared" si="8"/>
        <v>0</v>
      </c>
      <c r="W78" s="119">
        <f t="shared" si="8"/>
        <v>0</v>
      </c>
      <c r="X78" s="119">
        <f t="shared" si="8"/>
        <v>0</v>
      </c>
      <c r="Y78" s="119">
        <f t="shared" si="8"/>
        <v>0</v>
      </c>
      <c r="Z78" s="119">
        <f t="shared" si="8"/>
        <v>0</v>
      </c>
      <c r="AA78" s="119">
        <f t="shared" si="8"/>
        <v>0</v>
      </c>
      <c r="AB78" s="119">
        <f t="shared" si="8"/>
        <v>0</v>
      </c>
      <c r="AC78" s="119">
        <f t="shared" si="8"/>
        <v>0</v>
      </c>
      <c r="AD78" s="119">
        <f t="shared" si="8"/>
        <v>0</v>
      </c>
      <c r="AE78" s="119">
        <f t="shared" si="8"/>
        <v>0</v>
      </c>
      <c r="AF78" s="119">
        <f t="shared" si="8"/>
        <v>0</v>
      </c>
      <c r="AG78" s="119">
        <f t="shared" si="8"/>
        <v>0</v>
      </c>
    </row>
    <row r="79" spans="1:33" x14ac:dyDescent="0.2">
      <c r="A79" s="8"/>
      <c r="B79" s="8"/>
      <c r="C79" s="4" t="str">
        <f>$C$76&amp;" - "&amp;C16</f>
        <v xml:space="preserve">Annualised capex - </v>
      </c>
      <c r="D79" s="38"/>
      <c r="F79" s="97"/>
      <c r="G79" s="210">
        <f>input_dollars</f>
        <v>45291</v>
      </c>
      <c r="H79" s="31"/>
      <c r="I79" s="119">
        <f t="shared" ref="I79:AG79" si="9">IF($E16=0,0,-PMT(real_disc, $E16,H74,))</f>
        <v>0</v>
      </c>
      <c r="J79" s="119">
        <f t="shared" si="9"/>
        <v>0</v>
      </c>
      <c r="K79" s="119">
        <f t="shared" si="9"/>
        <v>0</v>
      </c>
      <c r="L79" s="119">
        <f t="shared" si="9"/>
        <v>0</v>
      </c>
      <c r="M79" s="119">
        <f t="shared" si="9"/>
        <v>0</v>
      </c>
      <c r="N79" s="119">
        <f t="shared" si="9"/>
        <v>0</v>
      </c>
      <c r="O79" s="119">
        <f t="shared" si="9"/>
        <v>0</v>
      </c>
      <c r="P79" s="119">
        <f t="shared" si="9"/>
        <v>0</v>
      </c>
      <c r="Q79" s="119">
        <f t="shared" si="9"/>
        <v>0</v>
      </c>
      <c r="R79" s="119">
        <f t="shared" si="9"/>
        <v>0</v>
      </c>
      <c r="S79" s="119">
        <f t="shared" si="9"/>
        <v>0</v>
      </c>
      <c r="T79" s="119">
        <f t="shared" si="9"/>
        <v>0</v>
      </c>
      <c r="U79" s="119">
        <f t="shared" si="9"/>
        <v>0</v>
      </c>
      <c r="V79" s="119">
        <f t="shared" si="9"/>
        <v>0</v>
      </c>
      <c r="W79" s="119">
        <f t="shared" si="9"/>
        <v>0</v>
      </c>
      <c r="X79" s="119">
        <f t="shared" si="9"/>
        <v>0</v>
      </c>
      <c r="Y79" s="119">
        <f t="shared" si="9"/>
        <v>0</v>
      </c>
      <c r="Z79" s="119">
        <f t="shared" si="9"/>
        <v>0</v>
      </c>
      <c r="AA79" s="119">
        <f t="shared" si="9"/>
        <v>0</v>
      </c>
      <c r="AB79" s="119">
        <f t="shared" si="9"/>
        <v>0</v>
      </c>
      <c r="AC79" s="119">
        <f t="shared" si="9"/>
        <v>0</v>
      </c>
      <c r="AD79" s="119">
        <f t="shared" si="9"/>
        <v>0</v>
      </c>
      <c r="AE79" s="119">
        <f t="shared" si="9"/>
        <v>0</v>
      </c>
      <c r="AF79" s="119">
        <f t="shared" si="9"/>
        <v>0</v>
      </c>
      <c r="AG79" s="119">
        <f t="shared" si="9"/>
        <v>0</v>
      </c>
    </row>
    <row r="80" spans="1:33" x14ac:dyDescent="0.2">
      <c r="A80" s="8"/>
      <c r="B80" s="8"/>
      <c r="C80" s="172" t="s">
        <v>156</v>
      </c>
      <c r="D80" s="172"/>
      <c r="E80" s="173"/>
      <c r="F80" s="174"/>
      <c r="G80" s="215">
        <f>input_dollars</f>
        <v>45291</v>
      </c>
      <c r="H80" s="175"/>
      <c r="I80" s="176">
        <f>SUM(I77:I79)</f>
        <v>0</v>
      </c>
      <c r="J80" s="176">
        <f t="shared" ref="J80:AB80" si="10">SUM(J77:J79)</f>
        <v>-274587.599955732</v>
      </c>
      <c r="K80" s="176">
        <f t="shared" si="10"/>
        <v>-549175.19991146401</v>
      </c>
      <c r="L80" s="176">
        <f t="shared" si="10"/>
        <v>-549175.19991146401</v>
      </c>
      <c r="M80" s="176">
        <f t="shared" si="10"/>
        <v>-549175.19991146401</v>
      </c>
      <c r="N80" s="176">
        <f t="shared" si="10"/>
        <v>-549175.19991146401</v>
      </c>
      <c r="O80" s="176">
        <f t="shared" si="10"/>
        <v>-549175.19991146401</v>
      </c>
      <c r="P80" s="176">
        <f t="shared" si="10"/>
        <v>-549175.19991146401</v>
      </c>
      <c r="Q80" s="176">
        <f t="shared" si="10"/>
        <v>-549175.19991146401</v>
      </c>
      <c r="R80" s="176">
        <f t="shared" si="10"/>
        <v>-549175.19991146401</v>
      </c>
      <c r="S80" s="176">
        <f t="shared" si="10"/>
        <v>-549175.19991146401</v>
      </c>
      <c r="T80" s="176">
        <f t="shared" si="10"/>
        <v>-549175.19991146401</v>
      </c>
      <c r="U80" s="176">
        <f t="shared" si="10"/>
        <v>-549175.19991146401</v>
      </c>
      <c r="V80" s="176">
        <f t="shared" si="10"/>
        <v>-549175.19991146401</v>
      </c>
      <c r="W80" s="176">
        <f t="shared" si="10"/>
        <v>-549175.19991146401</v>
      </c>
      <c r="X80" s="176">
        <f t="shared" si="10"/>
        <v>-549175.19991146401</v>
      </c>
      <c r="Y80" s="176">
        <f t="shared" si="10"/>
        <v>-274587.599955732</v>
      </c>
      <c r="Z80" s="176">
        <f t="shared" si="10"/>
        <v>0</v>
      </c>
      <c r="AA80" s="176">
        <f t="shared" si="10"/>
        <v>0</v>
      </c>
      <c r="AB80" s="176">
        <f t="shared" si="10"/>
        <v>0</v>
      </c>
      <c r="AC80" s="176">
        <f>SUM(AC77:AC79)</f>
        <v>0</v>
      </c>
      <c r="AD80" s="176">
        <f>SUM(AD77:AD79)</f>
        <v>0</v>
      </c>
      <c r="AE80" s="176">
        <f>SUM(AE77:AE79)</f>
        <v>0</v>
      </c>
      <c r="AF80" s="176">
        <f>SUM(AF77:AF79)</f>
        <v>0</v>
      </c>
      <c r="AG80" s="176">
        <f>SUM(AG77:AG79)</f>
        <v>0</v>
      </c>
    </row>
    <row r="81" spans="1:33" x14ac:dyDescent="0.2">
      <c r="A81" s="8"/>
      <c r="B81" s="8"/>
      <c r="C81" s="75"/>
      <c r="D81" s="38"/>
      <c r="F81"/>
      <c r="G81" s="216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0">
        <f t="shared" ref="G82:G87" si="11">input_dollars</f>
        <v>45291</v>
      </c>
      <c r="H82" s="31"/>
      <c r="I82" s="119">
        <f>I80</f>
        <v>0</v>
      </c>
      <c r="J82" s="119">
        <f t="shared" ref="J82:AB82" si="12">J80</f>
        <v>-274587.599955732</v>
      </c>
      <c r="K82" s="119">
        <f t="shared" si="12"/>
        <v>-549175.19991146401</v>
      </c>
      <c r="L82" s="119">
        <f t="shared" si="12"/>
        <v>-549175.19991146401</v>
      </c>
      <c r="M82" s="119">
        <f t="shared" si="12"/>
        <v>-549175.19991146401</v>
      </c>
      <c r="N82" s="119">
        <f t="shared" si="12"/>
        <v>-549175.19991146401</v>
      </c>
      <c r="O82" s="119">
        <f t="shared" si="12"/>
        <v>-549175.19991146401</v>
      </c>
      <c r="P82" s="119">
        <f t="shared" si="12"/>
        <v>-549175.19991146401</v>
      </c>
      <c r="Q82" s="119">
        <f t="shared" si="12"/>
        <v>-549175.19991146401</v>
      </c>
      <c r="R82" s="119">
        <f t="shared" si="12"/>
        <v>-549175.19991146401</v>
      </c>
      <c r="S82" s="119">
        <f t="shared" si="12"/>
        <v>-549175.19991146401</v>
      </c>
      <c r="T82" s="119">
        <f t="shared" si="12"/>
        <v>-549175.19991146401</v>
      </c>
      <c r="U82" s="119">
        <f t="shared" si="12"/>
        <v>-549175.19991146401</v>
      </c>
      <c r="V82" s="119">
        <f t="shared" si="12"/>
        <v>-549175.19991146401</v>
      </c>
      <c r="W82" s="119">
        <f t="shared" si="12"/>
        <v>-549175.19991146401</v>
      </c>
      <c r="X82" s="119">
        <f t="shared" si="12"/>
        <v>-549175.19991146401</v>
      </c>
      <c r="Y82" s="119">
        <f t="shared" si="12"/>
        <v>-274587.599955732</v>
      </c>
      <c r="Z82" s="119">
        <f t="shared" si="12"/>
        <v>0</v>
      </c>
      <c r="AA82" s="119">
        <f t="shared" si="12"/>
        <v>0</v>
      </c>
      <c r="AB82" s="119">
        <f t="shared" si="12"/>
        <v>0</v>
      </c>
      <c r="AC82" s="119">
        <f>AC80</f>
        <v>0</v>
      </c>
      <c r="AD82" s="119">
        <f>AD80</f>
        <v>0</v>
      </c>
      <c r="AE82" s="119">
        <f>AE80</f>
        <v>0</v>
      </c>
      <c r="AF82" s="119">
        <f>AF80</f>
        <v>0</v>
      </c>
      <c r="AG82" s="119">
        <f>AG80</f>
        <v>0</v>
      </c>
    </row>
    <row r="83" spans="1:33" x14ac:dyDescent="0.2">
      <c r="A83" s="8"/>
      <c r="B83" s="8"/>
      <c r="C83" s="4" t="s">
        <v>31</v>
      </c>
      <c r="D83" s="38"/>
      <c r="F83" s="97"/>
      <c r="G83" s="210">
        <f t="shared" si="11"/>
        <v>45291</v>
      </c>
      <c r="H83" s="31"/>
      <c r="I83" s="31">
        <f t="shared" ref="I83:AG83" si="13">-I19</f>
        <v>-21762.742092409098</v>
      </c>
      <c r="J83" s="31">
        <f t="shared" si="13"/>
        <v>-21762.742092409098</v>
      </c>
      <c r="K83" s="31">
        <f t="shared" si="13"/>
        <v>-21762.742092409098</v>
      </c>
      <c r="L83" s="31">
        <f t="shared" si="13"/>
        <v>-21762.742092409098</v>
      </c>
      <c r="M83" s="31">
        <f t="shared" si="13"/>
        <v>-21762.742092409098</v>
      </c>
      <c r="N83" s="31">
        <f t="shared" si="13"/>
        <v>-485543.79979110626</v>
      </c>
      <c r="O83" s="31">
        <f t="shared" si="13"/>
        <v>-485543.79979110626</v>
      </c>
      <c r="P83" s="31">
        <f t="shared" si="13"/>
        <v>-485543.79979110626</v>
      </c>
      <c r="Q83" s="31">
        <f t="shared" si="13"/>
        <v>-771730.25223625591</v>
      </c>
      <c r="R83" s="31">
        <f t="shared" si="13"/>
        <v>-771730.25223625591</v>
      </c>
      <c r="S83" s="31">
        <f t="shared" si="13"/>
        <v>-485543.79979110626</v>
      </c>
      <c r="T83" s="31">
        <f t="shared" si="13"/>
        <v>-485543.79979110626</v>
      </c>
      <c r="U83" s="31">
        <f t="shared" si="13"/>
        <v>-485543.79979110626</v>
      </c>
      <c r="V83" s="31">
        <f t="shared" si="13"/>
        <v>-485543.79979110626</v>
      </c>
      <c r="W83" s="31">
        <f t="shared" si="13"/>
        <v>-485543.79979110626</v>
      </c>
      <c r="X83" s="31">
        <f t="shared" si="13"/>
        <v>-242771.89989555313</v>
      </c>
      <c r="Y83" s="31">
        <f t="shared" si="13"/>
        <v>0</v>
      </c>
      <c r="Z83" s="31">
        <f t="shared" si="13"/>
        <v>0</v>
      </c>
      <c r="AA83" s="31">
        <f t="shared" si="13"/>
        <v>0</v>
      </c>
      <c r="AB83" s="31">
        <f t="shared" si="13"/>
        <v>0</v>
      </c>
      <c r="AC83" s="31">
        <f t="shared" si="13"/>
        <v>0</v>
      </c>
      <c r="AD83" s="31">
        <f t="shared" si="13"/>
        <v>0</v>
      </c>
      <c r="AE83" s="31">
        <f t="shared" si="13"/>
        <v>0</v>
      </c>
      <c r="AF83" s="31">
        <f t="shared" si="13"/>
        <v>0</v>
      </c>
      <c r="AG83" s="31">
        <f t="shared" si="13"/>
        <v>0</v>
      </c>
    </row>
    <row r="84" spans="1:33" x14ac:dyDescent="0.2">
      <c r="A84" s="8"/>
      <c r="B84" s="8"/>
      <c r="C84" s="4" t="s">
        <v>139</v>
      </c>
      <c r="D84" s="38"/>
      <c r="F84" s="97"/>
      <c r="G84" s="210">
        <f t="shared" si="11"/>
        <v>45291</v>
      </c>
      <c r="H84" s="31"/>
      <c r="I84" s="31">
        <f>I64</f>
        <v>467284.57950450853</v>
      </c>
      <c r="J84" s="31">
        <f t="shared" ref="J84:AB84" si="14">J64</f>
        <v>934569.15900901705</v>
      </c>
      <c r="K84" s="31">
        <f t="shared" si="14"/>
        <v>934569.15900901705</v>
      </c>
      <c r="L84" s="31">
        <f t="shared" si="14"/>
        <v>934569.15900901705</v>
      </c>
      <c r="M84" s="31">
        <f t="shared" si="14"/>
        <v>934569.15900901705</v>
      </c>
      <c r="N84" s="31">
        <f t="shared" si="14"/>
        <v>934569.15900901705</v>
      </c>
      <c r="O84" s="31">
        <f t="shared" si="14"/>
        <v>934569.15900901705</v>
      </c>
      <c r="P84" s="31">
        <f t="shared" si="14"/>
        <v>934569.15900901705</v>
      </c>
      <c r="Q84" s="31">
        <f t="shared" si="14"/>
        <v>934569.15900901705</v>
      </c>
      <c r="R84" s="31">
        <f t="shared" si="14"/>
        <v>934569.15900901705</v>
      </c>
      <c r="S84" s="31">
        <f t="shared" si="14"/>
        <v>934569.15900901705</v>
      </c>
      <c r="T84" s="31">
        <f t="shared" si="14"/>
        <v>934569.15900901705</v>
      </c>
      <c r="U84" s="31">
        <f t="shared" si="14"/>
        <v>934569.15900901705</v>
      </c>
      <c r="V84" s="31">
        <f t="shared" si="14"/>
        <v>934569.15900901705</v>
      </c>
      <c r="W84" s="31">
        <f t="shared" si="14"/>
        <v>934569.15900901705</v>
      </c>
      <c r="X84" s="31">
        <f t="shared" si="14"/>
        <v>467284.57950450853</v>
      </c>
      <c r="Y84" s="31">
        <f t="shared" si="14"/>
        <v>0</v>
      </c>
      <c r="Z84" s="31">
        <f t="shared" si="14"/>
        <v>0</v>
      </c>
      <c r="AA84" s="31">
        <f t="shared" si="14"/>
        <v>0</v>
      </c>
      <c r="AB84" s="31">
        <f t="shared" si="14"/>
        <v>0</v>
      </c>
      <c r="AC84" s="31">
        <f>AC64</f>
        <v>15637874.556339899</v>
      </c>
      <c r="AD84" s="31">
        <f>AD64</f>
        <v>15637874.556339899</v>
      </c>
      <c r="AE84" s="31">
        <f>AE64</f>
        <v>15637874.556339899</v>
      </c>
      <c r="AF84" s="31">
        <f>AF64</f>
        <v>15637874.556339899</v>
      </c>
      <c r="AG84" s="31">
        <f>AG64</f>
        <v>15637874.556339899</v>
      </c>
    </row>
    <row r="85" spans="1:33" x14ac:dyDescent="0.2">
      <c r="A85" s="8"/>
      <c r="B85" s="8"/>
      <c r="C85" s="4" t="s">
        <v>122</v>
      </c>
      <c r="D85" s="38"/>
      <c r="F85" s="97"/>
      <c r="G85" s="210">
        <f t="shared" si="11"/>
        <v>45291</v>
      </c>
      <c r="H85" s="31"/>
      <c r="I85" s="31">
        <f t="shared" ref="I85:AG85" si="15">I57</f>
        <v>0</v>
      </c>
      <c r="J85" s="31">
        <f t="shared" si="15"/>
        <v>0</v>
      </c>
      <c r="K85" s="31">
        <f t="shared" si="15"/>
        <v>0</v>
      </c>
      <c r="L85" s="31">
        <f t="shared" si="15"/>
        <v>0</v>
      </c>
      <c r="M85" s="31">
        <f t="shared" si="15"/>
        <v>0</v>
      </c>
      <c r="N85" s="31">
        <f t="shared" si="15"/>
        <v>0</v>
      </c>
      <c r="O85" s="31">
        <f t="shared" si="15"/>
        <v>0</v>
      </c>
      <c r="P85" s="31">
        <f t="shared" si="15"/>
        <v>0</v>
      </c>
      <c r="Q85" s="31">
        <f t="shared" si="15"/>
        <v>0</v>
      </c>
      <c r="R85" s="31">
        <f t="shared" si="15"/>
        <v>0</v>
      </c>
      <c r="S85" s="31">
        <f t="shared" si="15"/>
        <v>0</v>
      </c>
      <c r="T85" s="31">
        <f t="shared" si="15"/>
        <v>0</v>
      </c>
      <c r="U85" s="31">
        <f t="shared" si="15"/>
        <v>0</v>
      </c>
      <c r="V85" s="31">
        <f t="shared" si="15"/>
        <v>0</v>
      </c>
      <c r="W85" s="31">
        <f t="shared" si="15"/>
        <v>0</v>
      </c>
      <c r="X85" s="31">
        <f t="shared" si="15"/>
        <v>0</v>
      </c>
      <c r="Y85" s="31">
        <f t="shared" si="15"/>
        <v>0</v>
      </c>
      <c r="Z85" s="31">
        <f t="shared" si="15"/>
        <v>0</v>
      </c>
      <c r="AA85" s="31">
        <f t="shared" si="15"/>
        <v>0</v>
      </c>
      <c r="AB85" s="31">
        <f t="shared" si="15"/>
        <v>0</v>
      </c>
      <c r="AC85" s="31">
        <f t="shared" si="15"/>
        <v>0</v>
      </c>
      <c r="AD85" s="31">
        <f t="shared" si="15"/>
        <v>0</v>
      </c>
      <c r="AE85" s="31">
        <f t="shared" si="15"/>
        <v>0</v>
      </c>
      <c r="AF85" s="31">
        <f t="shared" si="15"/>
        <v>0</v>
      </c>
      <c r="AG85" s="31">
        <f t="shared" si="15"/>
        <v>0</v>
      </c>
    </row>
    <row r="86" spans="1:33" x14ac:dyDescent="0.2">
      <c r="A86" s="8"/>
      <c r="B86" s="8"/>
      <c r="C86" s="4"/>
      <c r="D86" s="38"/>
      <c r="F86" s="31"/>
      <c r="G86" s="210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7" t="s">
        <v>186</v>
      </c>
      <c r="D87" s="178"/>
      <c r="E87" s="173"/>
      <c r="F87" s="179"/>
      <c r="G87" s="215">
        <f t="shared" si="11"/>
        <v>45291</v>
      </c>
      <c r="H87" s="179"/>
      <c r="I87" s="179">
        <f t="shared" ref="I87:AB87" si="16">SUM(I82:I86)</f>
        <v>445521.83741209941</v>
      </c>
      <c r="J87" s="179">
        <f t="shared" si="16"/>
        <v>638218.81696087588</v>
      </c>
      <c r="K87" s="179">
        <f t="shared" si="16"/>
        <v>363631.21700514399</v>
      </c>
      <c r="L87" s="179">
        <f t="shared" si="16"/>
        <v>363631.21700514399</v>
      </c>
      <c r="M87" s="179">
        <f t="shared" si="16"/>
        <v>363631.21700514399</v>
      </c>
      <c r="N87" s="179">
        <f t="shared" si="16"/>
        <v>-100149.84069355321</v>
      </c>
      <c r="O87" s="179">
        <f t="shared" si="16"/>
        <v>-100149.84069355321</v>
      </c>
      <c r="P87" s="179">
        <f t="shared" si="16"/>
        <v>-100149.84069355321</v>
      </c>
      <c r="Q87" s="179">
        <f t="shared" si="16"/>
        <v>-386336.29313870287</v>
      </c>
      <c r="R87" s="179">
        <f t="shared" si="16"/>
        <v>-386336.29313870287</v>
      </c>
      <c r="S87" s="179">
        <f t="shared" si="16"/>
        <v>-100149.84069355321</v>
      </c>
      <c r="T87" s="179">
        <f t="shared" si="16"/>
        <v>-100149.84069355321</v>
      </c>
      <c r="U87" s="179">
        <f t="shared" si="16"/>
        <v>-100149.84069355321</v>
      </c>
      <c r="V87" s="179">
        <f t="shared" si="16"/>
        <v>-100149.84069355321</v>
      </c>
      <c r="W87" s="179">
        <f t="shared" si="16"/>
        <v>-100149.84069355321</v>
      </c>
      <c r="X87" s="179">
        <f t="shared" si="16"/>
        <v>-324662.52030250861</v>
      </c>
      <c r="Y87" s="179">
        <f t="shared" si="16"/>
        <v>-274587.599955732</v>
      </c>
      <c r="Z87" s="179">
        <f t="shared" si="16"/>
        <v>0</v>
      </c>
      <c r="AA87" s="179">
        <f t="shared" si="16"/>
        <v>0</v>
      </c>
      <c r="AB87" s="179">
        <f t="shared" si="16"/>
        <v>0</v>
      </c>
      <c r="AC87" s="179">
        <f>SUM(AC82:AC86)</f>
        <v>15637874.556339899</v>
      </c>
      <c r="AD87" s="179">
        <f>SUM(AD82:AD86)</f>
        <v>15637874.556339899</v>
      </c>
      <c r="AE87" s="179">
        <f>SUM(AE82:AE86)</f>
        <v>15637874.556339899</v>
      </c>
      <c r="AF87" s="179">
        <f>SUM(AF82:AF86)</f>
        <v>15637874.556339899</v>
      </c>
      <c r="AG87" s="179">
        <f>SUM(AG82:AG86)</f>
        <v>15637874.556339899</v>
      </c>
    </row>
    <row r="88" spans="1:33" x14ac:dyDescent="0.2">
      <c r="A88" s="8"/>
      <c r="B88" s="8"/>
      <c r="C88" s="75"/>
      <c r="D88" s="138"/>
      <c r="E88" s="64"/>
      <c r="F88" s="141"/>
      <c r="G88" s="217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8"/>
      <c r="E89" s="64"/>
      <c r="F89" s="141"/>
      <c r="G89" s="217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0" t="s">
        <v>196</v>
      </c>
      <c r="D90" s="82"/>
      <c r="E90" s="231"/>
      <c r="F90" s="232"/>
      <c r="G90" s="233" cm="1">
        <f t="array" ref="G90">IF(SUM($I17:$AG17)=0,0,(INDEX(I$6:AG$6,MATCH(TRUE,INDEX($I17:$AG17&lt;&gt;0,),0))))</f>
        <v>1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82"/>
      <c r="D91" s="234"/>
      <c r="E91" s="231"/>
      <c r="F91" s="231"/>
      <c r="G91" s="233"/>
    </row>
    <row r="92" spans="1:33" x14ac:dyDescent="0.2">
      <c r="C92" s="235" t="s">
        <v>191</v>
      </c>
      <c r="D92" s="236"/>
      <c r="E92" s="236"/>
      <c r="F92" s="236"/>
      <c r="G92" s="237">
        <f>IF(_xlfn.MINIFS($G$90:$G$91, $G$90:$G$91, "&gt;"&amp;0)=0, $A$4, _xlfn.MINIFS($G$90:$G$91, $G$90:$G$91, "&gt;"&amp;0))</f>
        <v>1</v>
      </c>
    </row>
    <row r="94" spans="1:33" x14ac:dyDescent="0.2">
      <c r="G94" s="12"/>
    </row>
    <row r="102" spans="1:43" ht="15" x14ac:dyDescent="0.2">
      <c r="A102" s="89" t="s">
        <v>216</v>
      </c>
      <c r="B102" s="89"/>
      <c r="C102" s="89"/>
      <c r="D102" s="89"/>
      <c r="E102" s="89"/>
      <c r="F102" s="89"/>
      <c r="G102" s="204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</row>
    <row r="105" spans="1:43" x14ac:dyDescent="0.2"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</row>
    <row r="106" spans="1:43" x14ac:dyDescent="0.2">
      <c r="A106" s="1" t="s">
        <v>119</v>
      </c>
      <c r="C106" s="1" t="s">
        <v>186</v>
      </c>
      <c r="D106"/>
      <c r="E106"/>
      <c r="F106"/>
      <c r="G106" s="38" t="str">
        <f>PROPER($A$3)&amp;A106</f>
        <v>Option 4NPV</v>
      </c>
      <c r="I106" s="31">
        <f>I87</f>
        <v>445521.83741209941</v>
      </c>
      <c r="J106" s="31">
        <f t="shared" ref="J106:AG106" si="17">J87</f>
        <v>638218.81696087588</v>
      </c>
      <c r="K106" s="31">
        <f t="shared" si="17"/>
        <v>363631.21700514399</v>
      </c>
      <c r="L106" s="31">
        <f t="shared" si="17"/>
        <v>363631.21700514399</v>
      </c>
      <c r="M106" s="31">
        <f t="shared" si="17"/>
        <v>363631.21700514399</v>
      </c>
      <c r="N106" s="31">
        <f t="shared" si="17"/>
        <v>-100149.84069355321</v>
      </c>
      <c r="O106" s="31">
        <f t="shared" si="17"/>
        <v>-100149.84069355321</v>
      </c>
      <c r="P106" s="31">
        <f t="shared" si="17"/>
        <v>-100149.84069355321</v>
      </c>
      <c r="Q106" s="31">
        <f t="shared" si="17"/>
        <v>-386336.29313870287</v>
      </c>
      <c r="R106" s="31">
        <f t="shared" si="17"/>
        <v>-386336.29313870287</v>
      </c>
      <c r="S106" s="31">
        <f t="shared" si="17"/>
        <v>-100149.84069355321</v>
      </c>
      <c r="T106" s="31">
        <f t="shared" si="17"/>
        <v>-100149.84069355321</v>
      </c>
      <c r="U106" s="31">
        <f t="shared" si="17"/>
        <v>-100149.84069355321</v>
      </c>
      <c r="V106" s="31">
        <f t="shared" si="17"/>
        <v>-100149.84069355321</v>
      </c>
      <c r="W106" s="31">
        <f t="shared" si="17"/>
        <v>-100149.84069355321</v>
      </c>
      <c r="X106" s="31">
        <f t="shared" si="17"/>
        <v>-324662.52030250861</v>
      </c>
      <c r="Y106" s="31">
        <f t="shared" si="17"/>
        <v>-274587.599955732</v>
      </c>
      <c r="Z106" s="31">
        <f t="shared" si="17"/>
        <v>0</v>
      </c>
      <c r="AA106" s="31">
        <f t="shared" si="17"/>
        <v>0</v>
      </c>
      <c r="AB106" s="31">
        <f t="shared" si="17"/>
        <v>0</v>
      </c>
      <c r="AC106" s="31">
        <f t="shared" si="17"/>
        <v>15637874.556339899</v>
      </c>
      <c r="AD106" s="31">
        <f t="shared" si="17"/>
        <v>15637874.556339899</v>
      </c>
      <c r="AE106" s="31">
        <f t="shared" si="17"/>
        <v>15637874.556339899</v>
      </c>
      <c r="AF106" s="31">
        <f t="shared" si="17"/>
        <v>15637874.556339899</v>
      </c>
      <c r="AG106" s="31">
        <f t="shared" si="17"/>
        <v>15637874.556339899</v>
      </c>
    </row>
    <row r="107" spans="1:43" x14ac:dyDescent="0.2">
      <c r="C107" s="1" t="s">
        <v>156</v>
      </c>
      <c r="D107"/>
      <c r="E107"/>
      <c r="F107"/>
      <c r="G107"/>
      <c r="I107" s="31">
        <f>I82</f>
        <v>0</v>
      </c>
      <c r="J107" s="31">
        <f t="shared" ref="J107:AG107" si="18">J82</f>
        <v>-274587.599955732</v>
      </c>
      <c r="K107" s="31">
        <f t="shared" si="18"/>
        <v>-549175.19991146401</v>
      </c>
      <c r="L107" s="31">
        <f t="shared" si="18"/>
        <v>-549175.19991146401</v>
      </c>
      <c r="M107" s="31">
        <f t="shared" si="18"/>
        <v>-549175.19991146401</v>
      </c>
      <c r="N107" s="31">
        <f t="shared" si="18"/>
        <v>-549175.19991146401</v>
      </c>
      <c r="O107" s="31">
        <f t="shared" si="18"/>
        <v>-549175.19991146401</v>
      </c>
      <c r="P107" s="31">
        <f t="shared" si="18"/>
        <v>-549175.19991146401</v>
      </c>
      <c r="Q107" s="31">
        <f t="shared" si="18"/>
        <v>-549175.19991146401</v>
      </c>
      <c r="R107" s="31">
        <f t="shared" si="18"/>
        <v>-549175.19991146401</v>
      </c>
      <c r="S107" s="31">
        <f t="shared" si="18"/>
        <v>-549175.19991146401</v>
      </c>
      <c r="T107" s="31">
        <f t="shared" si="18"/>
        <v>-549175.19991146401</v>
      </c>
      <c r="U107" s="31">
        <f t="shared" si="18"/>
        <v>-549175.19991146401</v>
      </c>
      <c r="V107" s="31">
        <f t="shared" si="18"/>
        <v>-549175.19991146401</v>
      </c>
      <c r="W107" s="31">
        <f t="shared" si="18"/>
        <v>-549175.19991146401</v>
      </c>
      <c r="X107" s="31">
        <f t="shared" si="18"/>
        <v>-549175.19991146401</v>
      </c>
      <c r="Y107" s="31">
        <f t="shared" si="18"/>
        <v>-274587.599955732</v>
      </c>
      <c r="Z107" s="31">
        <f t="shared" si="18"/>
        <v>0</v>
      </c>
      <c r="AA107" s="31">
        <f t="shared" si="18"/>
        <v>0</v>
      </c>
      <c r="AB107" s="31">
        <f t="shared" si="18"/>
        <v>0</v>
      </c>
      <c r="AC107" s="31">
        <f t="shared" si="18"/>
        <v>0</v>
      </c>
      <c r="AD107" s="31">
        <f t="shared" si="18"/>
        <v>0</v>
      </c>
      <c r="AE107" s="31">
        <f t="shared" si="18"/>
        <v>0</v>
      </c>
      <c r="AF107" s="31">
        <f t="shared" si="18"/>
        <v>0</v>
      </c>
      <c r="AG107" s="31">
        <f t="shared" si="18"/>
        <v>0</v>
      </c>
    </row>
    <row r="108" spans="1:43" x14ac:dyDescent="0.2">
      <c r="C108" s="1" t="s">
        <v>239</v>
      </c>
      <c r="D108"/>
      <c r="E108"/>
      <c r="F108"/>
      <c r="G108"/>
      <c r="I108" s="31">
        <f>SUM(I84:I85)</f>
        <v>467284.57950450853</v>
      </c>
      <c r="J108" s="31">
        <f t="shared" ref="J108:AG108" si="19">SUM(J84:J85)</f>
        <v>934569.15900901705</v>
      </c>
      <c r="K108" s="31">
        <f t="shared" si="19"/>
        <v>934569.15900901705</v>
      </c>
      <c r="L108" s="31">
        <f t="shared" si="19"/>
        <v>934569.15900901705</v>
      </c>
      <c r="M108" s="31">
        <f t="shared" si="19"/>
        <v>934569.15900901705</v>
      </c>
      <c r="N108" s="31">
        <f t="shared" si="19"/>
        <v>934569.15900901705</v>
      </c>
      <c r="O108" s="31">
        <f t="shared" si="19"/>
        <v>934569.15900901705</v>
      </c>
      <c r="P108" s="31">
        <f t="shared" si="19"/>
        <v>934569.15900901705</v>
      </c>
      <c r="Q108" s="31">
        <f t="shared" si="19"/>
        <v>934569.15900901705</v>
      </c>
      <c r="R108" s="31">
        <f t="shared" si="19"/>
        <v>934569.15900901705</v>
      </c>
      <c r="S108" s="31">
        <f t="shared" si="19"/>
        <v>934569.15900901705</v>
      </c>
      <c r="T108" s="31">
        <f t="shared" si="19"/>
        <v>934569.15900901705</v>
      </c>
      <c r="U108" s="31">
        <f t="shared" si="19"/>
        <v>934569.15900901705</v>
      </c>
      <c r="V108" s="31">
        <f t="shared" si="19"/>
        <v>934569.15900901705</v>
      </c>
      <c r="W108" s="31">
        <f t="shared" si="19"/>
        <v>934569.15900901705</v>
      </c>
      <c r="X108" s="31">
        <f t="shared" si="19"/>
        <v>467284.57950450853</v>
      </c>
      <c r="Y108" s="31">
        <f t="shared" si="19"/>
        <v>0</v>
      </c>
      <c r="Z108" s="31">
        <f t="shared" si="19"/>
        <v>0</v>
      </c>
      <c r="AA108" s="31">
        <f t="shared" si="19"/>
        <v>0</v>
      </c>
      <c r="AB108" s="31">
        <f t="shared" si="19"/>
        <v>0</v>
      </c>
      <c r="AC108" s="31">
        <f t="shared" si="19"/>
        <v>15637874.556339899</v>
      </c>
      <c r="AD108" s="31">
        <f t="shared" si="19"/>
        <v>15637874.556339899</v>
      </c>
      <c r="AE108" s="31">
        <f t="shared" si="19"/>
        <v>15637874.556339899</v>
      </c>
      <c r="AF108" s="31">
        <f t="shared" si="19"/>
        <v>15637874.556339899</v>
      </c>
      <c r="AG108" s="31">
        <f t="shared" si="19"/>
        <v>15637874.556339899</v>
      </c>
    </row>
    <row r="109" spans="1:43" x14ac:dyDescent="0.2">
      <c r="D109" s="301" t="str">
        <f>Assumptions!G110</f>
        <v>Capex</v>
      </c>
      <c r="E109" s="301" t="str">
        <f>Assumptions!H110</f>
        <v>Total benefits</v>
      </c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</row>
    <row r="110" spans="1:43" x14ac:dyDescent="0.2">
      <c r="A110" s="1" t="str">
        <f>"sens"&amp;Assumptions!B111</f>
        <v>sens1</v>
      </c>
      <c r="C110" s="300" t="str">
        <f>Assumptions!C111</f>
        <v>Capex 10% higher</v>
      </c>
      <c r="D110" s="301">
        <f>Assumptions!G111</f>
        <v>0.1</v>
      </c>
      <c r="E110" s="301">
        <f>Assumptions!H111</f>
        <v>0</v>
      </c>
      <c r="G110" s="38" t="str">
        <f>PROPER($A$3)&amp;A110</f>
        <v>Option 4sens1</v>
      </c>
      <c r="I110" s="31" cm="1">
        <f t="array" ref="I110">I$106+IF($C110&lt;&gt;0,SUMPRODUCT((I$107:I$108)*TRANSPOSE(($D110:$E110))),0)</f>
        <v>445521.83741209941</v>
      </c>
      <c r="J110" s="31" cm="1">
        <f t="array" ref="J110">J$106+IF($C110&lt;&gt;0,SUMPRODUCT((J$107:J$108)*TRANSPOSE(($D110:$E110))),0)</f>
        <v>610760.05696530268</v>
      </c>
      <c r="K110" s="31" cm="1">
        <f t="array" ref="K110">K$106+IF($C110&lt;&gt;0,SUMPRODUCT((K$107:K$108)*TRANSPOSE(($D110:$E110))),0)</f>
        <v>308713.69701399759</v>
      </c>
      <c r="L110" s="31" cm="1">
        <f t="array" ref="L110">L$106+IF($C110&lt;&gt;0,SUMPRODUCT((L$107:L$108)*TRANSPOSE(($D110:$E110))),0)</f>
        <v>308713.69701399759</v>
      </c>
      <c r="M110" s="31" cm="1">
        <f t="array" ref="M110">M$106+IF($C110&lt;&gt;0,SUMPRODUCT((M$107:M$108)*TRANSPOSE(($D110:$E110))),0)</f>
        <v>308713.69701399759</v>
      </c>
      <c r="N110" s="31" cm="1">
        <f t="array" ref="N110">N$106+IF($C110&lt;&gt;0,SUMPRODUCT((N$107:N$108)*TRANSPOSE(($D110:$E110))),0)</f>
        <v>-155067.36068469961</v>
      </c>
      <c r="O110" s="31" cm="1">
        <f t="array" ref="O110">O$106+IF($C110&lt;&gt;0,SUMPRODUCT((O$107:O$108)*TRANSPOSE(($D110:$E110))),0)</f>
        <v>-155067.36068469961</v>
      </c>
      <c r="P110" s="31" cm="1">
        <f t="array" ref="P110">P$106+IF($C110&lt;&gt;0,SUMPRODUCT((P$107:P$108)*TRANSPOSE(($D110:$E110))),0)</f>
        <v>-155067.36068469961</v>
      </c>
      <c r="Q110" s="31" cm="1">
        <f t="array" ref="Q110">Q$106+IF($C110&lt;&gt;0,SUMPRODUCT((Q$107:Q$108)*TRANSPOSE(($D110:$E110))),0)</f>
        <v>-441253.81312984927</v>
      </c>
      <c r="R110" s="31" cm="1">
        <f t="array" ref="R110">R$106+IF($C110&lt;&gt;0,SUMPRODUCT((R$107:R$108)*TRANSPOSE(($D110:$E110))),0)</f>
        <v>-441253.81312984927</v>
      </c>
      <c r="S110" s="31" cm="1">
        <f t="array" ref="S110">S$106+IF($C110&lt;&gt;0,SUMPRODUCT((S$107:S$108)*TRANSPOSE(($D110:$E110))),0)</f>
        <v>-155067.36068469961</v>
      </c>
      <c r="T110" s="31" cm="1">
        <f t="array" ref="T110">T$106+IF($C110&lt;&gt;0,SUMPRODUCT((T$107:T$108)*TRANSPOSE(($D110:$E110))),0)</f>
        <v>-155067.36068469961</v>
      </c>
      <c r="U110" s="31" cm="1">
        <f t="array" ref="U110">U$106+IF($C110&lt;&gt;0,SUMPRODUCT((U$107:U$108)*TRANSPOSE(($D110:$E110))),0)</f>
        <v>-155067.36068469961</v>
      </c>
      <c r="V110" s="31" cm="1">
        <f t="array" ref="V110">V$106+IF($C110&lt;&gt;0,SUMPRODUCT((V$107:V$108)*TRANSPOSE(($D110:$E110))),0)</f>
        <v>-155067.36068469961</v>
      </c>
      <c r="W110" s="31" cm="1">
        <f t="array" ref="W110">W$106+IF($C110&lt;&gt;0,SUMPRODUCT((W$107:W$108)*TRANSPOSE(($D110:$E110))),0)</f>
        <v>-155067.36068469961</v>
      </c>
      <c r="X110" s="31" cm="1">
        <f t="array" ref="X110">X$106+IF($C110&lt;&gt;0,SUMPRODUCT((X$107:X$108)*TRANSPOSE(($D110:$E110))),0)</f>
        <v>-379580.04029365501</v>
      </c>
      <c r="Y110" s="31" cm="1">
        <f t="array" ref="Y110">Y$106+IF($C110&lt;&gt;0,SUMPRODUCT((Y$107:Y$108)*TRANSPOSE(($D110:$E110))),0)</f>
        <v>-302046.3599513052</v>
      </c>
      <c r="Z110" s="31" cm="1">
        <f t="array" ref="Z110">Z$106+IF($C110&lt;&gt;0,SUMPRODUCT((Z$107:Z$108)*TRANSPOSE(($D110:$E110))),0)</f>
        <v>0</v>
      </c>
      <c r="AA110" s="31" cm="1">
        <f t="array" ref="AA110">AA$106+IF($C110&lt;&gt;0,SUMPRODUCT((AA$107:AA$108)*TRANSPOSE(($D110:$E110))),0)</f>
        <v>0</v>
      </c>
      <c r="AB110" s="31" cm="1">
        <f t="array" ref="AB110">AB$106+IF($C110&lt;&gt;0,SUMPRODUCT((AB$107:AB$108)*TRANSPOSE(($D110:$E110))),0)</f>
        <v>0</v>
      </c>
      <c r="AC110" s="31" cm="1">
        <f t="array" ref="AC110">AC$106+IF($C110&lt;&gt;0,SUMPRODUCT((AC$107:AC$108)*TRANSPOSE(($D110:$E110))),0)</f>
        <v>15637874.556339899</v>
      </c>
      <c r="AD110" s="31" cm="1">
        <f t="array" ref="AD110">AD$106+IF($C110&lt;&gt;0,SUMPRODUCT((AD$107:AD$108)*TRANSPOSE(($D110:$E110))),0)</f>
        <v>15637874.556339899</v>
      </c>
      <c r="AE110" s="31" cm="1">
        <f t="array" ref="AE110">AE$106+IF($C110&lt;&gt;0,SUMPRODUCT((AE$107:AE$108)*TRANSPOSE(($D110:$E110))),0)</f>
        <v>15637874.556339899</v>
      </c>
      <c r="AF110" s="31" cm="1">
        <f t="array" ref="AF110">AF$106+IF($C110&lt;&gt;0,SUMPRODUCT((AF$107:AF$108)*TRANSPOSE(($D110:$E110))),0)</f>
        <v>15637874.556339899</v>
      </c>
      <c r="AG110" s="31" cm="1">
        <f t="array" ref="AG110">AG$106+IF($C110&lt;&gt;0,SUMPRODUCT((AG$107:AG$108)*TRANSPOSE(($D110:$E110))),0)</f>
        <v>15637874.556339899</v>
      </c>
    </row>
    <row r="111" spans="1:43" x14ac:dyDescent="0.2">
      <c r="A111" s="1" t="str">
        <f>"sens"&amp;Assumptions!B112</f>
        <v>sens2</v>
      </c>
      <c r="C111" s="300" t="str">
        <f>Assumptions!C112</f>
        <v>Capex 10% lower</v>
      </c>
      <c r="D111" s="301">
        <f>Assumptions!G112</f>
        <v>-0.1</v>
      </c>
      <c r="E111" s="301">
        <f>Assumptions!H112</f>
        <v>0</v>
      </c>
      <c r="G111" s="38" t="str">
        <f t="shared" ref="G111:G117" si="20">PROPER($A$3)&amp;A111</f>
        <v>Option 4sens2</v>
      </c>
      <c r="I111" s="31" cm="1">
        <f t="array" ref="I111">I$106+IF($C111&lt;&gt;0,SUMPRODUCT((I$107:I$108)*TRANSPOSE(($D111:$E111))),0)</f>
        <v>445521.83741209941</v>
      </c>
      <c r="J111" s="31" cm="1">
        <f t="array" ref="J111">J$106+IF($C111&lt;&gt;0,SUMPRODUCT((J$107:J$108)*TRANSPOSE(($D111:$E111))),0)</f>
        <v>665677.57695644908</v>
      </c>
      <c r="K111" s="31" cm="1">
        <f t="array" ref="K111">K$106+IF($C111&lt;&gt;0,SUMPRODUCT((K$107:K$108)*TRANSPOSE(($D111:$E111))),0)</f>
        <v>418548.73699629039</v>
      </c>
      <c r="L111" s="31" cm="1">
        <f t="array" ref="L111">L$106+IF($C111&lt;&gt;0,SUMPRODUCT((L$107:L$108)*TRANSPOSE(($D111:$E111))),0)</f>
        <v>418548.73699629039</v>
      </c>
      <c r="M111" s="31" cm="1">
        <f t="array" ref="M111">M$106+IF($C111&lt;&gt;0,SUMPRODUCT((M$107:M$108)*TRANSPOSE(($D111:$E111))),0)</f>
        <v>418548.73699629039</v>
      </c>
      <c r="N111" s="31" cm="1">
        <f t="array" ref="N111">N$106+IF($C111&lt;&gt;0,SUMPRODUCT((N$107:N$108)*TRANSPOSE(($D111:$E111))),0)</f>
        <v>-45232.320702406811</v>
      </c>
      <c r="O111" s="31" cm="1">
        <f t="array" ref="O111">O$106+IF($C111&lt;&gt;0,SUMPRODUCT((O$107:O$108)*TRANSPOSE(($D111:$E111))),0)</f>
        <v>-45232.320702406811</v>
      </c>
      <c r="P111" s="31" cm="1">
        <f t="array" ref="P111">P$106+IF($C111&lt;&gt;0,SUMPRODUCT((P$107:P$108)*TRANSPOSE(($D111:$E111))),0)</f>
        <v>-45232.320702406811</v>
      </c>
      <c r="Q111" s="31" cm="1">
        <f t="array" ref="Q111">Q$106+IF($C111&lt;&gt;0,SUMPRODUCT((Q$107:Q$108)*TRANSPOSE(($D111:$E111))),0)</f>
        <v>-331418.77314755647</v>
      </c>
      <c r="R111" s="31" cm="1">
        <f t="array" ref="R111">R$106+IF($C111&lt;&gt;0,SUMPRODUCT((R$107:R$108)*TRANSPOSE(($D111:$E111))),0)</f>
        <v>-331418.77314755647</v>
      </c>
      <c r="S111" s="31" cm="1">
        <f t="array" ref="S111">S$106+IF($C111&lt;&gt;0,SUMPRODUCT((S$107:S$108)*TRANSPOSE(($D111:$E111))),0)</f>
        <v>-45232.320702406811</v>
      </c>
      <c r="T111" s="31" cm="1">
        <f t="array" ref="T111">T$106+IF($C111&lt;&gt;0,SUMPRODUCT((T$107:T$108)*TRANSPOSE(($D111:$E111))),0)</f>
        <v>-45232.320702406811</v>
      </c>
      <c r="U111" s="31" cm="1">
        <f t="array" ref="U111">U$106+IF($C111&lt;&gt;0,SUMPRODUCT((U$107:U$108)*TRANSPOSE(($D111:$E111))),0)</f>
        <v>-45232.320702406811</v>
      </c>
      <c r="V111" s="31" cm="1">
        <f t="array" ref="V111">V$106+IF($C111&lt;&gt;0,SUMPRODUCT((V$107:V$108)*TRANSPOSE(($D111:$E111))),0)</f>
        <v>-45232.320702406811</v>
      </c>
      <c r="W111" s="31" cm="1">
        <f t="array" ref="W111">W$106+IF($C111&lt;&gt;0,SUMPRODUCT((W$107:W$108)*TRANSPOSE(($D111:$E111))),0)</f>
        <v>-45232.320702406811</v>
      </c>
      <c r="X111" s="31" cm="1">
        <f t="array" ref="X111">X$106+IF($C111&lt;&gt;0,SUMPRODUCT((X$107:X$108)*TRANSPOSE(($D111:$E111))),0)</f>
        <v>-269745.00031136221</v>
      </c>
      <c r="Y111" s="31" cm="1">
        <f t="array" ref="Y111">Y$106+IF($C111&lt;&gt;0,SUMPRODUCT((Y$107:Y$108)*TRANSPOSE(($D111:$E111))),0)</f>
        <v>-247128.8399601588</v>
      </c>
      <c r="Z111" s="31" cm="1">
        <f t="array" ref="Z111">Z$106+IF($C111&lt;&gt;0,SUMPRODUCT((Z$107:Z$108)*TRANSPOSE(($D111:$E111))),0)</f>
        <v>0</v>
      </c>
      <c r="AA111" s="31" cm="1">
        <f t="array" ref="AA111">AA$106+IF($C111&lt;&gt;0,SUMPRODUCT((AA$107:AA$108)*TRANSPOSE(($D111:$E111))),0)</f>
        <v>0</v>
      </c>
      <c r="AB111" s="31" cm="1">
        <f t="array" ref="AB111">AB$106+IF($C111&lt;&gt;0,SUMPRODUCT((AB$107:AB$108)*TRANSPOSE(($D111:$E111))),0)</f>
        <v>0</v>
      </c>
      <c r="AC111" s="31" cm="1">
        <f t="array" ref="AC111">AC$106+IF($C111&lt;&gt;0,SUMPRODUCT((AC$107:AC$108)*TRANSPOSE(($D111:$E111))),0)</f>
        <v>15637874.556339899</v>
      </c>
      <c r="AD111" s="31" cm="1">
        <f t="array" ref="AD111">AD$106+IF($C111&lt;&gt;0,SUMPRODUCT((AD$107:AD$108)*TRANSPOSE(($D111:$E111))),0)</f>
        <v>15637874.556339899</v>
      </c>
      <c r="AE111" s="31" cm="1">
        <f t="array" ref="AE111">AE$106+IF($C111&lt;&gt;0,SUMPRODUCT((AE$107:AE$108)*TRANSPOSE(($D111:$E111))),0)</f>
        <v>15637874.556339899</v>
      </c>
      <c r="AF111" s="31" cm="1">
        <f t="array" ref="AF111">AF$106+IF($C111&lt;&gt;0,SUMPRODUCT((AF$107:AF$108)*TRANSPOSE(($D111:$E111))),0)</f>
        <v>15637874.556339899</v>
      </c>
      <c r="AG111" s="31" cm="1">
        <f t="array" ref="AG111">AG$106+IF($C111&lt;&gt;0,SUMPRODUCT((AG$107:AG$108)*TRANSPOSE(($D111:$E111))),0)</f>
        <v>15637874.556339899</v>
      </c>
    </row>
    <row r="112" spans="1:43" x14ac:dyDescent="0.2">
      <c r="A112" s="1" t="str">
        <f>"sens"&amp;Assumptions!B113</f>
        <v>sens3</v>
      </c>
      <c r="C112" s="300" t="str">
        <f>Assumptions!C113</f>
        <v>Total benefits 10% higher</v>
      </c>
      <c r="D112" s="301">
        <f>Assumptions!G113</f>
        <v>0</v>
      </c>
      <c r="E112" s="301">
        <f>Assumptions!H113</f>
        <v>0.1</v>
      </c>
      <c r="G112" s="38" t="str">
        <f t="shared" si="20"/>
        <v>Option 4sens3</v>
      </c>
      <c r="I112" s="31" cm="1">
        <f t="array" ref="I112">I$106+IF($C112&lt;&gt;0,SUMPRODUCT((I$107:I$108)*TRANSPOSE(($D112:$E112))),0)</f>
        <v>492250.2953625503</v>
      </c>
      <c r="J112" s="31" cm="1">
        <f t="array" ref="J112">J$106+IF($C112&lt;&gt;0,SUMPRODUCT((J$107:J$108)*TRANSPOSE(($D112:$E112))),0)</f>
        <v>731675.73286177753</v>
      </c>
      <c r="K112" s="31" cm="1">
        <f t="array" ref="K112">K$106+IF($C112&lt;&gt;0,SUMPRODUCT((K$107:K$108)*TRANSPOSE(($D112:$E112))),0)</f>
        <v>457088.13290604571</v>
      </c>
      <c r="L112" s="31" cm="1">
        <f t="array" ref="L112">L$106+IF($C112&lt;&gt;0,SUMPRODUCT((L$107:L$108)*TRANSPOSE(($D112:$E112))),0)</f>
        <v>457088.13290604571</v>
      </c>
      <c r="M112" s="31" cm="1">
        <f t="array" ref="M112">M$106+IF($C112&lt;&gt;0,SUMPRODUCT((M$107:M$108)*TRANSPOSE(($D112:$E112))),0)</f>
        <v>457088.13290604571</v>
      </c>
      <c r="N112" s="31" cm="1">
        <f t="array" ref="N112">N$106+IF($C112&lt;&gt;0,SUMPRODUCT((N$107:N$108)*TRANSPOSE(($D112:$E112))),0)</f>
        <v>-6692.9247926514945</v>
      </c>
      <c r="O112" s="31" cm="1">
        <f t="array" ref="O112">O$106+IF($C112&lt;&gt;0,SUMPRODUCT((O$107:O$108)*TRANSPOSE(($D112:$E112))),0)</f>
        <v>-6692.9247926514945</v>
      </c>
      <c r="P112" s="31" cm="1">
        <f t="array" ref="P112">P$106+IF($C112&lt;&gt;0,SUMPRODUCT((P$107:P$108)*TRANSPOSE(($D112:$E112))),0)</f>
        <v>-6692.9247926514945</v>
      </c>
      <c r="Q112" s="31" cm="1">
        <f t="array" ref="Q112">Q$106+IF($C112&lt;&gt;0,SUMPRODUCT((Q$107:Q$108)*TRANSPOSE(($D112:$E112))),0)</f>
        <v>-292879.37723780115</v>
      </c>
      <c r="R112" s="31" cm="1">
        <f t="array" ref="R112">R$106+IF($C112&lt;&gt;0,SUMPRODUCT((R$107:R$108)*TRANSPOSE(($D112:$E112))),0)</f>
        <v>-292879.37723780115</v>
      </c>
      <c r="S112" s="31" cm="1">
        <f t="array" ref="S112">S$106+IF($C112&lt;&gt;0,SUMPRODUCT((S$107:S$108)*TRANSPOSE(($D112:$E112))),0)</f>
        <v>-6692.9247926514945</v>
      </c>
      <c r="T112" s="31" cm="1">
        <f t="array" ref="T112">T$106+IF($C112&lt;&gt;0,SUMPRODUCT((T$107:T$108)*TRANSPOSE(($D112:$E112))),0)</f>
        <v>-6692.9247926514945</v>
      </c>
      <c r="U112" s="31" cm="1">
        <f t="array" ref="U112">U$106+IF($C112&lt;&gt;0,SUMPRODUCT((U$107:U$108)*TRANSPOSE(($D112:$E112))),0)</f>
        <v>-6692.9247926514945</v>
      </c>
      <c r="V112" s="31" cm="1">
        <f t="array" ref="V112">V$106+IF($C112&lt;&gt;0,SUMPRODUCT((V$107:V$108)*TRANSPOSE(($D112:$E112))),0)</f>
        <v>-6692.9247926514945</v>
      </c>
      <c r="W112" s="31" cm="1">
        <f t="array" ref="W112">W$106+IF($C112&lt;&gt;0,SUMPRODUCT((W$107:W$108)*TRANSPOSE(($D112:$E112))),0)</f>
        <v>-6692.9247926514945</v>
      </c>
      <c r="X112" s="31" cm="1">
        <f t="array" ref="X112">X$106+IF($C112&lt;&gt;0,SUMPRODUCT((X$107:X$108)*TRANSPOSE(($D112:$E112))),0)</f>
        <v>-277934.06235205778</v>
      </c>
      <c r="Y112" s="31" cm="1">
        <f t="array" ref="Y112">Y$106+IF($C112&lt;&gt;0,SUMPRODUCT((Y$107:Y$108)*TRANSPOSE(($D112:$E112))),0)</f>
        <v>-274587.599955732</v>
      </c>
      <c r="Z112" s="31" cm="1">
        <f t="array" ref="Z112">Z$106+IF($C112&lt;&gt;0,SUMPRODUCT((Z$107:Z$108)*TRANSPOSE(($D112:$E112))),0)</f>
        <v>0</v>
      </c>
      <c r="AA112" s="31" cm="1">
        <f t="array" ref="AA112">AA$106+IF($C112&lt;&gt;0,SUMPRODUCT((AA$107:AA$108)*TRANSPOSE(($D112:$E112))),0)</f>
        <v>0</v>
      </c>
      <c r="AB112" s="31" cm="1">
        <f t="array" ref="AB112">AB$106+IF($C112&lt;&gt;0,SUMPRODUCT((AB$107:AB$108)*TRANSPOSE(($D112:$E112))),0)</f>
        <v>0</v>
      </c>
      <c r="AC112" s="31" cm="1">
        <f t="array" ref="AC112">AC$106+IF($C112&lt;&gt;0,SUMPRODUCT((AC$107:AC$108)*TRANSPOSE(($D112:$E112))),0)</f>
        <v>17201662.011973888</v>
      </c>
      <c r="AD112" s="31" cm="1">
        <f t="array" ref="AD112">AD$106+IF($C112&lt;&gt;0,SUMPRODUCT((AD$107:AD$108)*TRANSPOSE(($D112:$E112))),0)</f>
        <v>17201662.011973888</v>
      </c>
      <c r="AE112" s="31" cm="1">
        <f t="array" ref="AE112">AE$106+IF($C112&lt;&gt;0,SUMPRODUCT((AE$107:AE$108)*TRANSPOSE(($D112:$E112))),0)</f>
        <v>17201662.011973888</v>
      </c>
      <c r="AF112" s="31" cm="1">
        <f t="array" ref="AF112">AF$106+IF($C112&lt;&gt;0,SUMPRODUCT((AF$107:AF$108)*TRANSPOSE(($D112:$E112))),0)</f>
        <v>17201662.011973888</v>
      </c>
      <c r="AG112" s="31" cm="1">
        <f t="array" ref="AG112">AG$106+IF($C112&lt;&gt;0,SUMPRODUCT((AG$107:AG$108)*TRANSPOSE(($D112:$E112))),0)</f>
        <v>17201662.011973888</v>
      </c>
    </row>
    <row r="113" spans="1:33" x14ac:dyDescent="0.2">
      <c r="A113" s="1" t="str">
        <f>"sens"&amp;Assumptions!B114</f>
        <v>sens4</v>
      </c>
      <c r="C113" s="300" t="str">
        <f>Assumptions!C114</f>
        <v>Total benefits 10% lower</v>
      </c>
      <c r="D113" s="301">
        <f>Assumptions!G114</f>
        <v>0</v>
      </c>
      <c r="E113" s="301">
        <f>Assumptions!H114</f>
        <v>-0.1</v>
      </c>
      <c r="G113" s="38" t="str">
        <f t="shared" si="20"/>
        <v>Option 4sens4</v>
      </c>
      <c r="I113" s="31" cm="1">
        <f t="array" ref="I113">I$106+IF($C113&lt;&gt;0,SUMPRODUCT((I$107:I$108)*TRANSPOSE(($D113:$E113))),0)</f>
        <v>398793.37946164852</v>
      </c>
      <c r="J113" s="31" cm="1">
        <f t="array" ref="J113">J$106+IF($C113&lt;&gt;0,SUMPRODUCT((J$107:J$108)*TRANSPOSE(($D113:$E113))),0)</f>
        <v>544761.90105997422</v>
      </c>
      <c r="K113" s="31" cm="1">
        <f t="array" ref="K113">K$106+IF($C113&lt;&gt;0,SUMPRODUCT((K$107:K$108)*TRANSPOSE(($D113:$E113))),0)</f>
        <v>270174.30110424227</v>
      </c>
      <c r="L113" s="31" cm="1">
        <f t="array" ref="L113">L$106+IF($C113&lt;&gt;0,SUMPRODUCT((L$107:L$108)*TRANSPOSE(($D113:$E113))),0)</f>
        <v>270174.30110424227</v>
      </c>
      <c r="M113" s="31" cm="1">
        <f t="array" ref="M113">M$106+IF($C113&lt;&gt;0,SUMPRODUCT((M$107:M$108)*TRANSPOSE(($D113:$E113))),0)</f>
        <v>270174.30110424227</v>
      </c>
      <c r="N113" s="31" cm="1">
        <f t="array" ref="N113">N$106+IF($C113&lt;&gt;0,SUMPRODUCT((N$107:N$108)*TRANSPOSE(($D113:$E113))),0)</f>
        <v>-193606.75659445493</v>
      </c>
      <c r="O113" s="31" cm="1">
        <f t="array" ref="O113">O$106+IF($C113&lt;&gt;0,SUMPRODUCT((O$107:O$108)*TRANSPOSE(($D113:$E113))),0)</f>
        <v>-193606.75659445493</v>
      </c>
      <c r="P113" s="31" cm="1">
        <f t="array" ref="P113">P$106+IF($C113&lt;&gt;0,SUMPRODUCT((P$107:P$108)*TRANSPOSE(($D113:$E113))),0)</f>
        <v>-193606.75659445493</v>
      </c>
      <c r="Q113" s="31" cm="1">
        <f t="array" ref="Q113">Q$106+IF($C113&lt;&gt;0,SUMPRODUCT((Q$107:Q$108)*TRANSPOSE(($D113:$E113))),0)</f>
        <v>-479793.20903960458</v>
      </c>
      <c r="R113" s="31" cm="1">
        <f t="array" ref="R113">R$106+IF($C113&lt;&gt;0,SUMPRODUCT((R$107:R$108)*TRANSPOSE(($D113:$E113))),0)</f>
        <v>-479793.20903960458</v>
      </c>
      <c r="S113" s="31" cm="1">
        <f t="array" ref="S113">S$106+IF($C113&lt;&gt;0,SUMPRODUCT((S$107:S$108)*TRANSPOSE(($D113:$E113))),0)</f>
        <v>-193606.75659445493</v>
      </c>
      <c r="T113" s="31" cm="1">
        <f t="array" ref="T113">T$106+IF($C113&lt;&gt;0,SUMPRODUCT((T$107:T$108)*TRANSPOSE(($D113:$E113))),0)</f>
        <v>-193606.75659445493</v>
      </c>
      <c r="U113" s="31" cm="1">
        <f t="array" ref="U113">U$106+IF($C113&lt;&gt;0,SUMPRODUCT((U$107:U$108)*TRANSPOSE(($D113:$E113))),0)</f>
        <v>-193606.75659445493</v>
      </c>
      <c r="V113" s="31" cm="1">
        <f t="array" ref="V113">V$106+IF($C113&lt;&gt;0,SUMPRODUCT((V$107:V$108)*TRANSPOSE(($D113:$E113))),0)</f>
        <v>-193606.75659445493</v>
      </c>
      <c r="W113" s="31" cm="1">
        <f t="array" ref="W113">W$106+IF($C113&lt;&gt;0,SUMPRODUCT((W$107:W$108)*TRANSPOSE(($D113:$E113))),0)</f>
        <v>-193606.75659445493</v>
      </c>
      <c r="X113" s="31" cm="1">
        <f t="array" ref="X113">X$106+IF($C113&lt;&gt;0,SUMPRODUCT((X$107:X$108)*TRANSPOSE(($D113:$E113))),0)</f>
        <v>-371390.97825295944</v>
      </c>
      <c r="Y113" s="31" cm="1">
        <f t="array" ref="Y113">Y$106+IF($C113&lt;&gt;0,SUMPRODUCT((Y$107:Y$108)*TRANSPOSE(($D113:$E113))),0)</f>
        <v>-274587.599955732</v>
      </c>
      <c r="Z113" s="31" cm="1">
        <f t="array" ref="Z113">Z$106+IF($C113&lt;&gt;0,SUMPRODUCT((Z$107:Z$108)*TRANSPOSE(($D113:$E113))),0)</f>
        <v>0</v>
      </c>
      <c r="AA113" s="31" cm="1">
        <f t="array" ref="AA113">AA$106+IF($C113&lt;&gt;0,SUMPRODUCT((AA$107:AA$108)*TRANSPOSE(($D113:$E113))),0)</f>
        <v>0</v>
      </c>
      <c r="AB113" s="31" cm="1">
        <f t="array" ref="AB113">AB$106+IF($C113&lt;&gt;0,SUMPRODUCT((AB$107:AB$108)*TRANSPOSE(($D113:$E113))),0)</f>
        <v>0</v>
      </c>
      <c r="AC113" s="31" cm="1">
        <f t="array" ref="AC113">AC$106+IF($C113&lt;&gt;0,SUMPRODUCT((AC$107:AC$108)*TRANSPOSE(($D113:$E113))),0)</f>
        <v>14074087.100705909</v>
      </c>
      <c r="AD113" s="31" cm="1">
        <f t="array" ref="AD113">AD$106+IF($C113&lt;&gt;0,SUMPRODUCT((AD$107:AD$108)*TRANSPOSE(($D113:$E113))),0)</f>
        <v>14074087.100705909</v>
      </c>
      <c r="AE113" s="31" cm="1">
        <f t="array" ref="AE113">AE$106+IF($C113&lt;&gt;0,SUMPRODUCT((AE$107:AE$108)*TRANSPOSE(($D113:$E113))),0)</f>
        <v>14074087.100705909</v>
      </c>
      <c r="AF113" s="31" cm="1">
        <f t="array" ref="AF113">AF$106+IF($C113&lt;&gt;0,SUMPRODUCT((AF$107:AF$108)*TRANSPOSE(($D113:$E113))),0)</f>
        <v>14074087.100705909</v>
      </c>
      <c r="AG113" s="31" cm="1">
        <f t="array" ref="AG113">AG$106+IF($C113&lt;&gt;0,SUMPRODUCT((AG$107:AG$108)*TRANSPOSE(($D113:$E113))),0)</f>
        <v>14074087.100705909</v>
      </c>
    </row>
    <row r="114" spans="1:33" x14ac:dyDescent="0.2">
      <c r="A114" s="1" t="str">
        <f>"sens"&amp;Assumptions!B115</f>
        <v>sens5</v>
      </c>
      <c r="C114" s="300" t="str">
        <f>Assumptions!C115</f>
        <v>Capex 10% higher &amp; Total benefits 10% lower</v>
      </c>
      <c r="D114" s="301">
        <f>Assumptions!G115</f>
        <v>0.1</v>
      </c>
      <c r="E114" s="301">
        <f>Assumptions!H115</f>
        <v>-0.1</v>
      </c>
      <c r="G114" s="38" t="str">
        <f t="shared" si="20"/>
        <v>Option 4sens5</v>
      </c>
      <c r="I114" s="31" cm="1">
        <f t="array" ref="I114">I$106+IF($C114&lt;&gt;0,SUMPRODUCT((I$107:I$108)*TRANSPOSE(($D114:$E114))),0)</f>
        <v>398793.37946164852</v>
      </c>
      <c r="J114" s="31" cm="1">
        <f t="array" ref="J114">J$106+IF($C114&lt;&gt;0,SUMPRODUCT((J$107:J$108)*TRANSPOSE(($D114:$E114))),0)</f>
        <v>517303.14106440096</v>
      </c>
      <c r="K114" s="31" cm="1">
        <f t="array" ref="K114">K$106+IF($C114&lt;&gt;0,SUMPRODUCT((K$107:K$108)*TRANSPOSE(($D114:$E114))),0)</f>
        <v>215256.78111309587</v>
      </c>
      <c r="L114" s="31" cm="1">
        <f t="array" ref="L114">L$106+IF($C114&lt;&gt;0,SUMPRODUCT((L$107:L$108)*TRANSPOSE(($D114:$E114))),0)</f>
        <v>215256.78111309587</v>
      </c>
      <c r="M114" s="31" cm="1">
        <f t="array" ref="M114">M$106+IF($C114&lt;&gt;0,SUMPRODUCT((M$107:M$108)*TRANSPOSE(($D114:$E114))),0)</f>
        <v>215256.78111309587</v>
      </c>
      <c r="N114" s="31" cm="1">
        <f t="array" ref="N114">N$106+IF($C114&lt;&gt;0,SUMPRODUCT((N$107:N$108)*TRANSPOSE(($D114:$E114))),0)</f>
        <v>-248524.27658560133</v>
      </c>
      <c r="O114" s="31" cm="1">
        <f t="array" ref="O114">O$106+IF($C114&lt;&gt;0,SUMPRODUCT((O$107:O$108)*TRANSPOSE(($D114:$E114))),0)</f>
        <v>-248524.27658560133</v>
      </c>
      <c r="P114" s="31" cm="1">
        <f t="array" ref="P114">P$106+IF($C114&lt;&gt;0,SUMPRODUCT((P$107:P$108)*TRANSPOSE(($D114:$E114))),0)</f>
        <v>-248524.27658560133</v>
      </c>
      <c r="Q114" s="31" cm="1">
        <f t="array" ref="Q114">Q$106+IF($C114&lt;&gt;0,SUMPRODUCT((Q$107:Q$108)*TRANSPOSE(($D114:$E114))),0)</f>
        <v>-534710.72903075092</v>
      </c>
      <c r="R114" s="31" cm="1">
        <f t="array" ref="R114">R$106+IF($C114&lt;&gt;0,SUMPRODUCT((R$107:R$108)*TRANSPOSE(($D114:$E114))),0)</f>
        <v>-534710.72903075092</v>
      </c>
      <c r="S114" s="31" cm="1">
        <f t="array" ref="S114">S$106+IF($C114&lt;&gt;0,SUMPRODUCT((S$107:S$108)*TRANSPOSE(($D114:$E114))),0)</f>
        <v>-248524.27658560133</v>
      </c>
      <c r="T114" s="31" cm="1">
        <f t="array" ref="T114">T$106+IF($C114&lt;&gt;0,SUMPRODUCT((T$107:T$108)*TRANSPOSE(($D114:$E114))),0)</f>
        <v>-248524.27658560133</v>
      </c>
      <c r="U114" s="31" cm="1">
        <f t="array" ref="U114">U$106+IF($C114&lt;&gt;0,SUMPRODUCT((U$107:U$108)*TRANSPOSE(($D114:$E114))),0)</f>
        <v>-248524.27658560133</v>
      </c>
      <c r="V114" s="31" cm="1">
        <f t="array" ref="V114">V$106+IF($C114&lt;&gt;0,SUMPRODUCT((V$107:V$108)*TRANSPOSE(($D114:$E114))),0)</f>
        <v>-248524.27658560133</v>
      </c>
      <c r="W114" s="31" cm="1">
        <f t="array" ref="W114">W$106+IF($C114&lt;&gt;0,SUMPRODUCT((W$107:W$108)*TRANSPOSE(($D114:$E114))),0)</f>
        <v>-248524.27658560133</v>
      </c>
      <c r="X114" s="31" cm="1">
        <f t="array" ref="X114">X$106+IF($C114&lt;&gt;0,SUMPRODUCT((X$107:X$108)*TRANSPOSE(($D114:$E114))),0)</f>
        <v>-426308.49824410584</v>
      </c>
      <c r="Y114" s="31" cm="1">
        <f t="array" ref="Y114">Y$106+IF($C114&lt;&gt;0,SUMPRODUCT((Y$107:Y$108)*TRANSPOSE(($D114:$E114))),0)</f>
        <v>-302046.3599513052</v>
      </c>
      <c r="Z114" s="31" cm="1">
        <f t="array" ref="Z114">Z$106+IF($C114&lt;&gt;0,SUMPRODUCT((Z$107:Z$108)*TRANSPOSE(($D114:$E114))),0)</f>
        <v>0</v>
      </c>
      <c r="AA114" s="31" cm="1">
        <f t="array" ref="AA114">AA$106+IF($C114&lt;&gt;0,SUMPRODUCT((AA$107:AA$108)*TRANSPOSE(($D114:$E114))),0)</f>
        <v>0</v>
      </c>
      <c r="AB114" s="31" cm="1">
        <f t="array" ref="AB114">AB$106+IF($C114&lt;&gt;0,SUMPRODUCT((AB$107:AB$108)*TRANSPOSE(($D114:$E114))),0)</f>
        <v>0</v>
      </c>
      <c r="AC114" s="31" cm="1">
        <f t="array" ref="AC114">AC$106+IF($C114&lt;&gt;0,SUMPRODUCT((AC$107:AC$108)*TRANSPOSE(($D114:$E114))),0)</f>
        <v>14074087.100705909</v>
      </c>
      <c r="AD114" s="31" cm="1">
        <f t="array" ref="AD114">AD$106+IF($C114&lt;&gt;0,SUMPRODUCT((AD$107:AD$108)*TRANSPOSE(($D114:$E114))),0)</f>
        <v>14074087.100705909</v>
      </c>
      <c r="AE114" s="31" cm="1">
        <f t="array" ref="AE114">AE$106+IF($C114&lt;&gt;0,SUMPRODUCT((AE$107:AE$108)*TRANSPOSE(($D114:$E114))),0)</f>
        <v>14074087.100705909</v>
      </c>
      <c r="AF114" s="31" cm="1">
        <f t="array" ref="AF114">AF$106+IF($C114&lt;&gt;0,SUMPRODUCT((AF$107:AF$108)*TRANSPOSE(($D114:$E114))),0)</f>
        <v>14074087.100705909</v>
      </c>
      <c r="AG114" s="31" cm="1">
        <f t="array" ref="AG114">AG$106+IF($C114&lt;&gt;0,SUMPRODUCT((AG$107:AG$108)*TRANSPOSE(($D114:$E114))),0)</f>
        <v>14074087.100705909</v>
      </c>
    </row>
    <row r="115" spans="1:33" x14ac:dyDescent="0.2">
      <c r="A115" s="1" t="str">
        <f>"sens"&amp;Assumptions!B116</f>
        <v>sens</v>
      </c>
      <c r="C115" s="300">
        <f>Assumptions!C116</f>
        <v>0</v>
      </c>
      <c r="D115" s="301">
        <f>Assumptions!G116</f>
        <v>0</v>
      </c>
      <c r="E115" s="301">
        <f>Assumptions!H116</f>
        <v>0</v>
      </c>
      <c r="G115" s="38" t="str">
        <f t="shared" si="20"/>
        <v>Option 4sens</v>
      </c>
      <c r="I115" s="31" cm="1">
        <f t="array" ref="I115">I$106+IF($C115&lt;&gt;0,SUMPRODUCT((I$107:I$108)*TRANSPOSE(($D115:$E115))),0)</f>
        <v>445521.83741209941</v>
      </c>
      <c r="J115" s="31" cm="1">
        <f t="array" ref="J115">J$106+IF($C115&lt;&gt;0,SUMPRODUCT((J$107:J$108)*TRANSPOSE(($D115:$E115))),0)</f>
        <v>638218.81696087588</v>
      </c>
      <c r="K115" s="31" cm="1">
        <f t="array" ref="K115">K$106+IF($C115&lt;&gt;0,SUMPRODUCT((K$107:K$108)*TRANSPOSE(($D115:$E115))),0)</f>
        <v>363631.21700514399</v>
      </c>
      <c r="L115" s="31" cm="1">
        <f t="array" ref="L115">L$106+IF($C115&lt;&gt;0,SUMPRODUCT((L$107:L$108)*TRANSPOSE(($D115:$E115))),0)</f>
        <v>363631.21700514399</v>
      </c>
      <c r="M115" s="31" cm="1">
        <f t="array" ref="M115">M$106+IF($C115&lt;&gt;0,SUMPRODUCT((M$107:M$108)*TRANSPOSE(($D115:$E115))),0)</f>
        <v>363631.21700514399</v>
      </c>
      <c r="N115" s="31" cm="1">
        <f t="array" ref="N115">N$106+IF($C115&lt;&gt;0,SUMPRODUCT((N$107:N$108)*TRANSPOSE(($D115:$E115))),0)</f>
        <v>-100149.84069355321</v>
      </c>
      <c r="O115" s="31" cm="1">
        <f t="array" ref="O115">O$106+IF($C115&lt;&gt;0,SUMPRODUCT((O$107:O$108)*TRANSPOSE(($D115:$E115))),0)</f>
        <v>-100149.84069355321</v>
      </c>
      <c r="P115" s="31" cm="1">
        <f t="array" ref="P115">P$106+IF($C115&lt;&gt;0,SUMPRODUCT((P$107:P$108)*TRANSPOSE(($D115:$E115))),0)</f>
        <v>-100149.84069355321</v>
      </c>
      <c r="Q115" s="31" cm="1">
        <f t="array" ref="Q115">Q$106+IF($C115&lt;&gt;0,SUMPRODUCT((Q$107:Q$108)*TRANSPOSE(($D115:$E115))),0)</f>
        <v>-386336.29313870287</v>
      </c>
      <c r="R115" s="31" cm="1">
        <f t="array" ref="R115">R$106+IF($C115&lt;&gt;0,SUMPRODUCT((R$107:R$108)*TRANSPOSE(($D115:$E115))),0)</f>
        <v>-386336.29313870287</v>
      </c>
      <c r="S115" s="31" cm="1">
        <f t="array" ref="S115">S$106+IF($C115&lt;&gt;0,SUMPRODUCT((S$107:S$108)*TRANSPOSE(($D115:$E115))),0)</f>
        <v>-100149.84069355321</v>
      </c>
      <c r="T115" s="31" cm="1">
        <f t="array" ref="T115">T$106+IF($C115&lt;&gt;0,SUMPRODUCT((T$107:T$108)*TRANSPOSE(($D115:$E115))),0)</f>
        <v>-100149.84069355321</v>
      </c>
      <c r="U115" s="31" cm="1">
        <f t="array" ref="U115">U$106+IF($C115&lt;&gt;0,SUMPRODUCT((U$107:U$108)*TRANSPOSE(($D115:$E115))),0)</f>
        <v>-100149.84069355321</v>
      </c>
      <c r="V115" s="31" cm="1">
        <f t="array" ref="V115">V$106+IF($C115&lt;&gt;0,SUMPRODUCT((V$107:V$108)*TRANSPOSE(($D115:$E115))),0)</f>
        <v>-100149.84069355321</v>
      </c>
      <c r="W115" s="31" cm="1">
        <f t="array" ref="W115">W$106+IF($C115&lt;&gt;0,SUMPRODUCT((W$107:W$108)*TRANSPOSE(($D115:$E115))),0)</f>
        <v>-100149.84069355321</v>
      </c>
      <c r="X115" s="31" cm="1">
        <f t="array" ref="X115">X$106+IF($C115&lt;&gt;0,SUMPRODUCT((X$107:X$108)*TRANSPOSE(($D115:$E115))),0)</f>
        <v>-324662.52030250861</v>
      </c>
      <c r="Y115" s="31" cm="1">
        <f t="array" ref="Y115">Y$106+IF($C115&lt;&gt;0,SUMPRODUCT((Y$107:Y$108)*TRANSPOSE(($D115:$E115))),0)</f>
        <v>-274587.599955732</v>
      </c>
      <c r="Z115" s="31" cm="1">
        <f t="array" ref="Z115">Z$106+IF($C115&lt;&gt;0,SUMPRODUCT((Z$107:Z$108)*TRANSPOSE(($D115:$E115))),0)</f>
        <v>0</v>
      </c>
      <c r="AA115" s="31" cm="1">
        <f t="array" ref="AA115">AA$106+IF($C115&lt;&gt;0,SUMPRODUCT((AA$107:AA$108)*TRANSPOSE(($D115:$E115))),0)</f>
        <v>0</v>
      </c>
      <c r="AB115" s="31" cm="1">
        <f t="array" ref="AB115">AB$106+IF($C115&lt;&gt;0,SUMPRODUCT((AB$107:AB$108)*TRANSPOSE(($D115:$E115))),0)</f>
        <v>0</v>
      </c>
      <c r="AC115" s="31" cm="1">
        <f t="array" ref="AC115">AC$106+IF($C115&lt;&gt;0,SUMPRODUCT((AC$107:AC$108)*TRANSPOSE(($D115:$E115))),0)</f>
        <v>15637874.556339899</v>
      </c>
      <c r="AD115" s="31" cm="1">
        <f t="array" ref="AD115">AD$106+IF($C115&lt;&gt;0,SUMPRODUCT((AD$107:AD$108)*TRANSPOSE(($D115:$E115))),0)</f>
        <v>15637874.556339899</v>
      </c>
      <c r="AE115" s="31" cm="1">
        <f t="array" ref="AE115">AE$106+IF($C115&lt;&gt;0,SUMPRODUCT((AE$107:AE$108)*TRANSPOSE(($D115:$E115))),0)</f>
        <v>15637874.556339899</v>
      </c>
      <c r="AF115" s="31" cm="1">
        <f t="array" ref="AF115">AF$106+IF($C115&lt;&gt;0,SUMPRODUCT((AF$107:AF$108)*TRANSPOSE(($D115:$E115))),0)</f>
        <v>15637874.556339899</v>
      </c>
      <c r="AG115" s="31" cm="1">
        <f t="array" ref="AG115">AG$106+IF($C115&lt;&gt;0,SUMPRODUCT((AG$107:AG$108)*TRANSPOSE(($D115:$E115))),0)</f>
        <v>15637874.556339899</v>
      </c>
    </row>
    <row r="116" spans="1:33" x14ac:dyDescent="0.2">
      <c r="A116" s="1" t="str">
        <f>"sens"&amp;Assumptions!B117</f>
        <v>sens</v>
      </c>
      <c r="C116" s="300">
        <f>Assumptions!C117</f>
        <v>0</v>
      </c>
      <c r="D116" s="301">
        <f>Assumptions!G117</f>
        <v>0</v>
      </c>
      <c r="E116" s="301">
        <f>Assumptions!H117</f>
        <v>0</v>
      </c>
      <c r="G116" s="38" t="str">
        <f t="shared" si="20"/>
        <v>Option 4sens</v>
      </c>
      <c r="I116" s="31" cm="1">
        <f t="array" ref="I116">I$106+IF($C116&lt;&gt;0,SUMPRODUCT((I$107:I$108)*TRANSPOSE(($D116:$E116))),0)</f>
        <v>445521.83741209941</v>
      </c>
      <c r="J116" s="31" cm="1">
        <f t="array" ref="J116">J$106+IF($C116&lt;&gt;0,SUMPRODUCT((J$107:J$108)*TRANSPOSE(($D116:$E116))),0)</f>
        <v>638218.81696087588</v>
      </c>
      <c r="K116" s="31" cm="1">
        <f t="array" ref="K116">K$106+IF($C116&lt;&gt;0,SUMPRODUCT((K$107:K$108)*TRANSPOSE(($D116:$E116))),0)</f>
        <v>363631.21700514399</v>
      </c>
      <c r="L116" s="31" cm="1">
        <f t="array" ref="L116">L$106+IF($C116&lt;&gt;0,SUMPRODUCT((L$107:L$108)*TRANSPOSE(($D116:$E116))),0)</f>
        <v>363631.21700514399</v>
      </c>
      <c r="M116" s="31" cm="1">
        <f t="array" ref="M116">M$106+IF($C116&lt;&gt;0,SUMPRODUCT((M$107:M$108)*TRANSPOSE(($D116:$E116))),0)</f>
        <v>363631.21700514399</v>
      </c>
      <c r="N116" s="31" cm="1">
        <f t="array" ref="N116">N$106+IF($C116&lt;&gt;0,SUMPRODUCT((N$107:N$108)*TRANSPOSE(($D116:$E116))),0)</f>
        <v>-100149.84069355321</v>
      </c>
      <c r="O116" s="31" cm="1">
        <f t="array" ref="O116">O$106+IF($C116&lt;&gt;0,SUMPRODUCT((O$107:O$108)*TRANSPOSE(($D116:$E116))),0)</f>
        <v>-100149.84069355321</v>
      </c>
      <c r="P116" s="31" cm="1">
        <f t="array" ref="P116">P$106+IF($C116&lt;&gt;0,SUMPRODUCT((P$107:P$108)*TRANSPOSE(($D116:$E116))),0)</f>
        <v>-100149.84069355321</v>
      </c>
      <c r="Q116" s="31" cm="1">
        <f t="array" ref="Q116">Q$106+IF($C116&lt;&gt;0,SUMPRODUCT((Q$107:Q$108)*TRANSPOSE(($D116:$E116))),0)</f>
        <v>-386336.29313870287</v>
      </c>
      <c r="R116" s="31" cm="1">
        <f t="array" ref="R116">R$106+IF($C116&lt;&gt;0,SUMPRODUCT((R$107:R$108)*TRANSPOSE(($D116:$E116))),0)</f>
        <v>-386336.29313870287</v>
      </c>
      <c r="S116" s="31" cm="1">
        <f t="array" ref="S116">S$106+IF($C116&lt;&gt;0,SUMPRODUCT((S$107:S$108)*TRANSPOSE(($D116:$E116))),0)</f>
        <v>-100149.84069355321</v>
      </c>
      <c r="T116" s="31" cm="1">
        <f t="array" ref="T116">T$106+IF($C116&lt;&gt;0,SUMPRODUCT((T$107:T$108)*TRANSPOSE(($D116:$E116))),0)</f>
        <v>-100149.84069355321</v>
      </c>
      <c r="U116" s="31" cm="1">
        <f t="array" ref="U116">U$106+IF($C116&lt;&gt;0,SUMPRODUCT((U$107:U$108)*TRANSPOSE(($D116:$E116))),0)</f>
        <v>-100149.84069355321</v>
      </c>
      <c r="V116" s="31" cm="1">
        <f t="array" ref="V116">V$106+IF($C116&lt;&gt;0,SUMPRODUCT((V$107:V$108)*TRANSPOSE(($D116:$E116))),0)</f>
        <v>-100149.84069355321</v>
      </c>
      <c r="W116" s="31" cm="1">
        <f t="array" ref="W116">W$106+IF($C116&lt;&gt;0,SUMPRODUCT((W$107:W$108)*TRANSPOSE(($D116:$E116))),0)</f>
        <v>-100149.84069355321</v>
      </c>
      <c r="X116" s="31" cm="1">
        <f t="array" ref="X116">X$106+IF($C116&lt;&gt;0,SUMPRODUCT((X$107:X$108)*TRANSPOSE(($D116:$E116))),0)</f>
        <v>-324662.52030250861</v>
      </c>
      <c r="Y116" s="31" cm="1">
        <f t="array" ref="Y116">Y$106+IF($C116&lt;&gt;0,SUMPRODUCT((Y$107:Y$108)*TRANSPOSE(($D116:$E116))),0)</f>
        <v>-274587.599955732</v>
      </c>
      <c r="Z116" s="31" cm="1">
        <f t="array" ref="Z116">Z$106+IF($C116&lt;&gt;0,SUMPRODUCT((Z$107:Z$108)*TRANSPOSE(($D116:$E116))),0)</f>
        <v>0</v>
      </c>
      <c r="AA116" s="31" cm="1">
        <f t="array" ref="AA116">AA$106+IF($C116&lt;&gt;0,SUMPRODUCT((AA$107:AA$108)*TRANSPOSE(($D116:$E116))),0)</f>
        <v>0</v>
      </c>
      <c r="AB116" s="31" cm="1">
        <f t="array" ref="AB116">AB$106+IF($C116&lt;&gt;0,SUMPRODUCT((AB$107:AB$108)*TRANSPOSE(($D116:$E116))),0)</f>
        <v>0</v>
      </c>
      <c r="AC116" s="31" cm="1">
        <f t="array" ref="AC116">AC$106+IF($C116&lt;&gt;0,SUMPRODUCT((AC$107:AC$108)*TRANSPOSE(($D116:$E116))),0)</f>
        <v>15637874.556339899</v>
      </c>
      <c r="AD116" s="31" cm="1">
        <f t="array" ref="AD116">AD$106+IF($C116&lt;&gt;0,SUMPRODUCT((AD$107:AD$108)*TRANSPOSE(($D116:$E116))),0)</f>
        <v>15637874.556339899</v>
      </c>
      <c r="AE116" s="31" cm="1">
        <f t="array" ref="AE116">AE$106+IF($C116&lt;&gt;0,SUMPRODUCT((AE$107:AE$108)*TRANSPOSE(($D116:$E116))),0)</f>
        <v>15637874.556339899</v>
      </c>
      <c r="AF116" s="31" cm="1">
        <f t="array" ref="AF116">AF$106+IF($C116&lt;&gt;0,SUMPRODUCT((AF$107:AF$108)*TRANSPOSE(($D116:$E116))),0)</f>
        <v>15637874.556339899</v>
      </c>
      <c r="AG116" s="31" cm="1">
        <f t="array" ref="AG116">AG$106+IF($C116&lt;&gt;0,SUMPRODUCT((AG$107:AG$108)*TRANSPOSE(($D116:$E116))),0)</f>
        <v>15637874.556339899</v>
      </c>
    </row>
    <row r="117" spans="1:33" x14ac:dyDescent="0.2">
      <c r="A117" s="1" t="str">
        <f>"sens"&amp;Assumptions!B118</f>
        <v>sens</v>
      </c>
      <c r="C117" s="300">
        <f>Assumptions!C118</f>
        <v>0</v>
      </c>
      <c r="D117" s="301">
        <f>Assumptions!G118</f>
        <v>0</v>
      </c>
      <c r="E117" s="301">
        <f>Assumptions!H118</f>
        <v>0</v>
      </c>
      <c r="G117" s="38" t="str">
        <f t="shared" si="20"/>
        <v>Option 4sens</v>
      </c>
      <c r="I117" s="31" cm="1">
        <f t="array" ref="I117">I$106+IF($C117&lt;&gt;0,SUMPRODUCT((I$107:I$108)*TRANSPOSE(($D117:$E117))),0)</f>
        <v>445521.83741209941</v>
      </c>
      <c r="J117" s="31" cm="1">
        <f t="array" ref="J117">J$106+IF($C117&lt;&gt;0,SUMPRODUCT((J$107:J$108)*TRANSPOSE(($D117:$E117))),0)</f>
        <v>638218.81696087588</v>
      </c>
      <c r="K117" s="31" cm="1">
        <f t="array" ref="K117">K$106+IF($C117&lt;&gt;0,SUMPRODUCT((K$107:K$108)*TRANSPOSE(($D117:$E117))),0)</f>
        <v>363631.21700514399</v>
      </c>
      <c r="L117" s="31" cm="1">
        <f t="array" ref="L117">L$106+IF($C117&lt;&gt;0,SUMPRODUCT((L$107:L$108)*TRANSPOSE(($D117:$E117))),0)</f>
        <v>363631.21700514399</v>
      </c>
      <c r="M117" s="31" cm="1">
        <f t="array" ref="M117">M$106+IF($C117&lt;&gt;0,SUMPRODUCT((M$107:M$108)*TRANSPOSE(($D117:$E117))),0)</f>
        <v>363631.21700514399</v>
      </c>
      <c r="N117" s="31" cm="1">
        <f t="array" ref="N117">N$106+IF($C117&lt;&gt;0,SUMPRODUCT((N$107:N$108)*TRANSPOSE(($D117:$E117))),0)</f>
        <v>-100149.84069355321</v>
      </c>
      <c r="O117" s="31" cm="1">
        <f t="array" ref="O117">O$106+IF($C117&lt;&gt;0,SUMPRODUCT((O$107:O$108)*TRANSPOSE(($D117:$E117))),0)</f>
        <v>-100149.84069355321</v>
      </c>
      <c r="P117" s="31" cm="1">
        <f t="array" ref="P117">P$106+IF($C117&lt;&gt;0,SUMPRODUCT((P$107:P$108)*TRANSPOSE(($D117:$E117))),0)</f>
        <v>-100149.84069355321</v>
      </c>
      <c r="Q117" s="31" cm="1">
        <f t="array" ref="Q117">Q$106+IF($C117&lt;&gt;0,SUMPRODUCT((Q$107:Q$108)*TRANSPOSE(($D117:$E117))),0)</f>
        <v>-386336.29313870287</v>
      </c>
      <c r="R117" s="31" cm="1">
        <f t="array" ref="R117">R$106+IF($C117&lt;&gt;0,SUMPRODUCT((R$107:R$108)*TRANSPOSE(($D117:$E117))),0)</f>
        <v>-386336.29313870287</v>
      </c>
      <c r="S117" s="31" cm="1">
        <f t="array" ref="S117">S$106+IF($C117&lt;&gt;0,SUMPRODUCT((S$107:S$108)*TRANSPOSE(($D117:$E117))),0)</f>
        <v>-100149.84069355321</v>
      </c>
      <c r="T117" s="31" cm="1">
        <f t="array" ref="T117">T$106+IF($C117&lt;&gt;0,SUMPRODUCT((T$107:T$108)*TRANSPOSE(($D117:$E117))),0)</f>
        <v>-100149.84069355321</v>
      </c>
      <c r="U117" s="31" cm="1">
        <f t="array" ref="U117">U$106+IF($C117&lt;&gt;0,SUMPRODUCT((U$107:U$108)*TRANSPOSE(($D117:$E117))),0)</f>
        <v>-100149.84069355321</v>
      </c>
      <c r="V117" s="31" cm="1">
        <f t="array" ref="V117">V$106+IF($C117&lt;&gt;0,SUMPRODUCT((V$107:V$108)*TRANSPOSE(($D117:$E117))),0)</f>
        <v>-100149.84069355321</v>
      </c>
      <c r="W117" s="31" cm="1">
        <f t="array" ref="W117">W$106+IF($C117&lt;&gt;0,SUMPRODUCT((W$107:W$108)*TRANSPOSE(($D117:$E117))),0)</f>
        <v>-100149.84069355321</v>
      </c>
      <c r="X117" s="31" cm="1">
        <f t="array" ref="X117">X$106+IF($C117&lt;&gt;0,SUMPRODUCT((X$107:X$108)*TRANSPOSE(($D117:$E117))),0)</f>
        <v>-324662.52030250861</v>
      </c>
      <c r="Y117" s="31" cm="1">
        <f t="array" ref="Y117">Y$106+IF($C117&lt;&gt;0,SUMPRODUCT((Y$107:Y$108)*TRANSPOSE(($D117:$E117))),0)</f>
        <v>-274587.599955732</v>
      </c>
      <c r="Z117" s="31" cm="1">
        <f t="array" ref="Z117">Z$106+IF($C117&lt;&gt;0,SUMPRODUCT((Z$107:Z$108)*TRANSPOSE(($D117:$E117))),0)</f>
        <v>0</v>
      </c>
      <c r="AA117" s="31" cm="1">
        <f t="array" ref="AA117">AA$106+IF($C117&lt;&gt;0,SUMPRODUCT((AA$107:AA$108)*TRANSPOSE(($D117:$E117))),0)</f>
        <v>0</v>
      </c>
      <c r="AB117" s="31" cm="1">
        <f t="array" ref="AB117">AB$106+IF($C117&lt;&gt;0,SUMPRODUCT((AB$107:AB$108)*TRANSPOSE(($D117:$E117))),0)</f>
        <v>0</v>
      </c>
      <c r="AC117" s="31" cm="1">
        <f t="array" ref="AC117">AC$106+IF($C117&lt;&gt;0,SUMPRODUCT((AC$107:AC$108)*TRANSPOSE(($D117:$E117))),0)</f>
        <v>15637874.556339899</v>
      </c>
      <c r="AD117" s="31" cm="1">
        <f t="array" ref="AD117">AD$106+IF($C117&lt;&gt;0,SUMPRODUCT((AD$107:AD$108)*TRANSPOSE(($D117:$E117))),0)</f>
        <v>15637874.556339899</v>
      </c>
      <c r="AE117" s="31" cm="1">
        <f t="array" ref="AE117">AE$106+IF($C117&lt;&gt;0,SUMPRODUCT((AE$107:AE$108)*TRANSPOSE(($D117:$E117))),0)</f>
        <v>15637874.556339899</v>
      </c>
      <c r="AF117" s="31" cm="1">
        <f t="array" ref="AF117">AF$106+IF($C117&lt;&gt;0,SUMPRODUCT((AF$107:AF$108)*TRANSPOSE(($D117:$E117))),0)</f>
        <v>15637874.556339899</v>
      </c>
      <c r="AG117" s="31" cm="1">
        <f t="array" ref="AG117">AG$106+IF($C117&lt;&gt;0,SUMPRODUCT((AG$107:AG$108)*TRANSPOSE(($D117:$E117))),0)</f>
        <v>15637874.556339899</v>
      </c>
    </row>
  </sheetData>
  <conditionalFormatting sqref="E14:E16">
    <cfRule type="expression" dxfId="4" priority="53">
      <formula>AND(SUM($I14:$AB14)&lt;&gt;0, E14=0)</formula>
    </cfRule>
  </conditionalFormatting>
  <conditionalFormatting sqref="E28">
    <cfRule type="expression" dxfId="3" priority="1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98" id="{17B125C1-0588-4495-B8F7-9B52E25BED85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C94D8-0AAB-45B3-9A29-8CF3F90554FB}">
  <sheetPr codeName="Sheet14">
    <tabColor rgb="FF0099FF"/>
  </sheetPr>
  <dimension ref="A1:XER117"/>
  <sheetViews>
    <sheetView showGridLines="0" zoomScale="90" zoomScaleNormal="90" workbookViewId="0">
      <pane xSplit="7" ySplit="10" topLeftCell="H11" activePane="bottomRight" state="frozen"/>
      <selection activeCell="I28" sqref="I28"/>
      <selection pane="topRight" activeCell="I28" sqref="I28"/>
      <selection pane="bottomLeft" activeCell="I28" sqref="I28"/>
      <selection pane="bottomRight" activeCell="H11" sqref="H11"/>
    </sheetView>
  </sheetViews>
  <sheetFormatPr defaultColWidth="8" defaultRowHeight="12.75" outlineLevelRow="1" x14ac:dyDescent="0.2"/>
  <cols>
    <col min="1" max="1" width="5.5" style="1" customWidth="1"/>
    <col min="2" max="2" width="4.125" style="1" customWidth="1"/>
    <col min="3" max="3" width="24.375" style="1" customWidth="1"/>
    <col min="4" max="4" width="12.375" style="1" customWidth="1"/>
    <col min="5" max="5" width="12.5" style="1" customWidth="1"/>
    <col min="6" max="6" width="3.875" style="1" customWidth="1"/>
    <col min="7" max="7" width="9.875" style="1" customWidth="1"/>
    <col min="8" max="8" width="3.375" style="1" customWidth="1"/>
    <col min="9" max="33" width="12.125" style="1" customWidth="1"/>
    <col min="34" max="16384" width="8" style="1"/>
  </cols>
  <sheetData>
    <row r="1" spans="1:43" ht="18.75" x14ac:dyDescent="0.3">
      <c r="A1" s="15" t="str">
        <f>bus</f>
        <v>Powercor</v>
      </c>
      <c r="B1" s="15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pans="1:43" ht="18.75" x14ac:dyDescent="0.3">
      <c r="A2" s="56" t="str">
        <f>proj</f>
        <v>Minimise bushfire risk from SWER in ELCA, REFCL and HBRA areas</v>
      </c>
      <c r="B2" s="56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</row>
    <row r="3" spans="1:43" ht="15.75" x14ac:dyDescent="0.25">
      <c r="A3" s="203" t="s">
        <v>183</v>
      </c>
      <c r="B3" s="5"/>
      <c r="C3" s="200" t="str">
        <f>INDEX(Assumptions!$E$14:$E$18, MATCH(A3,_xlfn.ANCHORARRAY( Assumptions!$C$14),0))</f>
        <v>Targeted installation of covered conductor and EFD on SWER lines</v>
      </c>
    </row>
    <row r="4" spans="1:43" x14ac:dyDescent="0.2">
      <c r="A4" s="201" t="str">
        <f>(INDEX(Data!$D$9:$D$13, MATCH(A3, options,0)))</f>
        <v/>
      </c>
      <c r="B4" s="187"/>
      <c r="C4" s="238" t="str">
        <f>IF(INDEX(Misc_calcs!$D$49:$D$67, MATCH(A3, Misc_calcs!$B$49:$B$67,0)), Misc_calcs!$B$70, "")</f>
        <v/>
      </c>
    </row>
    <row r="5" spans="1:43" hidden="1" outlineLevel="1" x14ac:dyDescent="0.2">
      <c r="C5" s="99"/>
      <c r="D5" s="98"/>
      <c r="E5" s="100"/>
      <c r="F5" s="100"/>
      <c r="G5" s="98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</row>
    <row r="6" spans="1:43" hidden="1" outlineLevel="1" x14ac:dyDescent="0.2">
      <c r="A6" s="98" t="str">
        <f>'Option1 (base case)'!A6</f>
        <v>Count</v>
      </c>
      <c r="B6" s="98"/>
      <c r="C6" s="99"/>
      <c r="D6" s="98"/>
      <c r="E6" s="100"/>
      <c r="F6" s="100"/>
      <c r="G6" s="98"/>
      <c r="H6" s="101"/>
      <c r="I6" s="101">
        <f>'Option1 (base case)'!I6</f>
        <v>1</v>
      </c>
      <c r="J6" s="101">
        <f>'Option1 (base case)'!J6</f>
        <v>2</v>
      </c>
      <c r="K6" s="101">
        <f>'Option1 (base case)'!K6</f>
        <v>3</v>
      </c>
      <c r="L6" s="101">
        <f>'Option1 (base case)'!L6</f>
        <v>4</v>
      </c>
      <c r="M6" s="101">
        <f>'Option1 (base case)'!M6</f>
        <v>5</v>
      </c>
      <c r="N6" s="101">
        <f>'Option1 (base case)'!N6</f>
        <v>6</v>
      </c>
      <c r="O6" s="101">
        <f>'Option1 (base case)'!O6</f>
        <v>7</v>
      </c>
      <c r="P6" s="101">
        <f>'Option1 (base case)'!P6</f>
        <v>8</v>
      </c>
      <c r="Q6" s="101">
        <f>'Option1 (base case)'!Q6</f>
        <v>9</v>
      </c>
      <c r="R6" s="101">
        <f>'Option1 (base case)'!R6</f>
        <v>10</v>
      </c>
      <c r="S6" s="101">
        <f>'Option1 (base case)'!S6</f>
        <v>11</v>
      </c>
      <c r="T6" s="101">
        <f>'Option1 (base case)'!T6</f>
        <v>12</v>
      </c>
      <c r="U6" s="101">
        <f>'Option1 (base case)'!U6</f>
        <v>13</v>
      </c>
      <c r="V6" s="101">
        <f>'Option1 (base case)'!V6</f>
        <v>14</v>
      </c>
      <c r="W6" s="101">
        <f>'Option1 (base case)'!W6</f>
        <v>15</v>
      </c>
      <c r="X6" s="101">
        <f>'Option1 (base case)'!X6</f>
        <v>16</v>
      </c>
      <c r="Y6" s="101">
        <f>'Option1 (base case)'!Y6</f>
        <v>17</v>
      </c>
      <c r="Z6" s="101">
        <f>'Option1 (base case)'!Z6</f>
        <v>18</v>
      </c>
      <c r="AA6" s="101">
        <f>'Option1 (base case)'!AA6</f>
        <v>19</v>
      </c>
      <c r="AB6" s="101">
        <f>'Option1 (base case)'!AB6</f>
        <v>20</v>
      </c>
      <c r="AC6" s="101">
        <f>'Option1 (base case)'!AC6</f>
        <v>21</v>
      </c>
      <c r="AD6" s="101">
        <f>'Option1 (base case)'!AD6</f>
        <v>22</v>
      </c>
      <c r="AE6" s="101">
        <f>'Option1 (base case)'!AE6</f>
        <v>23</v>
      </c>
      <c r="AF6" s="101">
        <f>'Option1 (base case)'!AF6</f>
        <v>24</v>
      </c>
      <c r="AG6" s="101">
        <f>'Option1 (base case)'!AG6</f>
        <v>25</v>
      </c>
    </row>
    <row r="7" spans="1:43" hidden="1" outlineLevel="1" x14ac:dyDescent="0.2">
      <c r="A7" s="98" t="str">
        <f>'Option1 (base case)'!A7</f>
        <v>Value of CO2 reductions</v>
      </c>
      <c r="B7" s="98"/>
      <c r="G7" s="160" t="s">
        <v>63</v>
      </c>
      <c r="I7" s="99">
        <f>'Option1 (base case)'!I7</f>
        <v>24.730486797759085</v>
      </c>
      <c r="J7" s="99">
        <f>'Option1 (base case)'!J7</f>
        <v>22.340740091772258</v>
      </c>
      <c r="K7" s="99">
        <f>'Option1 (base case)'!K7</f>
        <v>20.196329122153124</v>
      </c>
      <c r="L7" s="99">
        <f>'Option1 (base case)'!L7</f>
        <v>18.06294207659629</v>
      </c>
      <c r="M7" s="99">
        <f>'Option1 (base case)'!M7</f>
        <v>15.913397615084225</v>
      </c>
      <c r="N7" s="99">
        <f>'Option1 (base case)'!N7</f>
        <v>13.715069432539002</v>
      </c>
      <c r="O7" s="99">
        <f>'Option1 (base case)'!O7</f>
        <v>13.715069432539002</v>
      </c>
      <c r="P7" s="99">
        <f>'Option1 (base case)'!P7</f>
        <v>13.715069432539002</v>
      </c>
      <c r="Q7" s="99">
        <f>'Option1 (base case)'!Q7</f>
        <v>13.715069432539002</v>
      </c>
      <c r="R7" s="99">
        <f>'Option1 (base case)'!R7</f>
        <v>13.715069432539002</v>
      </c>
      <c r="S7" s="99">
        <f>'Option1 (base case)'!S7</f>
        <v>13.715069432539002</v>
      </c>
      <c r="T7" s="99">
        <f>'Option1 (base case)'!T7</f>
        <v>13.715069432539002</v>
      </c>
      <c r="U7" s="99">
        <f>'Option1 (base case)'!U7</f>
        <v>13.715069432539002</v>
      </c>
      <c r="V7" s="99">
        <f>'Option1 (base case)'!V7</f>
        <v>13.715069432539002</v>
      </c>
      <c r="W7" s="99">
        <f>'Option1 (base case)'!W7</f>
        <v>13.715069432539002</v>
      </c>
      <c r="X7" s="99">
        <f>'Option1 (base case)'!X7</f>
        <v>13.715069432539002</v>
      </c>
      <c r="Y7" s="99">
        <f>'Option1 (base case)'!Y7</f>
        <v>13.715069432539002</v>
      </c>
      <c r="Z7" s="99">
        <f>'Option1 (base case)'!Z7</f>
        <v>13.715069432539002</v>
      </c>
      <c r="AA7" s="99">
        <f>'Option1 (base case)'!AA7</f>
        <v>13.715069432539002</v>
      </c>
      <c r="AB7" s="99">
        <f>'Option1 (base case)'!AB7</f>
        <v>13.715069432539002</v>
      </c>
      <c r="AC7" s="99">
        <f>'Option1 (base case)'!AC7</f>
        <v>13.715069432539002</v>
      </c>
      <c r="AD7" s="99">
        <f>'Option1 (base case)'!AD7</f>
        <v>13.715069432539002</v>
      </c>
      <c r="AE7" s="99">
        <f>'Option1 (base case)'!AE7</f>
        <v>13.715069432539002</v>
      </c>
      <c r="AF7" s="99">
        <f>'Option1 (base case)'!AF7</f>
        <v>13.715069432539002</v>
      </c>
      <c r="AG7" s="99">
        <f>'Option1 (base case)'!AG7</f>
        <v>13.715069432539002</v>
      </c>
    </row>
    <row r="8" spans="1:43" ht="6.75" customHeight="1" collapsed="1" x14ac:dyDescent="0.2">
      <c r="C8" s="99"/>
      <c r="D8" s="98"/>
      <c r="E8" s="100"/>
      <c r="F8" s="100"/>
      <c r="G8" s="98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</row>
    <row r="9" spans="1:43" ht="15" x14ac:dyDescent="0.2">
      <c r="A9" s="18"/>
      <c r="B9" s="18"/>
      <c r="C9" s="18"/>
      <c r="D9" s="18"/>
      <c r="E9" s="18"/>
      <c r="F9" s="142"/>
      <c r="G9" s="18" t="s">
        <v>25</v>
      </c>
      <c r="H9" s="220"/>
      <c r="I9" s="17" t="str">
        <f>'Option1 (base case)'!I9</f>
        <v>2026-27</v>
      </c>
      <c r="J9" s="17" t="str">
        <f>'Option1 (base case)'!J9</f>
        <v>2027-28</v>
      </c>
      <c r="K9" s="17" t="str">
        <f>'Option1 (base case)'!K9</f>
        <v>2028-29</v>
      </c>
      <c r="L9" s="17" t="str">
        <f>'Option1 (base case)'!L9</f>
        <v>2029-30</v>
      </c>
      <c r="M9" s="17" t="str">
        <f>'Option1 (base case)'!M9</f>
        <v>2030-31</v>
      </c>
      <c r="N9" s="17" t="str">
        <f>'Option1 (base case)'!N9</f>
        <v>2031-32</v>
      </c>
      <c r="O9" s="17" t="str">
        <f>'Option1 (base case)'!O9</f>
        <v>2032-33</v>
      </c>
      <c r="P9" s="17" t="str">
        <f>'Option1 (base case)'!P9</f>
        <v>2033-34</v>
      </c>
      <c r="Q9" s="17" t="str">
        <f>'Option1 (base case)'!Q9</f>
        <v>2034-35</v>
      </c>
      <c r="R9" s="17" t="str">
        <f>'Option1 (base case)'!R9</f>
        <v>2035-36</v>
      </c>
      <c r="S9" s="17" t="str">
        <f>'Option1 (base case)'!S9</f>
        <v>2036-37</v>
      </c>
      <c r="T9" s="17" t="str">
        <f>'Option1 (base case)'!T9</f>
        <v>2037-38</v>
      </c>
      <c r="U9" s="17" t="str">
        <f>'Option1 (base case)'!U9</f>
        <v>2038-39</v>
      </c>
      <c r="V9" s="17" t="str">
        <f>'Option1 (base case)'!V9</f>
        <v>2039-40</v>
      </c>
      <c r="W9" s="17" t="str">
        <f>'Option1 (base case)'!W9</f>
        <v>2040-41</v>
      </c>
      <c r="X9" s="17" t="str">
        <f>'Option1 (base case)'!X9</f>
        <v>2041-42</v>
      </c>
      <c r="Y9" s="17" t="str">
        <f>'Option1 (base case)'!Y9</f>
        <v>2042-43</v>
      </c>
      <c r="Z9" s="17" t="str">
        <f>'Option1 (base case)'!Z9</f>
        <v>2043-44</v>
      </c>
      <c r="AA9" s="17" t="str">
        <f>'Option1 (base case)'!AA9</f>
        <v>2044-45</v>
      </c>
      <c r="AB9" s="17" t="str">
        <f>'Option1 (base case)'!AB9</f>
        <v>2045-46</v>
      </c>
      <c r="AC9" s="17" t="str">
        <f>'Option1 (base case)'!AC9</f>
        <v>2046-47</v>
      </c>
      <c r="AD9" s="17" t="str">
        <f>'Option1 (base case)'!AD9</f>
        <v>2047-48</v>
      </c>
      <c r="AE9" s="17" t="str">
        <f>'Option1 (base case)'!AE9</f>
        <v>2048-49</v>
      </c>
      <c r="AF9" s="17" t="str">
        <f>'Option1 (base case)'!AF9</f>
        <v>2049-50</v>
      </c>
      <c r="AG9" s="17" t="str">
        <f>'Option1 (base case)'!AG9</f>
        <v>2050-51</v>
      </c>
    </row>
    <row r="10" spans="1:43" ht="4.5" customHeight="1" x14ac:dyDescent="0.2">
      <c r="C10" s="3"/>
      <c r="D10" s="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43" ht="15" x14ac:dyDescent="0.2">
      <c r="A11" s="89" t="s">
        <v>120</v>
      </c>
      <c r="B11" s="89"/>
      <c r="C11" s="90"/>
      <c r="D11" s="90"/>
      <c r="E11" s="90"/>
      <c r="F11" s="90"/>
      <c r="G11" s="204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43" x14ac:dyDescent="0.2">
      <c r="A12" s="3"/>
      <c r="B12" s="3"/>
      <c r="C12" s="3"/>
      <c r="D12" s="3"/>
      <c r="G12" s="205"/>
      <c r="AH12"/>
      <c r="AI12"/>
      <c r="AJ12"/>
      <c r="AK12"/>
    </row>
    <row r="13" spans="1:43" x14ac:dyDescent="0.2">
      <c r="C13" s="3" t="s">
        <v>17</v>
      </c>
      <c r="D13"/>
      <c r="E13" s="126" t="s">
        <v>69</v>
      </c>
      <c r="G13" s="20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x14ac:dyDescent="0.2">
      <c r="C14" s="57" t="s">
        <v>299</v>
      </c>
      <c r="D14"/>
      <c r="E14" s="148">
        <v>30</v>
      </c>
      <c r="G14" s="207">
        <f>input_dollars</f>
        <v>45291</v>
      </c>
      <c r="H14" s="149"/>
      <c r="I14" s="32">
        <f>Workings_costs!E85</f>
        <v>2660000</v>
      </c>
      <c r="J14" s="32">
        <f>Workings_costs!F85</f>
        <v>2660000</v>
      </c>
      <c r="K14" s="32">
        <f>Workings_costs!G85</f>
        <v>0</v>
      </c>
      <c r="L14" s="32">
        <f>Workings_costs!H85</f>
        <v>0</v>
      </c>
      <c r="M14" s="32">
        <f>Workings_costs!I85</f>
        <v>0</v>
      </c>
      <c r="N14" s="32">
        <f>Workings_costs!J85</f>
        <v>0</v>
      </c>
      <c r="O14" s="32">
        <f>Workings_costs!K85</f>
        <v>0</v>
      </c>
      <c r="P14" s="32">
        <f>Workings_costs!L85</f>
        <v>0</v>
      </c>
      <c r="Q14" s="32">
        <f>Workings_costs!M85</f>
        <v>0</v>
      </c>
      <c r="R14" s="32">
        <f>Workings_costs!N85</f>
        <v>0</v>
      </c>
      <c r="S14" s="32">
        <f>Workings_costs!O85</f>
        <v>0</v>
      </c>
      <c r="T14" s="32">
        <f>Workings_costs!P85</f>
        <v>0</v>
      </c>
      <c r="U14" s="32">
        <f>Workings_costs!Q85</f>
        <v>0</v>
      </c>
      <c r="V14" s="32">
        <f>Workings_costs!R85</f>
        <v>0</v>
      </c>
      <c r="W14" s="32">
        <f>Workings_costs!S85</f>
        <v>0</v>
      </c>
      <c r="X14" s="32">
        <f>Workings_costs!T85</f>
        <v>0</v>
      </c>
      <c r="Y14" s="32">
        <f>Workings_costs!U85</f>
        <v>0</v>
      </c>
      <c r="Z14" s="32">
        <f>Workings_costs!V85</f>
        <v>0</v>
      </c>
      <c r="AA14" s="32">
        <f>Workings_costs!W85</f>
        <v>0</v>
      </c>
      <c r="AB14" s="32">
        <f>Workings_costs!X85</f>
        <v>0</v>
      </c>
      <c r="AC14" s="32">
        <f>Workings_costs!Y85</f>
        <v>0</v>
      </c>
      <c r="AD14" s="32">
        <f>Workings_costs!Z85</f>
        <v>0</v>
      </c>
      <c r="AE14" s="32">
        <f>Workings_costs!AA85</f>
        <v>0</v>
      </c>
      <c r="AF14" s="32">
        <f>Workings_costs!AB85</f>
        <v>0</v>
      </c>
      <c r="AG14" s="32">
        <f>Workings_costs!AC85</f>
        <v>0</v>
      </c>
      <c r="AH14"/>
      <c r="AI14"/>
      <c r="AJ14"/>
      <c r="AK14"/>
      <c r="AL14"/>
      <c r="AM14"/>
      <c r="AN14"/>
      <c r="AO14"/>
      <c r="AP14"/>
      <c r="AQ14"/>
    </row>
    <row r="15" spans="1:43" x14ac:dyDescent="0.2">
      <c r="C15" s="57" t="s">
        <v>300</v>
      </c>
      <c r="D15"/>
      <c r="E15" s="148">
        <v>15</v>
      </c>
      <c r="G15" s="207">
        <f>input_dollars</f>
        <v>45291</v>
      </c>
      <c r="H15" s="2"/>
      <c r="I15" s="32">
        <f>Workings_costs!E84</f>
        <v>3162538.2157558519</v>
      </c>
      <c r="J15" s="32">
        <f>Workings_costs!F84</f>
        <v>3162538.2157558519</v>
      </c>
      <c r="K15" s="32">
        <f>Workings_costs!G84</f>
        <v>0</v>
      </c>
      <c r="L15" s="32">
        <f>Workings_costs!H84</f>
        <v>0</v>
      </c>
      <c r="M15" s="32">
        <f>Workings_costs!I84</f>
        <v>0</v>
      </c>
      <c r="N15" s="32">
        <f>Workings_costs!J84</f>
        <v>0</v>
      </c>
      <c r="O15" s="32">
        <f>Workings_costs!K84</f>
        <v>0</v>
      </c>
      <c r="P15" s="32">
        <f>Workings_costs!L84</f>
        <v>0</v>
      </c>
      <c r="Q15" s="32">
        <f>Workings_costs!M84</f>
        <v>0</v>
      </c>
      <c r="R15" s="32">
        <f>Workings_costs!N84</f>
        <v>0</v>
      </c>
      <c r="S15" s="32">
        <f>Workings_costs!O84</f>
        <v>0</v>
      </c>
      <c r="T15" s="32">
        <f>Workings_costs!P84</f>
        <v>0</v>
      </c>
      <c r="U15" s="32">
        <f>Workings_costs!Q84</f>
        <v>0</v>
      </c>
      <c r="V15" s="32">
        <f>Workings_costs!R84</f>
        <v>0</v>
      </c>
      <c r="W15" s="32">
        <f>Workings_costs!S84</f>
        <v>0</v>
      </c>
      <c r="X15" s="32">
        <f>Workings_costs!T84</f>
        <v>0</v>
      </c>
      <c r="Y15" s="32">
        <f>Workings_costs!U84</f>
        <v>0</v>
      </c>
      <c r="Z15" s="32">
        <f>Workings_costs!V84</f>
        <v>0</v>
      </c>
      <c r="AA15" s="32">
        <f>Workings_costs!W84</f>
        <v>0</v>
      </c>
      <c r="AB15" s="32">
        <f>Workings_costs!X84</f>
        <v>0</v>
      </c>
      <c r="AC15" s="32">
        <f>Workings_costs!Y84</f>
        <v>0</v>
      </c>
      <c r="AD15" s="32">
        <f>Workings_costs!Z84</f>
        <v>0</v>
      </c>
      <c r="AE15" s="32">
        <f>Workings_costs!AA84</f>
        <v>0</v>
      </c>
      <c r="AF15" s="32">
        <f>Workings_costs!AB84</f>
        <v>0</v>
      </c>
      <c r="AG15" s="32">
        <f>Workings_costs!AC84</f>
        <v>0</v>
      </c>
      <c r="AH15"/>
      <c r="AI15"/>
      <c r="AJ15"/>
      <c r="AK15"/>
      <c r="AL15"/>
      <c r="AM15"/>
      <c r="AN15"/>
      <c r="AO15"/>
      <c r="AP15"/>
      <c r="AQ15"/>
    </row>
    <row r="16" spans="1:43" x14ac:dyDescent="0.2">
      <c r="C16" s="57"/>
      <c r="D16"/>
      <c r="E16" s="148">
        <v>0</v>
      </c>
      <c r="G16" s="207">
        <f>input_dollars</f>
        <v>45291</v>
      </c>
      <c r="H16" s="2"/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/>
      <c r="AI16"/>
      <c r="AJ16"/>
      <c r="AK16"/>
      <c r="AL16"/>
      <c r="AM16"/>
      <c r="AN16"/>
      <c r="AO16"/>
      <c r="AP16"/>
      <c r="AQ16"/>
    </row>
    <row r="17" spans="1:43" x14ac:dyDescent="0.2">
      <c r="C17" s="1" t="s">
        <v>30</v>
      </c>
      <c r="G17" s="207">
        <f>input_dollars</f>
        <v>45291</v>
      </c>
      <c r="H17" s="107"/>
      <c r="I17" s="106">
        <f t="shared" ref="I17:Q17" si="0">SUM(I14:I16)</f>
        <v>5822538.2157558519</v>
      </c>
      <c r="J17" s="106">
        <f t="shared" si="0"/>
        <v>5822538.2157558519</v>
      </c>
      <c r="K17" s="106">
        <f>SUM(K14:K16)</f>
        <v>0</v>
      </c>
      <c r="L17" s="106">
        <f t="shared" si="0"/>
        <v>0</v>
      </c>
      <c r="M17" s="106">
        <f t="shared" si="0"/>
        <v>0</v>
      </c>
      <c r="N17" s="106">
        <f t="shared" si="0"/>
        <v>0</v>
      </c>
      <c r="O17" s="106">
        <f t="shared" si="0"/>
        <v>0</v>
      </c>
      <c r="P17" s="106">
        <f t="shared" si="0"/>
        <v>0</v>
      </c>
      <c r="Q17" s="106">
        <f t="shared" si="0"/>
        <v>0</v>
      </c>
      <c r="R17" s="106">
        <f t="shared" ref="R17:AG17" si="1">SUM(R14:R16)</f>
        <v>0</v>
      </c>
      <c r="S17" s="106">
        <f t="shared" si="1"/>
        <v>0</v>
      </c>
      <c r="T17" s="106">
        <f t="shared" si="1"/>
        <v>0</v>
      </c>
      <c r="U17" s="106">
        <f t="shared" si="1"/>
        <v>0</v>
      </c>
      <c r="V17" s="106">
        <f t="shared" si="1"/>
        <v>0</v>
      </c>
      <c r="W17" s="106">
        <f t="shared" si="1"/>
        <v>0</v>
      </c>
      <c r="X17" s="106">
        <f t="shared" si="1"/>
        <v>0</v>
      </c>
      <c r="Y17" s="106">
        <f t="shared" si="1"/>
        <v>0</v>
      </c>
      <c r="Z17" s="106">
        <f t="shared" si="1"/>
        <v>0</v>
      </c>
      <c r="AA17" s="106">
        <f t="shared" si="1"/>
        <v>0</v>
      </c>
      <c r="AB17" s="106">
        <f t="shared" si="1"/>
        <v>0</v>
      </c>
      <c r="AC17" s="106">
        <f t="shared" si="1"/>
        <v>0</v>
      </c>
      <c r="AD17" s="106">
        <f t="shared" si="1"/>
        <v>0</v>
      </c>
      <c r="AE17" s="106">
        <f t="shared" si="1"/>
        <v>0</v>
      </c>
      <c r="AF17" s="106">
        <f t="shared" si="1"/>
        <v>0</v>
      </c>
      <c r="AG17" s="106">
        <f t="shared" si="1"/>
        <v>0</v>
      </c>
      <c r="AH17"/>
      <c r="AI17"/>
      <c r="AJ17"/>
      <c r="AK17"/>
    </row>
    <row r="18" spans="1:43" x14ac:dyDescent="0.2">
      <c r="C18"/>
      <c r="D18"/>
      <c r="E18"/>
      <c r="G18" s="20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x14ac:dyDescent="0.2">
      <c r="C19" s="1" t="s">
        <v>31</v>
      </c>
      <c r="D19"/>
      <c r="E19"/>
      <c r="F19" s="107"/>
      <c r="G19" s="207">
        <f>input_dollars</f>
        <v>45291</v>
      </c>
      <c r="H19" s="107"/>
      <c r="I19" s="32">
        <f>Workings_costs!E86</f>
        <v>21762.742092409098</v>
      </c>
      <c r="J19" s="32">
        <f>Workings_costs!F86</f>
        <v>21762.742092409098</v>
      </c>
      <c r="K19" s="32">
        <f>Workings_costs!G86</f>
        <v>21762.742092409098</v>
      </c>
      <c r="L19" s="32">
        <f>Workings_costs!H86</f>
        <v>21762.742092409098</v>
      </c>
      <c r="M19" s="32">
        <f>Workings_costs!I86</f>
        <v>21762.742092409098</v>
      </c>
      <c r="N19" s="32">
        <f>Workings_costs!J86</f>
        <v>485543.79979110626</v>
      </c>
      <c r="O19" s="32">
        <f>Workings_costs!K86</f>
        <v>485543.79979110626</v>
      </c>
      <c r="P19" s="32">
        <f>Workings_costs!L86</f>
        <v>485543.79979110626</v>
      </c>
      <c r="Q19" s="32">
        <f>Workings_costs!M86</f>
        <v>771730.25223625591</v>
      </c>
      <c r="R19" s="32">
        <f>Workings_costs!N86</f>
        <v>771730.25223625591</v>
      </c>
      <c r="S19" s="32">
        <f>Workings_costs!O86</f>
        <v>485543.79979110626</v>
      </c>
      <c r="T19" s="32">
        <f>Workings_costs!P86</f>
        <v>485543.79979110626</v>
      </c>
      <c r="U19" s="32">
        <f>Workings_costs!Q86</f>
        <v>485543.79979110626</v>
      </c>
      <c r="V19" s="32">
        <f>Workings_costs!R86</f>
        <v>485543.79979110626</v>
      </c>
      <c r="W19" s="32">
        <f>Workings_costs!S86</f>
        <v>485543.79979110626</v>
      </c>
      <c r="X19" s="32">
        <f>Workings_costs!T86</f>
        <v>242771.89989555313</v>
      </c>
      <c r="Y19" s="32">
        <f>Workings_costs!U86</f>
        <v>0</v>
      </c>
      <c r="Z19" s="32">
        <f>Workings_costs!V86</f>
        <v>0</v>
      </c>
      <c r="AA19" s="32">
        <f>Workings_costs!W86</f>
        <v>0</v>
      </c>
      <c r="AB19" s="32">
        <f>Workings_costs!X86</f>
        <v>0</v>
      </c>
      <c r="AC19" s="32">
        <f>Workings_costs!Y86</f>
        <v>0</v>
      </c>
      <c r="AD19" s="32">
        <f>Workings_costs!Z86</f>
        <v>0</v>
      </c>
      <c r="AE19" s="32">
        <f>Workings_costs!AA86</f>
        <v>0</v>
      </c>
      <c r="AF19" s="32">
        <f>Workings_costs!AB86</f>
        <v>0</v>
      </c>
      <c r="AG19" s="32">
        <f>Workings_costs!AC86</f>
        <v>0</v>
      </c>
      <c r="AH19"/>
      <c r="AI19"/>
      <c r="AJ19"/>
      <c r="AK19"/>
    </row>
    <row r="20" spans="1:43" x14ac:dyDescent="0.2">
      <c r="G20" s="205"/>
      <c r="AH20"/>
      <c r="AI20"/>
      <c r="AJ20"/>
      <c r="AK20"/>
    </row>
    <row r="21" spans="1:43" x14ac:dyDescent="0.2">
      <c r="C21"/>
      <c r="D21"/>
      <c r="E21"/>
      <c r="G21" s="20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ht="15" x14ac:dyDescent="0.2">
      <c r="A22" s="89" t="s">
        <v>149</v>
      </c>
      <c r="B22" s="89"/>
      <c r="C22" s="89"/>
      <c r="D22" s="89"/>
      <c r="E22" s="89"/>
      <c r="F22" s="89"/>
      <c r="G22" s="204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/>
      <c r="AI22"/>
      <c r="AJ22"/>
      <c r="AK22"/>
      <c r="AL22"/>
      <c r="AM22"/>
      <c r="AN22"/>
      <c r="AO22"/>
      <c r="AP22"/>
      <c r="AQ22"/>
    </row>
    <row r="23" spans="1:43" ht="12.75" customHeight="1" x14ac:dyDescent="0.2">
      <c r="A23" s="111"/>
      <c r="B23" s="111"/>
      <c r="C23" s="111"/>
      <c r="D23" s="111"/>
      <c r="E23" s="111"/>
      <c r="F23" s="111"/>
      <c r="G23" s="208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/>
      <c r="AI23"/>
      <c r="AJ23"/>
      <c r="AK23"/>
      <c r="AL23"/>
      <c r="AM23"/>
      <c r="AN23"/>
      <c r="AO23"/>
      <c r="AP23"/>
      <c r="AQ23"/>
    </row>
    <row r="24" spans="1:43" ht="12.75" customHeight="1" x14ac:dyDescent="0.2">
      <c r="A24" s="111"/>
      <c r="B24" s="111"/>
      <c r="C24" s="1" t="s">
        <v>150</v>
      </c>
      <c r="D24" s="111"/>
      <c r="E24" s="111"/>
      <c r="F24" s="111"/>
      <c r="G24" s="208"/>
      <c r="H24" s="111"/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69">
        <v>0</v>
      </c>
      <c r="R24" s="169">
        <v>0</v>
      </c>
      <c r="S24" s="169">
        <v>0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/>
      <c r="AI24"/>
      <c r="AJ24"/>
      <c r="AK24"/>
      <c r="AL24"/>
      <c r="AM24"/>
      <c r="AN24"/>
      <c r="AO24"/>
      <c r="AP24"/>
      <c r="AQ24"/>
    </row>
    <row r="25" spans="1:43" ht="12.75" customHeight="1" x14ac:dyDescent="0.2">
      <c r="A25" s="111"/>
      <c r="B25" s="111"/>
      <c r="C25" s="1" t="s">
        <v>151</v>
      </c>
      <c r="D25" s="208"/>
      <c r="E25" s="111"/>
      <c r="F25" s="111"/>
      <c r="G25" s="208"/>
      <c r="H25" s="111"/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69">
        <v>0</v>
      </c>
      <c r="R25" s="169">
        <v>0</v>
      </c>
      <c r="S25" s="169">
        <v>0</v>
      </c>
      <c r="T25" s="169">
        <v>0</v>
      </c>
      <c r="U25" s="169">
        <v>0</v>
      </c>
      <c r="V25" s="169">
        <v>0</v>
      </c>
      <c r="W25" s="169">
        <v>0</v>
      </c>
      <c r="X25" s="169">
        <v>0</v>
      </c>
      <c r="Y25" s="169">
        <v>0</v>
      </c>
      <c r="Z25" s="169">
        <v>0</v>
      </c>
      <c r="AA25" s="169">
        <v>0</v>
      </c>
      <c r="AB25" s="169">
        <v>0</v>
      </c>
      <c r="AC25" s="169">
        <v>0</v>
      </c>
      <c r="AD25" s="169">
        <v>0</v>
      </c>
      <c r="AE25" s="169">
        <v>0</v>
      </c>
      <c r="AF25" s="169">
        <v>0</v>
      </c>
      <c r="AG25" s="169">
        <v>0</v>
      </c>
      <c r="AH25"/>
      <c r="AI25"/>
      <c r="AJ25"/>
      <c r="AK25"/>
      <c r="AL25"/>
      <c r="AM25"/>
      <c r="AN25"/>
      <c r="AO25"/>
      <c r="AP25"/>
      <c r="AQ25"/>
    </row>
    <row r="26" spans="1:43" ht="12.75" customHeight="1" x14ac:dyDescent="0.2">
      <c r="A26" s="111"/>
      <c r="B26" s="111"/>
      <c r="C26" s="111"/>
      <c r="D26" s="208"/>
      <c r="E26" s="111"/>
      <c r="F26" s="111"/>
      <c r="G26" s="208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/>
      <c r="AI26"/>
      <c r="AJ26"/>
      <c r="AK26"/>
      <c r="AL26"/>
      <c r="AM26"/>
      <c r="AN26"/>
      <c r="AO26"/>
      <c r="AP26"/>
      <c r="AQ26"/>
    </row>
    <row r="27" spans="1:43" x14ac:dyDescent="0.2">
      <c r="C27" s="1" t="s">
        <v>123</v>
      </c>
      <c r="D27" s="205"/>
      <c r="E27"/>
      <c r="G27" s="207" t="s">
        <v>40</v>
      </c>
      <c r="H27"/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8">
        <v>0</v>
      </c>
      <c r="Z27" s="168">
        <v>0</v>
      </c>
      <c r="AA27" s="168">
        <v>0</v>
      </c>
      <c r="AB27" s="168">
        <v>0</v>
      </c>
      <c r="AC27" s="168">
        <v>0</v>
      </c>
      <c r="AD27" s="168">
        <v>0</v>
      </c>
      <c r="AE27" s="168">
        <v>0</v>
      </c>
      <c r="AF27" s="168">
        <v>0</v>
      </c>
      <c r="AG27" s="168">
        <v>0</v>
      </c>
      <c r="AH27"/>
      <c r="AI27"/>
      <c r="AJ27"/>
      <c r="AK27"/>
      <c r="AL27"/>
      <c r="AM27"/>
      <c r="AN27"/>
      <c r="AO27"/>
      <c r="AP27"/>
      <c r="AQ27"/>
    </row>
    <row r="28" spans="1:43" x14ac:dyDescent="0.2">
      <c r="C28" s="1" t="s">
        <v>124</v>
      </c>
      <c r="D28" s="205" t="s">
        <v>63</v>
      </c>
      <c r="E28" s="113">
        <f>Assumptions!H41*vcr_esc</f>
        <v>43815.486225173103</v>
      </c>
      <c r="F28" s="238" t="str">
        <f>IF(AND(SUM(I27:AG27)&lt;&gt;0, E28=0), "!", "")</f>
        <v/>
      </c>
      <c r="G28" s="207">
        <f>input_dollars</f>
        <v>45291</v>
      </c>
      <c r="H28"/>
      <c r="I28" s="168">
        <f>Workings_risks!E109</f>
        <v>833213.91510780004</v>
      </c>
      <c r="J28" s="168">
        <f>Workings_risks!F109</f>
        <v>817721.51996992936</v>
      </c>
      <c r="K28" s="168">
        <f>Workings_risks!G109</f>
        <v>817721.51996992936</v>
      </c>
      <c r="L28" s="168">
        <f>Workings_risks!H109</f>
        <v>817721.51996992936</v>
      </c>
      <c r="M28" s="168">
        <f>Workings_risks!I109</f>
        <v>817721.51996992936</v>
      </c>
      <c r="N28" s="168">
        <f>Workings_risks!J109</f>
        <v>817721.51996992936</v>
      </c>
      <c r="O28" s="168">
        <f>Workings_risks!K109</f>
        <v>817721.51996992936</v>
      </c>
      <c r="P28" s="168">
        <f>Workings_risks!L109</f>
        <v>817721.51996992936</v>
      </c>
      <c r="Q28" s="168">
        <f>Workings_risks!M109</f>
        <v>817721.51996992936</v>
      </c>
      <c r="R28" s="168">
        <f>Workings_risks!N109</f>
        <v>817721.51996992936</v>
      </c>
      <c r="S28" s="168">
        <f>Workings_risks!O109</f>
        <v>817721.51996992936</v>
      </c>
      <c r="T28" s="168">
        <f>Workings_risks!P109</f>
        <v>817721.51996992936</v>
      </c>
      <c r="U28" s="168">
        <f>Workings_risks!Q109</f>
        <v>817721.51996992936</v>
      </c>
      <c r="V28" s="168">
        <f>Workings_risks!R109</f>
        <v>817721.51996992936</v>
      </c>
      <c r="W28" s="168">
        <f>Workings_risks!S109</f>
        <v>817721.51996992936</v>
      </c>
      <c r="X28" s="168">
        <f>Workings_risks!T109</f>
        <v>831687.39265835925</v>
      </c>
      <c r="Y28" s="168">
        <f>Workings_risks!U109</f>
        <v>845653.26534678915</v>
      </c>
      <c r="Z28" s="168">
        <f>Workings_risks!V109</f>
        <v>845653.26534678915</v>
      </c>
      <c r="AA28" s="168">
        <f>Workings_risks!W109</f>
        <v>845653.26534678915</v>
      </c>
      <c r="AB28" s="168">
        <f>Workings_risks!X109</f>
        <v>845653.26534678915</v>
      </c>
      <c r="AC28" s="168">
        <f>Workings_risks!Y109</f>
        <v>0</v>
      </c>
      <c r="AD28" s="168">
        <f>Workings_risks!Z109</f>
        <v>0</v>
      </c>
      <c r="AE28" s="168">
        <f>Workings_risks!AA109</f>
        <v>0</v>
      </c>
      <c r="AF28" s="168">
        <f>Workings_risks!AB109</f>
        <v>0</v>
      </c>
      <c r="AG28" s="168">
        <f>Workings_risks!AC109</f>
        <v>0</v>
      </c>
      <c r="AH28"/>
      <c r="AI28"/>
      <c r="AJ28"/>
      <c r="AK28"/>
      <c r="AL28"/>
      <c r="AM28"/>
      <c r="AN28"/>
      <c r="AO28"/>
      <c r="AP28"/>
      <c r="AQ28"/>
    </row>
    <row r="29" spans="1:43" x14ac:dyDescent="0.2">
      <c r="D29" s="206"/>
      <c r="E29"/>
      <c r="G29" s="20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</row>
    <row r="30" spans="1:43" x14ac:dyDescent="0.2">
      <c r="C30" s="1" t="s">
        <v>114</v>
      </c>
      <c r="D30" s="205" t="s">
        <v>206</v>
      </c>
      <c r="G30" s="207">
        <f>input_dollars</f>
        <v>45291</v>
      </c>
      <c r="H30" s="149"/>
      <c r="I30" s="170" cm="1">
        <f t="array" ref="I30">SUMPRODUCT((Assumptions!$H$70:$H$71)*(Assumptions!$G$70:$G$71)*(Assumptions!$I$70:$I$71)*(I$24:I$25))</f>
        <v>0</v>
      </c>
      <c r="J30" s="170" cm="1">
        <f t="array" ref="J30">SUMPRODUCT((Assumptions!$H$70:$H$71)*(Assumptions!$G$70:$G$71)*(Assumptions!$I$70:$I$71)*(J$24:J$25))</f>
        <v>0</v>
      </c>
      <c r="K30" s="170" cm="1">
        <f t="array" ref="K30">SUMPRODUCT((Assumptions!$H$70:$H$71)*(Assumptions!$G$70:$G$71)*(Assumptions!$I$70:$I$71)*(K$24:K$25))</f>
        <v>0</v>
      </c>
      <c r="L30" s="170" cm="1">
        <f t="array" ref="L30">SUMPRODUCT((Assumptions!$H$70:$H$71)*(Assumptions!$G$70:$G$71)*(Assumptions!$I$70:$I$71)*(L$24:L$25))</f>
        <v>0</v>
      </c>
      <c r="M30" s="170" cm="1">
        <f t="array" ref="M30">SUMPRODUCT((Assumptions!$H$70:$H$71)*(Assumptions!$G$70:$G$71)*(Assumptions!$I$70:$I$71)*(M$24:M$25))</f>
        <v>0</v>
      </c>
      <c r="N30" s="170" cm="1">
        <f t="array" ref="N30">SUMPRODUCT((Assumptions!$H$70:$H$71)*(Assumptions!$G$70:$G$71)*(Assumptions!$I$70:$I$71)*(N$24:N$25))</f>
        <v>0</v>
      </c>
      <c r="O30" s="170" cm="1">
        <f t="array" ref="O30">SUMPRODUCT((Assumptions!$H$70:$H$71)*(Assumptions!$G$70:$G$71)*(Assumptions!$I$70:$I$71)*(O$24:O$25))</f>
        <v>0</v>
      </c>
      <c r="P30" s="170" cm="1">
        <f t="array" ref="P30">SUMPRODUCT((Assumptions!$H$70:$H$71)*(Assumptions!$G$70:$G$71)*(Assumptions!$I$70:$I$71)*(P$24:P$25))</f>
        <v>0</v>
      </c>
      <c r="Q30" s="170" cm="1">
        <f t="array" ref="Q30">SUMPRODUCT((Assumptions!$H$70:$H$71)*(Assumptions!$G$70:$G$71)*(Assumptions!$I$70:$I$71)*(Q$24:Q$25))</f>
        <v>0</v>
      </c>
      <c r="R30" s="170" cm="1">
        <f t="array" ref="R30">SUMPRODUCT((Assumptions!$H$70:$H$71)*(Assumptions!$G$70:$G$71)*(Assumptions!$I$70:$I$71)*(R$24:R$25))</f>
        <v>0</v>
      </c>
      <c r="S30" s="170" cm="1">
        <f t="array" ref="S30">SUMPRODUCT((Assumptions!$H$70:$H$71)*(Assumptions!$G$70:$G$71)*(Assumptions!$I$70:$I$71)*(S$24:S$25))</f>
        <v>0</v>
      </c>
      <c r="T30" s="170" cm="1">
        <f t="array" ref="T30">SUMPRODUCT((Assumptions!$H$70:$H$71)*(Assumptions!$G$70:$G$71)*(Assumptions!$I$70:$I$71)*(T$24:T$25))</f>
        <v>0</v>
      </c>
      <c r="U30" s="170" cm="1">
        <f t="array" ref="U30">SUMPRODUCT((Assumptions!$H$70:$H$71)*(Assumptions!$G$70:$G$71)*(Assumptions!$I$70:$I$71)*(U$24:U$25))</f>
        <v>0</v>
      </c>
      <c r="V30" s="170" cm="1">
        <f t="array" ref="V30">SUMPRODUCT((Assumptions!$H$70:$H$71)*(Assumptions!$G$70:$G$71)*(Assumptions!$I$70:$I$71)*(V$24:V$25))</f>
        <v>0</v>
      </c>
      <c r="W30" s="170" cm="1">
        <f t="array" ref="W30">SUMPRODUCT((Assumptions!$H$70:$H$71)*(Assumptions!$G$70:$G$71)*(Assumptions!$I$70:$I$71)*(W$24:W$25))</f>
        <v>0</v>
      </c>
      <c r="X30" s="170" cm="1">
        <f t="array" ref="X30">SUMPRODUCT((Assumptions!$H$70:$H$71)*(Assumptions!$G$70:$G$71)*(Assumptions!$I$70:$I$71)*(X$24:X$25))</f>
        <v>0</v>
      </c>
      <c r="Y30" s="170" cm="1">
        <f t="array" ref="Y30">SUMPRODUCT((Assumptions!$H$70:$H$71)*(Assumptions!$G$70:$G$71)*(Assumptions!$I$70:$I$71)*(Y$24:Y$25))</f>
        <v>0</v>
      </c>
      <c r="Z30" s="170" cm="1">
        <f t="array" ref="Z30">SUMPRODUCT((Assumptions!$H$70:$H$71)*(Assumptions!$G$70:$G$71)*(Assumptions!$I$70:$I$71)*(Z$24:Z$25))</f>
        <v>0</v>
      </c>
      <c r="AA30" s="170" cm="1">
        <f t="array" ref="AA30">SUMPRODUCT((Assumptions!$H$70:$H$71)*(Assumptions!$G$70:$G$71)*(Assumptions!$I$70:$I$71)*(AA$24:AA$25))</f>
        <v>0</v>
      </c>
      <c r="AB30" s="170" cm="1">
        <f t="array" ref="AB30">SUMPRODUCT((Assumptions!$H$70:$H$71)*(Assumptions!$G$70:$G$71)*(Assumptions!$I$70:$I$71)*(AB$24:AB$25))</f>
        <v>0</v>
      </c>
      <c r="AC30" s="170" cm="1">
        <f t="array" ref="AC30">SUMPRODUCT((Assumptions!$H$70:$H$71)*(Assumptions!$G$70:$G$71)*(Assumptions!$I$70:$I$71)*(AC$24:AC$25))</f>
        <v>0</v>
      </c>
      <c r="AD30" s="170" cm="1">
        <f t="array" ref="AD30">SUMPRODUCT((Assumptions!$H$70:$H$71)*(Assumptions!$G$70:$G$71)*(Assumptions!$I$70:$I$71)*(AD$24:AD$25))</f>
        <v>0</v>
      </c>
      <c r="AE30" s="170" cm="1">
        <f t="array" ref="AE30">SUMPRODUCT((Assumptions!$H$70:$H$71)*(Assumptions!$G$70:$G$71)*(Assumptions!$I$70:$I$71)*(AE$24:AE$25))</f>
        <v>0</v>
      </c>
      <c r="AF30" s="170" cm="1">
        <f t="array" ref="AF30">SUMPRODUCT((Assumptions!$H$70:$H$71)*(Assumptions!$G$70:$G$71)*(Assumptions!$I$70:$I$71)*(AF$24:AF$25))</f>
        <v>0</v>
      </c>
      <c r="AG30" s="170" cm="1">
        <f t="array" ref="AG30">SUMPRODUCT((Assumptions!$H$70:$H$71)*(Assumptions!$G$70:$G$71)*(Assumptions!$I$70:$I$71)*(AG$24:AG$25))</f>
        <v>0</v>
      </c>
      <c r="AH30"/>
      <c r="AI30"/>
      <c r="AJ30"/>
      <c r="AK30"/>
      <c r="AL30"/>
      <c r="AM30"/>
      <c r="AN30"/>
      <c r="AO30"/>
      <c r="AP30"/>
      <c r="AQ30"/>
    </row>
    <row r="31" spans="1:43" x14ac:dyDescent="0.2">
      <c r="C31" s="1" t="s">
        <v>116</v>
      </c>
      <c r="D31" s="206"/>
      <c r="E31"/>
      <c r="G31" s="207">
        <f>input_dollars</f>
        <v>45291</v>
      </c>
      <c r="H31" s="149"/>
      <c r="I31" s="170" cm="1">
        <f t="array" ref="I31">(1+Assumptions!$G$81)*SUMPRODUCT((Assumptions!$G$78:$G$79)*(I$24:I$25))</f>
        <v>0</v>
      </c>
      <c r="J31" s="170" cm="1">
        <f t="array" ref="J31">(1+Assumptions!$G$81)*SUMPRODUCT((Assumptions!$G$78:$G$79)*(J$24:J$25))</f>
        <v>0</v>
      </c>
      <c r="K31" s="170" cm="1">
        <f t="array" ref="K31">(1+Assumptions!$G$81)*SUMPRODUCT((Assumptions!$G$78:$G$79)*(K$24:K$25))</f>
        <v>0</v>
      </c>
      <c r="L31" s="170" cm="1">
        <f t="array" ref="L31">(1+Assumptions!$G$81)*SUMPRODUCT((Assumptions!$G$78:$G$79)*(L$24:L$25))</f>
        <v>0</v>
      </c>
      <c r="M31" s="170" cm="1">
        <f t="array" ref="M31">(1+Assumptions!$G$81)*SUMPRODUCT((Assumptions!$G$78:$G$79)*(M$24:M$25))</f>
        <v>0</v>
      </c>
      <c r="N31" s="170" cm="1">
        <f t="array" ref="N31">(1+Assumptions!$G$81)*SUMPRODUCT((Assumptions!$G$78:$G$79)*(N$24:N$25))</f>
        <v>0</v>
      </c>
      <c r="O31" s="170" cm="1">
        <f t="array" ref="O31">(1+Assumptions!$G$81)*SUMPRODUCT((Assumptions!$G$78:$G$79)*(O$24:O$25))</f>
        <v>0</v>
      </c>
      <c r="P31" s="170" cm="1">
        <f t="array" ref="P31">(1+Assumptions!$G$81)*SUMPRODUCT((Assumptions!$G$78:$G$79)*(P$24:P$25))</f>
        <v>0</v>
      </c>
      <c r="Q31" s="170" cm="1">
        <f t="array" ref="Q31">(1+Assumptions!$G$81)*SUMPRODUCT((Assumptions!$G$78:$G$79)*(Q$24:Q$25))</f>
        <v>0</v>
      </c>
      <c r="R31" s="170" cm="1">
        <f t="array" ref="R31">(1+Assumptions!$G$81)*SUMPRODUCT((Assumptions!$G$78:$G$79)*(R$24:R$25))</f>
        <v>0</v>
      </c>
      <c r="S31" s="170" cm="1">
        <f t="array" ref="S31">(1+Assumptions!$G$81)*SUMPRODUCT((Assumptions!$G$78:$G$79)*(S$24:S$25))</f>
        <v>0</v>
      </c>
      <c r="T31" s="170" cm="1">
        <f t="array" ref="T31">(1+Assumptions!$G$81)*SUMPRODUCT((Assumptions!$G$78:$G$79)*(T$24:T$25))</f>
        <v>0</v>
      </c>
      <c r="U31" s="170" cm="1">
        <f t="array" ref="U31">(1+Assumptions!$G$81)*SUMPRODUCT((Assumptions!$G$78:$G$79)*(U$24:U$25))</f>
        <v>0</v>
      </c>
      <c r="V31" s="170" cm="1">
        <f t="array" ref="V31">(1+Assumptions!$G$81)*SUMPRODUCT((Assumptions!$G$78:$G$79)*(V$24:V$25))</f>
        <v>0</v>
      </c>
      <c r="W31" s="170" cm="1">
        <f t="array" ref="W31">(1+Assumptions!$G$81)*SUMPRODUCT((Assumptions!$G$78:$G$79)*(W$24:W$25))</f>
        <v>0</v>
      </c>
      <c r="X31" s="170" cm="1">
        <f t="array" ref="X31">(1+Assumptions!$G$81)*SUMPRODUCT((Assumptions!$G$78:$G$79)*(X$24:X$25))</f>
        <v>0</v>
      </c>
      <c r="Y31" s="170" cm="1">
        <f t="array" ref="Y31">(1+Assumptions!$G$81)*SUMPRODUCT((Assumptions!$G$78:$G$79)*(Y$24:Y$25))</f>
        <v>0</v>
      </c>
      <c r="Z31" s="170" cm="1">
        <f t="array" ref="Z31">(1+Assumptions!$G$81)*SUMPRODUCT((Assumptions!$G$78:$G$79)*(Z$24:Z$25))</f>
        <v>0</v>
      </c>
      <c r="AA31" s="170" cm="1">
        <f t="array" ref="AA31">(1+Assumptions!$G$81)*SUMPRODUCT((Assumptions!$G$78:$G$79)*(AA$24:AA$25))</f>
        <v>0</v>
      </c>
      <c r="AB31" s="170" cm="1">
        <f t="array" ref="AB31">(1+Assumptions!$G$81)*SUMPRODUCT((Assumptions!$G$78:$G$79)*(AB$24:AB$25))</f>
        <v>0</v>
      </c>
      <c r="AC31" s="170" cm="1">
        <f t="array" ref="AC31">(1+Assumptions!$G$81)*SUMPRODUCT((Assumptions!$G$78:$G$79)*(AC$24:AC$25))</f>
        <v>0</v>
      </c>
      <c r="AD31" s="170" cm="1">
        <f t="array" ref="AD31">(1+Assumptions!$G$81)*SUMPRODUCT((Assumptions!$G$78:$G$79)*(AD$24:AD$25))</f>
        <v>0</v>
      </c>
      <c r="AE31" s="170" cm="1">
        <f t="array" ref="AE31">(1+Assumptions!$G$81)*SUMPRODUCT((Assumptions!$G$78:$G$79)*(AE$24:AE$25))</f>
        <v>0</v>
      </c>
      <c r="AF31" s="170" cm="1">
        <f t="array" ref="AF31">(1+Assumptions!$G$81)*SUMPRODUCT((Assumptions!$G$78:$G$79)*(AF$24:AF$25))</f>
        <v>0</v>
      </c>
      <c r="AG31" s="170" cm="1">
        <f t="array" ref="AG31">(1+Assumptions!$G$81)*SUMPRODUCT((Assumptions!$G$78:$G$79)*(AG$24:AG$25))</f>
        <v>0</v>
      </c>
      <c r="AH31"/>
      <c r="AI31"/>
      <c r="AJ31"/>
      <c r="AK31"/>
      <c r="AL31"/>
      <c r="AM31"/>
      <c r="AN31"/>
      <c r="AO31"/>
      <c r="AP31"/>
      <c r="AQ31"/>
    </row>
    <row r="32" spans="1:43" x14ac:dyDescent="0.2">
      <c r="C32" s="1" t="s">
        <v>115</v>
      </c>
      <c r="D32" s="205" t="s">
        <v>206</v>
      </c>
      <c r="E32"/>
      <c r="G32" s="207">
        <f>input_dollars</f>
        <v>45291</v>
      </c>
      <c r="H32"/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136">
        <v>0</v>
      </c>
      <c r="S32" s="136">
        <v>0</v>
      </c>
      <c r="T32" s="136">
        <v>0</v>
      </c>
      <c r="U32" s="136">
        <v>0</v>
      </c>
      <c r="V32" s="136">
        <v>0</v>
      </c>
      <c r="W32" s="136">
        <v>0</v>
      </c>
      <c r="X32" s="136">
        <v>0</v>
      </c>
      <c r="Y32" s="136">
        <v>0</v>
      </c>
      <c r="Z32" s="136">
        <v>0</v>
      </c>
      <c r="AA32" s="136">
        <v>0</v>
      </c>
      <c r="AB32" s="136">
        <v>0</v>
      </c>
      <c r="AC32" s="136">
        <v>0</v>
      </c>
      <c r="AD32" s="136">
        <v>0</v>
      </c>
      <c r="AE32" s="136">
        <v>0</v>
      </c>
      <c r="AF32" s="136">
        <v>0</v>
      </c>
      <c r="AG32" s="136">
        <v>0</v>
      </c>
      <c r="AH32"/>
      <c r="AI32"/>
      <c r="AJ32"/>
      <c r="AK32"/>
      <c r="AL32"/>
      <c r="AM32"/>
      <c r="AN32"/>
      <c r="AO32"/>
      <c r="AP32"/>
      <c r="AQ32"/>
    </row>
    <row r="33" spans="1:16372" x14ac:dyDescent="0.2">
      <c r="C33" s="284" t="s">
        <v>278</v>
      </c>
      <c r="D33" s="219"/>
      <c r="E33"/>
      <c r="G33" s="207">
        <f>input_dollars</f>
        <v>45291</v>
      </c>
      <c r="H33"/>
      <c r="I33" s="32">
        <f>Workings_risks!E108</f>
        <v>14166422.204781443</v>
      </c>
      <c r="J33" s="32">
        <f>Workings_risks!F108</f>
        <v>13543676.163468657</v>
      </c>
      <c r="K33" s="32">
        <f>Workings_risks!G108</f>
        <v>13543676.163468657</v>
      </c>
      <c r="L33" s="32">
        <f>Workings_risks!H108</f>
        <v>13543676.163468657</v>
      </c>
      <c r="M33" s="32">
        <f>Workings_risks!I108</f>
        <v>13543676.163468657</v>
      </c>
      <c r="N33" s="32">
        <f>Workings_risks!J108</f>
        <v>13543676.163468657</v>
      </c>
      <c r="O33" s="32">
        <f>Workings_risks!K108</f>
        <v>13543676.163468657</v>
      </c>
      <c r="P33" s="32">
        <f>Workings_risks!L108</f>
        <v>13543676.163468657</v>
      </c>
      <c r="Q33" s="32">
        <f>Workings_risks!M108</f>
        <v>13543676.163468657</v>
      </c>
      <c r="R33" s="32">
        <f>Workings_risks!N108</f>
        <v>13543676.163468657</v>
      </c>
      <c r="S33" s="32">
        <f>Workings_risks!O108</f>
        <v>13543676.163468657</v>
      </c>
      <c r="T33" s="32">
        <f>Workings_risks!P108</f>
        <v>13543676.163468657</v>
      </c>
      <c r="U33" s="32">
        <f>Workings_risks!Q108</f>
        <v>13543676.163468657</v>
      </c>
      <c r="V33" s="32">
        <f>Workings_risks!R108</f>
        <v>13543676.163468657</v>
      </c>
      <c r="W33" s="32">
        <f>Workings_risks!S108</f>
        <v>13543676.163468657</v>
      </c>
      <c r="X33" s="32">
        <f>Workings_risks!T108</f>
        <v>13996994.870284736</v>
      </c>
      <c r="Y33" s="32">
        <f>Workings_risks!U108</f>
        <v>14450313.577100815</v>
      </c>
      <c r="Z33" s="32">
        <f>Workings_risks!V108</f>
        <v>14450313.577100815</v>
      </c>
      <c r="AA33" s="32">
        <f>Workings_risks!W108</f>
        <v>14450313.577100815</v>
      </c>
      <c r="AB33" s="32">
        <f>Workings_risks!X108</f>
        <v>14450313.577100815</v>
      </c>
      <c r="AC33" s="32">
        <f>Workings_risks!Y108</f>
        <v>0</v>
      </c>
      <c r="AD33" s="32">
        <f>Workings_risks!Z108</f>
        <v>0</v>
      </c>
      <c r="AE33" s="32">
        <f>Workings_risks!AA108</f>
        <v>0</v>
      </c>
      <c r="AF33" s="32">
        <f>Workings_risks!AB108</f>
        <v>0</v>
      </c>
      <c r="AG33" s="32">
        <f>Workings_risks!AC108</f>
        <v>0</v>
      </c>
      <c r="AH33"/>
      <c r="AI33"/>
      <c r="AJ33"/>
      <c r="AK33"/>
      <c r="AL33"/>
      <c r="AM33"/>
      <c r="AN33"/>
      <c r="AO33"/>
      <c r="AP33"/>
      <c r="AQ33"/>
    </row>
    <row r="34" spans="1:16372" x14ac:dyDescent="0.2">
      <c r="C34" s="284" t="s">
        <v>171</v>
      </c>
      <c r="D34" s="206"/>
      <c r="E34"/>
      <c r="G34" s="207">
        <f>input_dollars</f>
        <v>45291</v>
      </c>
      <c r="H34"/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0</v>
      </c>
      <c r="AE34" s="32">
        <v>0</v>
      </c>
      <c r="AF34" s="32">
        <v>0</v>
      </c>
      <c r="AG34" s="32">
        <v>0</v>
      </c>
      <c r="AH34"/>
      <c r="AI34"/>
      <c r="AJ34"/>
      <c r="AK34"/>
      <c r="AL34"/>
      <c r="AM34"/>
      <c r="AN34"/>
      <c r="AO34"/>
      <c r="AP34"/>
      <c r="AQ34"/>
    </row>
    <row r="35" spans="1:16372" x14ac:dyDescent="0.2">
      <c r="D35" s="206"/>
      <c r="E35"/>
      <c r="G35" s="20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</row>
    <row r="36" spans="1:16372" x14ac:dyDescent="0.2">
      <c r="C36" s="3" t="s">
        <v>170</v>
      </c>
      <c r="D36" s="218"/>
      <c r="E36" s="107"/>
      <c r="F36" s="3"/>
      <c r="G36" s="209"/>
      <c r="H36" s="107"/>
      <c r="I36" s="170">
        <f>SUM(I28:I34)</f>
        <v>14999636.119889243</v>
      </c>
      <c r="J36" s="170">
        <f t="shared" ref="J36:AG36" si="2">SUM(J28:J34)</f>
        <v>14361397.683438586</v>
      </c>
      <c r="K36" s="170">
        <f t="shared" si="2"/>
        <v>14361397.683438586</v>
      </c>
      <c r="L36" s="170">
        <f t="shared" si="2"/>
        <v>14361397.683438586</v>
      </c>
      <c r="M36" s="170">
        <f t="shared" si="2"/>
        <v>14361397.683438586</v>
      </c>
      <c r="N36" s="170">
        <f t="shared" si="2"/>
        <v>14361397.683438586</v>
      </c>
      <c r="O36" s="170">
        <f t="shared" si="2"/>
        <v>14361397.683438586</v>
      </c>
      <c r="P36" s="170">
        <f t="shared" si="2"/>
        <v>14361397.683438586</v>
      </c>
      <c r="Q36" s="170">
        <f t="shared" si="2"/>
        <v>14361397.683438586</v>
      </c>
      <c r="R36" s="170">
        <f t="shared" si="2"/>
        <v>14361397.683438586</v>
      </c>
      <c r="S36" s="170">
        <f t="shared" si="2"/>
        <v>14361397.683438586</v>
      </c>
      <c r="T36" s="170">
        <f t="shared" si="2"/>
        <v>14361397.683438586</v>
      </c>
      <c r="U36" s="170">
        <f t="shared" si="2"/>
        <v>14361397.683438586</v>
      </c>
      <c r="V36" s="170">
        <f t="shared" si="2"/>
        <v>14361397.683438586</v>
      </c>
      <c r="W36" s="170">
        <f t="shared" si="2"/>
        <v>14361397.683438586</v>
      </c>
      <c r="X36" s="170">
        <f t="shared" si="2"/>
        <v>14828682.262943095</v>
      </c>
      <c r="Y36" s="170">
        <f t="shared" si="2"/>
        <v>15295966.842447605</v>
      </c>
      <c r="Z36" s="170">
        <f t="shared" si="2"/>
        <v>15295966.842447605</v>
      </c>
      <c r="AA36" s="170">
        <f t="shared" si="2"/>
        <v>15295966.842447605</v>
      </c>
      <c r="AB36" s="170">
        <f t="shared" si="2"/>
        <v>15295966.842447605</v>
      </c>
      <c r="AC36" s="170">
        <f t="shared" si="2"/>
        <v>0</v>
      </c>
      <c r="AD36" s="170">
        <f t="shared" si="2"/>
        <v>0</v>
      </c>
      <c r="AE36" s="170">
        <f t="shared" si="2"/>
        <v>0</v>
      </c>
      <c r="AF36" s="170">
        <f t="shared" si="2"/>
        <v>0</v>
      </c>
      <c r="AG36" s="170">
        <f t="shared" si="2"/>
        <v>0</v>
      </c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</row>
    <row r="37" spans="1:16372" x14ac:dyDescent="0.2">
      <c r="D37"/>
      <c r="E37"/>
      <c r="G37" s="20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</row>
    <row r="38" spans="1:16372" ht="15" x14ac:dyDescent="0.2">
      <c r="A38" s="89" t="s">
        <v>56</v>
      </c>
      <c r="B38" s="89"/>
      <c r="C38" s="89"/>
      <c r="D38" s="89"/>
      <c r="E38" s="89"/>
      <c r="F38" s="89"/>
      <c r="G38" s="204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/>
      <c r="AI38"/>
      <c r="AJ38"/>
      <c r="AK38"/>
      <c r="AL38"/>
      <c r="AM38"/>
      <c r="AN38"/>
      <c r="AO38"/>
      <c r="AP38"/>
      <c r="AQ38"/>
    </row>
    <row r="39" spans="1:16372" x14ac:dyDescent="0.2">
      <c r="D39"/>
      <c r="E39"/>
      <c r="G39" s="207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</row>
    <row r="40" spans="1:16372" x14ac:dyDescent="0.2">
      <c r="D40"/>
      <c r="E40"/>
      <c r="G40" s="207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</row>
    <row r="41" spans="1:16372" ht="13.5" x14ac:dyDescent="0.25">
      <c r="C41" s="1" t="s">
        <v>59</v>
      </c>
      <c r="G41" s="205" t="s">
        <v>40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0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  <c r="AH41"/>
      <c r="AI41"/>
      <c r="AJ41"/>
      <c r="AK41"/>
    </row>
    <row r="42" spans="1:16372" ht="13.5" x14ac:dyDescent="0.25">
      <c r="C42" s="1" t="s">
        <v>129</v>
      </c>
      <c r="G42" s="205" t="s">
        <v>104</v>
      </c>
      <c r="I42" s="85">
        <f t="shared" ref="I42:AG42" si="3">I41*I7</f>
        <v>0</v>
      </c>
      <c r="J42" s="85">
        <f t="shared" si="3"/>
        <v>0</v>
      </c>
      <c r="K42" s="85">
        <f t="shared" si="3"/>
        <v>0</v>
      </c>
      <c r="L42" s="85">
        <f t="shared" si="3"/>
        <v>0</v>
      </c>
      <c r="M42" s="85">
        <f t="shared" si="3"/>
        <v>0</v>
      </c>
      <c r="N42" s="85">
        <f t="shared" si="3"/>
        <v>0</v>
      </c>
      <c r="O42" s="85">
        <f t="shared" si="3"/>
        <v>0</v>
      </c>
      <c r="P42" s="85">
        <f t="shared" si="3"/>
        <v>0</v>
      </c>
      <c r="Q42" s="85">
        <f t="shared" si="3"/>
        <v>0</v>
      </c>
      <c r="R42" s="85">
        <f t="shared" si="3"/>
        <v>0</v>
      </c>
      <c r="S42" s="85">
        <f t="shared" si="3"/>
        <v>0</v>
      </c>
      <c r="T42" s="85">
        <f t="shared" si="3"/>
        <v>0</v>
      </c>
      <c r="U42" s="85">
        <f t="shared" si="3"/>
        <v>0</v>
      </c>
      <c r="V42" s="85">
        <f t="shared" si="3"/>
        <v>0</v>
      </c>
      <c r="W42" s="85">
        <f t="shared" si="3"/>
        <v>0</v>
      </c>
      <c r="X42" s="85">
        <f t="shared" si="3"/>
        <v>0</v>
      </c>
      <c r="Y42" s="85">
        <f t="shared" si="3"/>
        <v>0</v>
      </c>
      <c r="Z42" s="85">
        <f t="shared" si="3"/>
        <v>0</v>
      </c>
      <c r="AA42" s="85">
        <f t="shared" si="3"/>
        <v>0</v>
      </c>
      <c r="AB42" s="85">
        <f t="shared" si="3"/>
        <v>0</v>
      </c>
      <c r="AC42" s="85">
        <f t="shared" si="3"/>
        <v>0</v>
      </c>
      <c r="AD42" s="85">
        <f t="shared" si="3"/>
        <v>0</v>
      </c>
      <c r="AE42" s="85">
        <f t="shared" si="3"/>
        <v>0</v>
      </c>
      <c r="AF42" s="85">
        <f t="shared" si="3"/>
        <v>0</v>
      </c>
      <c r="AG42" s="85">
        <f t="shared" si="3"/>
        <v>0</v>
      </c>
      <c r="AH42"/>
      <c r="AI42"/>
      <c r="AJ42"/>
      <c r="AK42"/>
    </row>
    <row r="43" spans="1:16372" x14ac:dyDescent="0.2">
      <c r="D43"/>
      <c r="E43"/>
      <c r="G43" s="207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1:16372" x14ac:dyDescent="0.2">
      <c r="D44" s="206"/>
      <c r="E44"/>
      <c r="G44" s="207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1:16372" x14ac:dyDescent="0.2">
      <c r="C45" s="1" t="s">
        <v>14</v>
      </c>
      <c r="D45" s="205" t="s">
        <v>63</v>
      </c>
      <c r="E45" s="113">
        <f>Assumptions!G94</f>
        <v>151432.81740793545</v>
      </c>
      <c r="G45" s="207" t="s">
        <v>40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0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</row>
    <row r="46" spans="1:16372" x14ac:dyDescent="0.2">
      <c r="C46" s="1" t="s">
        <v>4</v>
      </c>
      <c r="D46" s="205" t="s">
        <v>63</v>
      </c>
      <c r="E46" s="113">
        <f>Assumptions!G95</f>
        <v>24590</v>
      </c>
      <c r="G46" s="207" t="s">
        <v>40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0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>
        <v>0</v>
      </c>
      <c r="AG46" s="32">
        <v>0</v>
      </c>
    </row>
    <row r="47" spans="1:16372" x14ac:dyDescent="0.2">
      <c r="C47" s="1" t="s">
        <v>5</v>
      </c>
      <c r="D47" s="205" t="s">
        <v>63</v>
      </c>
      <c r="E47" s="112">
        <f>Assumptions!G96</f>
        <v>88.357719508603083</v>
      </c>
      <c r="G47" s="207" t="s">
        <v>40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</row>
    <row r="48" spans="1:16372" x14ac:dyDescent="0.2">
      <c r="C48" s="1" t="s">
        <v>15</v>
      </c>
      <c r="D48" s="205" t="s">
        <v>126</v>
      </c>
      <c r="E48" s="112">
        <f>Assumptions!G97</f>
        <v>0</v>
      </c>
      <c r="G48" s="207" t="s">
        <v>203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0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</row>
    <row r="49" spans="1:43" x14ac:dyDescent="0.2">
      <c r="C49" s="1" t="s">
        <v>201</v>
      </c>
      <c r="D49" s="205" t="s">
        <v>204</v>
      </c>
      <c r="E49" s="112">
        <f>Assumptions!G98</f>
        <v>0.35181336539087127</v>
      </c>
      <c r="G49" s="207" t="s">
        <v>205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</row>
    <row r="50" spans="1:43" x14ac:dyDescent="0.2">
      <c r="C50" s="1" t="s">
        <v>202</v>
      </c>
      <c r="D50" s="205" t="s">
        <v>204</v>
      </c>
      <c r="E50" s="112">
        <f>Assumptions!G99</f>
        <v>0.35181336539087127</v>
      </c>
      <c r="G50" s="207" t="s">
        <v>205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0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0</v>
      </c>
      <c r="AE50" s="32">
        <v>0</v>
      </c>
      <c r="AF50" s="32">
        <v>0</v>
      </c>
      <c r="AG50" s="32">
        <v>0</v>
      </c>
    </row>
    <row r="51" spans="1:43" x14ac:dyDescent="0.2">
      <c r="C51" s="1" t="s">
        <v>6</v>
      </c>
      <c r="D51" s="205" t="s">
        <v>126</v>
      </c>
      <c r="E51" s="112">
        <f>Assumptions!G100</f>
        <v>0</v>
      </c>
      <c r="G51" s="207" t="s">
        <v>203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0</v>
      </c>
      <c r="AE51" s="32">
        <v>0</v>
      </c>
      <c r="AF51" s="32">
        <v>0</v>
      </c>
      <c r="AG51" s="32">
        <v>0</v>
      </c>
    </row>
    <row r="52" spans="1:43" x14ac:dyDescent="0.2">
      <c r="C52" s="1" t="s">
        <v>7</v>
      </c>
      <c r="D52" s="205" t="s">
        <v>126</v>
      </c>
      <c r="E52" s="112">
        <f>Assumptions!G101</f>
        <v>0</v>
      </c>
      <c r="G52" s="207" t="s">
        <v>203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</row>
    <row r="53" spans="1:43" x14ac:dyDescent="0.2">
      <c r="D53" s="205"/>
      <c r="G53" s="207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</row>
    <row r="54" spans="1:43" x14ac:dyDescent="0.2">
      <c r="C54" s="1" t="s">
        <v>117</v>
      </c>
      <c r="D54" s="205"/>
      <c r="G54" s="207">
        <f>input_dollars</f>
        <v>45291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  <c r="N54" s="32">
        <v>0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0</v>
      </c>
      <c r="AE54" s="32">
        <v>0</v>
      </c>
      <c r="AF54" s="32">
        <v>0</v>
      </c>
      <c r="AG54" s="32">
        <v>0</v>
      </c>
    </row>
    <row r="55" spans="1:43" x14ac:dyDescent="0.2">
      <c r="C55" s="1" t="s">
        <v>118</v>
      </c>
      <c r="D55" s="205"/>
      <c r="G55" s="207">
        <f>input_dollars</f>
        <v>45291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</row>
    <row r="56" spans="1:43" x14ac:dyDescent="0.2">
      <c r="D56" s="205"/>
      <c r="G56" s="205"/>
    </row>
    <row r="57" spans="1:43" x14ac:dyDescent="0.2">
      <c r="C57" s="3" t="s">
        <v>125</v>
      </c>
      <c r="D57" s="218"/>
      <c r="E57" s="107"/>
      <c r="F57" s="3"/>
      <c r="G57" s="210">
        <f>input_dollars</f>
        <v>45291</v>
      </c>
      <c r="H57" s="107"/>
      <c r="I57" s="170" cm="1">
        <f t="array" ref="I57">SUMPRODUCT((I$45:I$52)*($E$45:$E$52))+SUM(I54:I55)+I42</f>
        <v>0</v>
      </c>
      <c r="J57" s="170" cm="1">
        <f t="array" ref="J57">SUMPRODUCT((J$45:J$52)*($E$45:$E$52))+SUM(J54:J55)+J42</f>
        <v>0</v>
      </c>
      <c r="K57" s="170" cm="1">
        <f t="array" ref="K57">SUMPRODUCT((K$45:K$52)*($E$45:$E$52))+SUM(K54:K55)+K42</f>
        <v>0</v>
      </c>
      <c r="L57" s="170" cm="1">
        <f t="array" ref="L57">SUMPRODUCT((L$45:L$52)*($E$45:$E$52))+SUM(L54:L55)+L42</f>
        <v>0</v>
      </c>
      <c r="M57" s="170" cm="1">
        <f t="array" ref="M57">SUMPRODUCT((M$45:M$52)*($E$45:$E$52))+SUM(M54:M55)+M42</f>
        <v>0</v>
      </c>
      <c r="N57" s="170" cm="1">
        <f t="array" ref="N57">SUMPRODUCT((N$45:N$52)*($E$45:$E$52))+SUM(N54:N55)+N42</f>
        <v>0</v>
      </c>
      <c r="O57" s="170" cm="1">
        <f t="array" ref="O57">SUMPRODUCT((O$45:O$52)*($E$45:$E$52))+SUM(O54:O55)+O42</f>
        <v>0</v>
      </c>
      <c r="P57" s="170" cm="1">
        <f t="array" ref="P57">SUMPRODUCT((P$45:P$52)*($E$45:$E$52))+SUM(P54:P55)+P42</f>
        <v>0</v>
      </c>
      <c r="Q57" s="170" cm="1">
        <f t="array" ref="Q57">SUMPRODUCT((Q$45:Q$52)*($E$45:$E$52))+SUM(Q54:Q55)+Q42</f>
        <v>0</v>
      </c>
      <c r="R57" s="170" cm="1">
        <f t="array" ref="R57">SUMPRODUCT((R$45:R$52)*($E$45:$E$52))+SUM(R54:R55)+R42</f>
        <v>0</v>
      </c>
      <c r="S57" s="170" cm="1">
        <f t="array" ref="S57">SUMPRODUCT((S$45:S$52)*($E$45:$E$52))+SUM(S54:S55)+S42</f>
        <v>0</v>
      </c>
      <c r="T57" s="170" cm="1">
        <f t="array" ref="T57">SUMPRODUCT((T$45:T$52)*($E$45:$E$52))+SUM(T54:T55)+T42</f>
        <v>0</v>
      </c>
      <c r="U57" s="170" cm="1">
        <f t="array" ref="U57">SUMPRODUCT((U$45:U$52)*($E$45:$E$52))+SUM(U54:U55)+U42</f>
        <v>0</v>
      </c>
      <c r="V57" s="170" cm="1">
        <f t="array" ref="V57">SUMPRODUCT((V$45:V$52)*($E$45:$E$52))+SUM(V54:V55)+V42</f>
        <v>0</v>
      </c>
      <c r="W57" s="170" cm="1">
        <f t="array" ref="W57">SUMPRODUCT((W$45:W$52)*($E$45:$E$52))+SUM(W54:W55)+W42</f>
        <v>0</v>
      </c>
      <c r="X57" s="170" cm="1">
        <f t="array" ref="X57">SUMPRODUCT((X$45:X$52)*($E$45:$E$52))+SUM(X54:X55)+X42</f>
        <v>0</v>
      </c>
      <c r="Y57" s="170" cm="1">
        <f t="array" ref="Y57">SUMPRODUCT((Y$45:Y$52)*($E$45:$E$52))+SUM(Y54:Y55)+Y42</f>
        <v>0</v>
      </c>
      <c r="Z57" s="170" cm="1">
        <f t="array" ref="Z57">SUMPRODUCT((Z$45:Z$52)*($E$45:$E$52))+SUM(Z54:Z55)+Z42</f>
        <v>0</v>
      </c>
      <c r="AA57" s="170" cm="1">
        <f t="array" ref="AA57">SUMPRODUCT((AA$45:AA$52)*($E$45:$E$52))+SUM(AA54:AA55)+AA42</f>
        <v>0</v>
      </c>
      <c r="AB57" s="170" cm="1">
        <f t="array" ref="AB57">SUMPRODUCT((AB$45:AB$52)*($E$45:$E$52))+SUM(AB54:AB55)+AB42</f>
        <v>0</v>
      </c>
      <c r="AC57" s="170" cm="1">
        <f t="array" ref="AC57">SUMPRODUCT((AC$45:AC$52)*($E$45:$E$52))+SUM(AC54:AC55)+AC42</f>
        <v>0</v>
      </c>
      <c r="AD57" s="170" cm="1">
        <f t="array" ref="AD57">SUMPRODUCT((AD$45:AD$52)*($E$45:$E$52))+SUM(AD54:AD55)+AD42</f>
        <v>0</v>
      </c>
      <c r="AE57" s="170" cm="1">
        <f t="array" ref="AE57">SUMPRODUCT((AE$45:AE$52)*($E$45:$E$52))+SUM(AE54:AE55)+AE42</f>
        <v>0</v>
      </c>
      <c r="AF57" s="170" cm="1">
        <f t="array" ref="AF57">SUMPRODUCT((AF$45:AF$52)*($E$45:$E$52))+SUM(AF54:AF55)+AF42</f>
        <v>0</v>
      </c>
      <c r="AG57" s="170" cm="1">
        <f t="array" ref="AG57">SUMPRODUCT((AG$45:AG$52)*($E$45:$E$52))+SUM(AG54:AG55)+AG42</f>
        <v>0</v>
      </c>
    </row>
    <row r="58" spans="1:43" x14ac:dyDescent="0.2">
      <c r="D58" s="205"/>
      <c r="G58" s="205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</row>
    <row r="59" spans="1:43" x14ac:dyDescent="0.2">
      <c r="G59" s="205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</row>
    <row r="60" spans="1:43" ht="15" x14ac:dyDescent="0.2">
      <c r="A60" s="89" t="s">
        <v>16</v>
      </c>
      <c r="B60" s="89"/>
      <c r="C60" s="89"/>
      <c r="D60" s="89"/>
      <c r="E60" s="89"/>
      <c r="F60" s="89"/>
      <c r="G60" s="204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/>
      <c r="AI60"/>
      <c r="AJ60"/>
      <c r="AK60"/>
      <c r="AL60"/>
      <c r="AM60"/>
      <c r="AN60"/>
      <c r="AO60"/>
      <c r="AP60"/>
      <c r="AQ60"/>
    </row>
    <row r="61" spans="1:43" ht="15" x14ac:dyDescent="0.2">
      <c r="A61" s="111"/>
      <c r="B61" s="111"/>
      <c r="C61" s="111"/>
      <c r="D61" s="111"/>
      <c r="E61" s="111"/>
      <c r="F61" s="111"/>
      <c r="G61" s="208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/>
      <c r="AI61"/>
      <c r="AJ61"/>
      <c r="AK61"/>
      <c r="AL61"/>
      <c r="AM61"/>
      <c r="AN61"/>
      <c r="AO61"/>
      <c r="AP61"/>
      <c r="AQ61"/>
    </row>
    <row r="62" spans="1:43" ht="12.75" customHeight="1" x14ac:dyDescent="0.2">
      <c r="A62" s="111"/>
      <c r="B62" s="111"/>
      <c r="C62" s="111"/>
      <c r="D62" s="111"/>
      <c r="E62" s="111"/>
      <c r="F62"/>
      <c r="G62" s="2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</row>
    <row r="63" spans="1:43" x14ac:dyDescent="0.2">
      <c r="F63" s="2"/>
      <c r="G63" s="212"/>
    </row>
    <row r="64" spans="1:43" x14ac:dyDescent="0.2">
      <c r="C64" s="4" t="str">
        <f>'Option1 (base case)'!C64</f>
        <v>Risks mitigated vs base case</v>
      </c>
      <c r="G64" s="210">
        <f>input_dollars</f>
        <v>45291</v>
      </c>
      <c r="I64" s="132">
        <f>(1-INDEX(Data!$C$9:$C$13, MATCH($A$3, options,0)))*('Option1 (base case)'!I36-I36)</f>
        <v>638238.4364506565</v>
      </c>
      <c r="J64" s="132">
        <f>(1-INDEX(Data!$C$9:$C$13, MATCH($A$3, options,0)))*('Option1 (base case)'!J36-J36)</f>
        <v>1276476.872901313</v>
      </c>
      <c r="K64" s="132">
        <f>(1-INDEX(Data!$C$9:$C$13, MATCH($A$3, options,0)))*('Option1 (base case)'!K36-K36)</f>
        <v>1276476.872901313</v>
      </c>
      <c r="L64" s="132">
        <f>(1-INDEX(Data!$C$9:$C$13, MATCH($A$3, options,0)))*('Option1 (base case)'!L36-L36)</f>
        <v>1276476.872901313</v>
      </c>
      <c r="M64" s="132">
        <f>(1-INDEX(Data!$C$9:$C$13, MATCH($A$3, options,0)))*('Option1 (base case)'!M36-M36)</f>
        <v>1276476.872901313</v>
      </c>
      <c r="N64" s="132">
        <f>(1-INDEX(Data!$C$9:$C$13, MATCH($A$3, options,0)))*('Option1 (base case)'!N36-N36)</f>
        <v>1276476.872901313</v>
      </c>
      <c r="O64" s="132">
        <f>(1-INDEX(Data!$C$9:$C$13, MATCH($A$3, options,0)))*('Option1 (base case)'!O36-O36)</f>
        <v>1276476.872901313</v>
      </c>
      <c r="P64" s="132">
        <f>(1-INDEX(Data!$C$9:$C$13, MATCH($A$3, options,0)))*('Option1 (base case)'!P36-P36)</f>
        <v>1276476.872901313</v>
      </c>
      <c r="Q64" s="132">
        <f>(1-INDEX(Data!$C$9:$C$13, MATCH($A$3, options,0)))*('Option1 (base case)'!Q36-Q36)</f>
        <v>1276476.872901313</v>
      </c>
      <c r="R64" s="132">
        <f>(1-INDEX(Data!$C$9:$C$13, MATCH($A$3, options,0)))*('Option1 (base case)'!R36-R36)</f>
        <v>1276476.872901313</v>
      </c>
      <c r="S64" s="132">
        <f>(1-INDEX(Data!$C$9:$C$13, MATCH($A$3, options,0)))*('Option1 (base case)'!S36-S36)</f>
        <v>1276476.872901313</v>
      </c>
      <c r="T64" s="132">
        <f>(1-INDEX(Data!$C$9:$C$13, MATCH($A$3, options,0)))*('Option1 (base case)'!T36-T36)</f>
        <v>1276476.872901313</v>
      </c>
      <c r="U64" s="132">
        <f>(1-INDEX(Data!$C$9:$C$13, MATCH($A$3, options,0)))*('Option1 (base case)'!U36-U36)</f>
        <v>1276476.872901313</v>
      </c>
      <c r="V64" s="132">
        <f>(1-INDEX(Data!$C$9:$C$13, MATCH($A$3, options,0)))*('Option1 (base case)'!V36-V36)</f>
        <v>1276476.872901313</v>
      </c>
      <c r="W64" s="132">
        <f>(1-INDEX(Data!$C$9:$C$13, MATCH($A$3, options,0)))*('Option1 (base case)'!W36-W36)</f>
        <v>1276476.872901313</v>
      </c>
      <c r="X64" s="132">
        <f>(1-INDEX(Data!$C$9:$C$13, MATCH($A$3, options,0)))*('Option1 (base case)'!X36-X36)</f>
        <v>809192.29339680448</v>
      </c>
      <c r="Y64" s="132">
        <f>(1-INDEX(Data!$C$9:$C$13, MATCH($A$3, options,0)))*('Option1 (base case)'!Y36-Y36)</f>
        <v>341907.71389229409</v>
      </c>
      <c r="Z64" s="132">
        <f>(1-INDEX(Data!$C$9:$C$13, MATCH($A$3, options,0)))*('Option1 (base case)'!Z36-Z36)</f>
        <v>341907.71389229409</v>
      </c>
      <c r="AA64" s="132">
        <f>(1-INDEX(Data!$C$9:$C$13, MATCH($A$3, options,0)))*('Option1 (base case)'!AA36-AA36)</f>
        <v>341907.71389229409</v>
      </c>
      <c r="AB64" s="132">
        <f>(1-INDEX(Data!$C$9:$C$13, MATCH($A$3, options,0)))*('Option1 (base case)'!AB36-AB36)</f>
        <v>341907.71389229409</v>
      </c>
      <c r="AC64" s="132">
        <f>(1-INDEX(Data!$C$9:$C$13, MATCH($A$3, options,0)))*('Option1 (base case)'!AC36-AC36)</f>
        <v>15637874.556339899</v>
      </c>
      <c r="AD64" s="132">
        <f>(1-INDEX(Data!$C$9:$C$13, MATCH($A$3, options,0)))*('Option1 (base case)'!AD36-AD36)</f>
        <v>15637874.556339899</v>
      </c>
      <c r="AE64" s="132">
        <f>(1-INDEX(Data!$C$9:$C$13, MATCH($A$3, options,0)))*('Option1 (base case)'!AE36-AE36)</f>
        <v>15637874.556339899</v>
      </c>
      <c r="AF64" s="132">
        <f>(1-INDEX(Data!$C$9:$C$13, MATCH($A$3, options,0)))*('Option1 (base case)'!AF36-AF36)</f>
        <v>15637874.556339899</v>
      </c>
      <c r="AG64" s="132">
        <f>(1-INDEX(Data!$C$9:$C$13, MATCH($A$3, options,0)))*('Option1 (base case)'!AG36-AG36)</f>
        <v>15637874.556339899</v>
      </c>
    </row>
    <row r="65" spans="1:33" x14ac:dyDescent="0.2">
      <c r="G65" s="212"/>
    </row>
    <row r="66" spans="1:33" x14ac:dyDescent="0.2">
      <c r="A66" s="8"/>
      <c r="B66" s="8"/>
      <c r="C66" s="147" t="s">
        <v>30</v>
      </c>
      <c r="D66" s="38"/>
      <c r="F66" s="97"/>
      <c r="G66" s="213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</row>
    <row r="67" spans="1:33" x14ac:dyDescent="0.2">
      <c r="A67" s="8"/>
      <c r="B67" s="8"/>
      <c r="C67" s="4" t="str">
        <f>C14</f>
        <v>Covered conductor</v>
      </c>
      <c r="D67" s="38"/>
      <c r="F67" s="97"/>
      <c r="G67" s="210">
        <f>input_dollars</f>
        <v>45291</v>
      </c>
      <c r="H67" s="31"/>
      <c r="I67" s="119">
        <f t="shared" ref="I67:AG67" si="4">-I14</f>
        <v>-2660000</v>
      </c>
      <c r="J67" s="119">
        <f t="shared" si="4"/>
        <v>-2660000</v>
      </c>
      <c r="K67" s="119">
        <f t="shared" si="4"/>
        <v>0</v>
      </c>
      <c r="L67" s="119">
        <f t="shared" si="4"/>
        <v>0</v>
      </c>
      <c r="M67" s="119">
        <f t="shared" si="4"/>
        <v>0</v>
      </c>
      <c r="N67" s="119">
        <f t="shared" si="4"/>
        <v>0</v>
      </c>
      <c r="O67" s="119">
        <f t="shared" si="4"/>
        <v>0</v>
      </c>
      <c r="P67" s="119">
        <f t="shared" si="4"/>
        <v>0</v>
      </c>
      <c r="Q67" s="119">
        <f t="shared" si="4"/>
        <v>0</v>
      </c>
      <c r="R67" s="119">
        <f t="shared" si="4"/>
        <v>0</v>
      </c>
      <c r="S67" s="119">
        <f t="shared" si="4"/>
        <v>0</v>
      </c>
      <c r="T67" s="119">
        <f t="shared" si="4"/>
        <v>0</v>
      </c>
      <c r="U67" s="119">
        <f t="shared" si="4"/>
        <v>0</v>
      </c>
      <c r="V67" s="119">
        <f t="shared" si="4"/>
        <v>0</v>
      </c>
      <c r="W67" s="119">
        <f t="shared" si="4"/>
        <v>0</v>
      </c>
      <c r="X67" s="119">
        <f t="shared" si="4"/>
        <v>0</v>
      </c>
      <c r="Y67" s="119">
        <f t="shared" si="4"/>
        <v>0</v>
      </c>
      <c r="Z67" s="119">
        <f t="shared" si="4"/>
        <v>0</v>
      </c>
      <c r="AA67" s="119">
        <f t="shared" si="4"/>
        <v>0</v>
      </c>
      <c r="AB67" s="119">
        <f t="shared" si="4"/>
        <v>0</v>
      </c>
      <c r="AC67" s="119">
        <f t="shared" si="4"/>
        <v>0</v>
      </c>
      <c r="AD67" s="119">
        <f t="shared" si="4"/>
        <v>0</v>
      </c>
      <c r="AE67" s="119">
        <f t="shared" si="4"/>
        <v>0</v>
      </c>
      <c r="AF67" s="119">
        <f t="shared" si="4"/>
        <v>0</v>
      </c>
      <c r="AG67" s="119">
        <f t="shared" si="4"/>
        <v>0</v>
      </c>
    </row>
    <row r="68" spans="1:33" x14ac:dyDescent="0.2">
      <c r="A68" s="8"/>
      <c r="B68" s="8"/>
      <c r="C68" s="4" t="str">
        <f>C15</f>
        <v>EFD</v>
      </c>
      <c r="D68" s="38"/>
      <c r="F68" s="97"/>
      <c r="G68" s="210">
        <f>input_dollars</f>
        <v>45291</v>
      </c>
      <c r="H68" s="31"/>
      <c r="I68" s="119">
        <f t="shared" ref="I68:AG68" si="5">-I15</f>
        <v>-3162538.2157558519</v>
      </c>
      <c r="J68" s="119">
        <f t="shared" si="5"/>
        <v>-3162538.2157558519</v>
      </c>
      <c r="K68" s="119">
        <f t="shared" si="5"/>
        <v>0</v>
      </c>
      <c r="L68" s="119">
        <f t="shared" si="5"/>
        <v>0</v>
      </c>
      <c r="M68" s="119">
        <f t="shared" si="5"/>
        <v>0</v>
      </c>
      <c r="N68" s="119">
        <f t="shared" si="5"/>
        <v>0</v>
      </c>
      <c r="O68" s="119">
        <f t="shared" si="5"/>
        <v>0</v>
      </c>
      <c r="P68" s="119">
        <f t="shared" si="5"/>
        <v>0</v>
      </c>
      <c r="Q68" s="119">
        <f t="shared" si="5"/>
        <v>0</v>
      </c>
      <c r="R68" s="119">
        <f t="shared" si="5"/>
        <v>0</v>
      </c>
      <c r="S68" s="119">
        <f t="shared" si="5"/>
        <v>0</v>
      </c>
      <c r="T68" s="119">
        <f t="shared" si="5"/>
        <v>0</v>
      </c>
      <c r="U68" s="119">
        <f t="shared" si="5"/>
        <v>0</v>
      </c>
      <c r="V68" s="119">
        <f t="shared" si="5"/>
        <v>0</v>
      </c>
      <c r="W68" s="119">
        <f t="shared" si="5"/>
        <v>0</v>
      </c>
      <c r="X68" s="119">
        <f t="shared" si="5"/>
        <v>0</v>
      </c>
      <c r="Y68" s="119">
        <f t="shared" si="5"/>
        <v>0</v>
      </c>
      <c r="Z68" s="119">
        <f t="shared" si="5"/>
        <v>0</v>
      </c>
      <c r="AA68" s="119">
        <f t="shared" si="5"/>
        <v>0</v>
      </c>
      <c r="AB68" s="119">
        <f t="shared" si="5"/>
        <v>0</v>
      </c>
      <c r="AC68" s="119">
        <f t="shared" si="5"/>
        <v>0</v>
      </c>
      <c r="AD68" s="119">
        <f t="shared" si="5"/>
        <v>0</v>
      </c>
      <c r="AE68" s="119">
        <f t="shared" si="5"/>
        <v>0</v>
      </c>
      <c r="AF68" s="119">
        <f t="shared" si="5"/>
        <v>0</v>
      </c>
      <c r="AG68" s="119">
        <f t="shared" si="5"/>
        <v>0</v>
      </c>
    </row>
    <row r="69" spans="1:33" x14ac:dyDescent="0.2">
      <c r="A69" s="8"/>
      <c r="B69" s="8"/>
      <c r="C69" s="4">
        <f>C16</f>
        <v>0</v>
      </c>
      <c r="D69" s="38"/>
      <c r="F69" s="97"/>
      <c r="G69" s="210">
        <f>input_dollars</f>
        <v>45291</v>
      </c>
      <c r="H69" s="31"/>
      <c r="I69" s="119">
        <f t="shared" ref="I69:AG69" si="6">-I16</f>
        <v>0</v>
      </c>
      <c r="J69" s="119">
        <f t="shared" si="6"/>
        <v>0</v>
      </c>
      <c r="K69" s="119">
        <f t="shared" si="6"/>
        <v>0</v>
      </c>
      <c r="L69" s="119">
        <f t="shared" si="6"/>
        <v>0</v>
      </c>
      <c r="M69" s="119">
        <f t="shared" si="6"/>
        <v>0</v>
      </c>
      <c r="N69" s="119">
        <f t="shared" si="6"/>
        <v>0</v>
      </c>
      <c r="O69" s="119">
        <f t="shared" si="6"/>
        <v>0</v>
      </c>
      <c r="P69" s="119">
        <f t="shared" si="6"/>
        <v>0</v>
      </c>
      <c r="Q69" s="119">
        <f t="shared" si="6"/>
        <v>0</v>
      </c>
      <c r="R69" s="119">
        <f t="shared" si="6"/>
        <v>0</v>
      </c>
      <c r="S69" s="119">
        <f t="shared" si="6"/>
        <v>0</v>
      </c>
      <c r="T69" s="119">
        <f t="shared" si="6"/>
        <v>0</v>
      </c>
      <c r="U69" s="119">
        <f t="shared" si="6"/>
        <v>0</v>
      </c>
      <c r="V69" s="119">
        <f t="shared" si="6"/>
        <v>0</v>
      </c>
      <c r="W69" s="119">
        <f t="shared" si="6"/>
        <v>0</v>
      </c>
      <c r="X69" s="119">
        <f t="shared" si="6"/>
        <v>0</v>
      </c>
      <c r="Y69" s="119">
        <f t="shared" si="6"/>
        <v>0</v>
      </c>
      <c r="Z69" s="119">
        <f t="shared" si="6"/>
        <v>0</v>
      </c>
      <c r="AA69" s="119">
        <f t="shared" si="6"/>
        <v>0</v>
      </c>
      <c r="AB69" s="119">
        <f t="shared" si="6"/>
        <v>0</v>
      </c>
      <c r="AC69" s="119">
        <f t="shared" si="6"/>
        <v>0</v>
      </c>
      <c r="AD69" s="119">
        <f t="shared" si="6"/>
        <v>0</v>
      </c>
      <c r="AE69" s="119">
        <f t="shared" si="6"/>
        <v>0</v>
      </c>
      <c r="AF69" s="119">
        <f t="shared" si="6"/>
        <v>0</v>
      </c>
      <c r="AG69" s="119">
        <f t="shared" si="6"/>
        <v>0</v>
      </c>
    </row>
    <row r="70" spans="1:33" x14ac:dyDescent="0.2">
      <c r="A70" s="8"/>
      <c r="B70" s="8"/>
      <c r="C70" s="4"/>
      <c r="D70" s="38"/>
      <c r="F70" s="97"/>
      <c r="G70" s="214"/>
      <c r="H70" s="31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</row>
    <row r="71" spans="1:33" x14ac:dyDescent="0.2">
      <c r="A71" s="8"/>
      <c r="B71" s="8"/>
      <c r="C71" s="147" t="s">
        <v>155</v>
      </c>
      <c r="D71" s="38"/>
      <c r="F71" s="97"/>
      <c r="G71" s="213"/>
      <c r="H71" s="31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</row>
    <row r="72" spans="1:33" x14ac:dyDescent="0.2">
      <c r="A72" s="8"/>
      <c r="B72" s="8"/>
      <c r="C72" s="4" t="str">
        <f>C14</f>
        <v>Covered conductor</v>
      </c>
      <c r="D72" s="38"/>
      <c r="F72" s="97"/>
      <c r="G72" s="210">
        <f>input_dollars</f>
        <v>45291</v>
      </c>
      <c r="H72" s="31"/>
      <c r="I72" s="119" cm="1">
        <f t="array" ref="I72">SUMPRODUCT(($I67:I67))-SUMPRODUCT(($I67:I67)*($I$6:I$6&lt;=(I$6-$E14)))</f>
        <v>-2660000</v>
      </c>
      <c r="J72" s="119" cm="1">
        <f t="array" ref="J72">SUMPRODUCT(($I67:J67))-SUMPRODUCT(($I67:J67)*($I$6:J$6&lt;=(J$6-$E14)))</f>
        <v>-5320000</v>
      </c>
      <c r="K72" s="119" cm="1">
        <f t="array" ref="K72">SUMPRODUCT(($I67:K67))-SUMPRODUCT(($I67:K67)*($I$6:K$6&lt;=(K$6-$E14)))</f>
        <v>-5320000</v>
      </c>
      <c r="L72" s="119" cm="1">
        <f t="array" ref="L72">SUMPRODUCT(($I67:L67))-SUMPRODUCT(($I67:L67)*($I$6:L$6&lt;=(L$6-$E14)))</f>
        <v>-5320000</v>
      </c>
      <c r="M72" s="119" cm="1">
        <f t="array" ref="M72">SUMPRODUCT(($I67:M67))-SUMPRODUCT(($I67:M67)*($I$6:M$6&lt;=(M$6-$E14)))</f>
        <v>-5320000</v>
      </c>
      <c r="N72" s="119" cm="1">
        <f t="array" ref="N72">SUMPRODUCT(($I67:N67))-SUMPRODUCT(($I67:N67)*($I$6:N$6&lt;=(N$6-$E14)))</f>
        <v>-5320000</v>
      </c>
      <c r="O72" s="119" cm="1">
        <f t="array" ref="O72">SUMPRODUCT(($I67:O67))-SUMPRODUCT(($I67:O67)*($I$6:O$6&lt;=(O$6-$E14)))</f>
        <v>-5320000</v>
      </c>
      <c r="P72" s="119" cm="1">
        <f t="array" ref="P72">SUMPRODUCT(($I67:P67))-SUMPRODUCT(($I67:P67)*($I$6:P$6&lt;=(P$6-$E14)))</f>
        <v>-5320000</v>
      </c>
      <c r="Q72" s="119" cm="1">
        <f t="array" ref="Q72">SUMPRODUCT(($I67:Q67))-SUMPRODUCT(($I67:Q67)*($I$6:Q$6&lt;=(Q$6-$E14)))</f>
        <v>-5320000</v>
      </c>
      <c r="R72" s="119" cm="1">
        <f t="array" ref="R72">SUMPRODUCT(($I67:R67))-SUMPRODUCT(($I67:R67)*($I$6:R$6&lt;=(R$6-$E14)))</f>
        <v>-5320000</v>
      </c>
      <c r="S72" s="119" cm="1">
        <f t="array" ref="S72">SUMPRODUCT(($I67:S67))-SUMPRODUCT(($I67:S67)*($I$6:S$6&lt;=(S$6-$E14)))</f>
        <v>-5320000</v>
      </c>
      <c r="T72" s="119" cm="1">
        <f t="array" ref="T72">SUMPRODUCT(($I67:T67))-SUMPRODUCT(($I67:T67)*($I$6:T$6&lt;=(T$6-$E14)))</f>
        <v>-5320000</v>
      </c>
      <c r="U72" s="119" cm="1">
        <f t="array" ref="U72">SUMPRODUCT(($I67:U67))-SUMPRODUCT(($I67:U67)*($I$6:U$6&lt;=(U$6-$E14)))</f>
        <v>-5320000</v>
      </c>
      <c r="V72" s="119" cm="1">
        <f t="array" ref="V72">SUMPRODUCT(($I67:V67))-SUMPRODUCT(($I67:V67)*($I$6:V$6&lt;=(V$6-$E14)))</f>
        <v>-5320000</v>
      </c>
      <c r="W72" s="119" cm="1">
        <f t="array" ref="W72">SUMPRODUCT(($I67:W67))-SUMPRODUCT(($I67:W67)*($I$6:W$6&lt;=(W$6-$E14)))</f>
        <v>-5320000</v>
      </c>
      <c r="X72" s="119" cm="1">
        <f t="array" ref="X72">SUMPRODUCT(($I67:X67))-SUMPRODUCT(($I67:X67)*($I$6:X$6&lt;=(X$6-$E14)))</f>
        <v>-5320000</v>
      </c>
      <c r="Y72" s="119" cm="1">
        <f t="array" ref="Y72">SUMPRODUCT(($I67:Y67))-SUMPRODUCT(($I67:Y67)*($I$6:Y$6&lt;=(Y$6-$E14)))</f>
        <v>-5320000</v>
      </c>
      <c r="Z72" s="119" cm="1">
        <f t="array" ref="Z72">SUMPRODUCT(($I67:Z67))-SUMPRODUCT(($I67:Z67)*($I$6:Z$6&lt;=(Z$6-$E14)))</f>
        <v>-5320000</v>
      </c>
      <c r="AA72" s="119" cm="1">
        <f t="array" ref="AA72">SUMPRODUCT(($I67:AA67))-SUMPRODUCT(($I67:AA67)*($I$6:AA$6&lt;=(AA$6-$E14)))</f>
        <v>-5320000</v>
      </c>
      <c r="AB72" s="119" cm="1">
        <f t="array" ref="AB72">SUMPRODUCT(($I67:AB67))-SUMPRODUCT(($I67:AB67)*($I$6:AB$6&lt;=(AB$6-$E14)))</f>
        <v>-5320000</v>
      </c>
      <c r="AC72" s="119" cm="1">
        <f t="array" ref="AC72">SUMPRODUCT(($I67:AC67))-SUMPRODUCT(($I67:AC67)*($I$6:AC$6&lt;=(AC$6-$E14)))</f>
        <v>-5320000</v>
      </c>
      <c r="AD72" s="119" cm="1">
        <f t="array" ref="AD72">SUMPRODUCT(($I67:AD67))-SUMPRODUCT(($I67:AD67)*($I$6:AD$6&lt;=(AD$6-$E14)))</f>
        <v>-5320000</v>
      </c>
      <c r="AE72" s="119" cm="1">
        <f t="array" ref="AE72">SUMPRODUCT(($I67:AE67))-SUMPRODUCT(($I67:AE67)*($I$6:AE$6&lt;=(AE$6-$E14)))</f>
        <v>-5320000</v>
      </c>
      <c r="AF72" s="119" cm="1">
        <f t="array" ref="AF72">SUMPRODUCT(($I67:AF67))-SUMPRODUCT(($I67:AF67)*($I$6:AF$6&lt;=(AF$6-$E14)))</f>
        <v>-5320000</v>
      </c>
      <c r="AG72" s="119" cm="1">
        <f t="array" ref="AG72">SUMPRODUCT(($I67:AG67))-SUMPRODUCT(($I67:AG67)*($I$6:AG$6&lt;=(AG$6-$E14)))</f>
        <v>-5320000</v>
      </c>
    </row>
    <row r="73" spans="1:33" x14ac:dyDescent="0.2">
      <c r="A73" s="8"/>
      <c r="B73" s="8"/>
      <c r="C73" s="4" t="str">
        <f>C15</f>
        <v>EFD</v>
      </c>
      <c r="D73" s="38"/>
      <c r="F73" s="97"/>
      <c r="G73" s="210">
        <f>input_dollars</f>
        <v>45291</v>
      </c>
      <c r="H73" s="31"/>
      <c r="I73" s="119" cm="1">
        <f t="array" ref="I73">SUMPRODUCT(($I68:I68))-SUMPRODUCT(($I68:I68)*($I$6:I$6&lt;=(I$6-$E15)))</f>
        <v>-3162538.2157558519</v>
      </c>
      <c r="J73" s="119" cm="1">
        <f t="array" ref="J73">SUMPRODUCT(($I68:J68))-SUMPRODUCT(($I68:J68)*($I$6:J$6&lt;=(J$6-$E15)))</f>
        <v>-6325076.4315117039</v>
      </c>
      <c r="K73" s="119" cm="1">
        <f t="array" ref="K73">SUMPRODUCT(($I68:K68))-SUMPRODUCT(($I68:K68)*($I$6:K$6&lt;=(K$6-$E15)))</f>
        <v>-6325076.4315117039</v>
      </c>
      <c r="L73" s="119" cm="1">
        <f t="array" ref="L73">SUMPRODUCT(($I68:L68))-SUMPRODUCT(($I68:L68)*($I$6:L$6&lt;=(L$6-$E15)))</f>
        <v>-6325076.4315117039</v>
      </c>
      <c r="M73" s="119" cm="1">
        <f t="array" ref="M73">SUMPRODUCT(($I68:M68))-SUMPRODUCT(($I68:M68)*($I$6:M$6&lt;=(M$6-$E15)))</f>
        <v>-6325076.4315117039</v>
      </c>
      <c r="N73" s="119" cm="1">
        <f t="array" ref="N73">SUMPRODUCT(($I68:N68))-SUMPRODUCT(($I68:N68)*($I$6:N$6&lt;=(N$6-$E15)))</f>
        <v>-6325076.4315117039</v>
      </c>
      <c r="O73" s="119" cm="1">
        <f t="array" ref="O73">SUMPRODUCT(($I68:O68))-SUMPRODUCT(($I68:O68)*($I$6:O$6&lt;=(O$6-$E15)))</f>
        <v>-6325076.4315117039</v>
      </c>
      <c r="P73" s="119" cm="1">
        <f t="array" ref="P73">SUMPRODUCT(($I68:P68))-SUMPRODUCT(($I68:P68)*($I$6:P$6&lt;=(P$6-$E15)))</f>
        <v>-6325076.4315117039</v>
      </c>
      <c r="Q73" s="119" cm="1">
        <f t="array" ref="Q73">SUMPRODUCT(($I68:Q68))-SUMPRODUCT(($I68:Q68)*($I$6:Q$6&lt;=(Q$6-$E15)))</f>
        <v>-6325076.4315117039</v>
      </c>
      <c r="R73" s="119" cm="1">
        <f t="array" ref="R73">SUMPRODUCT(($I68:R68))-SUMPRODUCT(($I68:R68)*($I$6:R$6&lt;=(R$6-$E15)))</f>
        <v>-6325076.4315117039</v>
      </c>
      <c r="S73" s="119" cm="1">
        <f t="array" ref="S73">SUMPRODUCT(($I68:S68))-SUMPRODUCT(($I68:S68)*($I$6:S$6&lt;=(S$6-$E15)))</f>
        <v>-6325076.4315117039</v>
      </c>
      <c r="T73" s="119" cm="1">
        <f t="array" ref="T73">SUMPRODUCT(($I68:T68))-SUMPRODUCT(($I68:T68)*($I$6:T$6&lt;=(T$6-$E15)))</f>
        <v>-6325076.4315117039</v>
      </c>
      <c r="U73" s="119" cm="1">
        <f t="array" ref="U73">SUMPRODUCT(($I68:U68))-SUMPRODUCT(($I68:U68)*($I$6:U$6&lt;=(U$6-$E15)))</f>
        <v>-6325076.4315117039</v>
      </c>
      <c r="V73" s="119" cm="1">
        <f t="array" ref="V73">SUMPRODUCT(($I68:V68))-SUMPRODUCT(($I68:V68)*($I$6:V$6&lt;=(V$6-$E15)))</f>
        <v>-6325076.4315117039</v>
      </c>
      <c r="W73" s="119" cm="1">
        <f t="array" ref="W73">SUMPRODUCT(($I68:W68))-SUMPRODUCT(($I68:W68)*($I$6:W$6&lt;=(W$6-$E15)))</f>
        <v>-6325076.4315117039</v>
      </c>
      <c r="X73" s="119" cm="1">
        <f t="array" ref="X73">SUMPRODUCT(($I68:X68))-SUMPRODUCT(($I68:X68)*($I$6:X$6&lt;=(X$6-$E15)))</f>
        <v>-3162538.2157558519</v>
      </c>
      <c r="Y73" s="119" cm="1">
        <f t="array" ref="Y73">SUMPRODUCT(($I68:Y68))-SUMPRODUCT(($I68:Y68)*($I$6:Y$6&lt;=(Y$6-$E15)))</f>
        <v>0</v>
      </c>
      <c r="Z73" s="119" cm="1">
        <f t="array" ref="Z73">SUMPRODUCT(($I68:Z68))-SUMPRODUCT(($I68:Z68)*($I$6:Z$6&lt;=(Z$6-$E15)))</f>
        <v>0</v>
      </c>
      <c r="AA73" s="119" cm="1">
        <f t="array" ref="AA73">SUMPRODUCT(($I68:AA68))-SUMPRODUCT(($I68:AA68)*($I$6:AA$6&lt;=(AA$6-$E15)))</f>
        <v>0</v>
      </c>
      <c r="AB73" s="119" cm="1">
        <f t="array" ref="AB73">SUMPRODUCT(($I68:AB68))-SUMPRODUCT(($I68:AB68)*($I$6:AB$6&lt;=(AB$6-$E15)))</f>
        <v>0</v>
      </c>
      <c r="AC73" s="119" cm="1">
        <f t="array" ref="AC73">SUMPRODUCT(($I68:AC68))-SUMPRODUCT(($I68:AC68)*($I$6:AC$6&lt;=(AC$6-$E15)))</f>
        <v>0</v>
      </c>
      <c r="AD73" s="119" cm="1">
        <f t="array" ref="AD73">SUMPRODUCT(($I68:AD68))-SUMPRODUCT(($I68:AD68)*($I$6:AD$6&lt;=(AD$6-$E15)))</f>
        <v>0</v>
      </c>
      <c r="AE73" s="119" cm="1">
        <f t="array" ref="AE73">SUMPRODUCT(($I68:AE68))-SUMPRODUCT(($I68:AE68)*($I$6:AE$6&lt;=(AE$6-$E15)))</f>
        <v>0</v>
      </c>
      <c r="AF73" s="119" cm="1">
        <f t="array" ref="AF73">SUMPRODUCT(($I68:AF68))-SUMPRODUCT(($I68:AF68)*($I$6:AF$6&lt;=(AF$6-$E15)))</f>
        <v>0</v>
      </c>
      <c r="AG73" s="119" cm="1">
        <f t="array" ref="AG73">SUMPRODUCT(($I68:AG68))-SUMPRODUCT(($I68:AG68)*($I$6:AG$6&lt;=(AG$6-$E15)))</f>
        <v>0</v>
      </c>
    </row>
    <row r="74" spans="1:33" x14ac:dyDescent="0.2">
      <c r="A74" s="8"/>
      <c r="B74" s="8"/>
      <c r="C74" s="4">
        <f>C16</f>
        <v>0</v>
      </c>
      <c r="D74" s="38"/>
      <c r="F74" s="97"/>
      <c r="G74" s="210">
        <f>input_dollars</f>
        <v>45291</v>
      </c>
      <c r="H74" s="31"/>
      <c r="I74" s="119" cm="1">
        <f t="array" ref="I74">SUMPRODUCT(($I69:I69))-SUMPRODUCT(($I69:I69)*($I$6:I$6&lt;=(I$6-$E16)))</f>
        <v>0</v>
      </c>
      <c r="J74" s="119" cm="1">
        <f t="array" ref="J74">SUMPRODUCT(($I69:J69))-SUMPRODUCT(($I69:J69)*($I$6:J$6&lt;=(J$6-$E16)))</f>
        <v>0</v>
      </c>
      <c r="K74" s="119" cm="1">
        <f t="array" ref="K74">SUMPRODUCT(($I69:K69))-SUMPRODUCT(($I69:K69)*($I$6:K$6&lt;=(K$6-$E16)))</f>
        <v>0</v>
      </c>
      <c r="L74" s="119" cm="1">
        <f t="array" ref="L74">SUMPRODUCT(($I69:L69))-SUMPRODUCT(($I69:L69)*($I$6:L$6&lt;=(L$6-$E16)))</f>
        <v>0</v>
      </c>
      <c r="M74" s="119" cm="1">
        <f t="array" ref="M74">SUMPRODUCT(($I69:M69))-SUMPRODUCT(($I69:M69)*($I$6:M$6&lt;=(M$6-$E16)))</f>
        <v>0</v>
      </c>
      <c r="N74" s="119" cm="1">
        <f t="array" ref="N74">SUMPRODUCT(($I69:N69))-SUMPRODUCT(($I69:N69)*($I$6:N$6&lt;=(N$6-$E16)))</f>
        <v>0</v>
      </c>
      <c r="O74" s="119" cm="1">
        <f t="array" ref="O74">SUMPRODUCT(($I69:O69))-SUMPRODUCT(($I69:O69)*($I$6:O$6&lt;=(O$6-$E16)))</f>
        <v>0</v>
      </c>
      <c r="P74" s="119" cm="1">
        <f t="array" ref="P74">SUMPRODUCT(($I69:P69))-SUMPRODUCT(($I69:P69)*($I$6:P$6&lt;=(P$6-$E16)))</f>
        <v>0</v>
      </c>
      <c r="Q74" s="119" cm="1">
        <f t="array" ref="Q74">SUMPRODUCT(($I69:Q69))-SUMPRODUCT(($I69:Q69)*($I$6:Q$6&lt;=(Q$6-$E16)))</f>
        <v>0</v>
      </c>
      <c r="R74" s="119" cm="1">
        <f t="array" ref="R74">SUMPRODUCT(($I69:R69))-SUMPRODUCT(($I69:R69)*($I$6:R$6&lt;=(R$6-$E16)))</f>
        <v>0</v>
      </c>
      <c r="S74" s="119" cm="1">
        <f t="array" ref="S74">SUMPRODUCT(($I69:S69))-SUMPRODUCT(($I69:S69)*($I$6:S$6&lt;=(S$6-$E16)))</f>
        <v>0</v>
      </c>
      <c r="T74" s="119" cm="1">
        <f t="array" ref="T74">SUMPRODUCT(($I69:T69))-SUMPRODUCT(($I69:T69)*($I$6:T$6&lt;=(T$6-$E16)))</f>
        <v>0</v>
      </c>
      <c r="U74" s="119" cm="1">
        <f t="array" ref="U74">SUMPRODUCT(($I69:U69))-SUMPRODUCT(($I69:U69)*($I$6:U$6&lt;=(U$6-$E16)))</f>
        <v>0</v>
      </c>
      <c r="V74" s="119" cm="1">
        <f t="array" ref="V74">SUMPRODUCT(($I69:V69))-SUMPRODUCT(($I69:V69)*($I$6:V$6&lt;=(V$6-$E16)))</f>
        <v>0</v>
      </c>
      <c r="W74" s="119" cm="1">
        <f t="array" ref="W74">SUMPRODUCT(($I69:W69))-SUMPRODUCT(($I69:W69)*($I$6:W$6&lt;=(W$6-$E16)))</f>
        <v>0</v>
      </c>
      <c r="X74" s="119" cm="1">
        <f t="array" ref="X74">SUMPRODUCT(($I69:X69))-SUMPRODUCT(($I69:X69)*($I$6:X$6&lt;=(X$6-$E16)))</f>
        <v>0</v>
      </c>
      <c r="Y74" s="119" cm="1">
        <f t="array" ref="Y74">SUMPRODUCT(($I69:Y69))-SUMPRODUCT(($I69:Y69)*($I$6:Y$6&lt;=(Y$6-$E16)))</f>
        <v>0</v>
      </c>
      <c r="Z74" s="119" cm="1">
        <f t="array" ref="Z74">SUMPRODUCT(($I69:Z69))-SUMPRODUCT(($I69:Z69)*($I$6:Z$6&lt;=(Z$6-$E16)))</f>
        <v>0</v>
      </c>
      <c r="AA74" s="119" cm="1">
        <f t="array" ref="AA74">SUMPRODUCT(($I69:AA69))-SUMPRODUCT(($I69:AA69)*($I$6:AA$6&lt;=(AA$6-$E16)))</f>
        <v>0</v>
      </c>
      <c r="AB74" s="119" cm="1">
        <f t="array" ref="AB74">SUMPRODUCT(($I69:AB69))-SUMPRODUCT(($I69:AB69)*($I$6:AB$6&lt;=(AB$6-$E16)))</f>
        <v>0</v>
      </c>
      <c r="AC74" s="119" cm="1">
        <f t="array" ref="AC74">SUMPRODUCT(($I69:AC69))-SUMPRODUCT(($I69:AC69)*($I$6:AC$6&lt;=(AC$6-$E16)))</f>
        <v>0</v>
      </c>
      <c r="AD74" s="119" cm="1">
        <f t="array" ref="AD74">SUMPRODUCT(($I69:AD69))-SUMPRODUCT(($I69:AD69)*($I$6:AD$6&lt;=(AD$6-$E16)))</f>
        <v>0</v>
      </c>
      <c r="AE74" s="119" cm="1">
        <f t="array" ref="AE74">SUMPRODUCT(($I69:AE69))-SUMPRODUCT(($I69:AE69)*($I$6:AE$6&lt;=(AE$6-$E16)))</f>
        <v>0</v>
      </c>
      <c r="AF74" s="119" cm="1">
        <f t="array" ref="AF74">SUMPRODUCT(($I69:AF69))-SUMPRODUCT(($I69:AF69)*($I$6:AF$6&lt;=(AF$6-$E16)))</f>
        <v>0</v>
      </c>
      <c r="AG74" s="119" cm="1">
        <f t="array" ref="AG74">SUMPRODUCT(($I69:AG69))-SUMPRODUCT(($I69:AG69)*($I$6:AG$6&lt;=(AG$6-$E16)))</f>
        <v>0</v>
      </c>
    </row>
    <row r="75" spans="1:33" x14ac:dyDescent="0.2">
      <c r="A75" s="8"/>
      <c r="B75" s="8"/>
      <c r="C75" s="4"/>
      <c r="D75" s="38"/>
      <c r="F75" s="97"/>
      <c r="G75" s="214"/>
      <c r="H75" s="31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19"/>
      <c r="AE75" s="119"/>
      <c r="AF75" s="119"/>
      <c r="AG75" s="119"/>
    </row>
    <row r="76" spans="1:33" x14ac:dyDescent="0.2">
      <c r="A76" s="8"/>
      <c r="B76" s="8"/>
      <c r="C76" s="147" t="s">
        <v>91</v>
      </c>
      <c r="D76" s="38"/>
      <c r="F76" s="97"/>
      <c r="G76" s="213"/>
      <c r="H76" s="31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  <c r="AC76" s="119"/>
      <c r="AD76" s="119"/>
      <c r="AE76" s="119"/>
      <c r="AF76" s="119"/>
      <c r="AG76" s="119"/>
    </row>
    <row r="77" spans="1:33" x14ac:dyDescent="0.2">
      <c r="A77" s="8"/>
      <c r="B77" s="8"/>
      <c r="C77" s="4" t="str">
        <f>$C$76&amp;" - "&amp;C14</f>
        <v>Annualised capex - Covered conductor</v>
      </c>
      <c r="D77" s="38"/>
      <c r="F77" s="97"/>
      <c r="G77" s="210">
        <f>input_dollars</f>
        <v>45291</v>
      </c>
      <c r="H77" s="31"/>
      <c r="I77" s="119">
        <f t="shared" ref="I77:AG77" si="7">IF($E14=0,0,-PMT(real_disc, $E14,H72,))</f>
        <v>0</v>
      </c>
      <c r="J77" s="119">
        <f t="shared" si="7"/>
        <v>-144627.74207574665</v>
      </c>
      <c r="K77" s="119">
        <f t="shared" si="7"/>
        <v>-289255.48415149329</v>
      </c>
      <c r="L77" s="119">
        <f t="shared" si="7"/>
        <v>-289255.48415149329</v>
      </c>
      <c r="M77" s="119">
        <f t="shared" si="7"/>
        <v>-289255.48415149329</v>
      </c>
      <c r="N77" s="119">
        <f t="shared" si="7"/>
        <v>-289255.48415149329</v>
      </c>
      <c r="O77" s="119">
        <f t="shared" si="7"/>
        <v>-289255.48415149329</v>
      </c>
      <c r="P77" s="119">
        <f t="shared" si="7"/>
        <v>-289255.48415149329</v>
      </c>
      <c r="Q77" s="119">
        <f t="shared" si="7"/>
        <v>-289255.48415149329</v>
      </c>
      <c r="R77" s="119">
        <f t="shared" si="7"/>
        <v>-289255.48415149329</v>
      </c>
      <c r="S77" s="119">
        <f t="shared" si="7"/>
        <v>-289255.48415149329</v>
      </c>
      <c r="T77" s="119">
        <f t="shared" si="7"/>
        <v>-289255.48415149329</v>
      </c>
      <c r="U77" s="119">
        <f t="shared" si="7"/>
        <v>-289255.48415149329</v>
      </c>
      <c r="V77" s="119">
        <f t="shared" si="7"/>
        <v>-289255.48415149329</v>
      </c>
      <c r="W77" s="119">
        <f t="shared" si="7"/>
        <v>-289255.48415149329</v>
      </c>
      <c r="X77" s="119">
        <f t="shared" si="7"/>
        <v>-289255.48415149329</v>
      </c>
      <c r="Y77" s="119">
        <f t="shared" si="7"/>
        <v>-289255.48415149329</v>
      </c>
      <c r="Z77" s="119">
        <f t="shared" si="7"/>
        <v>-289255.48415149329</v>
      </c>
      <c r="AA77" s="119">
        <f t="shared" si="7"/>
        <v>-289255.48415149329</v>
      </c>
      <c r="AB77" s="119">
        <f t="shared" si="7"/>
        <v>-289255.48415149329</v>
      </c>
      <c r="AC77" s="119">
        <f t="shared" si="7"/>
        <v>-289255.48415149329</v>
      </c>
      <c r="AD77" s="119">
        <f t="shared" si="7"/>
        <v>-289255.48415149329</v>
      </c>
      <c r="AE77" s="119">
        <f t="shared" si="7"/>
        <v>-289255.48415149329</v>
      </c>
      <c r="AF77" s="119">
        <f t="shared" si="7"/>
        <v>-289255.48415149329</v>
      </c>
      <c r="AG77" s="119">
        <f t="shared" si="7"/>
        <v>-289255.48415149329</v>
      </c>
    </row>
    <row r="78" spans="1:33" x14ac:dyDescent="0.2">
      <c r="A78" s="8"/>
      <c r="B78" s="8"/>
      <c r="C78" s="4" t="str">
        <f>$C$76&amp;" - "&amp;C15</f>
        <v>Annualised capex - EFD</v>
      </c>
      <c r="D78" s="38"/>
      <c r="F78" s="97"/>
      <c r="G78" s="210">
        <f>input_dollars</f>
        <v>45291</v>
      </c>
      <c r="H78" s="31"/>
      <c r="I78" s="119">
        <f t="shared" ref="I78:AG78" si="8">IF($E15=0,0,-PMT(real_disc, $E15,H73,))</f>
        <v>0</v>
      </c>
      <c r="J78" s="119">
        <f t="shared" si="8"/>
        <v>-274587.599955732</v>
      </c>
      <c r="K78" s="119">
        <f t="shared" si="8"/>
        <v>-549175.19991146401</v>
      </c>
      <c r="L78" s="119">
        <f t="shared" si="8"/>
        <v>-549175.19991146401</v>
      </c>
      <c r="M78" s="119">
        <f t="shared" si="8"/>
        <v>-549175.19991146401</v>
      </c>
      <c r="N78" s="119">
        <f t="shared" si="8"/>
        <v>-549175.19991146401</v>
      </c>
      <c r="O78" s="119">
        <f t="shared" si="8"/>
        <v>-549175.19991146401</v>
      </c>
      <c r="P78" s="119">
        <f t="shared" si="8"/>
        <v>-549175.19991146401</v>
      </c>
      <c r="Q78" s="119">
        <f t="shared" si="8"/>
        <v>-549175.19991146401</v>
      </c>
      <c r="R78" s="119">
        <f t="shared" si="8"/>
        <v>-549175.19991146401</v>
      </c>
      <c r="S78" s="119">
        <f t="shared" si="8"/>
        <v>-549175.19991146401</v>
      </c>
      <c r="T78" s="119">
        <f t="shared" si="8"/>
        <v>-549175.19991146401</v>
      </c>
      <c r="U78" s="119">
        <f t="shared" si="8"/>
        <v>-549175.19991146401</v>
      </c>
      <c r="V78" s="119">
        <f t="shared" si="8"/>
        <v>-549175.19991146401</v>
      </c>
      <c r="W78" s="119">
        <f t="shared" si="8"/>
        <v>-549175.19991146401</v>
      </c>
      <c r="X78" s="119">
        <f t="shared" si="8"/>
        <v>-549175.19991146401</v>
      </c>
      <c r="Y78" s="119">
        <f t="shared" si="8"/>
        <v>-274587.599955732</v>
      </c>
      <c r="Z78" s="119">
        <f t="shared" si="8"/>
        <v>0</v>
      </c>
      <c r="AA78" s="119">
        <f t="shared" si="8"/>
        <v>0</v>
      </c>
      <c r="AB78" s="119">
        <f t="shared" si="8"/>
        <v>0</v>
      </c>
      <c r="AC78" s="119">
        <f t="shared" si="8"/>
        <v>0</v>
      </c>
      <c r="AD78" s="119">
        <f t="shared" si="8"/>
        <v>0</v>
      </c>
      <c r="AE78" s="119">
        <f t="shared" si="8"/>
        <v>0</v>
      </c>
      <c r="AF78" s="119">
        <f t="shared" si="8"/>
        <v>0</v>
      </c>
      <c r="AG78" s="119">
        <f t="shared" si="8"/>
        <v>0</v>
      </c>
    </row>
    <row r="79" spans="1:33" x14ac:dyDescent="0.2">
      <c r="A79" s="8"/>
      <c r="B79" s="8"/>
      <c r="C79" s="4" t="str">
        <f>$C$76&amp;" - "&amp;C16</f>
        <v xml:space="preserve">Annualised capex - </v>
      </c>
      <c r="D79" s="38"/>
      <c r="F79" s="97"/>
      <c r="G79" s="210">
        <f>input_dollars</f>
        <v>45291</v>
      </c>
      <c r="H79" s="31"/>
      <c r="I79" s="119">
        <f t="shared" ref="I79:AG79" si="9">IF($E16=0,0,-PMT(real_disc, $E16,H74,))</f>
        <v>0</v>
      </c>
      <c r="J79" s="119">
        <f t="shared" si="9"/>
        <v>0</v>
      </c>
      <c r="K79" s="119">
        <f t="shared" si="9"/>
        <v>0</v>
      </c>
      <c r="L79" s="119">
        <f t="shared" si="9"/>
        <v>0</v>
      </c>
      <c r="M79" s="119">
        <f t="shared" si="9"/>
        <v>0</v>
      </c>
      <c r="N79" s="119">
        <f t="shared" si="9"/>
        <v>0</v>
      </c>
      <c r="O79" s="119">
        <f t="shared" si="9"/>
        <v>0</v>
      </c>
      <c r="P79" s="119">
        <f t="shared" si="9"/>
        <v>0</v>
      </c>
      <c r="Q79" s="119">
        <f t="shared" si="9"/>
        <v>0</v>
      </c>
      <c r="R79" s="119">
        <f t="shared" si="9"/>
        <v>0</v>
      </c>
      <c r="S79" s="119">
        <f t="shared" si="9"/>
        <v>0</v>
      </c>
      <c r="T79" s="119">
        <f t="shared" si="9"/>
        <v>0</v>
      </c>
      <c r="U79" s="119">
        <f t="shared" si="9"/>
        <v>0</v>
      </c>
      <c r="V79" s="119">
        <f t="shared" si="9"/>
        <v>0</v>
      </c>
      <c r="W79" s="119">
        <f t="shared" si="9"/>
        <v>0</v>
      </c>
      <c r="X79" s="119">
        <f t="shared" si="9"/>
        <v>0</v>
      </c>
      <c r="Y79" s="119">
        <f t="shared" si="9"/>
        <v>0</v>
      </c>
      <c r="Z79" s="119">
        <f t="shared" si="9"/>
        <v>0</v>
      </c>
      <c r="AA79" s="119">
        <f t="shared" si="9"/>
        <v>0</v>
      </c>
      <c r="AB79" s="119">
        <f t="shared" si="9"/>
        <v>0</v>
      </c>
      <c r="AC79" s="119">
        <f t="shared" si="9"/>
        <v>0</v>
      </c>
      <c r="AD79" s="119">
        <f t="shared" si="9"/>
        <v>0</v>
      </c>
      <c r="AE79" s="119">
        <f t="shared" si="9"/>
        <v>0</v>
      </c>
      <c r="AF79" s="119">
        <f t="shared" si="9"/>
        <v>0</v>
      </c>
      <c r="AG79" s="119">
        <f t="shared" si="9"/>
        <v>0</v>
      </c>
    </row>
    <row r="80" spans="1:33" x14ac:dyDescent="0.2">
      <c r="A80" s="8"/>
      <c r="B80" s="8"/>
      <c r="C80" s="172" t="s">
        <v>156</v>
      </c>
      <c r="D80" s="172"/>
      <c r="E80" s="173"/>
      <c r="F80" s="174"/>
      <c r="G80" s="215">
        <f>input_dollars</f>
        <v>45291</v>
      </c>
      <c r="H80" s="175"/>
      <c r="I80" s="176">
        <f>SUM(I77:I79)</f>
        <v>0</v>
      </c>
      <c r="J80" s="176">
        <f t="shared" ref="J80:AB80" si="10">SUM(J77:J79)</f>
        <v>-419215.34203147865</v>
      </c>
      <c r="K80" s="176">
        <f t="shared" si="10"/>
        <v>-838430.6840629573</v>
      </c>
      <c r="L80" s="176">
        <f t="shared" si="10"/>
        <v>-838430.6840629573</v>
      </c>
      <c r="M80" s="176">
        <f t="shared" si="10"/>
        <v>-838430.6840629573</v>
      </c>
      <c r="N80" s="176">
        <f t="shared" si="10"/>
        <v>-838430.6840629573</v>
      </c>
      <c r="O80" s="176">
        <f t="shared" si="10"/>
        <v>-838430.6840629573</v>
      </c>
      <c r="P80" s="176">
        <f t="shared" si="10"/>
        <v>-838430.6840629573</v>
      </c>
      <c r="Q80" s="176">
        <f t="shared" si="10"/>
        <v>-838430.6840629573</v>
      </c>
      <c r="R80" s="176">
        <f t="shared" si="10"/>
        <v>-838430.6840629573</v>
      </c>
      <c r="S80" s="176">
        <f t="shared" si="10"/>
        <v>-838430.6840629573</v>
      </c>
      <c r="T80" s="176">
        <f t="shared" si="10"/>
        <v>-838430.6840629573</v>
      </c>
      <c r="U80" s="176">
        <f t="shared" si="10"/>
        <v>-838430.6840629573</v>
      </c>
      <c r="V80" s="176">
        <f t="shared" si="10"/>
        <v>-838430.6840629573</v>
      </c>
      <c r="W80" s="176">
        <f t="shared" si="10"/>
        <v>-838430.6840629573</v>
      </c>
      <c r="X80" s="176">
        <f t="shared" si="10"/>
        <v>-838430.6840629573</v>
      </c>
      <c r="Y80" s="176">
        <f t="shared" si="10"/>
        <v>-563843.0841072253</v>
      </c>
      <c r="Z80" s="176">
        <f t="shared" si="10"/>
        <v>-289255.48415149329</v>
      </c>
      <c r="AA80" s="176">
        <f t="shared" si="10"/>
        <v>-289255.48415149329</v>
      </c>
      <c r="AB80" s="176">
        <f t="shared" si="10"/>
        <v>-289255.48415149329</v>
      </c>
      <c r="AC80" s="176">
        <f>SUM(AC77:AC79)</f>
        <v>-289255.48415149329</v>
      </c>
      <c r="AD80" s="176">
        <f>SUM(AD77:AD79)</f>
        <v>-289255.48415149329</v>
      </c>
      <c r="AE80" s="176">
        <f>SUM(AE77:AE79)</f>
        <v>-289255.48415149329</v>
      </c>
      <c r="AF80" s="176">
        <f>SUM(AF77:AF79)</f>
        <v>-289255.48415149329</v>
      </c>
      <c r="AG80" s="176">
        <f>SUM(AG77:AG79)</f>
        <v>-289255.48415149329</v>
      </c>
    </row>
    <row r="81" spans="1:33" x14ac:dyDescent="0.2">
      <c r="A81" s="8"/>
      <c r="B81" s="8"/>
      <c r="C81" s="75"/>
      <c r="D81" s="38"/>
      <c r="F81"/>
      <c r="G81" s="216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x14ac:dyDescent="0.2">
      <c r="A82" s="8"/>
      <c r="B82" s="8"/>
      <c r="C82" s="4" t="s">
        <v>91</v>
      </c>
      <c r="D82" s="38"/>
      <c r="F82" s="97"/>
      <c r="G82" s="210">
        <f t="shared" ref="G82:G87" si="11">input_dollars</f>
        <v>45291</v>
      </c>
      <c r="H82" s="31"/>
      <c r="I82" s="119">
        <f>I80</f>
        <v>0</v>
      </c>
      <c r="J82" s="119">
        <f t="shared" ref="J82:AB82" si="12">J80</f>
        <v>-419215.34203147865</v>
      </c>
      <c r="K82" s="119">
        <f t="shared" si="12"/>
        <v>-838430.6840629573</v>
      </c>
      <c r="L82" s="119">
        <f t="shared" si="12"/>
        <v>-838430.6840629573</v>
      </c>
      <c r="M82" s="119">
        <f t="shared" si="12"/>
        <v>-838430.6840629573</v>
      </c>
      <c r="N82" s="119">
        <f t="shared" si="12"/>
        <v>-838430.6840629573</v>
      </c>
      <c r="O82" s="119">
        <f t="shared" si="12"/>
        <v>-838430.6840629573</v>
      </c>
      <c r="P82" s="119">
        <f t="shared" si="12"/>
        <v>-838430.6840629573</v>
      </c>
      <c r="Q82" s="119">
        <f t="shared" si="12"/>
        <v>-838430.6840629573</v>
      </c>
      <c r="R82" s="119">
        <f t="shared" si="12"/>
        <v>-838430.6840629573</v>
      </c>
      <c r="S82" s="119">
        <f t="shared" si="12"/>
        <v>-838430.6840629573</v>
      </c>
      <c r="T82" s="119">
        <f t="shared" si="12"/>
        <v>-838430.6840629573</v>
      </c>
      <c r="U82" s="119">
        <f t="shared" si="12"/>
        <v>-838430.6840629573</v>
      </c>
      <c r="V82" s="119">
        <f t="shared" si="12"/>
        <v>-838430.6840629573</v>
      </c>
      <c r="W82" s="119">
        <f t="shared" si="12"/>
        <v>-838430.6840629573</v>
      </c>
      <c r="X82" s="119">
        <f t="shared" si="12"/>
        <v>-838430.6840629573</v>
      </c>
      <c r="Y82" s="119">
        <f t="shared" si="12"/>
        <v>-563843.0841072253</v>
      </c>
      <c r="Z82" s="119">
        <f t="shared" si="12"/>
        <v>-289255.48415149329</v>
      </c>
      <c r="AA82" s="119">
        <f t="shared" si="12"/>
        <v>-289255.48415149329</v>
      </c>
      <c r="AB82" s="119">
        <f t="shared" si="12"/>
        <v>-289255.48415149329</v>
      </c>
      <c r="AC82" s="119">
        <f>AC80</f>
        <v>-289255.48415149329</v>
      </c>
      <c r="AD82" s="119">
        <f>AD80</f>
        <v>-289255.48415149329</v>
      </c>
      <c r="AE82" s="119">
        <f>AE80</f>
        <v>-289255.48415149329</v>
      </c>
      <c r="AF82" s="119">
        <f>AF80</f>
        <v>-289255.48415149329</v>
      </c>
      <c r="AG82" s="119">
        <f>AG80</f>
        <v>-289255.48415149329</v>
      </c>
    </row>
    <row r="83" spans="1:33" x14ac:dyDescent="0.2">
      <c r="A83" s="8"/>
      <c r="B83" s="8"/>
      <c r="C83" s="4" t="s">
        <v>31</v>
      </c>
      <c r="D83" s="38"/>
      <c r="F83" s="97"/>
      <c r="G83" s="210">
        <f t="shared" si="11"/>
        <v>45291</v>
      </c>
      <c r="H83" s="31"/>
      <c r="I83" s="31">
        <f t="shared" ref="I83:AG83" si="13">-I19</f>
        <v>-21762.742092409098</v>
      </c>
      <c r="J83" s="31">
        <f t="shared" si="13"/>
        <v>-21762.742092409098</v>
      </c>
      <c r="K83" s="31">
        <f t="shared" si="13"/>
        <v>-21762.742092409098</v>
      </c>
      <c r="L83" s="31">
        <f t="shared" si="13"/>
        <v>-21762.742092409098</v>
      </c>
      <c r="M83" s="31">
        <f t="shared" si="13"/>
        <v>-21762.742092409098</v>
      </c>
      <c r="N83" s="31">
        <f t="shared" si="13"/>
        <v>-485543.79979110626</v>
      </c>
      <c r="O83" s="31">
        <f t="shared" si="13"/>
        <v>-485543.79979110626</v>
      </c>
      <c r="P83" s="31">
        <f t="shared" si="13"/>
        <v>-485543.79979110626</v>
      </c>
      <c r="Q83" s="31">
        <f t="shared" si="13"/>
        <v>-771730.25223625591</v>
      </c>
      <c r="R83" s="31">
        <f t="shared" si="13"/>
        <v>-771730.25223625591</v>
      </c>
      <c r="S83" s="31">
        <f t="shared" si="13"/>
        <v>-485543.79979110626</v>
      </c>
      <c r="T83" s="31">
        <f t="shared" si="13"/>
        <v>-485543.79979110626</v>
      </c>
      <c r="U83" s="31">
        <f t="shared" si="13"/>
        <v>-485543.79979110626</v>
      </c>
      <c r="V83" s="31">
        <f t="shared" si="13"/>
        <v>-485543.79979110626</v>
      </c>
      <c r="W83" s="31">
        <f t="shared" si="13"/>
        <v>-485543.79979110626</v>
      </c>
      <c r="X83" s="31">
        <f t="shared" si="13"/>
        <v>-242771.89989555313</v>
      </c>
      <c r="Y83" s="31">
        <f t="shared" si="13"/>
        <v>0</v>
      </c>
      <c r="Z83" s="31">
        <f t="shared" si="13"/>
        <v>0</v>
      </c>
      <c r="AA83" s="31">
        <f t="shared" si="13"/>
        <v>0</v>
      </c>
      <c r="AB83" s="31">
        <f t="shared" si="13"/>
        <v>0</v>
      </c>
      <c r="AC83" s="31">
        <f t="shared" si="13"/>
        <v>0</v>
      </c>
      <c r="AD83" s="31">
        <f t="shared" si="13"/>
        <v>0</v>
      </c>
      <c r="AE83" s="31">
        <f t="shared" si="13"/>
        <v>0</v>
      </c>
      <c r="AF83" s="31">
        <f t="shared" si="13"/>
        <v>0</v>
      </c>
      <c r="AG83" s="31">
        <f t="shared" si="13"/>
        <v>0</v>
      </c>
    </row>
    <row r="84" spans="1:33" x14ac:dyDescent="0.2">
      <c r="A84" s="8"/>
      <c r="B84" s="8"/>
      <c r="C84" s="4" t="s">
        <v>139</v>
      </c>
      <c r="D84" s="38"/>
      <c r="F84" s="97"/>
      <c r="G84" s="210">
        <f t="shared" si="11"/>
        <v>45291</v>
      </c>
      <c r="H84" s="31"/>
      <c r="I84" s="31">
        <f>I64</f>
        <v>638238.4364506565</v>
      </c>
      <c r="J84" s="31">
        <f t="shared" ref="J84:AB84" si="14">J64</f>
        <v>1276476.872901313</v>
      </c>
      <c r="K84" s="31">
        <f t="shared" si="14"/>
        <v>1276476.872901313</v>
      </c>
      <c r="L84" s="31">
        <f t="shared" si="14"/>
        <v>1276476.872901313</v>
      </c>
      <c r="M84" s="31">
        <f t="shared" si="14"/>
        <v>1276476.872901313</v>
      </c>
      <c r="N84" s="31">
        <f t="shared" si="14"/>
        <v>1276476.872901313</v>
      </c>
      <c r="O84" s="31">
        <f t="shared" si="14"/>
        <v>1276476.872901313</v>
      </c>
      <c r="P84" s="31">
        <f t="shared" si="14"/>
        <v>1276476.872901313</v>
      </c>
      <c r="Q84" s="31">
        <f t="shared" si="14"/>
        <v>1276476.872901313</v>
      </c>
      <c r="R84" s="31">
        <f t="shared" si="14"/>
        <v>1276476.872901313</v>
      </c>
      <c r="S84" s="31">
        <f t="shared" si="14"/>
        <v>1276476.872901313</v>
      </c>
      <c r="T84" s="31">
        <f t="shared" si="14"/>
        <v>1276476.872901313</v>
      </c>
      <c r="U84" s="31">
        <f t="shared" si="14"/>
        <v>1276476.872901313</v>
      </c>
      <c r="V84" s="31">
        <f t="shared" si="14"/>
        <v>1276476.872901313</v>
      </c>
      <c r="W84" s="31">
        <f t="shared" si="14"/>
        <v>1276476.872901313</v>
      </c>
      <c r="X84" s="31">
        <f t="shared" si="14"/>
        <v>809192.29339680448</v>
      </c>
      <c r="Y84" s="31">
        <f t="shared" si="14"/>
        <v>341907.71389229409</v>
      </c>
      <c r="Z84" s="31">
        <f t="shared" si="14"/>
        <v>341907.71389229409</v>
      </c>
      <c r="AA84" s="31">
        <f t="shared" si="14"/>
        <v>341907.71389229409</v>
      </c>
      <c r="AB84" s="31">
        <f t="shared" si="14"/>
        <v>341907.71389229409</v>
      </c>
      <c r="AC84" s="31">
        <f>AC64</f>
        <v>15637874.556339899</v>
      </c>
      <c r="AD84" s="31">
        <f>AD64</f>
        <v>15637874.556339899</v>
      </c>
      <c r="AE84" s="31">
        <f>AE64</f>
        <v>15637874.556339899</v>
      </c>
      <c r="AF84" s="31">
        <f>AF64</f>
        <v>15637874.556339899</v>
      </c>
      <c r="AG84" s="31">
        <f>AG64</f>
        <v>15637874.556339899</v>
      </c>
    </row>
    <row r="85" spans="1:33" x14ac:dyDescent="0.2">
      <c r="A85" s="8"/>
      <c r="B85" s="8"/>
      <c r="C85" s="4" t="s">
        <v>122</v>
      </c>
      <c r="D85" s="38"/>
      <c r="F85" s="97"/>
      <c r="G85" s="210">
        <f t="shared" si="11"/>
        <v>45291</v>
      </c>
      <c r="H85" s="31"/>
      <c r="I85" s="31">
        <f t="shared" ref="I85:AG85" si="15">I57</f>
        <v>0</v>
      </c>
      <c r="J85" s="31">
        <f t="shared" si="15"/>
        <v>0</v>
      </c>
      <c r="K85" s="31">
        <f t="shared" si="15"/>
        <v>0</v>
      </c>
      <c r="L85" s="31">
        <f t="shared" si="15"/>
        <v>0</v>
      </c>
      <c r="M85" s="31">
        <f t="shared" si="15"/>
        <v>0</v>
      </c>
      <c r="N85" s="31">
        <f t="shared" si="15"/>
        <v>0</v>
      </c>
      <c r="O85" s="31">
        <f t="shared" si="15"/>
        <v>0</v>
      </c>
      <c r="P85" s="31">
        <f t="shared" si="15"/>
        <v>0</v>
      </c>
      <c r="Q85" s="31">
        <f t="shared" si="15"/>
        <v>0</v>
      </c>
      <c r="R85" s="31">
        <f t="shared" si="15"/>
        <v>0</v>
      </c>
      <c r="S85" s="31">
        <f t="shared" si="15"/>
        <v>0</v>
      </c>
      <c r="T85" s="31">
        <f t="shared" si="15"/>
        <v>0</v>
      </c>
      <c r="U85" s="31">
        <f t="shared" si="15"/>
        <v>0</v>
      </c>
      <c r="V85" s="31">
        <f t="shared" si="15"/>
        <v>0</v>
      </c>
      <c r="W85" s="31">
        <f t="shared" si="15"/>
        <v>0</v>
      </c>
      <c r="X85" s="31">
        <f t="shared" si="15"/>
        <v>0</v>
      </c>
      <c r="Y85" s="31">
        <f t="shared" si="15"/>
        <v>0</v>
      </c>
      <c r="Z85" s="31">
        <f t="shared" si="15"/>
        <v>0</v>
      </c>
      <c r="AA85" s="31">
        <f t="shared" si="15"/>
        <v>0</v>
      </c>
      <c r="AB85" s="31">
        <f t="shared" si="15"/>
        <v>0</v>
      </c>
      <c r="AC85" s="31">
        <f t="shared" si="15"/>
        <v>0</v>
      </c>
      <c r="AD85" s="31">
        <f t="shared" si="15"/>
        <v>0</v>
      </c>
      <c r="AE85" s="31">
        <f t="shared" si="15"/>
        <v>0</v>
      </c>
      <c r="AF85" s="31">
        <f t="shared" si="15"/>
        <v>0</v>
      </c>
      <c r="AG85" s="31">
        <f t="shared" si="15"/>
        <v>0</v>
      </c>
    </row>
    <row r="86" spans="1:33" x14ac:dyDescent="0.2">
      <c r="A86" s="8"/>
      <c r="B86" s="8"/>
      <c r="C86" s="4"/>
      <c r="D86" s="38"/>
      <c r="F86" s="31"/>
      <c r="G86" s="210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</row>
    <row r="87" spans="1:33" x14ac:dyDescent="0.2">
      <c r="A87" s="8"/>
      <c r="B87" s="8"/>
      <c r="C87" s="177" t="s">
        <v>186</v>
      </c>
      <c r="D87" s="178"/>
      <c r="E87" s="173"/>
      <c r="F87" s="179"/>
      <c r="G87" s="215">
        <f t="shared" si="11"/>
        <v>45291</v>
      </c>
      <c r="H87" s="179"/>
      <c r="I87" s="179">
        <f t="shared" ref="I87:AB87" si="16">SUM(I82:I86)</f>
        <v>616475.69435824745</v>
      </c>
      <c r="J87" s="179">
        <f t="shared" si="16"/>
        <v>835498.78877742519</v>
      </c>
      <c r="K87" s="179">
        <f t="shared" si="16"/>
        <v>416283.44674594665</v>
      </c>
      <c r="L87" s="179">
        <f t="shared" si="16"/>
        <v>416283.44674594665</v>
      </c>
      <c r="M87" s="179">
        <f t="shared" si="16"/>
        <v>416283.44674594665</v>
      </c>
      <c r="N87" s="179">
        <f t="shared" si="16"/>
        <v>-47497.610952750547</v>
      </c>
      <c r="O87" s="179">
        <f t="shared" si="16"/>
        <v>-47497.610952750547</v>
      </c>
      <c r="P87" s="179">
        <f t="shared" si="16"/>
        <v>-47497.610952750547</v>
      </c>
      <c r="Q87" s="179">
        <f t="shared" si="16"/>
        <v>-333684.0633979002</v>
      </c>
      <c r="R87" s="179">
        <f t="shared" si="16"/>
        <v>-333684.0633979002</v>
      </c>
      <c r="S87" s="179">
        <f t="shared" si="16"/>
        <v>-47497.610952750547</v>
      </c>
      <c r="T87" s="179">
        <f t="shared" si="16"/>
        <v>-47497.610952750547</v>
      </c>
      <c r="U87" s="179">
        <f t="shared" si="16"/>
        <v>-47497.610952750547</v>
      </c>
      <c r="V87" s="179">
        <f t="shared" si="16"/>
        <v>-47497.610952750547</v>
      </c>
      <c r="W87" s="179">
        <f t="shared" si="16"/>
        <v>-47497.610952750547</v>
      </c>
      <c r="X87" s="179">
        <f t="shared" si="16"/>
        <v>-272010.29056170583</v>
      </c>
      <c r="Y87" s="179">
        <f t="shared" si="16"/>
        <v>-221935.3702149312</v>
      </c>
      <c r="Z87" s="179">
        <f t="shared" si="16"/>
        <v>52652.229740800802</v>
      </c>
      <c r="AA87" s="179">
        <f t="shared" si="16"/>
        <v>52652.229740800802</v>
      </c>
      <c r="AB87" s="179">
        <f t="shared" si="16"/>
        <v>52652.229740800802</v>
      </c>
      <c r="AC87" s="179">
        <f>SUM(AC82:AC86)</f>
        <v>15348619.072188405</v>
      </c>
      <c r="AD87" s="179">
        <f>SUM(AD82:AD86)</f>
        <v>15348619.072188405</v>
      </c>
      <c r="AE87" s="179">
        <f>SUM(AE82:AE86)</f>
        <v>15348619.072188405</v>
      </c>
      <c r="AF87" s="179">
        <f>SUM(AF82:AF86)</f>
        <v>15348619.072188405</v>
      </c>
      <c r="AG87" s="179">
        <f>SUM(AG82:AG86)</f>
        <v>15348619.072188405</v>
      </c>
    </row>
    <row r="88" spans="1:33" x14ac:dyDescent="0.2">
      <c r="A88" s="8"/>
      <c r="B88" s="8"/>
      <c r="C88" s="75"/>
      <c r="D88" s="138"/>
      <c r="E88" s="64"/>
      <c r="F88" s="141"/>
      <c r="G88" s="217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x14ac:dyDescent="0.2">
      <c r="A89" s="8"/>
      <c r="B89" s="8"/>
      <c r="C89" s="75"/>
      <c r="D89" s="138"/>
      <c r="E89" s="64"/>
      <c r="F89" s="141"/>
      <c r="G89" s="217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x14ac:dyDescent="0.2">
      <c r="A90" s="8"/>
      <c r="B90" s="8"/>
      <c r="C90" s="230" t="s">
        <v>196</v>
      </c>
      <c r="D90" s="82"/>
      <c r="E90" s="231"/>
      <c r="F90" s="232"/>
      <c r="G90" s="233" cm="1">
        <f t="array" ref="G90">IF(SUM($I17:$AG17)=0,0,(INDEX(I$6:AG$6,MATCH(TRUE,INDEX($I17:$AG17&lt;&gt;0,),0))))</f>
        <v>1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</row>
    <row r="91" spans="1:33" x14ac:dyDescent="0.2">
      <c r="C91" s="82"/>
      <c r="D91" s="234"/>
      <c r="E91" s="231"/>
      <c r="F91" s="231"/>
      <c r="G91" s="233"/>
    </row>
    <row r="92" spans="1:33" x14ac:dyDescent="0.2">
      <c r="C92" s="235" t="s">
        <v>191</v>
      </c>
      <c r="D92" s="236"/>
      <c r="E92" s="236"/>
      <c r="F92" s="236"/>
      <c r="G92" s="237">
        <f>IF(_xlfn.MINIFS($G$90:$G$91, $G$90:$G$91, "&gt;"&amp;0)=0, $A$4, _xlfn.MINIFS($G$90:$G$91, $G$90:$G$91, "&gt;"&amp;0))</f>
        <v>1</v>
      </c>
    </row>
    <row r="94" spans="1:33" x14ac:dyDescent="0.2">
      <c r="G94" s="12"/>
    </row>
    <row r="102" spans="1:43" ht="15" x14ac:dyDescent="0.2">
      <c r="A102" s="89" t="s">
        <v>216</v>
      </c>
      <c r="B102" s="89"/>
      <c r="C102" s="89"/>
      <c r="D102" s="89"/>
      <c r="E102" s="89"/>
      <c r="F102" s="89"/>
      <c r="G102" s="204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/>
      <c r="AI102"/>
      <c r="AJ102"/>
      <c r="AK102"/>
      <c r="AL102"/>
      <c r="AM102"/>
      <c r="AN102"/>
      <c r="AO102"/>
      <c r="AP102"/>
      <c r="AQ102"/>
    </row>
    <row r="104" spans="1:43" x14ac:dyDescent="0.2"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</row>
    <row r="105" spans="1:43" x14ac:dyDescent="0.2"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</row>
    <row r="106" spans="1:43" x14ac:dyDescent="0.2">
      <c r="A106" s="1" t="s">
        <v>119</v>
      </c>
      <c r="C106" s="1" t="s">
        <v>186</v>
      </c>
      <c r="D106"/>
      <c r="E106"/>
      <c r="F106"/>
      <c r="G106" s="38" t="str">
        <f>PROPER($A$3)&amp;A106</f>
        <v>Option 5NPV</v>
      </c>
      <c r="I106" s="31">
        <f>I87</f>
        <v>616475.69435824745</v>
      </c>
      <c r="J106" s="31">
        <f t="shared" ref="J106:AG106" si="17">J87</f>
        <v>835498.78877742519</v>
      </c>
      <c r="K106" s="31">
        <f t="shared" si="17"/>
        <v>416283.44674594665</v>
      </c>
      <c r="L106" s="31">
        <f t="shared" si="17"/>
        <v>416283.44674594665</v>
      </c>
      <c r="M106" s="31">
        <f t="shared" si="17"/>
        <v>416283.44674594665</v>
      </c>
      <c r="N106" s="31">
        <f t="shared" si="17"/>
        <v>-47497.610952750547</v>
      </c>
      <c r="O106" s="31">
        <f t="shared" si="17"/>
        <v>-47497.610952750547</v>
      </c>
      <c r="P106" s="31">
        <f t="shared" si="17"/>
        <v>-47497.610952750547</v>
      </c>
      <c r="Q106" s="31">
        <f t="shared" si="17"/>
        <v>-333684.0633979002</v>
      </c>
      <c r="R106" s="31">
        <f t="shared" si="17"/>
        <v>-333684.0633979002</v>
      </c>
      <c r="S106" s="31">
        <f t="shared" si="17"/>
        <v>-47497.610952750547</v>
      </c>
      <c r="T106" s="31">
        <f t="shared" si="17"/>
        <v>-47497.610952750547</v>
      </c>
      <c r="U106" s="31">
        <f t="shared" si="17"/>
        <v>-47497.610952750547</v>
      </c>
      <c r="V106" s="31">
        <f t="shared" si="17"/>
        <v>-47497.610952750547</v>
      </c>
      <c r="W106" s="31">
        <f t="shared" si="17"/>
        <v>-47497.610952750547</v>
      </c>
      <c r="X106" s="31">
        <f t="shared" si="17"/>
        <v>-272010.29056170583</v>
      </c>
      <c r="Y106" s="31">
        <f t="shared" si="17"/>
        <v>-221935.3702149312</v>
      </c>
      <c r="Z106" s="31">
        <f t="shared" si="17"/>
        <v>52652.229740800802</v>
      </c>
      <c r="AA106" s="31">
        <f t="shared" si="17"/>
        <v>52652.229740800802</v>
      </c>
      <c r="AB106" s="31">
        <f t="shared" si="17"/>
        <v>52652.229740800802</v>
      </c>
      <c r="AC106" s="31">
        <f t="shared" si="17"/>
        <v>15348619.072188405</v>
      </c>
      <c r="AD106" s="31">
        <f t="shared" si="17"/>
        <v>15348619.072188405</v>
      </c>
      <c r="AE106" s="31">
        <f t="shared" si="17"/>
        <v>15348619.072188405</v>
      </c>
      <c r="AF106" s="31">
        <f t="shared" si="17"/>
        <v>15348619.072188405</v>
      </c>
      <c r="AG106" s="31">
        <f t="shared" si="17"/>
        <v>15348619.072188405</v>
      </c>
    </row>
    <row r="107" spans="1:43" x14ac:dyDescent="0.2">
      <c r="C107" s="1" t="s">
        <v>156</v>
      </c>
      <c r="D107"/>
      <c r="E107"/>
      <c r="F107"/>
      <c r="G107"/>
      <c r="I107" s="31">
        <f>I82</f>
        <v>0</v>
      </c>
      <c r="J107" s="31">
        <f t="shared" ref="J107:AG107" si="18">J82</f>
        <v>-419215.34203147865</v>
      </c>
      <c r="K107" s="31">
        <f t="shared" si="18"/>
        <v>-838430.6840629573</v>
      </c>
      <c r="L107" s="31">
        <f t="shared" si="18"/>
        <v>-838430.6840629573</v>
      </c>
      <c r="M107" s="31">
        <f t="shared" si="18"/>
        <v>-838430.6840629573</v>
      </c>
      <c r="N107" s="31">
        <f t="shared" si="18"/>
        <v>-838430.6840629573</v>
      </c>
      <c r="O107" s="31">
        <f t="shared" si="18"/>
        <v>-838430.6840629573</v>
      </c>
      <c r="P107" s="31">
        <f t="shared" si="18"/>
        <v>-838430.6840629573</v>
      </c>
      <c r="Q107" s="31">
        <f t="shared" si="18"/>
        <v>-838430.6840629573</v>
      </c>
      <c r="R107" s="31">
        <f t="shared" si="18"/>
        <v>-838430.6840629573</v>
      </c>
      <c r="S107" s="31">
        <f t="shared" si="18"/>
        <v>-838430.6840629573</v>
      </c>
      <c r="T107" s="31">
        <f t="shared" si="18"/>
        <v>-838430.6840629573</v>
      </c>
      <c r="U107" s="31">
        <f t="shared" si="18"/>
        <v>-838430.6840629573</v>
      </c>
      <c r="V107" s="31">
        <f t="shared" si="18"/>
        <v>-838430.6840629573</v>
      </c>
      <c r="W107" s="31">
        <f t="shared" si="18"/>
        <v>-838430.6840629573</v>
      </c>
      <c r="X107" s="31">
        <f t="shared" si="18"/>
        <v>-838430.6840629573</v>
      </c>
      <c r="Y107" s="31">
        <f t="shared" si="18"/>
        <v>-563843.0841072253</v>
      </c>
      <c r="Z107" s="31">
        <f t="shared" si="18"/>
        <v>-289255.48415149329</v>
      </c>
      <c r="AA107" s="31">
        <f t="shared" si="18"/>
        <v>-289255.48415149329</v>
      </c>
      <c r="AB107" s="31">
        <f t="shared" si="18"/>
        <v>-289255.48415149329</v>
      </c>
      <c r="AC107" s="31">
        <f t="shared" si="18"/>
        <v>-289255.48415149329</v>
      </c>
      <c r="AD107" s="31">
        <f t="shared" si="18"/>
        <v>-289255.48415149329</v>
      </c>
      <c r="AE107" s="31">
        <f t="shared" si="18"/>
        <v>-289255.48415149329</v>
      </c>
      <c r="AF107" s="31">
        <f t="shared" si="18"/>
        <v>-289255.48415149329</v>
      </c>
      <c r="AG107" s="31">
        <f t="shared" si="18"/>
        <v>-289255.48415149329</v>
      </c>
    </row>
    <row r="108" spans="1:43" x14ac:dyDescent="0.2">
      <c r="C108" s="1" t="s">
        <v>239</v>
      </c>
      <c r="D108"/>
      <c r="E108"/>
      <c r="F108"/>
      <c r="G108"/>
      <c r="I108" s="31">
        <f>SUM(I84:I85)</f>
        <v>638238.4364506565</v>
      </c>
      <c r="J108" s="31">
        <f t="shared" ref="J108:AG108" si="19">SUM(J84:J85)</f>
        <v>1276476.872901313</v>
      </c>
      <c r="K108" s="31">
        <f t="shared" si="19"/>
        <v>1276476.872901313</v>
      </c>
      <c r="L108" s="31">
        <f t="shared" si="19"/>
        <v>1276476.872901313</v>
      </c>
      <c r="M108" s="31">
        <f t="shared" si="19"/>
        <v>1276476.872901313</v>
      </c>
      <c r="N108" s="31">
        <f t="shared" si="19"/>
        <v>1276476.872901313</v>
      </c>
      <c r="O108" s="31">
        <f t="shared" si="19"/>
        <v>1276476.872901313</v>
      </c>
      <c r="P108" s="31">
        <f t="shared" si="19"/>
        <v>1276476.872901313</v>
      </c>
      <c r="Q108" s="31">
        <f t="shared" si="19"/>
        <v>1276476.872901313</v>
      </c>
      <c r="R108" s="31">
        <f t="shared" si="19"/>
        <v>1276476.872901313</v>
      </c>
      <c r="S108" s="31">
        <f t="shared" si="19"/>
        <v>1276476.872901313</v>
      </c>
      <c r="T108" s="31">
        <f t="shared" si="19"/>
        <v>1276476.872901313</v>
      </c>
      <c r="U108" s="31">
        <f t="shared" si="19"/>
        <v>1276476.872901313</v>
      </c>
      <c r="V108" s="31">
        <f t="shared" si="19"/>
        <v>1276476.872901313</v>
      </c>
      <c r="W108" s="31">
        <f t="shared" si="19"/>
        <v>1276476.872901313</v>
      </c>
      <c r="X108" s="31">
        <f t="shared" si="19"/>
        <v>809192.29339680448</v>
      </c>
      <c r="Y108" s="31">
        <f t="shared" si="19"/>
        <v>341907.71389229409</v>
      </c>
      <c r="Z108" s="31">
        <f t="shared" si="19"/>
        <v>341907.71389229409</v>
      </c>
      <c r="AA108" s="31">
        <f t="shared" si="19"/>
        <v>341907.71389229409</v>
      </c>
      <c r="AB108" s="31">
        <f t="shared" si="19"/>
        <v>341907.71389229409</v>
      </c>
      <c r="AC108" s="31">
        <f t="shared" si="19"/>
        <v>15637874.556339899</v>
      </c>
      <c r="AD108" s="31">
        <f t="shared" si="19"/>
        <v>15637874.556339899</v>
      </c>
      <c r="AE108" s="31">
        <f t="shared" si="19"/>
        <v>15637874.556339899</v>
      </c>
      <c r="AF108" s="31">
        <f t="shared" si="19"/>
        <v>15637874.556339899</v>
      </c>
      <c r="AG108" s="31">
        <f t="shared" si="19"/>
        <v>15637874.556339899</v>
      </c>
    </row>
    <row r="109" spans="1:43" x14ac:dyDescent="0.2">
      <c r="D109" s="301" t="str">
        <f>Assumptions!G110</f>
        <v>Capex</v>
      </c>
      <c r="E109" s="301" t="str">
        <f>Assumptions!H110</f>
        <v>Total benefits</v>
      </c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</row>
    <row r="110" spans="1:43" x14ac:dyDescent="0.2">
      <c r="A110" s="1" t="str">
        <f>"sens"&amp;Assumptions!B111</f>
        <v>sens1</v>
      </c>
      <c r="C110" s="300" t="str">
        <f>Assumptions!C111</f>
        <v>Capex 10% higher</v>
      </c>
      <c r="D110" s="301">
        <f>Assumptions!G111</f>
        <v>0.1</v>
      </c>
      <c r="E110" s="301">
        <f>Assumptions!H111</f>
        <v>0</v>
      </c>
      <c r="G110" s="38" t="str">
        <f>PROPER($A$3)&amp;A110</f>
        <v>Option 5sens1</v>
      </c>
      <c r="I110" s="31" cm="1">
        <f t="array" ref="I110">I$106+IF($C110&lt;&gt;0,SUMPRODUCT((I$107:I$108)*TRANSPOSE(($D110:$E110))),0)</f>
        <v>616475.69435824745</v>
      </c>
      <c r="J110" s="31" cm="1">
        <f t="array" ref="J110">J$106+IF($C110&lt;&gt;0,SUMPRODUCT((J$107:J$108)*TRANSPOSE(($D110:$E110))),0)</f>
        <v>793577.25457427732</v>
      </c>
      <c r="K110" s="31" cm="1">
        <f t="array" ref="K110">K$106+IF($C110&lt;&gt;0,SUMPRODUCT((K$107:K$108)*TRANSPOSE(($D110:$E110))),0)</f>
        <v>332440.37833965092</v>
      </c>
      <c r="L110" s="31" cm="1">
        <f t="array" ref="L110">L$106+IF($C110&lt;&gt;0,SUMPRODUCT((L$107:L$108)*TRANSPOSE(($D110:$E110))),0)</f>
        <v>332440.37833965092</v>
      </c>
      <c r="M110" s="31" cm="1">
        <f t="array" ref="M110">M$106+IF($C110&lt;&gt;0,SUMPRODUCT((M$107:M$108)*TRANSPOSE(($D110:$E110))),0)</f>
        <v>332440.37833965092</v>
      </c>
      <c r="N110" s="31" cm="1">
        <f t="array" ref="N110">N$106+IF($C110&lt;&gt;0,SUMPRODUCT((N$107:N$108)*TRANSPOSE(($D110:$E110))),0)</f>
        <v>-131340.67935904628</v>
      </c>
      <c r="O110" s="31" cm="1">
        <f t="array" ref="O110">O$106+IF($C110&lt;&gt;0,SUMPRODUCT((O$107:O$108)*TRANSPOSE(($D110:$E110))),0)</f>
        <v>-131340.67935904628</v>
      </c>
      <c r="P110" s="31" cm="1">
        <f t="array" ref="P110">P$106+IF($C110&lt;&gt;0,SUMPRODUCT((P$107:P$108)*TRANSPOSE(($D110:$E110))),0)</f>
        <v>-131340.67935904628</v>
      </c>
      <c r="Q110" s="31" cm="1">
        <f t="array" ref="Q110">Q$106+IF($C110&lt;&gt;0,SUMPRODUCT((Q$107:Q$108)*TRANSPOSE(($D110:$E110))),0)</f>
        <v>-417527.13180419593</v>
      </c>
      <c r="R110" s="31" cm="1">
        <f t="array" ref="R110">R$106+IF($C110&lt;&gt;0,SUMPRODUCT((R$107:R$108)*TRANSPOSE(($D110:$E110))),0)</f>
        <v>-417527.13180419593</v>
      </c>
      <c r="S110" s="31" cm="1">
        <f t="array" ref="S110">S$106+IF($C110&lt;&gt;0,SUMPRODUCT((S$107:S$108)*TRANSPOSE(($D110:$E110))),0)</f>
        <v>-131340.67935904628</v>
      </c>
      <c r="T110" s="31" cm="1">
        <f t="array" ref="T110">T$106+IF($C110&lt;&gt;0,SUMPRODUCT((T$107:T$108)*TRANSPOSE(($D110:$E110))),0)</f>
        <v>-131340.67935904628</v>
      </c>
      <c r="U110" s="31" cm="1">
        <f t="array" ref="U110">U$106+IF($C110&lt;&gt;0,SUMPRODUCT((U$107:U$108)*TRANSPOSE(($D110:$E110))),0)</f>
        <v>-131340.67935904628</v>
      </c>
      <c r="V110" s="31" cm="1">
        <f t="array" ref="V110">V$106+IF($C110&lt;&gt;0,SUMPRODUCT((V$107:V$108)*TRANSPOSE(($D110:$E110))),0)</f>
        <v>-131340.67935904628</v>
      </c>
      <c r="W110" s="31" cm="1">
        <f t="array" ref="W110">W$106+IF($C110&lt;&gt;0,SUMPRODUCT((W$107:W$108)*TRANSPOSE(($D110:$E110))),0)</f>
        <v>-131340.67935904628</v>
      </c>
      <c r="X110" s="31" cm="1">
        <f t="array" ref="X110">X$106+IF($C110&lt;&gt;0,SUMPRODUCT((X$107:X$108)*TRANSPOSE(($D110:$E110))),0)</f>
        <v>-355853.35896800156</v>
      </c>
      <c r="Y110" s="31" cm="1">
        <f t="array" ref="Y110">Y$106+IF($C110&lt;&gt;0,SUMPRODUCT((Y$107:Y$108)*TRANSPOSE(($D110:$E110))),0)</f>
        <v>-278319.67862565373</v>
      </c>
      <c r="Z110" s="31" cm="1">
        <f t="array" ref="Z110">Z$106+IF($C110&lt;&gt;0,SUMPRODUCT((Z$107:Z$108)*TRANSPOSE(($D110:$E110))),0)</f>
        <v>23726.681325651472</v>
      </c>
      <c r="AA110" s="31" cm="1">
        <f t="array" ref="AA110">AA$106+IF($C110&lt;&gt;0,SUMPRODUCT((AA$107:AA$108)*TRANSPOSE(($D110:$E110))),0)</f>
        <v>23726.681325651472</v>
      </c>
      <c r="AB110" s="31" cm="1">
        <f t="array" ref="AB110">AB$106+IF($C110&lt;&gt;0,SUMPRODUCT((AB$107:AB$108)*TRANSPOSE(($D110:$E110))),0)</f>
        <v>23726.681325651472</v>
      </c>
      <c r="AC110" s="31" cm="1">
        <f t="array" ref="AC110">AC$106+IF($C110&lt;&gt;0,SUMPRODUCT((AC$107:AC$108)*TRANSPOSE(($D110:$E110))),0)</f>
        <v>15319693.523773257</v>
      </c>
      <c r="AD110" s="31" cm="1">
        <f t="array" ref="AD110">AD$106+IF($C110&lt;&gt;0,SUMPRODUCT((AD$107:AD$108)*TRANSPOSE(($D110:$E110))),0)</f>
        <v>15319693.523773257</v>
      </c>
      <c r="AE110" s="31" cm="1">
        <f t="array" ref="AE110">AE$106+IF($C110&lt;&gt;0,SUMPRODUCT((AE$107:AE$108)*TRANSPOSE(($D110:$E110))),0)</f>
        <v>15319693.523773257</v>
      </c>
      <c r="AF110" s="31" cm="1">
        <f t="array" ref="AF110">AF$106+IF($C110&lt;&gt;0,SUMPRODUCT((AF$107:AF$108)*TRANSPOSE(($D110:$E110))),0)</f>
        <v>15319693.523773257</v>
      </c>
      <c r="AG110" s="31" cm="1">
        <f t="array" ref="AG110">AG$106+IF($C110&lt;&gt;0,SUMPRODUCT((AG$107:AG$108)*TRANSPOSE(($D110:$E110))),0)</f>
        <v>15319693.523773257</v>
      </c>
    </row>
    <row r="111" spans="1:43" x14ac:dyDescent="0.2">
      <c r="A111" s="1" t="str">
        <f>"sens"&amp;Assumptions!B112</f>
        <v>sens2</v>
      </c>
      <c r="C111" s="300" t="str">
        <f>Assumptions!C112</f>
        <v>Capex 10% lower</v>
      </c>
      <c r="D111" s="301">
        <f>Assumptions!G112</f>
        <v>-0.1</v>
      </c>
      <c r="E111" s="301">
        <f>Assumptions!H112</f>
        <v>0</v>
      </c>
      <c r="G111" s="38" t="str">
        <f t="shared" ref="G111:G117" si="20">PROPER($A$3)&amp;A111</f>
        <v>Option 5sens2</v>
      </c>
      <c r="I111" s="31" cm="1">
        <f t="array" ref="I111">I$106+IF($C111&lt;&gt;0,SUMPRODUCT((I$107:I$108)*TRANSPOSE(($D111:$E111))),0)</f>
        <v>616475.69435824745</v>
      </c>
      <c r="J111" s="31" cm="1">
        <f t="array" ref="J111">J$106+IF($C111&lt;&gt;0,SUMPRODUCT((J$107:J$108)*TRANSPOSE(($D111:$E111))),0)</f>
        <v>877420.32298057305</v>
      </c>
      <c r="K111" s="31" cm="1">
        <f t="array" ref="K111">K$106+IF($C111&lt;&gt;0,SUMPRODUCT((K$107:K$108)*TRANSPOSE(($D111:$E111))),0)</f>
        <v>500126.51515224238</v>
      </c>
      <c r="L111" s="31" cm="1">
        <f t="array" ref="L111">L$106+IF($C111&lt;&gt;0,SUMPRODUCT((L$107:L$108)*TRANSPOSE(($D111:$E111))),0)</f>
        <v>500126.51515224238</v>
      </c>
      <c r="M111" s="31" cm="1">
        <f t="array" ref="M111">M$106+IF($C111&lt;&gt;0,SUMPRODUCT((M$107:M$108)*TRANSPOSE(($D111:$E111))),0)</f>
        <v>500126.51515224238</v>
      </c>
      <c r="N111" s="31" cm="1">
        <f t="array" ref="N111">N$106+IF($C111&lt;&gt;0,SUMPRODUCT((N$107:N$108)*TRANSPOSE(($D111:$E111))),0)</f>
        <v>36345.457453545183</v>
      </c>
      <c r="O111" s="31" cm="1">
        <f t="array" ref="O111">O$106+IF($C111&lt;&gt;0,SUMPRODUCT((O$107:O$108)*TRANSPOSE(($D111:$E111))),0)</f>
        <v>36345.457453545183</v>
      </c>
      <c r="P111" s="31" cm="1">
        <f t="array" ref="P111">P$106+IF($C111&lt;&gt;0,SUMPRODUCT((P$107:P$108)*TRANSPOSE(($D111:$E111))),0)</f>
        <v>36345.457453545183</v>
      </c>
      <c r="Q111" s="31" cm="1">
        <f t="array" ref="Q111">Q$106+IF($C111&lt;&gt;0,SUMPRODUCT((Q$107:Q$108)*TRANSPOSE(($D111:$E111))),0)</f>
        <v>-249840.99499160447</v>
      </c>
      <c r="R111" s="31" cm="1">
        <f t="array" ref="R111">R$106+IF($C111&lt;&gt;0,SUMPRODUCT((R$107:R$108)*TRANSPOSE(($D111:$E111))),0)</f>
        <v>-249840.99499160447</v>
      </c>
      <c r="S111" s="31" cm="1">
        <f t="array" ref="S111">S$106+IF($C111&lt;&gt;0,SUMPRODUCT((S$107:S$108)*TRANSPOSE(($D111:$E111))),0)</f>
        <v>36345.457453545183</v>
      </c>
      <c r="T111" s="31" cm="1">
        <f t="array" ref="T111">T$106+IF($C111&lt;&gt;0,SUMPRODUCT((T$107:T$108)*TRANSPOSE(($D111:$E111))),0)</f>
        <v>36345.457453545183</v>
      </c>
      <c r="U111" s="31" cm="1">
        <f t="array" ref="U111">U$106+IF($C111&lt;&gt;0,SUMPRODUCT((U$107:U$108)*TRANSPOSE(($D111:$E111))),0)</f>
        <v>36345.457453545183</v>
      </c>
      <c r="V111" s="31" cm="1">
        <f t="array" ref="V111">V$106+IF($C111&lt;&gt;0,SUMPRODUCT((V$107:V$108)*TRANSPOSE(($D111:$E111))),0)</f>
        <v>36345.457453545183</v>
      </c>
      <c r="W111" s="31" cm="1">
        <f t="array" ref="W111">W$106+IF($C111&lt;&gt;0,SUMPRODUCT((W$107:W$108)*TRANSPOSE(($D111:$E111))),0)</f>
        <v>36345.457453545183</v>
      </c>
      <c r="X111" s="31" cm="1">
        <f t="array" ref="X111">X$106+IF($C111&lt;&gt;0,SUMPRODUCT((X$107:X$108)*TRANSPOSE(($D111:$E111))),0)</f>
        <v>-188167.2221554101</v>
      </c>
      <c r="Y111" s="31" cm="1">
        <f t="array" ref="Y111">Y$106+IF($C111&lt;&gt;0,SUMPRODUCT((Y$107:Y$108)*TRANSPOSE(($D111:$E111))),0)</f>
        <v>-165551.06180420867</v>
      </c>
      <c r="Z111" s="31" cm="1">
        <f t="array" ref="Z111">Z$106+IF($C111&lt;&gt;0,SUMPRODUCT((Z$107:Z$108)*TRANSPOSE(($D111:$E111))),0)</f>
        <v>81577.778155950131</v>
      </c>
      <c r="AA111" s="31" cm="1">
        <f t="array" ref="AA111">AA$106+IF($C111&lt;&gt;0,SUMPRODUCT((AA$107:AA$108)*TRANSPOSE(($D111:$E111))),0)</f>
        <v>81577.778155950131</v>
      </c>
      <c r="AB111" s="31" cm="1">
        <f t="array" ref="AB111">AB$106+IF($C111&lt;&gt;0,SUMPRODUCT((AB$107:AB$108)*TRANSPOSE(($D111:$E111))),0)</f>
        <v>81577.778155950131</v>
      </c>
      <c r="AC111" s="31" cm="1">
        <f t="array" ref="AC111">AC$106+IF($C111&lt;&gt;0,SUMPRODUCT((AC$107:AC$108)*TRANSPOSE(($D111:$E111))),0)</f>
        <v>15377544.620603554</v>
      </c>
      <c r="AD111" s="31" cm="1">
        <f t="array" ref="AD111">AD$106+IF($C111&lt;&gt;0,SUMPRODUCT((AD$107:AD$108)*TRANSPOSE(($D111:$E111))),0)</f>
        <v>15377544.620603554</v>
      </c>
      <c r="AE111" s="31" cm="1">
        <f t="array" ref="AE111">AE$106+IF($C111&lt;&gt;0,SUMPRODUCT((AE$107:AE$108)*TRANSPOSE(($D111:$E111))),0)</f>
        <v>15377544.620603554</v>
      </c>
      <c r="AF111" s="31" cm="1">
        <f t="array" ref="AF111">AF$106+IF($C111&lt;&gt;0,SUMPRODUCT((AF$107:AF$108)*TRANSPOSE(($D111:$E111))),0)</f>
        <v>15377544.620603554</v>
      </c>
      <c r="AG111" s="31" cm="1">
        <f t="array" ref="AG111">AG$106+IF($C111&lt;&gt;0,SUMPRODUCT((AG$107:AG$108)*TRANSPOSE(($D111:$E111))),0)</f>
        <v>15377544.620603554</v>
      </c>
    </row>
    <row r="112" spans="1:43" x14ac:dyDescent="0.2">
      <c r="A112" s="1" t="str">
        <f>"sens"&amp;Assumptions!B113</f>
        <v>sens3</v>
      </c>
      <c r="C112" s="300" t="str">
        <f>Assumptions!C113</f>
        <v>Total benefits 10% higher</v>
      </c>
      <c r="D112" s="301">
        <f>Assumptions!G113</f>
        <v>0</v>
      </c>
      <c r="E112" s="301">
        <f>Assumptions!H113</f>
        <v>0.1</v>
      </c>
      <c r="G112" s="38" t="str">
        <f t="shared" si="20"/>
        <v>Option 5sens3</v>
      </c>
      <c r="I112" s="31" cm="1">
        <f t="array" ref="I112">I$106+IF($C112&lt;&gt;0,SUMPRODUCT((I$107:I$108)*TRANSPOSE(($D112:$E112))),0)</f>
        <v>680299.53800331312</v>
      </c>
      <c r="J112" s="31" cm="1">
        <f t="array" ref="J112">J$106+IF($C112&lt;&gt;0,SUMPRODUCT((J$107:J$108)*TRANSPOSE(($D112:$E112))),0)</f>
        <v>963146.47606755653</v>
      </c>
      <c r="K112" s="31" cm="1">
        <f t="array" ref="K112">K$106+IF($C112&lt;&gt;0,SUMPRODUCT((K$107:K$108)*TRANSPOSE(($D112:$E112))),0)</f>
        <v>543931.134036078</v>
      </c>
      <c r="L112" s="31" cm="1">
        <f t="array" ref="L112">L$106+IF($C112&lt;&gt;0,SUMPRODUCT((L$107:L$108)*TRANSPOSE(($D112:$E112))),0)</f>
        <v>543931.134036078</v>
      </c>
      <c r="M112" s="31" cm="1">
        <f t="array" ref="M112">M$106+IF($C112&lt;&gt;0,SUMPRODUCT((M$107:M$108)*TRANSPOSE(($D112:$E112))),0)</f>
        <v>543931.134036078</v>
      </c>
      <c r="N112" s="31" cm="1">
        <f t="array" ref="N112">N$106+IF($C112&lt;&gt;0,SUMPRODUCT((N$107:N$108)*TRANSPOSE(($D112:$E112))),0)</f>
        <v>80150.076337380757</v>
      </c>
      <c r="O112" s="31" cm="1">
        <f t="array" ref="O112">O$106+IF($C112&lt;&gt;0,SUMPRODUCT((O$107:O$108)*TRANSPOSE(($D112:$E112))),0)</f>
        <v>80150.076337380757</v>
      </c>
      <c r="P112" s="31" cm="1">
        <f t="array" ref="P112">P$106+IF($C112&lt;&gt;0,SUMPRODUCT((P$107:P$108)*TRANSPOSE(($D112:$E112))),0)</f>
        <v>80150.076337380757</v>
      </c>
      <c r="Q112" s="31" cm="1">
        <f t="array" ref="Q112">Q$106+IF($C112&lt;&gt;0,SUMPRODUCT((Q$107:Q$108)*TRANSPOSE(($D112:$E112))),0)</f>
        <v>-206036.37610776891</v>
      </c>
      <c r="R112" s="31" cm="1">
        <f t="array" ref="R112">R$106+IF($C112&lt;&gt;0,SUMPRODUCT((R$107:R$108)*TRANSPOSE(($D112:$E112))),0)</f>
        <v>-206036.37610776891</v>
      </c>
      <c r="S112" s="31" cm="1">
        <f t="array" ref="S112">S$106+IF($C112&lt;&gt;0,SUMPRODUCT((S$107:S$108)*TRANSPOSE(($D112:$E112))),0)</f>
        <v>80150.076337380757</v>
      </c>
      <c r="T112" s="31" cm="1">
        <f t="array" ref="T112">T$106+IF($C112&lt;&gt;0,SUMPRODUCT((T$107:T$108)*TRANSPOSE(($D112:$E112))),0)</f>
        <v>80150.076337380757</v>
      </c>
      <c r="U112" s="31" cm="1">
        <f t="array" ref="U112">U$106+IF($C112&lt;&gt;0,SUMPRODUCT((U$107:U$108)*TRANSPOSE(($D112:$E112))),0)</f>
        <v>80150.076337380757</v>
      </c>
      <c r="V112" s="31" cm="1">
        <f t="array" ref="V112">V$106+IF($C112&lt;&gt;0,SUMPRODUCT((V$107:V$108)*TRANSPOSE(($D112:$E112))),0)</f>
        <v>80150.076337380757</v>
      </c>
      <c r="W112" s="31" cm="1">
        <f t="array" ref="W112">W$106+IF($C112&lt;&gt;0,SUMPRODUCT((W$107:W$108)*TRANSPOSE(($D112:$E112))),0)</f>
        <v>80150.076337380757</v>
      </c>
      <c r="X112" s="31" cm="1">
        <f t="array" ref="X112">X$106+IF($C112&lt;&gt;0,SUMPRODUCT((X$107:X$108)*TRANSPOSE(($D112:$E112))),0)</f>
        <v>-191091.06122202537</v>
      </c>
      <c r="Y112" s="31" cm="1">
        <f t="array" ref="Y112">Y$106+IF($C112&lt;&gt;0,SUMPRODUCT((Y$107:Y$108)*TRANSPOSE(($D112:$E112))),0)</f>
        <v>-187744.5988257018</v>
      </c>
      <c r="Z112" s="31" cm="1">
        <f t="array" ref="Z112">Z$106+IF($C112&lt;&gt;0,SUMPRODUCT((Z$107:Z$108)*TRANSPOSE(($D112:$E112))),0)</f>
        <v>86843.001130030214</v>
      </c>
      <c r="AA112" s="31" cm="1">
        <f t="array" ref="AA112">AA$106+IF($C112&lt;&gt;0,SUMPRODUCT((AA$107:AA$108)*TRANSPOSE(($D112:$E112))),0)</f>
        <v>86843.001130030214</v>
      </c>
      <c r="AB112" s="31" cm="1">
        <f t="array" ref="AB112">AB$106+IF($C112&lt;&gt;0,SUMPRODUCT((AB$107:AB$108)*TRANSPOSE(($D112:$E112))),0)</f>
        <v>86843.001130030214</v>
      </c>
      <c r="AC112" s="31" cm="1">
        <f t="array" ref="AC112">AC$106+IF($C112&lt;&gt;0,SUMPRODUCT((AC$107:AC$108)*TRANSPOSE(($D112:$E112))),0)</f>
        <v>16912406.527822394</v>
      </c>
      <c r="AD112" s="31" cm="1">
        <f t="array" ref="AD112">AD$106+IF($C112&lt;&gt;0,SUMPRODUCT((AD$107:AD$108)*TRANSPOSE(($D112:$E112))),0)</f>
        <v>16912406.527822394</v>
      </c>
      <c r="AE112" s="31" cm="1">
        <f t="array" ref="AE112">AE$106+IF($C112&lt;&gt;0,SUMPRODUCT((AE$107:AE$108)*TRANSPOSE(($D112:$E112))),0)</f>
        <v>16912406.527822394</v>
      </c>
      <c r="AF112" s="31" cm="1">
        <f t="array" ref="AF112">AF$106+IF($C112&lt;&gt;0,SUMPRODUCT((AF$107:AF$108)*TRANSPOSE(($D112:$E112))),0)</f>
        <v>16912406.527822394</v>
      </c>
      <c r="AG112" s="31" cm="1">
        <f t="array" ref="AG112">AG$106+IF($C112&lt;&gt;0,SUMPRODUCT((AG$107:AG$108)*TRANSPOSE(($D112:$E112))),0)</f>
        <v>16912406.527822394</v>
      </c>
    </row>
    <row r="113" spans="1:33" x14ac:dyDescent="0.2">
      <c r="A113" s="1" t="str">
        <f>"sens"&amp;Assumptions!B114</f>
        <v>sens4</v>
      </c>
      <c r="C113" s="300" t="str">
        <f>Assumptions!C114</f>
        <v>Total benefits 10% lower</v>
      </c>
      <c r="D113" s="301">
        <f>Assumptions!G114</f>
        <v>0</v>
      </c>
      <c r="E113" s="301">
        <f>Assumptions!H114</f>
        <v>-0.1</v>
      </c>
      <c r="G113" s="38" t="str">
        <f t="shared" si="20"/>
        <v>Option 5sens4</v>
      </c>
      <c r="I113" s="31" cm="1">
        <f t="array" ref="I113">I$106+IF($C113&lt;&gt;0,SUMPRODUCT((I$107:I$108)*TRANSPOSE(($D113:$E113))),0)</f>
        <v>552651.85071318178</v>
      </c>
      <c r="J113" s="31" cm="1">
        <f t="array" ref="J113">J$106+IF($C113&lt;&gt;0,SUMPRODUCT((J$107:J$108)*TRANSPOSE(($D113:$E113))),0)</f>
        <v>707851.10148729384</v>
      </c>
      <c r="K113" s="31" cm="1">
        <f t="array" ref="K113">K$106+IF($C113&lt;&gt;0,SUMPRODUCT((K$107:K$108)*TRANSPOSE(($D113:$E113))),0)</f>
        <v>288635.75945581537</v>
      </c>
      <c r="L113" s="31" cm="1">
        <f t="array" ref="L113">L$106+IF($C113&lt;&gt;0,SUMPRODUCT((L$107:L$108)*TRANSPOSE(($D113:$E113))),0)</f>
        <v>288635.75945581537</v>
      </c>
      <c r="M113" s="31" cm="1">
        <f t="array" ref="M113">M$106+IF($C113&lt;&gt;0,SUMPRODUCT((M$107:M$108)*TRANSPOSE(($D113:$E113))),0)</f>
        <v>288635.75945581537</v>
      </c>
      <c r="N113" s="31" cm="1">
        <f t="array" ref="N113">N$106+IF($C113&lt;&gt;0,SUMPRODUCT((N$107:N$108)*TRANSPOSE(($D113:$E113))),0)</f>
        <v>-175145.29824288184</v>
      </c>
      <c r="O113" s="31" cm="1">
        <f t="array" ref="O113">O$106+IF($C113&lt;&gt;0,SUMPRODUCT((O$107:O$108)*TRANSPOSE(($D113:$E113))),0)</f>
        <v>-175145.29824288184</v>
      </c>
      <c r="P113" s="31" cm="1">
        <f t="array" ref="P113">P$106+IF($C113&lt;&gt;0,SUMPRODUCT((P$107:P$108)*TRANSPOSE(($D113:$E113))),0)</f>
        <v>-175145.29824288184</v>
      </c>
      <c r="Q113" s="31" cm="1">
        <f t="array" ref="Q113">Q$106+IF($C113&lt;&gt;0,SUMPRODUCT((Q$107:Q$108)*TRANSPOSE(($D113:$E113))),0)</f>
        <v>-461331.75068803149</v>
      </c>
      <c r="R113" s="31" cm="1">
        <f t="array" ref="R113">R$106+IF($C113&lt;&gt;0,SUMPRODUCT((R$107:R$108)*TRANSPOSE(($D113:$E113))),0)</f>
        <v>-461331.75068803149</v>
      </c>
      <c r="S113" s="31" cm="1">
        <f t="array" ref="S113">S$106+IF($C113&lt;&gt;0,SUMPRODUCT((S$107:S$108)*TRANSPOSE(($D113:$E113))),0)</f>
        <v>-175145.29824288184</v>
      </c>
      <c r="T113" s="31" cm="1">
        <f t="array" ref="T113">T$106+IF($C113&lt;&gt;0,SUMPRODUCT((T$107:T$108)*TRANSPOSE(($D113:$E113))),0)</f>
        <v>-175145.29824288184</v>
      </c>
      <c r="U113" s="31" cm="1">
        <f t="array" ref="U113">U$106+IF($C113&lt;&gt;0,SUMPRODUCT((U$107:U$108)*TRANSPOSE(($D113:$E113))),0)</f>
        <v>-175145.29824288184</v>
      </c>
      <c r="V113" s="31" cm="1">
        <f t="array" ref="V113">V$106+IF($C113&lt;&gt;0,SUMPRODUCT((V$107:V$108)*TRANSPOSE(($D113:$E113))),0)</f>
        <v>-175145.29824288184</v>
      </c>
      <c r="W113" s="31" cm="1">
        <f t="array" ref="W113">W$106+IF($C113&lt;&gt;0,SUMPRODUCT((W$107:W$108)*TRANSPOSE(($D113:$E113))),0)</f>
        <v>-175145.29824288184</v>
      </c>
      <c r="X113" s="31" cm="1">
        <f t="array" ref="X113">X$106+IF($C113&lt;&gt;0,SUMPRODUCT((X$107:X$108)*TRANSPOSE(($D113:$E113))),0)</f>
        <v>-352929.51990138629</v>
      </c>
      <c r="Y113" s="31" cm="1">
        <f t="array" ref="Y113">Y$106+IF($C113&lt;&gt;0,SUMPRODUCT((Y$107:Y$108)*TRANSPOSE(($D113:$E113))),0)</f>
        <v>-256126.1416041606</v>
      </c>
      <c r="Z113" s="31" cm="1">
        <f t="array" ref="Z113">Z$106+IF($C113&lt;&gt;0,SUMPRODUCT((Z$107:Z$108)*TRANSPOSE(($D113:$E113))),0)</f>
        <v>18461.458351571389</v>
      </c>
      <c r="AA113" s="31" cm="1">
        <f t="array" ref="AA113">AA$106+IF($C113&lt;&gt;0,SUMPRODUCT((AA$107:AA$108)*TRANSPOSE(($D113:$E113))),0)</f>
        <v>18461.458351571389</v>
      </c>
      <c r="AB113" s="31" cm="1">
        <f t="array" ref="AB113">AB$106+IF($C113&lt;&gt;0,SUMPRODUCT((AB$107:AB$108)*TRANSPOSE(($D113:$E113))),0)</f>
        <v>18461.458351571389</v>
      </c>
      <c r="AC113" s="31" cm="1">
        <f t="array" ref="AC113">AC$106+IF($C113&lt;&gt;0,SUMPRODUCT((AC$107:AC$108)*TRANSPOSE(($D113:$E113))),0)</f>
        <v>13784831.616554415</v>
      </c>
      <c r="AD113" s="31" cm="1">
        <f t="array" ref="AD113">AD$106+IF($C113&lt;&gt;0,SUMPRODUCT((AD$107:AD$108)*TRANSPOSE(($D113:$E113))),0)</f>
        <v>13784831.616554415</v>
      </c>
      <c r="AE113" s="31" cm="1">
        <f t="array" ref="AE113">AE$106+IF($C113&lt;&gt;0,SUMPRODUCT((AE$107:AE$108)*TRANSPOSE(($D113:$E113))),0)</f>
        <v>13784831.616554415</v>
      </c>
      <c r="AF113" s="31" cm="1">
        <f t="array" ref="AF113">AF$106+IF($C113&lt;&gt;0,SUMPRODUCT((AF$107:AF$108)*TRANSPOSE(($D113:$E113))),0)</f>
        <v>13784831.616554415</v>
      </c>
      <c r="AG113" s="31" cm="1">
        <f t="array" ref="AG113">AG$106+IF($C113&lt;&gt;0,SUMPRODUCT((AG$107:AG$108)*TRANSPOSE(($D113:$E113))),0)</f>
        <v>13784831.616554415</v>
      </c>
    </row>
    <row r="114" spans="1:33" x14ac:dyDescent="0.2">
      <c r="A114" s="1" t="str">
        <f>"sens"&amp;Assumptions!B115</f>
        <v>sens5</v>
      </c>
      <c r="C114" s="300" t="str">
        <f>Assumptions!C115</f>
        <v>Capex 10% higher &amp; Total benefits 10% lower</v>
      </c>
      <c r="D114" s="301">
        <f>Assumptions!G115</f>
        <v>0.1</v>
      </c>
      <c r="E114" s="301">
        <f>Assumptions!H115</f>
        <v>-0.1</v>
      </c>
      <c r="G114" s="38" t="str">
        <f t="shared" si="20"/>
        <v>Option 5sens5</v>
      </c>
      <c r="I114" s="31" cm="1">
        <f t="array" ref="I114">I$106+IF($C114&lt;&gt;0,SUMPRODUCT((I$107:I$108)*TRANSPOSE(($D114:$E114))),0)</f>
        <v>552651.85071318178</v>
      </c>
      <c r="J114" s="31" cm="1">
        <f t="array" ref="J114">J$106+IF($C114&lt;&gt;0,SUMPRODUCT((J$107:J$108)*TRANSPOSE(($D114:$E114))),0)</f>
        <v>665929.56728414609</v>
      </c>
      <c r="K114" s="31" cm="1">
        <f t="array" ref="K114">K$106+IF($C114&lt;&gt;0,SUMPRODUCT((K$107:K$108)*TRANSPOSE(($D114:$E114))),0)</f>
        <v>204792.69104951964</v>
      </c>
      <c r="L114" s="31" cm="1">
        <f t="array" ref="L114">L$106+IF($C114&lt;&gt;0,SUMPRODUCT((L$107:L$108)*TRANSPOSE(($D114:$E114))),0)</f>
        <v>204792.69104951964</v>
      </c>
      <c r="M114" s="31" cm="1">
        <f t="array" ref="M114">M$106+IF($C114&lt;&gt;0,SUMPRODUCT((M$107:M$108)*TRANSPOSE(($D114:$E114))),0)</f>
        <v>204792.69104951964</v>
      </c>
      <c r="N114" s="31" cm="1">
        <f t="array" ref="N114">N$106+IF($C114&lt;&gt;0,SUMPRODUCT((N$107:N$108)*TRANSPOSE(($D114:$E114))),0)</f>
        <v>-258988.36664917757</v>
      </c>
      <c r="O114" s="31" cm="1">
        <f t="array" ref="O114">O$106+IF($C114&lt;&gt;0,SUMPRODUCT((O$107:O$108)*TRANSPOSE(($D114:$E114))),0)</f>
        <v>-258988.36664917757</v>
      </c>
      <c r="P114" s="31" cm="1">
        <f t="array" ref="P114">P$106+IF($C114&lt;&gt;0,SUMPRODUCT((P$107:P$108)*TRANSPOSE(($D114:$E114))),0)</f>
        <v>-258988.36664917757</v>
      </c>
      <c r="Q114" s="31" cm="1">
        <f t="array" ref="Q114">Q$106+IF($C114&lt;&gt;0,SUMPRODUCT((Q$107:Q$108)*TRANSPOSE(($D114:$E114))),0)</f>
        <v>-545174.81909432728</v>
      </c>
      <c r="R114" s="31" cm="1">
        <f t="array" ref="R114">R$106+IF($C114&lt;&gt;0,SUMPRODUCT((R$107:R$108)*TRANSPOSE(($D114:$E114))),0)</f>
        <v>-545174.81909432728</v>
      </c>
      <c r="S114" s="31" cm="1">
        <f t="array" ref="S114">S$106+IF($C114&lt;&gt;0,SUMPRODUCT((S$107:S$108)*TRANSPOSE(($D114:$E114))),0)</f>
        <v>-258988.36664917757</v>
      </c>
      <c r="T114" s="31" cm="1">
        <f t="array" ref="T114">T$106+IF($C114&lt;&gt;0,SUMPRODUCT((T$107:T$108)*TRANSPOSE(($D114:$E114))),0)</f>
        <v>-258988.36664917757</v>
      </c>
      <c r="U114" s="31" cm="1">
        <f t="array" ref="U114">U$106+IF($C114&lt;&gt;0,SUMPRODUCT((U$107:U$108)*TRANSPOSE(($D114:$E114))),0)</f>
        <v>-258988.36664917757</v>
      </c>
      <c r="V114" s="31" cm="1">
        <f t="array" ref="V114">V$106+IF($C114&lt;&gt;0,SUMPRODUCT((V$107:V$108)*TRANSPOSE(($D114:$E114))),0)</f>
        <v>-258988.36664917757</v>
      </c>
      <c r="W114" s="31" cm="1">
        <f t="array" ref="W114">W$106+IF($C114&lt;&gt;0,SUMPRODUCT((W$107:W$108)*TRANSPOSE(($D114:$E114))),0)</f>
        <v>-258988.36664917757</v>
      </c>
      <c r="X114" s="31" cm="1">
        <f t="array" ref="X114">X$106+IF($C114&lt;&gt;0,SUMPRODUCT((X$107:X$108)*TRANSPOSE(($D114:$E114))),0)</f>
        <v>-436772.58830768202</v>
      </c>
      <c r="Y114" s="31" cm="1">
        <f t="array" ref="Y114">Y$106+IF($C114&lt;&gt;0,SUMPRODUCT((Y$107:Y$108)*TRANSPOSE(($D114:$E114))),0)</f>
        <v>-312510.45001488313</v>
      </c>
      <c r="Z114" s="31" cm="1">
        <f t="array" ref="Z114">Z$106+IF($C114&lt;&gt;0,SUMPRODUCT((Z$107:Z$108)*TRANSPOSE(($D114:$E114))),0)</f>
        <v>-10464.09006357794</v>
      </c>
      <c r="AA114" s="31" cm="1">
        <f t="array" ref="AA114">AA$106+IF($C114&lt;&gt;0,SUMPRODUCT((AA$107:AA$108)*TRANSPOSE(($D114:$E114))),0)</f>
        <v>-10464.09006357794</v>
      </c>
      <c r="AB114" s="31" cm="1">
        <f t="array" ref="AB114">AB$106+IF($C114&lt;&gt;0,SUMPRODUCT((AB$107:AB$108)*TRANSPOSE(($D114:$E114))),0)</f>
        <v>-10464.09006357794</v>
      </c>
      <c r="AC114" s="31" cm="1">
        <f t="array" ref="AC114">AC$106+IF($C114&lt;&gt;0,SUMPRODUCT((AC$107:AC$108)*TRANSPOSE(($D114:$E114))),0)</f>
        <v>13755906.068139266</v>
      </c>
      <c r="AD114" s="31" cm="1">
        <f t="array" ref="AD114">AD$106+IF($C114&lt;&gt;0,SUMPRODUCT((AD$107:AD$108)*TRANSPOSE(($D114:$E114))),0)</f>
        <v>13755906.068139266</v>
      </c>
      <c r="AE114" s="31" cm="1">
        <f t="array" ref="AE114">AE$106+IF($C114&lt;&gt;0,SUMPRODUCT((AE$107:AE$108)*TRANSPOSE(($D114:$E114))),0)</f>
        <v>13755906.068139266</v>
      </c>
      <c r="AF114" s="31" cm="1">
        <f t="array" ref="AF114">AF$106+IF($C114&lt;&gt;0,SUMPRODUCT((AF$107:AF$108)*TRANSPOSE(($D114:$E114))),0)</f>
        <v>13755906.068139266</v>
      </c>
      <c r="AG114" s="31" cm="1">
        <f t="array" ref="AG114">AG$106+IF($C114&lt;&gt;0,SUMPRODUCT((AG$107:AG$108)*TRANSPOSE(($D114:$E114))),0)</f>
        <v>13755906.068139266</v>
      </c>
    </row>
    <row r="115" spans="1:33" x14ac:dyDescent="0.2">
      <c r="A115" s="1" t="str">
        <f>"sens"&amp;Assumptions!B116</f>
        <v>sens</v>
      </c>
      <c r="C115" s="300">
        <f>Assumptions!C116</f>
        <v>0</v>
      </c>
      <c r="D115" s="301">
        <f>Assumptions!G116</f>
        <v>0</v>
      </c>
      <c r="E115" s="301">
        <f>Assumptions!H116</f>
        <v>0</v>
      </c>
      <c r="G115" s="38" t="str">
        <f t="shared" si="20"/>
        <v>Option 5sens</v>
      </c>
      <c r="I115" s="31" cm="1">
        <f t="array" ref="I115">I$106+IF($C115&lt;&gt;0,SUMPRODUCT((I$107:I$108)*TRANSPOSE(($D115:$E115))),0)</f>
        <v>616475.69435824745</v>
      </c>
      <c r="J115" s="31" cm="1">
        <f t="array" ref="J115">J$106+IF($C115&lt;&gt;0,SUMPRODUCT((J$107:J$108)*TRANSPOSE(($D115:$E115))),0)</f>
        <v>835498.78877742519</v>
      </c>
      <c r="K115" s="31" cm="1">
        <f t="array" ref="K115">K$106+IF($C115&lt;&gt;0,SUMPRODUCT((K$107:K$108)*TRANSPOSE(($D115:$E115))),0)</f>
        <v>416283.44674594665</v>
      </c>
      <c r="L115" s="31" cm="1">
        <f t="array" ref="L115">L$106+IF($C115&lt;&gt;0,SUMPRODUCT((L$107:L$108)*TRANSPOSE(($D115:$E115))),0)</f>
        <v>416283.44674594665</v>
      </c>
      <c r="M115" s="31" cm="1">
        <f t="array" ref="M115">M$106+IF($C115&lt;&gt;0,SUMPRODUCT((M$107:M$108)*TRANSPOSE(($D115:$E115))),0)</f>
        <v>416283.44674594665</v>
      </c>
      <c r="N115" s="31" cm="1">
        <f t="array" ref="N115">N$106+IF($C115&lt;&gt;0,SUMPRODUCT((N$107:N$108)*TRANSPOSE(($D115:$E115))),0)</f>
        <v>-47497.610952750547</v>
      </c>
      <c r="O115" s="31" cm="1">
        <f t="array" ref="O115">O$106+IF($C115&lt;&gt;0,SUMPRODUCT((O$107:O$108)*TRANSPOSE(($D115:$E115))),0)</f>
        <v>-47497.610952750547</v>
      </c>
      <c r="P115" s="31" cm="1">
        <f t="array" ref="P115">P$106+IF($C115&lt;&gt;0,SUMPRODUCT((P$107:P$108)*TRANSPOSE(($D115:$E115))),0)</f>
        <v>-47497.610952750547</v>
      </c>
      <c r="Q115" s="31" cm="1">
        <f t="array" ref="Q115">Q$106+IF($C115&lt;&gt;0,SUMPRODUCT((Q$107:Q$108)*TRANSPOSE(($D115:$E115))),0)</f>
        <v>-333684.0633979002</v>
      </c>
      <c r="R115" s="31" cm="1">
        <f t="array" ref="R115">R$106+IF($C115&lt;&gt;0,SUMPRODUCT((R$107:R$108)*TRANSPOSE(($D115:$E115))),0)</f>
        <v>-333684.0633979002</v>
      </c>
      <c r="S115" s="31" cm="1">
        <f t="array" ref="S115">S$106+IF($C115&lt;&gt;0,SUMPRODUCT((S$107:S$108)*TRANSPOSE(($D115:$E115))),0)</f>
        <v>-47497.610952750547</v>
      </c>
      <c r="T115" s="31" cm="1">
        <f t="array" ref="T115">T$106+IF($C115&lt;&gt;0,SUMPRODUCT((T$107:T$108)*TRANSPOSE(($D115:$E115))),0)</f>
        <v>-47497.610952750547</v>
      </c>
      <c r="U115" s="31" cm="1">
        <f t="array" ref="U115">U$106+IF($C115&lt;&gt;0,SUMPRODUCT((U$107:U$108)*TRANSPOSE(($D115:$E115))),0)</f>
        <v>-47497.610952750547</v>
      </c>
      <c r="V115" s="31" cm="1">
        <f t="array" ref="V115">V$106+IF($C115&lt;&gt;0,SUMPRODUCT((V$107:V$108)*TRANSPOSE(($D115:$E115))),0)</f>
        <v>-47497.610952750547</v>
      </c>
      <c r="W115" s="31" cm="1">
        <f t="array" ref="W115">W$106+IF($C115&lt;&gt;0,SUMPRODUCT((W$107:W$108)*TRANSPOSE(($D115:$E115))),0)</f>
        <v>-47497.610952750547</v>
      </c>
      <c r="X115" s="31" cm="1">
        <f t="array" ref="X115">X$106+IF($C115&lt;&gt;0,SUMPRODUCT((X$107:X$108)*TRANSPOSE(($D115:$E115))),0)</f>
        <v>-272010.29056170583</v>
      </c>
      <c r="Y115" s="31" cm="1">
        <f t="array" ref="Y115">Y$106+IF($C115&lt;&gt;0,SUMPRODUCT((Y$107:Y$108)*TRANSPOSE(($D115:$E115))),0)</f>
        <v>-221935.3702149312</v>
      </c>
      <c r="Z115" s="31" cm="1">
        <f t="array" ref="Z115">Z$106+IF($C115&lt;&gt;0,SUMPRODUCT((Z$107:Z$108)*TRANSPOSE(($D115:$E115))),0)</f>
        <v>52652.229740800802</v>
      </c>
      <c r="AA115" s="31" cm="1">
        <f t="array" ref="AA115">AA$106+IF($C115&lt;&gt;0,SUMPRODUCT((AA$107:AA$108)*TRANSPOSE(($D115:$E115))),0)</f>
        <v>52652.229740800802</v>
      </c>
      <c r="AB115" s="31" cm="1">
        <f t="array" ref="AB115">AB$106+IF($C115&lt;&gt;0,SUMPRODUCT((AB$107:AB$108)*TRANSPOSE(($D115:$E115))),0)</f>
        <v>52652.229740800802</v>
      </c>
      <c r="AC115" s="31" cm="1">
        <f t="array" ref="AC115">AC$106+IF($C115&lt;&gt;0,SUMPRODUCT((AC$107:AC$108)*TRANSPOSE(($D115:$E115))),0)</f>
        <v>15348619.072188405</v>
      </c>
      <c r="AD115" s="31" cm="1">
        <f t="array" ref="AD115">AD$106+IF($C115&lt;&gt;0,SUMPRODUCT((AD$107:AD$108)*TRANSPOSE(($D115:$E115))),0)</f>
        <v>15348619.072188405</v>
      </c>
      <c r="AE115" s="31" cm="1">
        <f t="array" ref="AE115">AE$106+IF($C115&lt;&gt;0,SUMPRODUCT((AE$107:AE$108)*TRANSPOSE(($D115:$E115))),0)</f>
        <v>15348619.072188405</v>
      </c>
      <c r="AF115" s="31" cm="1">
        <f t="array" ref="AF115">AF$106+IF($C115&lt;&gt;0,SUMPRODUCT((AF$107:AF$108)*TRANSPOSE(($D115:$E115))),0)</f>
        <v>15348619.072188405</v>
      </c>
      <c r="AG115" s="31" cm="1">
        <f t="array" ref="AG115">AG$106+IF($C115&lt;&gt;0,SUMPRODUCT((AG$107:AG$108)*TRANSPOSE(($D115:$E115))),0)</f>
        <v>15348619.072188405</v>
      </c>
    </row>
    <row r="116" spans="1:33" x14ac:dyDescent="0.2">
      <c r="A116" s="1" t="str">
        <f>"sens"&amp;Assumptions!B117</f>
        <v>sens</v>
      </c>
      <c r="C116" s="300">
        <f>Assumptions!C117</f>
        <v>0</v>
      </c>
      <c r="D116" s="301">
        <f>Assumptions!G117</f>
        <v>0</v>
      </c>
      <c r="E116" s="301">
        <f>Assumptions!H117</f>
        <v>0</v>
      </c>
      <c r="G116" s="38" t="str">
        <f t="shared" si="20"/>
        <v>Option 5sens</v>
      </c>
      <c r="I116" s="31" cm="1">
        <f t="array" ref="I116">I$106+IF($C116&lt;&gt;0,SUMPRODUCT((I$107:I$108)*TRANSPOSE(($D116:$E116))),0)</f>
        <v>616475.69435824745</v>
      </c>
      <c r="J116" s="31" cm="1">
        <f t="array" ref="J116">J$106+IF($C116&lt;&gt;0,SUMPRODUCT((J$107:J$108)*TRANSPOSE(($D116:$E116))),0)</f>
        <v>835498.78877742519</v>
      </c>
      <c r="K116" s="31" cm="1">
        <f t="array" ref="K116">K$106+IF($C116&lt;&gt;0,SUMPRODUCT((K$107:K$108)*TRANSPOSE(($D116:$E116))),0)</f>
        <v>416283.44674594665</v>
      </c>
      <c r="L116" s="31" cm="1">
        <f t="array" ref="L116">L$106+IF($C116&lt;&gt;0,SUMPRODUCT((L$107:L$108)*TRANSPOSE(($D116:$E116))),0)</f>
        <v>416283.44674594665</v>
      </c>
      <c r="M116" s="31" cm="1">
        <f t="array" ref="M116">M$106+IF($C116&lt;&gt;0,SUMPRODUCT((M$107:M$108)*TRANSPOSE(($D116:$E116))),0)</f>
        <v>416283.44674594665</v>
      </c>
      <c r="N116" s="31" cm="1">
        <f t="array" ref="N116">N$106+IF($C116&lt;&gt;0,SUMPRODUCT((N$107:N$108)*TRANSPOSE(($D116:$E116))),0)</f>
        <v>-47497.610952750547</v>
      </c>
      <c r="O116" s="31" cm="1">
        <f t="array" ref="O116">O$106+IF($C116&lt;&gt;0,SUMPRODUCT((O$107:O$108)*TRANSPOSE(($D116:$E116))),0)</f>
        <v>-47497.610952750547</v>
      </c>
      <c r="P116" s="31" cm="1">
        <f t="array" ref="P116">P$106+IF($C116&lt;&gt;0,SUMPRODUCT((P$107:P$108)*TRANSPOSE(($D116:$E116))),0)</f>
        <v>-47497.610952750547</v>
      </c>
      <c r="Q116" s="31" cm="1">
        <f t="array" ref="Q116">Q$106+IF($C116&lt;&gt;0,SUMPRODUCT((Q$107:Q$108)*TRANSPOSE(($D116:$E116))),0)</f>
        <v>-333684.0633979002</v>
      </c>
      <c r="R116" s="31" cm="1">
        <f t="array" ref="R116">R$106+IF($C116&lt;&gt;0,SUMPRODUCT((R$107:R$108)*TRANSPOSE(($D116:$E116))),0)</f>
        <v>-333684.0633979002</v>
      </c>
      <c r="S116" s="31" cm="1">
        <f t="array" ref="S116">S$106+IF($C116&lt;&gt;0,SUMPRODUCT((S$107:S$108)*TRANSPOSE(($D116:$E116))),0)</f>
        <v>-47497.610952750547</v>
      </c>
      <c r="T116" s="31" cm="1">
        <f t="array" ref="T116">T$106+IF($C116&lt;&gt;0,SUMPRODUCT((T$107:T$108)*TRANSPOSE(($D116:$E116))),0)</f>
        <v>-47497.610952750547</v>
      </c>
      <c r="U116" s="31" cm="1">
        <f t="array" ref="U116">U$106+IF($C116&lt;&gt;0,SUMPRODUCT((U$107:U$108)*TRANSPOSE(($D116:$E116))),0)</f>
        <v>-47497.610952750547</v>
      </c>
      <c r="V116" s="31" cm="1">
        <f t="array" ref="V116">V$106+IF($C116&lt;&gt;0,SUMPRODUCT((V$107:V$108)*TRANSPOSE(($D116:$E116))),0)</f>
        <v>-47497.610952750547</v>
      </c>
      <c r="W116" s="31" cm="1">
        <f t="array" ref="W116">W$106+IF($C116&lt;&gt;0,SUMPRODUCT((W$107:W$108)*TRANSPOSE(($D116:$E116))),0)</f>
        <v>-47497.610952750547</v>
      </c>
      <c r="X116" s="31" cm="1">
        <f t="array" ref="X116">X$106+IF($C116&lt;&gt;0,SUMPRODUCT((X$107:X$108)*TRANSPOSE(($D116:$E116))),0)</f>
        <v>-272010.29056170583</v>
      </c>
      <c r="Y116" s="31" cm="1">
        <f t="array" ref="Y116">Y$106+IF($C116&lt;&gt;0,SUMPRODUCT((Y$107:Y$108)*TRANSPOSE(($D116:$E116))),0)</f>
        <v>-221935.3702149312</v>
      </c>
      <c r="Z116" s="31" cm="1">
        <f t="array" ref="Z116">Z$106+IF($C116&lt;&gt;0,SUMPRODUCT((Z$107:Z$108)*TRANSPOSE(($D116:$E116))),0)</f>
        <v>52652.229740800802</v>
      </c>
      <c r="AA116" s="31" cm="1">
        <f t="array" ref="AA116">AA$106+IF($C116&lt;&gt;0,SUMPRODUCT((AA$107:AA$108)*TRANSPOSE(($D116:$E116))),0)</f>
        <v>52652.229740800802</v>
      </c>
      <c r="AB116" s="31" cm="1">
        <f t="array" ref="AB116">AB$106+IF($C116&lt;&gt;0,SUMPRODUCT((AB$107:AB$108)*TRANSPOSE(($D116:$E116))),0)</f>
        <v>52652.229740800802</v>
      </c>
      <c r="AC116" s="31" cm="1">
        <f t="array" ref="AC116">AC$106+IF($C116&lt;&gt;0,SUMPRODUCT((AC$107:AC$108)*TRANSPOSE(($D116:$E116))),0)</f>
        <v>15348619.072188405</v>
      </c>
      <c r="AD116" s="31" cm="1">
        <f t="array" ref="AD116">AD$106+IF($C116&lt;&gt;0,SUMPRODUCT((AD$107:AD$108)*TRANSPOSE(($D116:$E116))),0)</f>
        <v>15348619.072188405</v>
      </c>
      <c r="AE116" s="31" cm="1">
        <f t="array" ref="AE116">AE$106+IF($C116&lt;&gt;0,SUMPRODUCT((AE$107:AE$108)*TRANSPOSE(($D116:$E116))),0)</f>
        <v>15348619.072188405</v>
      </c>
      <c r="AF116" s="31" cm="1">
        <f t="array" ref="AF116">AF$106+IF($C116&lt;&gt;0,SUMPRODUCT((AF$107:AF$108)*TRANSPOSE(($D116:$E116))),0)</f>
        <v>15348619.072188405</v>
      </c>
      <c r="AG116" s="31" cm="1">
        <f t="array" ref="AG116">AG$106+IF($C116&lt;&gt;0,SUMPRODUCT((AG$107:AG$108)*TRANSPOSE(($D116:$E116))),0)</f>
        <v>15348619.072188405</v>
      </c>
    </row>
    <row r="117" spans="1:33" x14ac:dyDescent="0.2">
      <c r="A117" s="1" t="str">
        <f>"sens"&amp;Assumptions!B118</f>
        <v>sens</v>
      </c>
      <c r="C117" s="300">
        <f>Assumptions!C118</f>
        <v>0</v>
      </c>
      <c r="D117" s="301">
        <f>Assumptions!G118</f>
        <v>0</v>
      </c>
      <c r="E117" s="301">
        <f>Assumptions!H118</f>
        <v>0</v>
      </c>
      <c r="G117" s="38" t="str">
        <f t="shared" si="20"/>
        <v>Option 5sens</v>
      </c>
      <c r="I117" s="31" cm="1">
        <f t="array" ref="I117">I$106+IF($C117&lt;&gt;0,SUMPRODUCT((I$107:I$108)*TRANSPOSE(($D117:$E117))),0)</f>
        <v>616475.69435824745</v>
      </c>
      <c r="J117" s="31" cm="1">
        <f t="array" ref="J117">J$106+IF($C117&lt;&gt;0,SUMPRODUCT((J$107:J$108)*TRANSPOSE(($D117:$E117))),0)</f>
        <v>835498.78877742519</v>
      </c>
      <c r="K117" s="31" cm="1">
        <f t="array" ref="K117">K$106+IF($C117&lt;&gt;0,SUMPRODUCT((K$107:K$108)*TRANSPOSE(($D117:$E117))),0)</f>
        <v>416283.44674594665</v>
      </c>
      <c r="L117" s="31" cm="1">
        <f t="array" ref="L117">L$106+IF($C117&lt;&gt;0,SUMPRODUCT((L$107:L$108)*TRANSPOSE(($D117:$E117))),0)</f>
        <v>416283.44674594665</v>
      </c>
      <c r="M117" s="31" cm="1">
        <f t="array" ref="M117">M$106+IF($C117&lt;&gt;0,SUMPRODUCT((M$107:M$108)*TRANSPOSE(($D117:$E117))),0)</f>
        <v>416283.44674594665</v>
      </c>
      <c r="N117" s="31" cm="1">
        <f t="array" ref="N117">N$106+IF($C117&lt;&gt;0,SUMPRODUCT((N$107:N$108)*TRANSPOSE(($D117:$E117))),0)</f>
        <v>-47497.610952750547</v>
      </c>
      <c r="O117" s="31" cm="1">
        <f t="array" ref="O117">O$106+IF($C117&lt;&gt;0,SUMPRODUCT((O$107:O$108)*TRANSPOSE(($D117:$E117))),0)</f>
        <v>-47497.610952750547</v>
      </c>
      <c r="P117" s="31" cm="1">
        <f t="array" ref="P117">P$106+IF($C117&lt;&gt;0,SUMPRODUCT((P$107:P$108)*TRANSPOSE(($D117:$E117))),0)</f>
        <v>-47497.610952750547</v>
      </c>
      <c r="Q117" s="31" cm="1">
        <f t="array" ref="Q117">Q$106+IF($C117&lt;&gt;0,SUMPRODUCT((Q$107:Q$108)*TRANSPOSE(($D117:$E117))),0)</f>
        <v>-333684.0633979002</v>
      </c>
      <c r="R117" s="31" cm="1">
        <f t="array" ref="R117">R$106+IF($C117&lt;&gt;0,SUMPRODUCT((R$107:R$108)*TRANSPOSE(($D117:$E117))),0)</f>
        <v>-333684.0633979002</v>
      </c>
      <c r="S117" s="31" cm="1">
        <f t="array" ref="S117">S$106+IF($C117&lt;&gt;0,SUMPRODUCT((S$107:S$108)*TRANSPOSE(($D117:$E117))),0)</f>
        <v>-47497.610952750547</v>
      </c>
      <c r="T117" s="31" cm="1">
        <f t="array" ref="T117">T$106+IF($C117&lt;&gt;0,SUMPRODUCT((T$107:T$108)*TRANSPOSE(($D117:$E117))),0)</f>
        <v>-47497.610952750547</v>
      </c>
      <c r="U117" s="31" cm="1">
        <f t="array" ref="U117">U$106+IF($C117&lt;&gt;0,SUMPRODUCT((U$107:U$108)*TRANSPOSE(($D117:$E117))),0)</f>
        <v>-47497.610952750547</v>
      </c>
      <c r="V117" s="31" cm="1">
        <f t="array" ref="V117">V$106+IF($C117&lt;&gt;0,SUMPRODUCT((V$107:V$108)*TRANSPOSE(($D117:$E117))),0)</f>
        <v>-47497.610952750547</v>
      </c>
      <c r="W117" s="31" cm="1">
        <f t="array" ref="W117">W$106+IF($C117&lt;&gt;0,SUMPRODUCT((W$107:W$108)*TRANSPOSE(($D117:$E117))),0)</f>
        <v>-47497.610952750547</v>
      </c>
      <c r="X117" s="31" cm="1">
        <f t="array" ref="X117">X$106+IF($C117&lt;&gt;0,SUMPRODUCT((X$107:X$108)*TRANSPOSE(($D117:$E117))),0)</f>
        <v>-272010.29056170583</v>
      </c>
      <c r="Y117" s="31" cm="1">
        <f t="array" ref="Y117">Y$106+IF($C117&lt;&gt;0,SUMPRODUCT((Y$107:Y$108)*TRANSPOSE(($D117:$E117))),0)</f>
        <v>-221935.3702149312</v>
      </c>
      <c r="Z117" s="31" cm="1">
        <f t="array" ref="Z117">Z$106+IF($C117&lt;&gt;0,SUMPRODUCT((Z$107:Z$108)*TRANSPOSE(($D117:$E117))),0)</f>
        <v>52652.229740800802</v>
      </c>
      <c r="AA117" s="31" cm="1">
        <f t="array" ref="AA117">AA$106+IF($C117&lt;&gt;0,SUMPRODUCT((AA$107:AA$108)*TRANSPOSE(($D117:$E117))),0)</f>
        <v>52652.229740800802</v>
      </c>
      <c r="AB117" s="31" cm="1">
        <f t="array" ref="AB117">AB$106+IF($C117&lt;&gt;0,SUMPRODUCT((AB$107:AB$108)*TRANSPOSE(($D117:$E117))),0)</f>
        <v>52652.229740800802</v>
      </c>
      <c r="AC117" s="31" cm="1">
        <f t="array" ref="AC117">AC$106+IF($C117&lt;&gt;0,SUMPRODUCT((AC$107:AC$108)*TRANSPOSE(($D117:$E117))),0)</f>
        <v>15348619.072188405</v>
      </c>
      <c r="AD117" s="31" cm="1">
        <f t="array" ref="AD117">AD$106+IF($C117&lt;&gt;0,SUMPRODUCT((AD$107:AD$108)*TRANSPOSE(($D117:$E117))),0)</f>
        <v>15348619.072188405</v>
      </c>
      <c r="AE117" s="31" cm="1">
        <f t="array" ref="AE117">AE$106+IF($C117&lt;&gt;0,SUMPRODUCT((AE$107:AE$108)*TRANSPOSE(($D117:$E117))),0)</f>
        <v>15348619.072188405</v>
      </c>
      <c r="AF117" s="31" cm="1">
        <f t="array" ref="AF117">AF$106+IF($C117&lt;&gt;0,SUMPRODUCT((AF$107:AF$108)*TRANSPOSE(($D117:$E117))),0)</f>
        <v>15348619.072188405</v>
      </c>
      <c r="AG117" s="31" cm="1">
        <f t="array" ref="AG117">AG$106+IF($C117&lt;&gt;0,SUMPRODUCT((AG$107:AG$108)*TRANSPOSE(($D117:$E117))),0)</f>
        <v>15348619.072188405</v>
      </c>
    </row>
  </sheetData>
  <conditionalFormatting sqref="E14:E16">
    <cfRule type="expression" dxfId="1" priority="38">
      <formula>AND(SUM($I14:$AB14)&lt;&gt;0, E14=0)</formula>
    </cfRule>
  </conditionalFormatting>
  <conditionalFormatting sqref="E28">
    <cfRule type="expression" dxfId="0" priority="1">
      <formula>AND(SUM($I$27:$AG$27)&gt;0, $E$28=0)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04" id="{E7BF7EA6-A453-4A58-B216-30C5D81DCA5D}">
            <xm:f>$A$4=Data!$C$8</xm:f>
            <x14:dxf>
              <font>
                <color theme="0" tint="-0.499984740745262"/>
              </font>
            </x14:dxf>
          </x14:cfRule>
          <xm:sqref>C3 A4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E214B-6F38-4BC3-ACB0-5DADD7973A52}">
  <sheetPr codeName="Sheet13">
    <tabColor rgb="FF002060"/>
    <pageSetUpPr fitToPage="1"/>
  </sheetPr>
  <dimension ref="A1:AJ810"/>
  <sheetViews>
    <sheetView showGridLines="0" zoomScale="80" zoomScaleNormal="80" workbookViewId="0">
      <pane xSplit="7" ySplit="10" topLeftCell="H11" activePane="bottomRight" state="frozen"/>
      <selection activeCell="D33" sqref="D33"/>
      <selection pane="topRight" activeCell="D33" sqref="D33"/>
      <selection pane="bottomLeft" activeCell="D33" sqref="D33"/>
      <selection pane="bottomRight" activeCell="H11" sqref="H11"/>
    </sheetView>
  </sheetViews>
  <sheetFormatPr defaultColWidth="0" defaultRowHeight="12.75" zeroHeight="1" outlineLevelRow="1" x14ac:dyDescent="0.2"/>
  <cols>
    <col min="1" max="1" width="8.125" style="10" customWidth="1"/>
    <col min="2" max="2" width="5.5" style="10" customWidth="1"/>
    <col min="3" max="3" width="16.875" style="10" bestFit="1" customWidth="1"/>
    <col min="4" max="4" width="12.375" style="10" customWidth="1"/>
    <col min="5" max="5" width="14.25" customWidth="1"/>
    <col min="6" max="6" width="12.375" style="10" customWidth="1"/>
    <col min="7" max="7" width="11.625" style="10" customWidth="1"/>
    <col min="8" max="8" width="8.625" style="10" customWidth="1"/>
    <col min="9" max="33" width="11" style="10" customWidth="1"/>
    <col min="34" max="35" width="9" style="10" customWidth="1"/>
    <col min="36" max="36" width="0" style="10" hidden="1" customWidth="1"/>
    <col min="37" max="16384" width="9" style="10" hidden="1"/>
  </cols>
  <sheetData>
    <row r="1" spans="1:34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4" s="8" customFormat="1" ht="18.75" x14ac:dyDescent="0.3">
      <c r="A2" s="56" t="str">
        <f>proj</f>
        <v>Minimise bushfire risk from SWER in ELCA, REFCL and HBRA areas</v>
      </c>
      <c r="B2" s="56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spans="1:34" s="2" customFormat="1" ht="18.75" x14ac:dyDescent="0.3">
      <c r="A3" s="203" t="s">
        <v>90</v>
      </c>
      <c r="B3" s="5"/>
      <c r="C3" s="34"/>
      <c r="D3" s="34"/>
      <c r="E3" s="3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</row>
    <row r="4" spans="1:34" s="2" customFormat="1" ht="10.5" customHeight="1" x14ac:dyDescent="0.2">
      <c r="A4" s="115"/>
      <c r="B4" s="115"/>
      <c r="C4" s="116"/>
      <c r="D4" s="116"/>
      <c r="E4" s="116"/>
      <c r="F4" s="116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</row>
    <row r="5" spans="1:34" s="2" customFormat="1" hidden="1" outlineLevel="1" x14ac:dyDescent="0.2">
      <c r="A5" s="116" t="s">
        <v>192</v>
      </c>
      <c r="B5" s="116"/>
      <c r="C5" s="117"/>
      <c r="D5" s="116"/>
      <c r="E5" s="116"/>
      <c r="F5" s="116"/>
      <c r="G5" s="101"/>
      <c r="H5" s="188">
        <f t="shared" ref="H5:AG5" si="0">IF(H9=start,1/((1+real_disc)^(1/2)),G5/(1+real_disc))</f>
        <v>0</v>
      </c>
      <c r="I5" s="188">
        <f t="shared" si="0"/>
        <v>0.98294637436598087</v>
      </c>
      <c r="J5" s="188">
        <f t="shared" si="0"/>
        <v>0.94970664189949849</v>
      </c>
      <c r="K5" s="188">
        <f t="shared" si="0"/>
        <v>0.91759095835700344</v>
      </c>
      <c r="L5" s="188">
        <f t="shared" si="0"/>
        <v>0.88656131242222558</v>
      </c>
      <c r="M5" s="188">
        <f t="shared" si="0"/>
        <v>0.85658097818572532</v>
      </c>
      <c r="N5" s="188">
        <f t="shared" si="0"/>
        <v>0.8276144716770294</v>
      </c>
      <c r="O5" s="188">
        <f t="shared" si="0"/>
        <v>0.79962750886669509</v>
      </c>
      <c r="P5" s="188">
        <f t="shared" si="0"/>
        <v>0.77258696508859437</v>
      </c>
      <c r="Q5" s="188">
        <f t="shared" si="0"/>
        <v>0.74646083583439071</v>
      </c>
      <c r="R5" s="188">
        <f t="shared" si="0"/>
        <v>0.72121819887380756</v>
      </c>
      <c r="S5" s="188">
        <f t="shared" si="0"/>
        <v>0.69682917765585273</v>
      </c>
      <c r="T5" s="188">
        <f t="shared" si="0"/>
        <v>0.67326490594768384</v>
      </c>
      <c r="U5" s="188">
        <f t="shared" si="0"/>
        <v>0.6504974936692598</v>
      </c>
      <c r="V5" s="188">
        <f t="shared" si="0"/>
        <v>0.62849999388334288</v>
      </c>
      <c r="W5" s="188">
        <f t="shared" si="0"/>
        <v>0.60724637090178057</v>
      </c>
      <c r="X5" s="188">
        <f t="shared" si="0"/>
        <v>0.58671146947031949</v>
      </c>
      <c r="Y5" s="188">
        <f t="shared" si="0"/>
        <v>0.56687098499547783</v>
      </c>
      <c r="Z5" s="188">
        <f t="shared" si="0"/>
        <v>0.54770143477823952</v>
      </c>
      <c r="AA5" s="188">
        <f t="shared" si="0"/>
        <v>0.52918013022052135</v>
      </c>
      <c r="AB5" s="188">
        <f t="shared" si="0"/>
        <v>0.5112851499715183</v>
      </c>
      <c r="AC5" s="188">
        <f t="shared" si="0"/>
        <v>0.4939953139821433</v>
      </c>
      <c r="AD5" s="188">
        <f t="shared" si="0"/>
        <v>0.47729015843685346</v>
      </c>
      <c r="AE5" s="188">
        <f t="shared" si="0"/>
        <v>0.46114991153319179</v>
      </c>
      <c r="AF5" s="188">
        <f t="shared" si="0"/>
        <v>0.4455554700803786</v>
      </c>
      <c r="AG5" s="188">
        <f t="shared" si="0"/>
        <v>0.43048837688925473</v>
      </c>
    </row>
    <row r="6" spans="1:34" s="2" customFormat="1" hidden="1" outlineLevel="1" x14ac:dyDescent="0.2">
      <c r="A6" s="189" t="str">
        <f>'Option1 (base case)'!A6</f>
        <v>Count</v>
      </c>
      <c r="B6" s="116"/>
      <c r="C6" s="117"/>
      <c r="D6" s="116"/>
      <c r="E6" s="116"/>
      <c r="F6" s="116"/>
      <c r="G6" s="101"/>
      <c r="H6" s="189">
        <f>'Option1 (base case)'!H6</f>
        <v>0</v>
      </c>
      <c r="I6" s="189">
        <f>'Option1 (base case)'!I6</f>
        <v>1</v>
      </c>
      <c r="J6" s="189">
        <f>'Option1 (base case)'!J6</f>
        <v>2</v>
      </c>
      <c r="K6" s="189">
        <f>'Option1 (base case)'!K6</f>
        <v>3</v>
      </c>
      <c r="L6" s="189">
        <f>'Option1 (base case)'!L6</f>
        <v>4</v>
      </c>
      <c r="M6" s="189">
        <f>'Option1 (base case)'!M6</f>
        <v>5</v>
      </c>
      <c r="N6" s="189">
        <f>'Option1 (base case)'!N6</f>
        <v>6</v>
      </c>
      <c r="O6" s="189">
        <f>'Option1 (base case)'!O6</f>
        <v>7</v>
      </c>
      <c r="P6" s="189">
        <f>'Option1 (base case)'!P6</f>
        <v>8</v>
      </c>
      <c r="Q6" s="189">
        <f>'Option1 (base case)'!Q6</f>
        <v>9</v>
      </c>
      <c r="R6" s="189">
        <f>'Option1 (base case)'!R6</f>
        <v>10</v>
      </c>
      <c r="S6" s="189">
        <f>'Option1 (base case)'!S6</f>
        <v>11</v>
      </c>
      <c r="T6" s="189">
        <f>'Option1 (base case)'!T6</f>
        <v>12</v>
      </c>
      <c r="U6" s="189">
        <f>'Option1 (base case)'!U6</f>
        <v>13</v>
      </c>
      <c r="V6" s="189">
        <f>'Option1 (base case)'!V6</f>
        <v>14</v>
      </c>
      <c r="W6" s="189">
        <f>'Option1 (base case)'!W6</f>
        <v>15</v>
      </c>
      <c r="X6" s="189">
        <f>'Option1 (base case)'!X6</f>
        <v>16</v>
      </c>
      <c r="Y6" s="189">
        <f>'Option1 (base case)'!Y6</f>
        <v>17</v>
      </c>
      <c r="Z6" s="189">
        <f>'Option1 (base case)'!Z6</f>
        <v>18</v>
      </c>
      <c r="AA6" s="189">
        <f>'Option1 (base case)'!AA6</f>
        <v>19</v>
      </c>
      <c r="AB6" s="189">
        <f>'Option1 (base case)'!AB6</f>
        <v>20</v>
      </c>
      <c r="AC6" s="189">
        <f>'Option1 (base case)'!AC6</f>
        <v>21</v>
      </c>
      <c r="AD6" s="189">
        <f>'Option1 (base case)'!AD6</f>
        <v>22</v>
      </c>
      <c r="AE6" s="189">
        <f>'Option1 (base case)'!AE6</f>
        <v>23</v>
      </c>
      <c r="AF6" s="189">
        <f>'Option1 (base case)'!AF6</f>
        <v>24</v>
      </c>
      <c r="AG6" s="189">
        <f>'Option1 (base case)'!AG6</f>
        <v>25</v>
      </c>
    </row>
    <row r="7" spans="1:34" s="2" customFormat="1" hidden="1" outlineLevel="1" x14ac:dyDescent="0.2">
      <c r="A7" s="116" t="s">
        <v>193</v>
      </c>
      <c r="B7" s="116"/>
      <c r="C7" s="117"/>
      <c r="D7" s="116"/>
      <c r="E7" s="116"/>
      <c r="F7" s="116"/>
      <c r="G7" s="101"/>
      <c r="H7" s="101" t="b">
        <f t="shared" ref="H7:AG7" si="1">H$6&lt;(first_year+years)</f>
        <v>1</v>
      </c>
      <c r="I7" s="101" t="b">
        <f t="shared" si="1"/>
        <v>1</v>
      </c>
      <c r="J7" s="101" t="b">
        <f t="shared" si="1"/>
        <v>1</v>
      </c>
      <c r="K7" s="101" t="b">
        <f t="shared" si="1"/>
        <v>1</v>
      </c>
      <c r="L7" s="101" t="b">
        <f t="shared" si="1"/>
        <v>1</v>
      </c>
      <c r="M7" s="101" t="b">
        <f t="shared" si="1"/>
        <v>1</v>
      </c>
      <c r="N7" s="101" t="b">
        <f t="shared" si="1"/>
        <v>1</v>
      </c>
      <c r="O7" s="101" t="b">
        <f t="shared" si="1"/>
        <v>1</v>
      </c>
      <c r="P7" s="101" t="b">
        <f t="shared" si="1"/>
        <v>1</v>
      </c>
      <c r="Q7" s="101" t="b">
        <f t="shared" si="1"/>
        <v>1</v>
      </c>
      <c r="R7" s="101" t="b">
        <f t="shared" si="1"/>
        <v>1</v>
      </c>
      <c r="S7" s="101" t="b">
        <f t="shared" si="1"/>
        <v>1</v>
      </c>
      <c r="T7" s="101" t="b">
        <f t="shared" si="1"/>
        <v>1</v>
      </c>
      <c r="U7" s="101" t="b">
        <f t="shared" si="1"/>
        <v>1</v>
      </c>
      <c r="V7" s="101" t="b">
        <f t="shared" si="1"/>
        <v>1</v>
      </c>
      <c r="W7" s="101" t="b">
        <f t="shared" si="1"/>
        <v>1</v>
      </c>
      <c r="X7" s="101" t="b">
        <f t="shared" si="1"/>
        <v>1</v>
      </c>
      <c r="Y7" s="101" t="b">
        <f t="shared" si="1"/>
        <v>1</v>
      </c>
      <c r="Z7" s="101" t="b">
        <f t="shared" si="1"/>
        <v>1</v>
      </c>
      <c r="AA7" s="101" t="b">
        <f t="shared" si="1"/>
        <v>1</v>
      </c>
      <c r="AB7" s="101" t="b">
        <f t="shared" si="1"/>
        <v>1</v>
      </c>
      <c r="AC7" s="101" t="b">
        <f t="shared" si="1"/>
        <v>0</v>
      </c>
      <c r="AD7" s="101" t="b">
        <f t="shared" si="1"/>
        <v>0</v>
      </c>
      <c r="AE7" s="101" t="b">
        <f t="shared" si="1"/>
        <v>0</v>
      </c>
      <c r="AF7" s="101" t="b">
        <f t="shared" si="1"/>
        <v>0</v>
      </c>
      <c r="AG7" s="101" t="b">
        <f t="shared" si="1"/>
        <v>0</v>
      </c>
    </row>
    <row r="8" spans="1:34" s="2" customFormat="1" ht="11.25" customHeight="1" collapsed="1" x14ac:dyDescent="0.2"/>
    <row r="9" spans="1:34" s="2" customFormat="1" ht="15" x14ac:dyDescent="0.25">
      <c r="A9" s="19"/>
      <c r="B9" s="19"/>
      <c r="C9" s="19"/>
      <c r="D9" s="19"/>
      <c r="E9" s="83"/>
      <c r="F9" s="19"/>
      <c r="G9" s="20"/>
      <c r="H9" s="319">
        <f>'Option1 (base case)'!H9</f>
        <v>46203</v>
      </c>
      <c r="I9" s="20" t="str">
        <f>'Option1 (base case)'!I9</f>
        <v>2026-27</v>
      </c>
      <c r="J9" s="20" t="str">
        <f>'Option1 (base case)'!J9</f>
        <v>2027-28</v>
      </c>
      <c r="K9" s="20" t="str">
        <f>'Option1 (base case)'!K9</f>
        <v>2028-29</v>
      </c>
      <c r="L9" s="20" t="str">
        <f>'Option1 (base case)'!L9</f>
        <v>2029-30</v>
      </c>
      <c r="M9" s="20" t="str">
        <f>'Option1 (base case)'!M9</f>
        <v>2030-31</v>
      </c>
      <c r="N9" s="20" t="str">
        <f>'Option1 (base case)'!N9</f>
        <v>2031-32</v>
      </c>
      <c r="O9" s="20" t="str">
        <f>'Option1 (base case)'!O9</f>
        <v>2032-33</v>
      </c>
      <c r="P9" s="20" t="str">
        <f>'Option1 (base case)'!P9</f>
        <v>2033-34</v>
      </c>
      <c r="Q9" s="20" t="str">
        <f>'Option1 (base case)'!Q9</f>
        <v>2034-35</v>
      </c>
      <c r="R9" s="20" t="str">
        <f>'Option1 (base case)'!R9</f>
        <v>2035-36</v>
      </c>
      <c r="S9" s="20" t="str">
        <f>'Option1 (base case)'!S9</f>
        <v>2036-37</v>
      </c>
      <c r="T9" s="20" t="str">
        <f>'Option1 (base case)'!T9</f>
        <v>2037-38</v>
      </c>
      <c r="U9" s="20" t="str">
        <f>'Option1 (base case)'!U9</f>
        <v>2038-39</v>
      </c>
      <c r="V9" s="20" t="str">
        <f>'Option1 (base case)'!V9</f>
        <v>2039-40</v>
      </c>
      <c r="W9" s="20" t="str">
        <f>'Option1 (base case)'!W9</f>
        <v>2040-41</v>
      </c>
      <c r="X9" s="20" t="str">
        <f>'Option1 (base case)'!X9</f>
        <v>2041-42</v>
      </c>
      <c r="Y9" s="20" t="str">
        <f>'Option1 (base case)'!Y9</f>
        <v>2042-43</v>
      </c>
      <c r="Z9" s="20" t="str">
        <f>'Option1 (base case)'!Z9</f>
        <v>2043-44</v>
      </c>
      <c r="AA9" s="20" t="str">
        <f>'Option1 (base case)'!AA9</f>
        <v>2044-45</v>
      </c>
      <c r="AB9" s="20" t="str">
        <f>'Option1 (base case)'!AB9</f>
        <v>2045-46</v>
      </c>
      <c r="AC9" s="20" t="str">
        <f>'Option1 (base case)'!AC9</f>
        <v>2046-47</v>
      </c>
      <c r="AD9" s="20" t="str">
        <f>'Option1 (base case)'!AD9</f>
        <v>2047-48</v>
      </c>
      <c r="AE9" s="20" t="str">
        <f>'Option1 (base case)'!AE9</f>
        <v>2048-49</v>
      </c>
      <c r="AF9" s="20" t="str">
        <f>'Option1 (base case)'!AF9</f>
        <v>2049-50</v>
      </c>
      <c r="AG9" s="20" t="str">
        <f>'Option1 (base case)'!AG9</f>
        <v>2050-51</v>
      </c>
    </row>
    <row r="10" spans="1:34" s="2" customFormat="1" x14ac:dyDescent="0.2">
      <c r="C10" s="118"/>
      <c r="D10" s="118"/>
      <c r="F10" s="118"/>
      <c r="G10" s="221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</row>
    <row r="11" spans="1:34" s="2" customFormat="1" ht="15" x14ac:dyDescent="0.2">
      <c r="A11" s="120" t="s">
        <v>39</v>
      </c>
      <c r="B11" s="120"/>
      <c r="C11" s="121"/>
      <c r="D11" s="121"/>
      <c r="E11" s="121"/>
      <c r="F11" s="70" t="s">
        <v>152</v>
      </c>
      <c r="G11" s="222"/>
      <c r="H11" s="122" t="str" cm="1">
        <f t="array" ref="H11">IF(H6=$C$4,UPPER($A$4),IF(H6=end, "END", ""))</f>
        <v/>
      </c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</row>
    <row r="12" spans="1:34" s="2" customFormat="1" x14ac:dyDescent="0.2">
      <c r="A12" s="118"/>
      <c r="B12" s="118"/>
      <c r="C12" s="118"/>
      <c r="D12" s="118"/>
      <c r="F12" s="118"/>
      <c r="G12" s="224"/>
      <c r="H12" s="118"/>
      <c r="I12" s="190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0"/>
      <c r="AA12" s="190"/>
      <c r="AB12" s="190"/>
      <c r="AC12" s="190"/>
      <c r="AD12" s="190"/>
      <c r="AE12" s="190"/>
      <c r="AF12" s="190"/>
      <c r="AG12" s="190"/>
      <c r="AH12" s="190"/>
    </row>
    <row r="13" spans="1:34" s="2" customFormat="1" x14ac:dyDescent="0.2">
      <c r="A13" s="123"/>
      <c r="B13" s="123"/>
      <c r="C13" s="123"/>
      <c r="D13" s="118"/>
      <c r="F13" s="118"/>
      <c r="G13" s="221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</row>
    <row r="14" spans="1:34" s="270" customFormat="1" x14ac:dyDescent="0.2">
      <c r="A14" s="268" t="str">
        <f>A15</f>
        <v>Option 1 (base case)</v>
      </c>
      <c r="B14" s="268"/>
      <c r="C14" s="268" t="s">
        <v>124</v>
      </c>
      <c r="D14" s="269" t="str">
        <f t="shared" ref="D14:D25" si="2">A14&amp;C14</f>
        <v>Option 1 (base case)Energy at risk value</v>
      </c>
      <c r="F14" s="97">
        <f>SUMPRODUCT($H14:$AG14, $H$5:$AG$5)</f>
        <v>15837469.915266212</v>
      </c>
      <c r="G14" s="271">
        <f>output_dollars</f>
        <v>46203</v>
      </c>
      <c r="H14" s="272"/>
      <c r="I14" s="31">
        <f>'Option1 (base case)'!I$28*conv_2026</f>
        <v>944535.98576597462</v>
      </c>
      <c r="J14" s="31">
        <f>'Option1 (base case)'!J$28*conv_2026</f>
        <v>944535.98576597462</v>
      </c>
      <c r="K14" s="31">
        <f>'Option1 (base case)'!K$28*conv_2026</f>
        <v>944535.98576597462</v>
      </c>
      <c r="L14" s="31">
        <f>'Option1 (base case)'!L$28*conv_2026</f>
        <v>944535.98576597462</v>
      </c>
      <c r="M14" s="31">
        <f>'Option1 (base case)'!M$28*conv_2026</f>
        <v>944535.98576597462</v>
      </c>
      <c r="N14" s="31">
        <f>'Option1 (base case)'!N$28*conv_2026</f>
        <v>944535.98576597462</v>
      </c>
      <c r="O14" s="31">
        <f>'Option1 (base case)'!O$28*conv_2026</f>
        <v>944535.98576597462</v>
      </c>
      <c r="P14" s="31">
        <f>'Option1 (base case)'!P$28*conv_2026</f>
        <v>944535.98576597462</v>
      </c>
      <c r="Q14" s="31">
        <f>'Option1 (base case)'!Q$28*conv_2026</f>
        <v>944535.98576597462</v>
      </c>
      <c r="R14" s="31">
        <f>'Option1 (base case)'!R$28*conv_2026</f>
        <v>944535.98576597462</v>
      </c>
      <c r="S14" s="31">
        <f>'Option1 (base case)'!S$28*conv_2026</f>
        <v>944535.98576597462</v>
      </c>
      <c r="T14" s="31">
        <f>'Option1 (base case)'!T$28*conv_2026</f>
        <v>944535.98576597462</v>
      </c>
      <c r="U14" s="31">
        <f>'Option1 (base case)'!U$28*conv_2026</f>
        <v>944535.98576597462</v>
      </c>
      <c r="V14" s="31">
        <f>'Option1 (base case)'!V$28*conv_2026</f>
        <v>944535.98576597462</v>
      </c>
      <c r="W14" s="31">
        <f>'Option1 (base case)'!W$28*conv_2026</f>
        <v>944535.98576597462</v>
      </c>
      <c r="X14" s="31">
        <f>'Option1 (base case)'!X$28*conv_2026</f>
        <v>944535.98576597462</v>
      </c>
      <c r="Y14" s="31">
        <f>'Option1 (base case)'!Y$28*conv_2026</f>
        <v>944535.98576597462</v>
      </c>
      <c r="Z14" s="31">
        <f>'Option1 (base case)'!Z$28*conv_2026</f>
        <v>944535.98576597462</v>
      </c>
      <c r="AA14" s="31">
        <f>'Option1 (base case)'!AA$28*conv_2026</f>
        <v>944535.98576597462</v>
      </c>
      <c r="AB14" s="31">
        <f>'Option1 (base case)'!AB$28*conv_2026</f>
        <v>944535.98576597462</v>
      </c>
      <c r="AC14" s="31">
        <f>'Option1 (base case)'!AC$28*conv_2026</f>
        <v>944535.98576597462</v>
      </c>
      <c r="AD14" s="31">
        <f>'Option1 (base case)'!AD$28*conv_2026</f>
        <v>944535.98576597462</v>
      </c>
      <c r="AE14" s="31">
        <f>'Option1 (base case)'!AE$28*conv_2026</f>
        <v>944535.98576597462</v>
      </c>
      <c r="AF14" s="31">
        <f>'Option1 (base case)'!AF$28*conv_2026</f>
        <v>944535.98576597462</v>
      </c>
      <c r="AG14" s="31">
        <f>'Option1 (base case)'!AG$28*conv_2026</f>
        <v>944535.98576597462</v>
      </c>
    </row>
    <row r="15" spans="1:34" s="1" customFormat="1" x14ac:dyDescent="0.2">
      <c r="A15" s="135" t="str">
        <f>Data!B9</f>
        <v>Option 1 (base case)</v>
      </c>
      <c r="B15" s="135"/>
      <c r="C15" s="58" t="str">
        <f>'Option1 (base case)'!C$66</f>
        <v>Capital expenditure</v>
      </c>
      <c r="D15" s="38" t="str">
        <f t="shared" si="2"/>
        <v>Option 1 (base case)Capital expenditure</v>
      </c>
      <c r="F15" s="97">
        <f>SUMPRODUCT($H15:$AG15, $H$5:$AG$5)</f>
        <v>0</v>
      </c>
      <c r="G15" s="225">
        <f>output_dollars</f>
        <v>46203</v>
      </c>
      <c r="H15" s="31"/>
      <c r="I15" s="31">
        <f>SUM('Option1 (base case)'!I$67:I$69)*conv_2026</f>
        <v>0</v>
      </c>
      <c r="J15" s="31">
        <f>SUM('Option1 (base case)'!J$67:J$69)</f>
        <v>0</v>
      </c>
      <c r="K15" s="31">
        <f>SUM('Option1 (base case)'!K$67:K$69)</f>
        <v>0</v>
      </c>
      <c r="L15" s="31">
        <f>SUM('Option1 (base case)'!L$67:L$69)</f>
        <v>0</v>
      </c>
      <c r="M15" s="31">
        <f>SUM('Option1 (base case)'!M$67:M$69)</f>
        <v>0</v>
      </c>
      <c r="N15" s="31">
        <f>SUM('Option1 (base case)'!N$67:N$69)</f>
        <v>0</v>
      </c>
      <c r="O15" s="31">
        <f>SUM('Option1 (base case)'!O$67:O$69)</f>
        <v>0</v>
      </c>
      <c r="P15" s="31">
        <f>SUM('Option1 (base case)'!P$67:P$69)</f>
        <v>0</v>
      </c>
      <c r="Q15" s="31">
        <f>SUM('Option1 (base case)'!Q$67:Q$69)</f>
        <v>0</v>
      </c>
      <c r="R15" s="31">
        <f>SUM('Option1 (base case)'!R$67:R$69)</f>
        <v>0</v>
      </c>
      <c r="S15" s="31">
        <f>SUM('Option1 (base case)'!S$67:S$69)</f>
        <v>0</v>
      </c>
      <c r="T15" s="31">
        <f>SUM('Option1 (base case)'!T$67:T$69)</f>
        <v>0</v>
      </c>
      <c r="U15" s="31">
        <f>SUM('Option1 (base case)'!U$67:U$69)</f>
        <v>0</v>
      </c>
      <c r="V15" s="31">
        <f>SUM('Option1 (base case)'!V$67:V$69)</f>
        <v>0</v>
      </c>
      <c r="W15" s="31">
        <f>SUM('Option1 (base case)'!W$67:W$69)</f>
        <v>0</v>
      </c>
      <c r="X15" s="31">
        <f>SUM('Option1 (base case)'!X$67:X$69)</f>
        <v>0</v>
      </c>
      <c r="Y15" s="31">
        <f>SUM('Option1 (base case)'!Y$67:Y$69)</f>
        <v>0</v>
      </c>
      <c r="Z15" s="31">
        <f>SUM('Option1 (base case)'!Z$67:Z$69)</f>
        <v>0</v>
      </c>
      <c r="AA15" s="31">
        <f>SUM('Option1 (base case)'!AA$67:AA$69)</f>
        <v>0</v>
      </c>
      <c r="AB15" s="31">
        <f>SUM('Option1 (base case)'!AB$67:AB$69)</f>
        <v>0</v>
      </c>
      <c r="AC15" s="31">
        <f>SUM('Option1 (base case)'!AC$67:AC$69)</f>
        <v>0</v>
      </c>
      <c r="AD15" s="31">
        <f>SUM('Option1 (base case)'!AD$67:AD$69)</f>
        <v>0</v>
      </c>
      <c r="AE15" s="31">
        <f>SUM('Option1 (base case)'!AE$67:AE$69)</f>
        <v>0</v>
      </c>
      <c r="AF15" s="31">
        <f>SUM('Option1 (base case)'!AF$67:AF$69)</f>
        <v>0</v>
      </c>
      <c r="AG15" s="31">
        <f>SUM('Option1 (base case)'!AG$67:AG$69)</f>
        <v>0</v>
      </c>
    </row>
    <row r="16" spans="1:34" s="1" customFormat="1" x14ac:dyDescent="0.2">
      <c r="A16" s="135" t="str">
        <f t="shared" ref="A16:A25" si="3">A15</f>
        <v>Option 1 (base case)</v>
      </c>
      <c r="B16" s="135"/>
      <c r="C16" s="58" t="str">
        <f>'Option1 (base case)'!C$36</f>
        <v>Total risk cost</v>
      </c>
      <c r="D16" s="38" t="str">
        <f t="shared" si="2"/>
        <v>Option 1 (base case)Total risk cost</v>
      </c>
      <c r="F16" s="108" cm="1">
        <f t="array" ref="F16">SUMPRODUCT(($H16:$AG16)*($H$5:$AG$5)*($H$7:$AG$7))</f>
        <v>251638159.5973942</v>
      </c>
      <c r="G16" s="225">
        <f>output_dollars</f>
        <v>46203</v>
      </c>
      <c r="H16" s="31"/>
      <c r="I16" s="31">
        <f>'Option1 (base case)'!I$36*conv_2026</f>
        <v>17403588.356827002</v>
      </c>
      <c r="J16" s="31">
        <f>'Option1 (base case)'!J$36*conv_2026</f>
        <v>17403588.356827002</v>
      </c>
      <c r="K16" s="31">
        <f>'Option1 (base case)'!K$36*conv_2026</f>
        <v>17403588.356827002</v>
      </c>
      <c r="L16" s="31">
        <f>'Option1 (base case)'!L$36*conv_2026</f>
        <v>17403588.356827002</v>
      </c>
      <c r="M16" s="31">
        <f>'Option1 (base case)'!M$36*conv_2026</f>
        <v>17403588.356827002</v>
      </c>
      <c r="N16" s="31">
        <f>'Option1 (base case)'!N$36*conv_2026</f>
        <v>17403588.356827002</v>
      </c>
      <c r="O16" s="31">
        <f>'Option1 (base case)'!O$36*conv_2026</f>
        <v>17403588.356827002</v>
      </c>
      <c r="P16" s="31">
        <f>'Option1 (base case)'!P$36*conv_2026</f>
        <v>17403588.356827002</v>
      </c>
      <c r="Q16" s="31">
        <f>'Option1 (base case)'!Q$36*conv_2026</f>
        <v>17403588.356827002</v>
      </c>
      <c r="R16" s="31">
        <f>'Option1 (base case)'!R$36*conv_2026</f>
        <v>17403588.356827002</v>
      </c>
      <c r="S16" s="31">
        <f>'Option1 (base case)'!S$36*conv_2026</f>
        <v>17403588.356827002</v>
      </c>
      <c r="T16" s="31">
        <f>'Option1 (base case)'!T$36*conv_2026</f>
        <v>17403588.356827002</v>
      </c>
      <c r="U16" s="31">
        <f>'Option1 (base case)'!U$36*conv_2026</f>
        <v>17403588.356827002</v>
      </c>
      <c r="V16" s="31">
        <f>'Option1 (base case)'!V$36*conv_2026</f>
        <v>17403588.356827002</v>
      </c>
      <c r="W16" s="31">
        <f>'Option1 (base case)'!W$36*conv_2026</f>
        <v>17403588.356827002</v>
      </c>
      <c r="X16" s="31">
        <f>'Option1 (base case)'!X$36*conv_2026</f>
        <v>17403588.356827002</v>
      </c>
      <c r="Y16" s="31">
        <f>'Option1 (base case)'!Y$36*conv_2026</f>
        <v>17403588.356827002</v>
      </c>
      <c r="Z16" s="31">
        <f>'Option1 (base case)'!Z$36*conv_2026</f>
        <v>17403588.356827002</v>
      </c>
      <c r="AA16" s="31">
        <f>'Option1 (base case)'!AA$36*conv_2026</f>
        <v>17403588.356827002</v>
      </c>
      <c r="AB16" s="31">
        <f>'Option1 (base case)'!AB$36*conv_2026</f>
        <v>17403588.356827002</v>
      </c>
      <c r="AC16" s="31">
        <f>'Option1 (base case)'!AC$36*conv_2026</f>
        <v>17403588.356827002</v>
      </c>
      <c r="AD16" s="31">
        <f>'Option1 (base case)'!AD$36*conv_2026</f>
        <v>17403588.356827002</v>
      </c>
      <c r="AE16" s="31">
        <f>'Option1 (base case)'!AE$36*conv_2026</f>
        <v>17403588.356827002</v>
      </c>
      <c r="AF16" s="31">
        <f>'Option1 (base case)'!AF$36*conv_2026</f>
        <v>17403588.356827002</v>
      </c>
      <c r="AG16" s="31">
        <f>'Option1 (base case)'!AG$36*conv_2026</f>
        <v>17403588.356827002</v>
      </c>
    </row>
    <row r="17" spans="1:33" s="1" customFormat="1" x14ac:dyDescent="0.2">
      <c r="A17" s="135" t="str">
        <f t="shared" si="3"/>
        <v>Option 1 (base case)</v>
      </c>
      <c r="B17" s="135"/>
      <c r="C17" s="75"/>
      <c r="D17" s="38" t="str">
        <f t="shared" si="2"/>
        <v>Option 1 (base case)</v>
      </c>
      <c r="F17"/>
      <c r="G17" s="226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s="1" customFormat="1" x14ac:dyDescent="0.2">
      <c r="A18" s="135" t="str">
        <f t="shared" si="3"/>
        <v>Option 1 (base case)</v>
      </c>
      <c r="B18" s="135"/>
      <c r="C18" s="58" t="str">
        <f>'Option1 (base case)'!C$82</f>
        <v>Annualised capex</v>
      </c>
      <c r="D18" s="38" t="str">
        <f t="shared" si="2"/>
        <v>Option 1 (base case)Annualised capex</v>
      </c>
      <c r="F18" s="97">
        <f>SUMPRODUCT($H18:$AG18, $H$5:$AG$5)</f>
        <v>0</v>
      </c>
      <c r="G18" s="225">
        <f t="shared" ref="G18:G25" si="4">output_dollars</f>
        <v>46203</v>
      </c>
      <c r="H18" s="31"/>
      <c r="I18" s="31">
        <f>'Option1 (base case)'!I$82*conv_2026</f>
        <v>0</v>
      </c>
      <c r="J18" s="31">
        <f>'Option1 (base case)'!J$82*conv_2026</f>
        <v>0</v>
      </c>
      <c r="K18" s="31">
        <f>'Option1 (base case)'!K$82*conv_2026</f>
        <v>0</v>
      </c>
      <c r="L18" s="31">
        <f>'Option1 (base case)'!L$82*conv_2026</f>
        <v>0</v>
      </c>
      <c r="M18" s="31">
        <f>'Option1 (base case)'!M$82*conv_2026</f>
        <v>0</v>
      </c>
      <c r="N18" s="31">
        <f>'Option1 (base case)'!N$82*conv_2026</f>
        <v>0</v>
      </c>
      <c r="O18" s="31">
        <f>'Option1 (base case)'!O$82*conv_2026</f>
        <v>0</v>
      </c>
      <c r="P18" s="31">
        <f>'Option1 (base case)'!P$82*conv_2026</f>
        <v>0</v>
      </c>
      <c r="Q18" s="31">
        <f>'Option1 (base case)'!Q$82*conv_2026</f>
        <v>0</v>
      </c>
      <c r="R18" s="31">
        <f>'Option1 (base case)'!R$82*conv_2026</f>
        <v>0</v>
      </c>
      <c r="S18" s="31">
        <f>'Option1 (base case)'!S$82*conv_2026</f>
        <v>0</v>
      </c>
      <c r="T18" s="31">
        <f>'Option1 (base case)'!T$82*conv_2026</f>
        <v>0</v>
      </c>
      <c r="U18" s="31">
        <f>'Option1 (base case)'!U$82*conv_2026</f>
        <v>0</v>
      </c>
      <c r="V18" s="31">
        <f>'Option1 (base case)'!V$82*conv_2026</f>
        <v>0</v>
      </c>
      <c r="W18" s="31">
        <f>'Option1 (base case)'!W$82*conv_2026</f>
        <v>0</v>
      </c>
      <c r="X18" s="31">
        <f>'Option1 (base case)'!X$82*conv_2026</f>
        <v>0</v>
      </c>
      <c r="Y18" s="31">
        <f>'Option1 (base case)'!Y$82*conv_2026</f>
        <v>0</v>
      </c>
      <c r="Z18" s="31">
        <f>'Option1 (base case)'!Z$82*conv_2026</f>
        <v>0</v>
      </c>
      <c r="AA18" s="31">
        <f>'Option1 (base case)'!AA$82*conv_2026</f>
        <v>0</v>
      </c>
      <c r="AB18" s="31">
        <f>'Option1 (base case)'!AB$82*conv_2026</f>
        <v>0</v>
      </c>
      <c r="AC18" s="31">
        <f>'Option1 (base case)'!AC$82*conv_2026</f>
        <v>0</v>
      </c>
      <c r="AD18" s="31">
        <f>'Option1 (base case)'!AD$82*conv_2026</f>
        <v>0</v>
      </c>
      <c r="AE18" s="31">
        <f>'Option1 (base case)'!AE$82*conv_2026</f>
        <v>0</v>
      </c>
      <c r="AF18" s="31">
        <f>'Option1 (base case)'!AF$82*conv_2026</f>
        <v>0</v>
      </c>
      <c r="AG18" s="31">
        <f>'Option1 (base case)'!AG$82*conv_2026</f>
        <v>0</v>
      </c>
    </row>
    <row r="19" spans="1:33" s="1" customFormat="1" x14ac:dyDescent="0.2">
      <c r="A19" s="135" t="str">
        <f t="shared" si="3"/>
        <v>Option 1 (base case)</v>
      </c>
      <c r="B19" s="135"/>
      <c r="C19" s="58" t="str">
        <f>'Option1 (base case)'!C$83</f>
        <v>Operating expenditure</v>
      </c>
      <c r="D19" s="38" t="str">
        <f t="shared" si="2"/>
        <v>Option 1 (base case)Operating expenditure</v>
      </c>
      <c r="F19" s="97">
        <f>SUMPRODUCT($H19:$AG19, $H$5:$AG$5)</f>
        <v>0</v>
      </c>
      <c r="G19" s="225">
        <f t="shared" si="4"/>
        <v>46203</v>
      </c>
      <c r="H19" s="31"/>
      <c r="I19" s="31">
        <f>'Option1 (base case)'!I$83*conv_2026</f>
        <v>0</v>
      </c>
      <c r="J19" s="31">
        <f>'Option1 (base case)'!J$83*conv_2026</f>
        <v>0</v>
      </c>
      <c r="K19" s="31">
        <f>'Option1 (base case)'!K$83*conv_2026</f>
        <v>0</v>
      </c>
      <c r="L19" s="31">
        <f>'Option1 (base case)'!L$83*conv_2026</f>
        <v>0</v>
      </c>
      <c r="M19" s="31">
        <f>'Option1 (base case)'!M$83*conv_2026</f>
        <v>0</v>
      </c>
      <c r="N19" s="31">
        <f>'Option1 (base case)'!N$83*conv_2026</f>
        <v>0</v>
      </c>
      <c r="O19" s="31">
        <f>'Option1 (base case)'!O$83*conv_2026</f>
        <v>0</v>
      </c>
      <c r="P19" s="31">
        <f>'Option1 (base case)'!P$83*conv_2026</f>
        <v>0</v>
      </c>
      <c r="Q19" s="31">
        <f>'Option1 (base case)'!Q$83*conv_2026</f>
        <v>0</v>
      </c>
      <c r="R19" s="31">
        <f>'Option1 (base case)'!R$83*conv_2026</f>
        <v>0</v>
      </c>
      <c r="S19" s="31">
        <f>'Option1 (base case)'!S$83*conv_2026</f>
        <v>0</v>
      </c>
      <c r="T19" s="31">
        <f>'Option1 (base case)'!T$83*conv_2026</f>
        <v>0</v>
      </c>
      <c r="U19" s="31">
        <f>'Option1 (base case)'!U$83*conv_2026</f>
        <v>0</v>
      </c>
      <c r="V19" s="31">
        <f>'Option1 (base case)'!V$83*conv_2026</f>
        <v>0</v>
      </c>
      <c r="W19" s="31">
        <f>'Option1 (base case)'!W$83*conv_2026</f>
        <v>0</v>
      </c>
      <c r="X19" s="31">
        <f>'Option1 (base case)'!X$83*conv_2026</f>
        <v>0</v>
      </c>
      <c r="Y19" s="31">
        <f>'Option1 (base case)'!Y$83*conv_2026</f>
        <v>0</v>
      </c>
      <c r="Z19" s="31">
        <f>'Option1 (base case)'!Z$83*conv_2026</f>
        <v>0</v>
      </c>
      <c r="AA19" s="31">
        <f>'Option1 (base case)'!AA$83*conv_2026</f>
        <v>0</v>
      </c>
      <c r="AB19" s="31">
        <f>'Option1 (base case)'!AB$83*conv_2026</f>
        <v>0</v>
      </c>
      <c r="AC19" s="31">
        <f>'Option1 (base case)'!AC$83*conv_2026</f>
        <v>0</v>
      </c>
      <c r="AD19" s="31">
        <f>'Option1 (base case)'!AD$83*conv_2026</f>
        <v>0</v>
      </c>
      <c r="AE19" s="31">
        <f>'Option1 (base case)'!AE$83*conv_2026</f>
        <v>0</v>
      </c>
      <c r="AF19" s="31">
        <f>'Option1 (base case)'!AF$83*conv_2026</f>
        <v>0</v>
      </c>
      <c r="AG19" s="31">
        <f>'Option1 (base case)'!AG$83*conv_2026</f>
        <v>0</v>
      </c>
    </row>
    <row r="20" spans="1:33" s="1" customFormat="1" x14ac:dyDescent="0.2">
      <c r="A20" s="135" t="str">
        <f t="shared" si="3"/>
        <v>Option 1 (base case)</v>
      </c>
      <c r="B20" s="135"/>
      <c r="C20" s="58" t="str">
        <f>'Option1 (base case)'!C$84</f>
        <v>Risk mitigated</v>
      </c>
      <c r="D20" s="38" t="str">
        <f t="shared" si="2"/>
        <v>Option 1 (base case)Risk mitigated</v>
      </c>
      <c r="F20" s="97">
        <f>SUMPRODUCT($H20:$AG20, $H$5:$AG$5)</f>
        <v>0</v>
      </c>
      <c r="G20" s="225">
        <f t="shared" si="4"/>
        <v>46203</v>
      </c>
      <c r="H20" s="31"/>
      <c r="I20" s="31">
        <f>'Option1 (base case)'!I$84*conv_2026</f>
        <v>0</v>
      </c>
      <c r="J20" s="31">
        <f>'Option1 (base case)'!J$84*conv_2026</f>
        <v>0</v>
      </c>
      <c r="K20" s="31">
        <f>'Option1 (base case)'!K$84*conv_2026</f>
        <v>0</v>
      </c>
      <c r="L20" s="31">
        <f>'Option1 (base case)'!L$84*conv_2026</f>
        <v>0</v>
      </c>
      <c r="M20" s="31">
        <f>'Option1 (base case)'!M$84*conv_2026</f>
        <v>0</v>
      </c>
      <c r="N20" s="31">
        <f>'Option1 (base case)'!N$84*conv_2026</f>
        <v>0</v>
      </c>
      <c r="O20" s="31">
        <f>'Option1 (base case)'!O$84*conv_2026</f>
        <v>0</v>
      </c>
      <c r="P20" s="31">
        <f>'Option1 (base case)'!P$84*conv_2026</f>
        <v>0</v>
      </c>
      <c r="Q20" s="31">
        <f>'Option1 (base case)'!Q$84*conv_2026</f>
        <v>0</v>
      </c>
      <c r="R20" s="31">
        <f>'Option1 (base case)'!R$84*conv_2026</f>
        <v>0</v>
      </c>
      <c r="S20" s="31">
        <f>'Option1 (base case)'!S$84*conv_2026</f>
        <v>0</v>
      </c>
      <c r="T20" s="31">
        <f>'Option1 (base case)'!T$84*conv_2026</f>
        <v>0</v>
      </c>
      <c r="U20" s="31">
        <f>'Option1 (base case)'!U$84*conv_2026</f>
        <v>0</v>
      </c>
      <c r="V20" s="31">
        <f>'Option1 (base case)'!V$84*conv_2026</f>
        <v>0</v>
      </c>
      <c r="W20" s="31">
        <f>'Option1 (base case)'!W$84*conv_2026</f>
        <v>0</v>
      </c>
      <c r="X20" s="31">
        <f>'Option1 (base case)'!X$84*conv_2026</f>
        <v>0</v>
      </c>
      <c r="Y20" s="31">
        <f>'Option1 (base case)'!Y$84*conv_2026</f>
        <v>0</v>
      </c>
      <c r="Z20" s="31">
        <f>'Option1 (base case)'!Z$84*conv_2026</f>
        <v>0</v>
      </c>
      <c r="AA20" s="31">
        <f>'Option1 (base case)'!AA$84*conv_2026</f>
        <v>0</v>
      </c>
      <c r="AB20" s="31">
        <f>'Option1 (base case)'!AB$84*conv_2026</f>
        <v>0</v>
      </c>
      <c r="AC20" s="31">
        <f>'Option1 (base case)'!AC$84*conv_2026</f>
        <v>0</v>
      </c>
      <c r="AD20" s="31">
        <f>'Option1 (base case)'!AD$84*conv_2026</f>
        <v>0</v>
      </c>
      <c r="AE20" s="31">
        <f>'Option1 (base case)'!AE$84*conv_2026</f>
        <v>0</v>
      </c>
      <c r="AF20" s="31">
        <f>'Option1 (base case)'!AF$84*conv_2026</f>
        <v>0</v>
      </c>
      <c r="AG20" s="31">
        <f>'Option1 (base case)'!AG$84*conv_2026</f>
        <v>0</v>
      </c>
    </row>
    <row r="21" spans="1:33" s="1" customFormat="1" x14ac:dyDescent="0.2">
      <c r="A21" s="135" t="str">
        <f t="shared" si="3"/>
        <v>Option 1 (base case)</v>
      </c>
      <c r="B21" s="135"/>
      <c r="C21" s="58" t="str">
        <f>'Option1 (base case)'!C$85</f>
        <v>Other benefits value</v>
      </c>
      <c r="D21" s="38" t="str">
        <f t="shared" si="2"/>
        <v>Option 1 (base case)Other benefits value</v>
      </c>
      <c r="F21" s="97">
        <f>SUMPRODUCT($H21:$AG21, $H$5:$AG$5)</f>
        <v>0</v>
      </c>
      <c r="G21" s="225">
        <f t="shared" si="4"/>
        <v>46203</v>
      </c>
      <c r="H21" s="31"/>
      <c r="I21" s="31">
        <f>'Option1 (base case)'!I$85*conv_2026</f>
        <v>0</v>
      </c>
      <c r="J21" s="31">
        <f>'Option1 (base case)'!J$85*conv_2026</f>
        <v>0</v>
      </c>
      <c r="K21" s="31">
        <f>'Option1 (base case)'!K$85*conv_2026</f>
        <v>0</v>
      </c>
      <c r="L21" s="31">
        <f>'Option1 (base case)'!L$85*conv_2026</f>
        <v>0</v>
      </c>
      <c r="M21" s="31">
        <f>'Option1 (base case)'!M$85*conv_2026</f>
        <v>0</v>
      </c>
      <c r="N21" s="31">
        <f>'Option1 (base case)'!N$85*conv_2026</f>
        <v>0</v>
      </c>
      <c r="O21" s="31">
        <f>'Option1 (base case)'!O$85*conv_2026</f>
        <v>0</v>
      </c>
      <c r="P21" s="31">
        <f>'Option1 (base case)'!P$85*conv_2026</f>
        <v>0</v>
      </c>
      <c r="Q21" s="31">
        <f>'Option1 (base case)'!Q$85*conv_2026</f>
        <v>0</v>
      </c>
      <c r="R21" s="31">
        <f>'Option1 (base case)'!R$85*conv_2026</f>
        <v>0</v>
      </c>
      <c r="S21" s="31">
        <f>'Option1 (base case)'!S$85*conv_2026</f>
        <v>0</v>
      </c>
      <c r="T21" s="31">
        <f>'Option1 (base case)'!T$85*conv_2026</f>
        <v>0</v>
      </c>
      <c r="U21" s="31">
        <f>'Option1 (base case)'!U$85*conv_2026</f>
        <v>0</v>
      </c>
      <c r="V21" s="31">
        <f>'Option1 (base case)'!V$85*conv_2026</f>
        <v>0</v>
      </c>
      <c r="W21" s="31">
        <f>'Option1 (base case)'!W$85*conv_2026</f>
        <v>0</v>
      </c>
      <c r="X21" s="31">
        <f>'Option1 (base case)'!X$85*conv_2026</f>
        <v>0</v>
      </c>
      <c r="Y21" s="31">
        <f>'Option1 (base case)'!Y$85*conv_2026</f>
        <v>0</v>
      </c>
      <c r="Z21" s="31">
        <f>'Option1 (base case)'!Z$85*conv_2026</f>
        <v>0</v>
      </c>
      <c r="AA21" s="31">
        <f>'Option1 (base case)'!AA$85*conv_2026</f>
        <v>0</v>
      </c>
      <c r="AB21" s="31">
        <f>'Option1 (base case)'!AB$85*conv_2026</f>
        <v>0</v>
      </c>
      <c r="AC21" s="31">
        <f>'Option1 (base case)'!AC$85*conv_2026</f>
        <v>0</v>
      </c>
      <c r="AD21" s="31">
        <f>'Option1 (base case)'!AD$85*conv_2026</f>
        <v>0</v>
      </c>
      <c r="AE21" s="31">
        <f>'Option1 (base case)'!AE$85*conv_2026</f>
        <v>0</v>
      </c>
      <c r="AF21" s="31">
        <f>'Option1 (base case)'!AF$85*conv_2026</f>
        <v>0</v>
      </c>
      <c r="AG21" s="31">
        <f>'Option1 (base case)'!AG$85*conv_2026</f>
        <v>0</v>
      </c>
    </row>
    <row r="22" spans="1:33" s="1" customFormat="1" x14ac:dyDescent="0.2">
      <c r="A22" s="135" t="str">
        <f t="shared" si="3"/>
        <v>Option 1 (base case)</v>
      </c>
      <c r="B22" s="135"/>
      <c r="C22" s="144" t="str">
        <f>'Option1 (base case)'!C$87</f>
        <v>Net benefits</v>
      </c>
      <c r="D22" s="109" t="str">
        <f t="shared" si="2"/>
        <v>Option 1 (base case)Net benefits</v>
      </c>
      <c r="E22" s="110"/>
      <c r="F22" s="143"/>
      <c r="G22" s="227">
        <f t="shared" si="4"/>
        <v>46203</v>
      </c>
      <c r="H22" s="52"/>
      <c r="I22" s="52">
        <f t="shared" ref="I22:AG22" si="5">SUM(I18:I21)</f>
        <v>0</v>
      </c>
      <c r="J22" s="52">
        <f t="shared" si="5"/>
        <v>0</v>
      </c>
      <c r="K22" s="52">
        <f t="shared" si="5"/>
        <v>0</v>
      </c>
      <c r="L22" s="52">
        <f t="shared" si="5"/>
        <v>0</v>
      </c>
      <c r="M22" s="52">
        <f t="shared" si="5"/>
        <v>0</v>
      </c>
      <c r="N22" s="52">
        <f t="shared" si="5"/>
        <v>0</v>
      </c>
      <c r="O22" s="52">
        <f t="shared" si="5"/>
        <v>0</v>
      </c>
      <c r="P22" s="52">
        <f t="shared" si="5"/>
        <v>0</v>
      </c>
      <c r="Q22" s="52">
        <f t="shared" si="5"/>
        <v>0</v>
      </c>
      <c r="R22" s="52">
        <f t="shared" si="5"/>
        <v>0</v>
      </c>
      <c r="S22" s="52">
        <f t="shared" si="5"/>
        <v>0</v>
      </c>
      <c r="T22" s="52">
        <f t="shared" si="5"/>
        <v>0</v>
      </c>
      <c r="U22" s="52">
        <f t="shared" si="5"/>
        <v>0</v>
      </c>
      <c r="V22" s="52">
        <f t="shared" si="5"/>
        <v>0</v>
      </c>
      <c r="W22" s="52">
        <f t="shared" si="5"/>
        <v>0</v>
      </c>
      <c r="X22" s="52">
        <f t="shared" si="5"/>
        <v>0</v>
      </c>
      <c r="Y22" s="52">
        <f t="shared" si="5"/>
        <v>0</v>
      </c>
      <c r="Z22" s="52">
        <f t="shared" si="5"/>
        <v>0</v>
      </c>
      <c r="AA22" s="52">
        <f t="shared" si="5"/>
        <v>0</v>
      </c>
      <c r="AB22" s="52">
        <f t="shared" si="5"/>
        <v>0</v>
      </c>
      <c r="AC22" s="52">
        <f t="shared" si="5"/>
        <v>0</v>
      </c>
      <c r="AD22" s="52">
        <f t="shared" si="5"/>
        <v>0</v>
      </c>
      <c r="AE22" s="52">
        <f t="shared" si="5"/>
        <v>0</v>
      </c>
      <c r="AF22" s="52">
        <f t="shared" si="5"/>
        <v>0</v>
      </c>
      <c r="AG22" s="52">
        <f t="shared" si="5"/>
        <v>0</v>
      </c>
    </row>
    <row r="23" spans="1:33" s="1" customFormat="1" x14ac:dyDescent="0.2">
      <c r="A23" s="135" t="str">
        <f t="shared" si="3"/>
        <v>Option 1 (base case)</v>
      </c>
      <c r="B23" s="135"/>
      <c r="C23" s="8" t="s">
        <v>119</v>
      </c>
      <c r="D23" s="38" t="str">
        <f t="shared" si="2"/>
        <v>Option 1 (base case)NPV</v>
      </c>
      <c r="F23" s="108" cm="1">
        <f t="array" ref="F23">SUMPRODUCT(($H22:$AG22)*($H$5:$AG$5)*($H$7:$AG$7))</f>
        <v>0</v>
      </c>
      <c r="G23" s="225">
        <f t="shared" si="4"/>
        <v>46203</v>
      </c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</row>
    <row r="24" spans="1:33" s="1" customFormat="1" x14ac:dyDescent="0.2">
      <c r="A24" s="135" t="str">
        <f t="shared" si="3"/>
        <v>Option 1 (base case)</v>
      </c>
      <c r="B24" s="135"/>
      <c r="C24" s="8" t="s">
        <v>187</v>
      </c>
      <c r="D24" s="38" t="str">
        <f t="shared" si="2"/>
        <v>Option 1 (base case)PV of costs</v>
      </c>
      <c r="F24" s="108">
        <f>SUM(F18:F19)</f>
        <v>0</v>
      </c>
      <c r="G24" s="225">
        <f t="shared" si="4"/>
        <v>46203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</row>
    <row r="25" spans="1:33" s="1" customFormat="1" x14ac:dyDescent="0.2">
      <c r="A25" s="135" t="str">
        <f t="shared" si="3"/>
        <v>Option 1 (base case)</v>
      </c>
      <c r="B25" s="135"/>
      <c r="C25" s="8" t="s">
        <v>188</v>
      </c>
      <c r="D25" s="38" t="str">
        <f t="shared" si="2"/>
        <v>Option 1 (base case)PV of benefits</v>
      </c>
      <c r="F25" s="108">
        <f>SUM(F20:F21)</f>
        <v>0</v>
      </c>
      <c r="G25" s="225">
        <f t="shared" si="4"/>
        <v>46203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</row>
    <row r="26" spans="1:33" s="1" customFormat="1" x14ac:dyDescent="0.2">
      <c r="D26" s="38" t="str">
        <f t="shared" ref="D26:D39" si="6">A26&amp;C26</f>
        <v/>
      </c>
      <c r="G26" s="228"/>
    </row>
    <row r="27" spans="1:33" s="2" customFormat="1" x14ac:dyDescent="0.2">
      <c r="A27" s="123"/>
      <c r="B27" s="123"/>
      <c r="C27" s="123"/>
      <c r="D27" s="38" t="str">
        <f t="shared" si="6"/>
        <v/>
      </c>
      <c r="F27" s="118"/>
      <c r="G27" s="221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119"/>
      <c r="AD27" s="119"/>
      <c r="AE27" s="119"/>
      <c r="AF27" s="119"/>
      <c r="AG27" s="119"/>
    </row>
    <row r="28" spans="1:33" s="270" customFormat="1" x14ac:dyDescent="0.2">
      <c r="A28" s="268" t="str">
        <f>A29</f>
        <v>Option 2</v>
      </c>
      <c r="B28" s="268"/>
      <c r="C28" s="268" t="s">
        <v>124</v>
      </c>
      <c r="D28" s="269" t="str">
        <f t="shared" si="6"/>
        <v>Option 2Energy at risk value</v>
      </c>
      <c r="F28" s="97">
        <f>SUMPRODUCT($H28:$AG28, $H$5:$AG$5)</f>
        <v>13609569.797214231</v>
      </c>
      <c r="G28" s="271">
        <f>output_dollars</f>
        <v>46203</v>
      </c>
      <c r="H28" s="272"/>
      <c r="I28" s="31">
        <f>Option2!I$28*conv_2026</f>
        <v>942837.09962695313</v>
      </c>
      <c r="J28" s="31">
        <f>Option2!J$28*conv_2026</f>
        <v>941138.21348793164</v>
      </c>
      <c r="K28" s="31">
        <f>Option2!K$28*conv_2026</f>
        <v>941138.21348793164</v>
      </c>
      <c r="L28" s="31">
        <f>Option2!L$28*conv_2026</f>
        <v>941138.21348793164</v>
      </c>
      <c r="M28" s="31">
        <f>Option2!M$28*conv_2026</f>
        <v>941138.21348793164</v>
      </c>
      <c r="N28" s="31">
        <f>Option2!N$28*conv_2026</f>
        <v>941138.21348793164</v>
      </c>
      <c r="O28" s="31">
        <f>Option2!O$28*conv_2026</f>
        <v>941138.21348793164</v>
      </c>
      <c r="P28" s="31">
        <f>Option2!P$28*conv_2026</f>
        <v>941138.21348793164</v>
      </c>
      <c r="Q28" s="31">
        <f>Option2!Q$28*conv_2026</f>
        <v>941138.21348793164</v>
      </c>
      <c r="R28" s="31">
        <f>Option2!R$28*conv_2026</f>
        <v>941138.21348793164</v>
      </c>
      <c r="S28" s="31">
        <f>Option2!S$28*conv_2026</f>
        <v>941138.21348793164</v>
      </c>
      <c r="T28" s="31">
        <f>Option2!T$28*conv_2026</f>
        <v>941138.21348793164</v>
      </c>
      <c r="U28" s="31">
        <f>Option2!U$28*conv_2026</f>
        <v>941138.21348793164</v>
      </c>
      <c r="V28" s="31">
        <f>Option2!V$28*conv_2026</f>
        <v>941138.21348793164</v>
      </c>
      <c r="W28" s="31">
        <f>Option2!W$28*conv_2026</f>
        <v>941138.21348793164</v>
      </c>
      <c r="X28" s="31">
        <f>Option2!X$28*conv_2026</f>
        <v>941138.21348793164</v>
      </c>
      <c r="Y28" s="31">
        <f>Option2!Y$28*conv_2026</f>
        <v>941138.21348793164</v>
      </c>
      <c r="Z28" s="31">
        <f>Option2!Z$28*conv_2026</f>
        <v>941138.21348793164</v>
      </c>
      <c r="AA28" s="31">
        <f>Option2!AA$28*conv_2026</f>
        <v>941138.21348793164</v>
      </c>
      <c r="AB28" s="31">
        <f>Option2!AB$28*conv_2026</f>
        <v>941138.21348793164</v>
      </c>
      <c r="AC28" s="31">
        <f>Option2!AC$28*conv_2026</f>
        <v>0</v>
      </c>
      <c r="AD28" s="31">
        <f>Option2!AD$28*conv_2026</f>
        <v>0</v>
      </c>
      <c r="AE28" s="31">
        <f>Option2!AE$28*conv_2026</f>
        <v>0</v>
      </c>
      <c r="AF28" s="31">
        <f>Option2!AF$28*conv_2026</f>
        <v>0</v>
      </c>
      <c r="AG28" s="31">
        <f>Option2!AG$28*conv_2026</f>
        <v>0</v>
      </c>
    </row>
    <row r="29" spans="1:33" s="2" customFormat="1" x14ac:dyDescent="0.2">
      <c r="A29" s="135" t="str">
        <f>Data!B10</f>
        <v>Option 2</v>
      </c>
      <c r="B29" s="135"/>
      <c r="C29" s="58" t="str">
        <f>Option2!C$66</f>
        <v>Capital expenditure</v>
      </c>
      <c r="D29" s="38" t="str">
        <f t="shared" si="6"/>
        <v>Option 2Capital expenditure</v>
      </c>
      <c r="E29" s="1"/>
      <c r="F29" s="97" cm="1">
        <f t="array" ref="F29">SUMPRODUCT(($H29:$AG29)*($H$5:$AG$5)*($H$7:$AG$7))</f>
        <v>-5721324.7946125064</v>
      </c>
      <c r="G29" s="225">
        <f>output_dollars</f>
        <v>46203</v>
      </c>
      <c r="H29" s="31"/>
      <c r="I29" s="31">
        <f>SUM(Option2!I$67:I$69)*conv_2026*I$7</f>
        <v>-2960347.6394681474</v>
      </c>
      <c r="J29" s="31">
        <f>SUM(Option2!J$67:J$69)*conv_2026*J$7</f>
        <v>-2960347.6394681474</v>
      </c>
      <c r="K29" s="31">
        <f>SUM(Option2!K$67:K$69)*conv_2026*K$7</f>
        <v>0</v>
      </c>
      <c r="L29" s="31">
        <f>SUM(Option2!L$67:L$69)*conv_2026*L$7</f>
        <v>0</v>
      </c>
      <c r="M29" s="31">
        <f>SUM(Option2!M$67:M$69)*conv_2026*M$7</f>
        <v>0</v>
      </c>
      <c r="N29" s="31">
        <f>SUM(Option2!N$67:N$69)*conv_2026*N$7</f>
        <v>0</v>
      </c>
      <c r="O29" s="31">
        <f>SUM(Option2!O$67:O$69)*conv_2026*O$7</f>
        <v>0</v>
      </c>
      <c r="P29" s="31">
        <f>SUM(Option2!P$67:P$69)*conv_2026*P$7</f>
        <v>0</v>
      </c>
      <c r="Q29" s="31">
        <f>SUM(Option2!Q$67:Q$69)*conv_2026*Q$7</f>
        <v>0</v>
      </c>
      <c r="R29" s="31">
        <f>SUM(Option2!R$67:R$69)*conv_2026*R$7</f>
        <v>0</v>
      </c>
      <c r="S29" s="31">
        <f>SUM(Option2!S$67:S$69)*conv_2026*S$7</f>
        <v>0</v>
      </c>
      <c r="T29" s="31">
        <f>SUM(Option2!T$67:T$69)*conv_2026*T$7</f>
        <v>0</v>
      </c>
      <c r="U29" s="31">
        <f>SUM(Option2!U$67:U$69)*conv_2026*U$7</f>
        <v>0</v>
      </c>
      <c r="V29" s="31">
        <f>SUM(Option2!V$67:V$69)*conv_2026*V$7</f>
        <v>0</v>
      </c>
      <c r="W29" s="31">
        <f>SUM(Option2!W$67:W$69)*conv_2026*W$7</f>
        <v>0</v>
      </c>
      <c r="X29" s="31">
        <f>SUM(Option2!X$67:X$69)*conv_2026*X$7</f>
        <v>0</v>
      </c>
      <c r="Y29" s="31">
        <f>SUM(Option2!Y$67:Y$69)*conv_2026*Y$7</f>
        <v>0</v>
      </c>
      <c r="Z29" s="31">
        <f>SUM(Option2!Z$67:Z$69)*conv_2026*Z$7</f>
        <v>0</v>
      </c>
      <c r="AA29" s="31">
        <f>SUM(Option2!AA$67:AA$69)*conv_2026*AA$7</f>
        <v>0</v>
      </c>
      <c r="AB29" s="31">
        <f>SUM(Option2!AB$67:AB$69)*conv_2026*AB$7</f>
        <v>0</v>
      </c>
      <c r="AC29" s="31">
        <f>SUM(Option2!AC$67:AC$69)*conv_2026*AC$7</f>
        <v>0</v>
      </c>
      <c r="AD29" s="31">
        <f>SUM(Option2!AD$67:AD$69)*conv_2026*AD$7</f>
        <v>0</v>
      </c>
      <c r="AE29" s="31">
        <f>SUM(Option2!AE$67:AE$69)*conv_2026*AE$7</f>
        <v>0</v>
      </c>
      <c r="AF29" s="31">
        <f>SUM(Option2!AF$67:AF$69)*conv_2026*AF$7</f>
        <v>0</v>
      </c>
      <c r="AG29" s="31">
        <f>SUM(Option2!AG$67:AG$69)*conv_2026*AG$7</f>
        <v>0</v>
      </c>
    </row>
    <row r="30" spans="1:33" s="2" customFormat="1" x14ac:dyDescent="0.2">
      <c r="A30" s="135" t="str">
        <f t="shared" ref="A30:A39" si="7">A29</f>
        <v>Option 2</v>
      </c>
      <c r="B30" s="135"/>
      <c r="C30" s="58" t="str">
        <f>'Option1 (base case)'!C$36</f>
        <v>Total risk cost</v>
      </c>
      <c r="D30" s="38" t="str">
        <f t="shared" si="6"/>
        <v>Option 2Total risk cost</v>
      </c>
      <c r="E30" s="1"/>
      <c r="F30" s="97" cm="1">
        <f t="array" ref="F30">SUMPRODUCT(($H30:$AG30)*($H$5:$AG$5)*($H$7:$AG$7))</f>
        <v>246323335.31297857</v>
      </c>
      <c r="G30" s="225">
        <f>output_dollars</f>
        <v>46203</v>
      </c>
      <c r="H30" s="31"/>
      <c r="I30" s="31">
        <f>Option2!I$36*conv_2026*I$7</f>
        <v>17213331.647477943</v>
      </c>
      <c r="J30" s="31">
        <f>Option2!J$36*conv_2026*J$7</f>
        <v>17023074.938128885</v>
      </c>
      <c r="K30" s="31">
        <f>Option2!K$36*conv_2026*K$7</f>
        <v>17023074.938128885</v>
      </c>
      <c r="L30" s="31">
        <f>Option2!L$36*conv_2026*L$7</f>
        <v>17023074.938128885</v>
      </c>
      <c r="M30" s="31">
        <f>Option2!M$36*conv_2026*M$7</f>
        <v>17023074.938128885</v>
      </c>
      <c r="N30" s="31">
        <f>Option2!N$36*conv_2026*N$7</f>
        <v>17023074.938128885</v>
      </c>
      <c r="O30" s="31">
        <f>Option2!O$36*conv_2026*O$7</f>
        <v>17023074.938128885</v>
      </c>
      <c r="P30" s="31">
        <f>Option2!P$36*conv_2026*P$7</f>
        <v>17023074.938128885</v>
      </c>
      <c r="Q30" s="31">
        <f>Option2!Q$36*conv_2026*Q$7</f>
        <v>17023074.938128885</v>
      </c>
      <c r="R30" s="31">
        <f>Option2!R$36*conv_2026*R$7</f>
        <v>17023074.938128885</v>
      </c>
      <c r="S30" s="31">
        <f>Option2!S$36*conv_2026*S$7</f>
        <v>17023074.938128885</v>
      </c>
      <c r="T30" s="31">
        <f>Option2!T$36*conv_2026*T$7</f>
        <v>17023074.938128885</v>
      </c>
      <c r="U30" s="31">
        <f>Option2!U$36*conv_2026*U$7</f>
        <v>17023074.938128885</v>
      </c>
      <c r="V30" s="31">
        <f>Option2!V$36*conv_2026*V$7</f>
        <v>17023074.938128885</v>
      </c>
      <c r="W30" s="31">
        <f>Option2!W$36*conv_2026*W$7</f>
        <v>17023074.938128885</v>
      </c>
      <c r="X30" s="31">
        <f>Option2!X$36*conv_2026*X$7</f>
        <v>17023074.938128885</v>
      </c>
      <c r="Y30" s="31">
        <f>Option2!Y$36*conv_2026*Y$7</f>
        <v>17023074.938128885</v>
      </c>
      <c r="Z30" s="31">
        <f>Option2!Z$36*conv_2026*Z$7</f>
        <v>17023074.938128885</v>
      </c>
      <c r="AA30" s="31">
        <f>Option2!AA$36*conv_2026*AA$7</f>
        <v>17023074.938128885</v>
      </c>
      <c r="AB30" s="31">
        <f>Option2!AB$36*conv_2026*AB$7</f>
        <v>17023074.938128885</v>
      </c>
      <c r="AC30" s="31">
        <f>Option2!AC$36*conv_2026*AC$7</f>
        <v>0</v>
      </c>
      <c r="AD30" s="31">
        <f>Option2!AD$36*conv_2026*AD$7</f>
        <v>0</v>
      </c>
      <c r="AE30" s="31">
        <f>Option2!AE$36*conv_2026*AE$7</f>
        <v>0</v>
      </c>
      <c r="AF30" s="31">
        <f>Option2!AF$36*conv_2026*AF$7</f>
        <v>0</v>
      </c>
      <c r="AG30" s="31">
        <f>Option2!AG$36*conv_2026*AG$7</f>
        <v>0</v>
      </c>
    </row>
    <row r="31" spans="1:33" s="2" customFormat="1" x14ac:dyDescent="0.2">
      <c r="A31" s="135" t="str">
        <f t="shared" si="7"/>
        <v>Option 2</v>
      </c>
      <c r="B31" s="135"/>
      <c r="C31" s="75"/>
      <c r="D31" s="38" t="str">
        <f t="shared" si="6"/>
        <v>Option 2</v>
      </c>
      <c r="E31" s="1"/>
      <c r="F31" s="97"/>
      <c r="G31" s="226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 s="2" customFormat="1" x14ac:dyDescent="0.2">
      <c r="A32" s="135" t="str">
        <f t="shared" si="7"/>
        <v>Option 2</v>
      </c>
      <c r="B32" s="135"/>
      <c r="C32" s="58" t="str">
        <f>Option2!C$82</f>
        <v>Annualised capex</v>
      </c>
      <c r="D32" s="38" t="str">
        <f t="shared" si="6"/>
        <v>Option 2Annualised capex</v>
      </c>
      <c r="E32" s="1"/>
      <c r="F32" s="97" cm="1">
        <f t="array" ref="F32">SUMPRODUCT(($H32:$AG32)*($H$5:$AG$5)*($H$7:$AG$7))</f>
        <v>-4185289.5185738876</v>
      </c>
      <c r="G32" s="225">
        <f t="shared" ref="G32:G39" si="8">output_dollars</f>
        <v>46203</v>
      </c>
      <c r="H32" s="31"/>
      <c r="I32" s="31">
        <f>Option2!I$82*conv_2026*I$7</f>
        <v>0</v>
      </c>
      <c r="J32" s="31">
        <f>Option2!J$82*conv_2026*J$7</f>
        <v>-160958.04317877619</v>
      </c>
      <c r="K32" s="31">
        <f>Option2!K$82*conv_2026*K$7</f>
        <v>-321916.08635755238</v>
      </c>
      <c r="L32" s="31">
        <f>Option2!L$82*conv_2026*L$7</f>
        <v>-321916.08635755238</v>
      </c>
      <c r="M32" s="31">
        <f>Option2!M$82*conv_2026*M$7</f>
        <v>-321916.08635755238</v>
      </c>
      <c r="N32" s="31">
        <f>Option2!N$82*conv_2026*N$7</f>
        <v>-321916.08635755238</v>
      </c>
      <c r="O32" s="31">
        <f>Option2!O$82*conv_2026*O$7</f>
        <v>-321916.08635755238</v>
      </c>
      <c r="P32" s="31">
        <f>Option2!P$82*conv_2026*P$7</f>
        <v>-321916.08635755238</v>
      </c>
      <c r="Q32" s="31">
        <f>Option2!Q$82*conv_2026*Q$7</f>
        <v>-321916.08635755238</v>
      </c>
      <c r="R32" s="31">
        <f>Option2!R$82*conv_2026*R$7</f>
        <v>-321916.08635755238</v>
      </c>
      <c r="S32" s="31">
        <f>Option2!S$82*conv_2026*S$7</f>
        <v>-321916.08635755238</v>
      </c>
      <c r="T32" s="31">
        <f>Option2!T$82*conv_2026*T$7</f>
        <v>-321916.08635755238</v>
      </c>
      <c r="U32" s="31">
        <f>Option2!U$82*conv_2026*U$7</f>
        <v>-321916.08635755238</v>
      </c>
      <c r="V32" s="31">
        <f>Option2!V$82*conv_2026*V$7</f>
        <v>-321916.08635755238</v>
      </c>
      <c r="W32" s="31">
        <f>Option2!W$82*conv_2026*W$7</f>
        <v>-321916.08635755238</v>
      </c>
      <c r="X32" s="31">
        <f>Option2!X$82*conv_2026*X$7</f>
        <v>-321916.08635755238</v>
      </c>
      <c r="Y32" s="31">
        <f>Option2!Y$82*conv_2026*Y$7</f>
        <v>-321916.08635755238</v>
      </c>
      <c r="Z32" s="31">
        <f>Option2!Z$82*conv_2026*Z$7</f>
        <v>-321916.08635755238</v>
      </c>
      <c r="AA32" s="31">
        <f>Option2!AA$82*conv_2026*AA$7</f>
        <v>-321916.08635755238</v>
      </c>
      <c r="AB32" s="31">
        <f>Option2!AB$82*conv_2026*AB$7</f>
        <v>-321916.08635755238</v>
      </c>
      <c r="AC32" s="31">
        <f>Option2!AC$82*conv_2026*AC$7</f>
        <v>0</v>
      </c>
      <c r="AD32" s="31">
        <f>Option2!AD$82*conv_2026*AD$7</f>
        <v>0</v>
      </c>
      <c r="AE32" s="31">
        <f>Option2!AE$82*conv_2026*AE$7</f>
        <v>0</v>
      </c>
      <c r="AF32" s="31">
        <f>Option2!AF$82*conv_2026*AF$7</f>
        <v>0</v>
      </c>
      <c r="AG32" s="31">
        <f>Option2!AG$82*conv_2026*AG$7</f>
        <v>0</v>
      </c>
    </row>
    <row r="33" spans="1:33" s="2" customFormat="1" x14ac:dyDescent="0.2">
      <c r="A33" s="135" t="str">
        <f t="shared" si="7"/>
        <v>Option 2</v>
      </c>
      <c r="B33" s="135"/>
      <c r="C33" s="58" t="str">
        <f>Option2!C$83</f>
        <v>Operating expenditure</v>
      </c>
      <c r="D33" s="38" t="str">
        <f t="shared" si="6"/>
        <v>Option 2Operating expenditure</v>
      </c>
      <c r="E33" s="1"/>
      <c r="F33" s="97" cm="1">
        <f t="array" ref="F33">SUMPRODUCT(($H33:$AG33)*($H$5:$AG$5)*($H$7:$AG$7))</f>
        <v>0</v>
      </c>
      <c r="G33" s="225">
        <f t="shared" si="8"/>
        <v>46203</v>
      </c>
      <c r="H33" s="31"/>
      <c r="I33" s="31">
        <f>Option2!I$83*conv_2026*I$7</f>
        <v>0</v>
      </c>
      <c r="J33" s="31">
        <f>Option2!J$83*conv_2026*J$7</f>
        <v>0</v>
      </c>
      <c r="K33" s="31">
        <f>Option2!K$83*conv_2026*K$7</f>
        <v>0</v>
      </c>
      <c r="L33" s="31">
        <f>Option2!L$83*conv_2026*L$7</f>
        <v>0</v>
      </c>
      <c r="M33" s="31">
        <f>Option2!M$83*conv_2026*M$7</f>
        <v>0</v>
      </c>
      <c r="N33" s="31">
        <f>Option2!N$83*conv_2026*N$7</f>
        <v>0</v>
      </c>
      <c r="O33" s="31">
        <f>Option2!O$83*conv_2026*O$7</f>
        <v>0</v>
      </c>
      <c r="P33" s="31">
        <f>Option2!P$83*conv_2026*P$7</f>
        <v>0</v>
      </c>
      <c r="Q33" s="31">
        <f>Option2!Q$83*conv_2026*Q$7</f>
        <v>0</v>
      </c>
      <c r="R33" s="31">
        <f>Option2!R$83*conv_2026*R$7</f>
        <v>0</v>
      </c>
      <c r="S33" s="31">
        <f>Option2!S$83*conv_2026*S$7</f>
        <v>0</v>
      </c>
      <c r="T33" s="31">
        <f>Option2!T$83*conv_2026*T$7</f>
        <v>0</v>
      </c>
      <c r="U33" s="31">
        <f>Option2!U$83*conv_2026*U$7</f>
        <v>0</v>
      </c>
      <c r="V33" s="31">
        <f>Option2!V$83*conv_2026*V$7</f>
        <v>0</v>
      </c>
      <c r="W33" s="31">
        <f>Option2!W$83*conv_2026*W$7</f>
        <v>0</v>
      </c>
      <c r="X33" s="31">
        <f>Option2!X$83*conv_2026*X$7</f>
        <v>0</v>
      </c>
      <c r="Y33" s="31">
        <f>Option2!Y$83*conv_2026*Y$7</f>
        <v>0</v>
      </c>
      <c r="Z33" s="31">
        <f>Option2!Z$83*conv_2026*Z$7</f>
        <v>0</v>
      </c>
      <c r="AA33" s="31">
        <f>Option2!AA$83*conv_2026*AA$7</f>
        <v>0</v>
      </c>
      <c r="AB33" s="31">
        <f>Option2!AB$83*conv_2026*AB$7</f>
        <v>0</v>
      </c>
      <c r="AC33" s="31">
        <f>Option2!AC$83*conv_2026*AC$7</f>
        <v>0</v>
      </c>
      <c r="AD33" s="31">
        <f>Option2!AD$83*conv_2026*AD$7</f>
        <v>0</v>
      </c>
      <c r="AE33" s="31">
        <f>Option2!AE$83*conv_2026*AE$7</f>
        <v>0</v>
      </c>
      <c r="AF33" s="31">
        <f>Option2!AF$83*conv_2026*AF$7</f>
        <v>0</v>
      </c>
      <c r="AG33" s="31">
        <f>Option2!AG$83*conv_2026*AG$7</f>
        <v>0</v>
      </c>
    </row>
    <row r="34" spans="1:33" s="2" customFormat="1" x14ac:dyDescent="0.2">
      <c r="A34" s="135" t="str">
        <f t="shared" si="7"/>
        <v>Option 2</v>
      </c>
      <c r="B34" s="135"/>
      <c r="C34" s="58" t="str">
        <f>Option2!C$84</f>
        <v>Risk mitigated</v>
      </c>
      <c r="D34" s="38" t="str">
        <f t="shared" si="6"/>
        <v>Option 2Risk mitigated</v>
      </c>
      <c r="E34" s="1"/>
      <c r="F34" s="97" cm="1">
        <f t="array" ref="F34">SUMPRODUCT(($H34:$AG34)*($H$5:$AG$5)*($H$7:$AG$7))</f>
        <v>5314824.2844156707</v>
      </c>
      <c r="G34" s="225">
        <f t="shared" si="8"/>
        <v>46203</v>
      </c>
      <c r="H34" s="31"/>
      <c r="I34" s="31">
        <f>Option2!I$84*conv_2026*I$7</f>
        <v>190256.70934905979</v>
      </c>
      <c r="J34" s="31">
        <f>Option2!J$84*conv_2026*J$7</f>
        <v>380513.41869811749</v>
      </c>
      <c r="K34" s="31">
        <f>Option2!K$84*conv_2026*K$7</f>
        <v>380513.41869811749</v>
      </c>
      <c r="L34" s="31">
        <f>Option2!L$84*conv_2026*L$7</f>
        <v>380513.41869811749</v>
      </c>
      <c r="M34" s="31">
        <f>Option2!M$84*conv_2026*M$7</f>
        <v>380513.41869811749</v>
      </c>
      <c r="N34" s="31">
        <f>Option2!N$84*conv_2026*N$7</f>
        <v>380513.41869811749</v>
      </c>
      <c r="O34" s="31">
        <f>Option2!O$84*conv_2026*O$7</f>
        <v>380513.41869811749</v>
      </c>
      <c r="P34" s="31">
        <f>Option2!P$84*conv_2026*P$7</f>
        <v>380513.41869811749</v>
      </c>
      <c r="Q34" s="31">
        <f>Option2!Q$84*conv_2026*Q$7</f>
        <v>380513.41869811749</v>
      </c>
      <c r="R34" s="31">
        <f>Option2!R$84*conv_2026*R$7</f>
        <v>380513.41869811749</v>
      </c>
      <c r="S34" s="31">
        <f>Option2!S$84*conv_2026*S$7</f>
        <v>380513.41869811749</v>
      </c>
      <c r="T34" s="31">
        <f>Option2!T$84*conv_2026*T$7</f>
        <v>380513.41869811749</v>
      </c>
      <c r="U34" s="31">
        <f>Option2!U$84*conv_2026*U$7</f>
        <v>380513.41869811749</v>
      </c>
      <c r="V34" s="31">
        <f>Option2!V$84*conv_2026*V$7</f>
        <v>380513.41869811749</v>
      </c>
      <c r="W34" s="31">
        <f>Option2!W$84*conv_2026*W$7</f>
        <v>380513.41869811749</v>
      </c>
      <c r="X34" s="31">
        <f>Option2!X$84*conv_2026*X$7</f>
        <v>380513.41869811749</v>
      </c>
      <c r="Y34" s="31">
        <f>Option2!Y$84*conv_2026*Y$7</f>
        <v>380513.41869811749</v>
      </c>
      <c r="Z34" s="31">
        <f>Option2!Z$84*conv_2026*Z$7</f>
        <v>380513.41869811749</v>
      </c>
      <c r="AA34" s="31">
        <f>Option2!AA$84*conv_2026*AA$7</f>
        <v>380513.41869811749</v>
      </c>
      <c r="AB34" s="31">
        <f>Option2!AB$84*conv_2026*AB$7</f>
        <v>380513.41869811749</v>
      </c>
      <c r="AC34" s="31">
        <f>Option2!AC$84*conv_2026*AC$7</f>
        <v>0</v>
      </c>
      <c r="AD34" s="31">
        <f>Option2!AD$84*conv_2026*AD$7</f>
        <v>0</v>
      </c>
      <c r="AE34" s="31">
        <f>Option2!AE$84*conv_2026*AE$7</f>
        <v>0</v>
      </c>
      <c r="AF34" s="31">
        <f>Option2!AF$84*conv_2026*AF$7</f>
        <v>0</v>
      </c>
      <c r="AG34" s="31">
        <f>Option2!AG$84*conv_2026*AG$7</f>
        <v>0</v>
      </c>
    </row>
    <row r="35" spans="1:33" s="2" customFormat="1" x14ac:dyDescent="0.2">
      <c r="A35" s="135" t="str">
        <f t="shared" si="7"/>
        <v>Option 2</v>
      </c>
      <c r="B35" s="135"/>
      <c r="C35" s="58" t="str">
        <f>Option2!C$85</f>
        <v>Other benefits value</v>
      </c>
      <c r="D35" s="38" t="str">
        <f t="shared" si="6"/>
        <v>Option 2Other benefits value</v>
      </c>
      <c r="E35" s="1"/>
      <c r="F35" s="97" cm="1">
        <f t="array" ref="F35">SUMPRODUCT(($H35:$AG35)*($H$5:$AG$5)*($H$7:$AG$7))</f>
        <v>0</v>
      </c>
      <c r="G35" s="225">
        <f t="shared" si="8"/>
        <v>46203</v>
      </c>
      <c r="H35" s="31"/>
      <c r="I35" s="31">
        <f>Option2!I$85*conv_2026*I$7</f>
        <v>0</v>
      </c>
      <c r="J35" s="31">
        <f>Option2!J$85*conv_2026*J$7</f>
        <v>0</v>
      </c>
      <c r="K35" s="31">
        <f>Option2!K$85*conv_2026*K$7</f>
        <v>0</v>
      </c>
      <c r="L35" s="31">
        <f>Option2!L$85*conv_2026*L$7</f>
        <v>0</v>
      </c>
      <c r="M35" s="31">
        <f>Option2!M$85*conv_2026*M$7</f>
        <v>0</v>
      </c>
      <c r="N35" s="31">
        <f>Option2!N$85*conv_2026*N$7</f>
        <v>0</v>
      </c>
      <c r="O35" s="31">
        <f>Option2!O$85*conv_2026*O$7</f>
        <v>0</v>
      </c>
      <c r="P35" s="31">
        <f>Option2!P$85*conv_2026*P$7</f>
        <v>0</v>
      </c>
      <c r="Q35" s="31">
        <f>Option2!Q$85*conv_2026*Q$7</f>
        <v>0</v>
      </c>
      <c r="R35" s="31">
        <f>Option2!R$85*conv_2026*R$7</f>
        <v>0</v>
      </c>
      <c r="S35" s="31">
        <f>Option2!S$85*conv_2026*S$7</f>
        <v>0</v>
      </c>
      <c r="T35" s="31">
        <f>Option2!T$85*conv_2026*T$7</f>
        <v>0</v>
      </c>
      <c r="U35" s="31">
        <f>Option2!U$85*conv_2026*U$7</f>
        <v>0</v>
      </c>
      <c r="V35" s="31">
        <f>Option2!V$85*conv_2026*V$7</f>
        <v>0</v>
      </c>
      <c r="W35" s="31">
        <f>Option2!W$85*conv_2026*W$7</f>
        <v>0</v>
      </c>
      <c r="X35" s="31">
        <f>Option2!X$85*conv_2026*X$7</f>
        <v>0</v>
      </c>
      <c r="Y35" s="31">
        <f>Option2!Y$85*conv_2026*Y$7</f>
        <v>0</v>
      </c>
      <c r="Z35" s="31">
        <f>Option2!Z$85*conv_2026*Z$7</f>
        <v>0</v>
      </c>
      <c r="AA35" s="31">
        <f>Option2!AA$85*conv_2026*AA$7</f>
        <v>0</v>
      </c>
      <c r="AB35" s="31">
        <f>Option2!AB$85*conv_2026*AB$7</f>
        <v>0</v>
      </c>
      <c r="AC35" s="31">
        <f>Option2!AC$85*conv_2026*AC$7</f>
        <v>0</v>
      </c>
      <c r="AD35" s="31">
        <f>Option2!AD$85*conv_2026*AD$7</f>
        <v>0</v>
      </c>
      <c r="AE35" s="31">
        <f>Option2!AE$85*conv_2026*AE$7</f>
        <v>0</v>
      </c>
      <c r="AF35" s="31">
        <f>Option2!AF$85*conv_2026*AF$7</f>
        <v>0</v>
      </c>
      <c r="AG35" s="31">
        <f>Option2!AG$85*conv_2026*AG$7</f>
        <v>0</v>
      </c>
    </row>
    <row r="36" spans="1:33" s="2" customFormat="1" x14ac:dyDescent="0.2">
      <c r="A36" s="135" t="str">
        <f t="shared" si="7"/>
        <v>Option 2</v>
      </c>
      <c r="B36" s="135"/>
      <c r="C36" s="125" t="str">
        <f>Option2!C87</f>
        <v>Net benefits</v>
      </c>
      <c r="D36" s="109" t="str">
        <f t="shared" si="6"/>
        <v>Option 2Net benefits</v>
      </c>
      <c r="E36" s="110"/>
      <c r="F36" s="143"/>
      <c r="G36" s="227">
        <f t="shared" si="8"/>
        <v>46203</v>
      </c>
      <c r="H36" s="52"/>
      <c r="I36" s="52">
        <f>SUM(I32:I35)</f>
        <v>190256.70934905979</v>
      </c>
      <c r="J36" s="52">
        <f t="shared" ref="J36:AG36" si="9">SUM(J32:J35)</f>
        <v>219555.37551934129</v>
      </c>
      <c r="K36" s="52">
        <f t="shared" si="9"/>
        <v>58597.332340565103</v>
      </c>
      <c r="L36" s="52">
        <f t="shared" si="9"/>
        <v>58597.332340565103</v>
      </c>
      <c r="M36" s="52">
        <f t="shared" si="9"/>
        <v>58597.332340565103</v>
      </c>
      <c r="N36" s="52">
        <f t="shared" si="9"/>
        <v>58597.332340565103</v>
      </c>
      <c r="O36" s="52">
        <f t="shared" si="9"/>
        <v>58597.332340565103</v>
      </c>
      <c r="P36" s="52">
        <f t="shared" si="9"/>
        <v>58597.332340565103</v>
      </c>
      <c r="Q36" s="52">
        <f t="shared" si="9"/>
        <v>58597.332340565103</v>
      </c>
      <c r="R36" s="52">
        <f t="shared" si="9"/>
        <v>58597.332340565103</v>
      </c>
      <c r="S36" s="52">
        <f t="shared" si="9"/>
        <v>58597.332340565103</v>
      </c>
      <c r="T36" s="52">
        <f t="shared" si="9"/>
        <v>58597.332340565103</v>
      </c>
      <c r="U36" s="52">
        <f t="shared" si="9"/>
        <v>58597.332340565103</v>
      </c>
      <c r="V36" s="52">
        <f t="shared" si="9"/>
        <v>58597.332340565103</v>
      </c>
      <c r="W36" s="52">
        <f t="shared" si="9"/>
        <v>58597.332340565103</v>
      </c>
      <c r="X36" s="52">
        <f t="shared" si="9"/>
        <v>58597.332340565103</v>
      </c>
      <c r="Y36" s="52">
        <f t="shared" si="9"/>
        <v>58597.332340565103</v>
      </c>
      <c r="Z36" s="52">
        <f t="shared" si="9"/>
        <v>58597.332340565103</v>
      </c>
      <c r="AA36" s="52">
        <f t="shared" si="9"/>
        <v>58597.332340565103</v>
      </c>
      <c r="AB36" s="52">
        <f t="shared" si="9"/>
        <v>58597.332340565103</v>
      </c>
      <c r="AC36" s="52">
        <f t="shared" si="9"/>
        <v>0</v>
      </c>
      <c r="AD36" s="52">
        <f t="shared" si="9"/>
        <v>0</v>
      </c>
      <c r="AE36" s="52">
        <f t="shared" si="9"/>
        <v>0</v>
      </c>
      <c r="AF36" s="52">
        <f t="shared" si="9"/>
        <v>0</v>
      </c>
      <c r="AG36" s="52">
        <f t="shared" si="9"/>
        <v>0</v>
      </c>
    </row>
    <row r="37" spans="1:33" s="2" customFormat="1" x14ac:dyDescent="0.2">
      <c r="A37" s="135" t="str">
        <f t="shared" si="7"/>
        <v>Option 2</v>
      </c>
      <c r="B37" s="135"/>
      <c r="C37" s="8" t="s">
        <v>119</v>
      </c>
      <c r="D37" s="38" t="str">
        <f t="shared" si="6"/>
        <v>Option 2NPV</v>
      </c>
      <c r="E37" s="1"/>
      <c r="F37" s="108" cm="1">
        <f t="array" ref="F37">SUMPRODUCT(($H36:$AG36)*($H$5:$AG$5)*($H$7:$AG$7))</f>
        <v>1129534.765841783</v>
      </c>
      <c r="G37" s="225">
        <f t="shared" si="8"/>
        <v>46203</v>
      </c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</row>
    <row r="38" spans="1:33" s="2" customFormat="1" x14ac:dyDescent="0.2">
      <c r="A38" s="135" t="str">
        <f t="shared" si="7"/>
        <v>Option 2</v>
      </c>
      <c r="B38" s="135"/>
      <c r="C38" s="8" t="s">
        <v>187</v>
      </c>
      <c r="D38" s="38" t="str">
        <f t="shared" si="6"/>
        <v>Option 2PV of costs</v>
      </c>
      <c r="E38" s="1"/>
      <c r="F38" s="108">
        <f>SUM(F32:F33)</f>
        <v>-4185289.5185738876</v>
      </c>
      <c r="G38" s="225">
        <f t="shared" si="8"/>
        <v>46203</v>
      </c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</row>
    <row r="39" spans="1:33" s="2" customFormat="1" x14ac:dyDescent="0.2">
      <c r="A39" s="135" t="str">
        <f t="shared" si="7"/>
        <v>Option 2</v>
      </c>
      <c r="B39" s="135"/>
      <c r="C39" s="8" t="s">
        <v>188</v>
      </c>
      <c r="D39" s="38" t="str">
        <f t="shared" si="6"/>
        <v>Option 2PV of benefits</v>
      </c>
      <c r="E39" s="1"/>
      <c r="F39" s="108">
        <f>SUM(F34:F35)</f>
        <v>5314824.2844156707</v>
      </c>
      <c r="G39" s="225">
        <f t="shared" si="8"/>
        <v>46203</v>
      </c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</row>
    <row r="40" spans="1:33" s="2" customFormat="1" x14ac:dyDescent="0.2">
      <c r="A40" s="135"/>
      <c r="B40" s="135"/>
      <c r="C40" s="1"/>
      <c r="D40" s="38"/>
      <c r="E40" s="1"/>
      <c r="F40" s="108"/>
      <c r="G40" s="228"/>
      <c r="H40" s="1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</row>
    <row r="41" spans="1:33" s="2" customFormat="1" x14ac:dyDescent="0.2">
      <c r="A41" s="123"/>
      <c r="B41" s="123"/>
      <c r="C41" s="123"/>
      <c r="D41" s="38" t="str">
        <f>A41&amp;C41</f>
        <v/>
      </c>
      <c r="F41" s="118"/>
      <c r="G41" s="221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</row>
    <row r="42" spans="1:33" s="270" customFormat="1" x14ac:dyDescent="0.2">
      <c r="A42" s="268" t="str">
        <f>A43</f>
        <v>Option 3</v>
      </c>
      <c r="B42" s="268"/>
      <c r="C42" s="268" t="s">
        <v>124</v>
      </c>
      <c r="D42" s="269" t="str">
        <f>A42&amp;C42</f>
        <v>Option 3Energy at risk value</v>
      </c>
      <c r="F42" s="97">
        <f>SUMPRODUCT($H42:$AG42, $H$5:$AG$5)</f>
        <v>10243601.184426134</v>
      </c>
      <c r="G42" s="271">
        <f>output_dollars</f>
        <v>46203</v>
      </c>
      <c r="H42" s="272"/>
      <c r="I42" s="31">
        <f>Option3!I$28*conv_2026</f>
        <v>882196.61070542037</v>
      </c>
      <c r="J42" s="31">
        <f>Option3!J$28*conv_2026</f>
        <v>819857.23564486601</v>
      </c>
      <c r="K42" s="31">
        <f>Option3!K$28*conv_2026</f>
        <v>757517.86058431177</v>
      </c>
      <c r="L42" s="31">
        <f>Option3!L$28*conv_2026</f>
        <v>695178.48552375741</v>
      </c>
      <c r="M42" s="31">
        <f>Option3!M$28*conv_2026</f>
        <v>632839.11046320305</v>
      </c>
      <c r="N42" s="31">
        <f>Option3!N$28*conv_2026</f>
        <v>632839.11046320305</v>
      </c>
      <c r="O42" s="31">
        <f>Option3!O$28*conv_2026</f>
        <v>632839.11046320305</v>
      </c>
      <c r="P42" s="31">
        <f>Option3!P$28*conv_2026</f>
        <v>632839.11046320305</v>
      </c>
      <c r="Q42" s="31">
        <f>Option3!Q$28*conv_2026</f>
        <v>632839.11046320305</v>
      </c>
      <c r="R42" s="31">
        <f>Option3!R$28*conv_2026</f>
        <v>632839.11046320305</v>
      </c>
      <c r="S42" s="31">
        <f>Option3!S$28*conv_2026</f>
        <v>632839.11046320305</v>
      </c>
      <c r="T42" s="31">
        <f>Option3!T$28*conv_2026</f>
        <v>632839.11046320305</v>
      </c>
      <c r="U42" s="31">
        <f>Option3!U$28*conv_2026</f>
        <v>632839.11046320305</v>
      </c>
      <c r="V42" s="31">
        <f>Option3!V$28*conv_2026</f>
        <v>632839.11046320305</v>
      </c>
      <c r="W42" s="31">
        <f>Option3!W$28*conv_2026</f>
        <v>632839.11046320305</v>
      </c>
      <c r="X42" s="31">
        <f>Option3!X$28*conv_2026</f>
        <v>695178.48552375741</v>
      </c>
      <c r="Y42" s="31">
        <f>Option3!Y$28*conv_2026</f>
        <v>757517.86058431177</v>
      </c>
      <c r="Z42" s="31">
        <f>Option3!Z$28*conv_2026</f>
        <v>819857.23564486601</v>
      </c>
      <c r="AA42" s="31">
        <f>Option3!AA$28*conv_2026</f>
        <v>882196.61070542037</v>
      </c>
      <c r="AB42" s="31">
        <f>Option3!AB$28*conv_2026</f>
        <v>944535.98576597462</v>
      </c>
      <c r="AC42" s="31">
        <f>Option3!AC$28*conv_2026</f>
        <v>0</v>
      </c>
      <c r="AD42" s="31">
        <f>Option3!AD$28*conv_2026</f>
        <v>0</v>
      </c>
      <c r="AE42" s="31">
        <f>Option3!AE$28*conv_2026</f>
        <v>0</v>
      </c>
      <c r="AF42" s="31">
        <f>Option3!AF$28*conv_2026</f>
        <v>0</v>
      </c>
      <c r="AG42" s="31">
        <f>Option3!AG$28*conv_2026</f>
        <v>0</v>
      </c>
    </row>
    <row r="43" spans="1:33" s="2" customFormat="1" x14ac:dyDescent="0.2">
      <c r="A43" s="135" t="str">
        <f>Data!B11</f>
        <v>Option 3</v>
      </c>
      <c r="B43" s="135"/>
      <c r="C43" s="58" t="str">
        <f>Option3!C$66</f>
        <v>Capital expenditure</v>
      </c>
      <c r="D43" s="38" t="str">
        <f>A43&amp;C43</f>
        <v>Option 3Capital expenditure</v>
      </c>
      <c r="E43" s="1"/>
      <c r="F43" s="97">
        <f>SUMPRODUCT($H43:$AG43, $H$5:$AG$5)</f>
        <v>-64843002.334436163</v>
      </c>
      <c r="G43" s="225">
        <f>output_dollars</f>
        <v>46203</v>
      </c>
      <c r="H43" s="31"/>
      <c r="I43" s="31">
        <f>SUM(Option3!I$67:I$69)*conv_2026*I$7</f>
        <v>-14116601.258915294</v>
      </c>
      <c r="J43" s="31">
        <f>SUM(Option3!J$67:J$69)*conv_2026*J$7</f>
        <v>-14116601.258915294</v>
      </c>
      <c r="K43" s="31">
        <f>SUM(Option3!K$67:K$69)*conv_2026*K$7</f>
        <v>-14116601.258915294</v>
      </c>
      <c r="L43" s="31">
        <f>SUM(Option3!L$67:L$69)*conv_2026*L$7</f>
        <v>-14116601.258915294</v>
      </c>
      <c r="M43" s="31">
        <f>SUM(Option3!M$67:M$69)*conv_2026*M$7</f>
        <v>-14116601.258915294</v>
      </c>
      <c r="N43" s="31">
        <f>SUM(Option3!N$67:N$69)*conv_2026*N$7</f>
        <v>0</v>
      </c>
      <c r="O43" s="31">
        <f>SUM(Option3!O$67:O$69)*conv_2026*O$7</f>
        <v>0</v>
      </c>
      <c r="P43" s="31">
        <f>SUM(Option3!P$67:P$69)*conv_2026*P$7</f>
        <v>0</v>
      </c>
      <c r="Q43" s="31">
        <f>SUM(Option3!Q$67:Q$69)*conv_2026*Q$7</f>
        <v>0</v>
      </c>
      <c r="R43" s="31">
        <f>SUM(Option3!R$67:R$69)*conv_2026*R$7</f>
        <v>0</v>
      </c>
      <c r="S43" s="31">
        <f>SUM(Option3!S$67:S$69)*conv_2026*S$7</f>
        <v>0</v>
      </c>
      <c r="T43" s="31">
        <f>SUM(Option3!T$67:T$69)*conv_2026*T$7</f>
        <v>0</v>
      </c>
      <c r="U43" s="31">
        <f>SUM(Option3!U$67:U$69)*conv_2026*U$7</f>
        <v>0</v>
      </c>
      <c r="V43" s="31">
        <f>SUM(Option3!V$67:V$69)*conv_2026*V$7</f>
        <v>0</v>
      </c>
      <c r="W43" s="31">
        <f>SUM(Option3!W$67:W$69)*conv_2026*W$7</f>
        <v>0</v>
      </c>
      <c r="X43" s="31">
        <f>SUM(Option3!X$67:X$69)*conv_2026*X$7</f>
        <v>0</v>
      </c>
      <c r="Y43" s="31">
        <f>SUM(Option3!Y$67:Y$69)*conv_2026*Y$7</f>
        <v>0</v>
      </c>
      <c r="Z43" s="31">
        <f>SUM(Option3!Z$67:Z$69)*conv_2026*Z$7</f>
        <v>0</v>
      </c>
      <c r="AA43" s="31">
        <f>SUM(Option3!AA$67:AA$69)*conv_2026*AA$7</f>
        <v>0</v>
      </c>
      <c r="AB43" s="31">
        <f>SUM(Option3!AB$67:AB$69)*conv_2026*AB$7</f>
        <v>0</v>
      </c>
      <c r="AC43" s="31">
        <f>SUM(Option3!AC$67:AC$69)*conv_2026*AC$7</f>
        <v>0</v>
      </c>
      <c r="AD43" s="31">
        <f>SUM(Option3!AD$67:AD$69)*conv_2026*AD$7</f>
        <v>0</v>
      </c>
      <c r="AE43" s="31">
        <f>SUM(Option3!AE$67:AE$69)*conv_2026*AE$7</f>
        <v>0</v>
      </c>
      <c r="AF43" s="31">
        <f>SUM(Option3!AF$67:AF$69)*conv_2026*AF$7</f>
        <v>0</v>
      </c>
      <c r="AG43" s="31">
        <f>SUM(Option3!AG$67:AG$69)*conv_2026*AG$7</f>
        <v>0</v>
      </c>
    </row>
    <row r="44" spans="1:33" s="2" customFormat="1" x14ac:dyDescent="0.2">
      <c r="A44" s="135" t="str">
        <f t="shared" ref="A44:A53" si="10">A43</f>
        <v>Option 3</v>
      </c>
      <c r="B44" s="135"/>
      <c r="C44" s="58" t="str">
        <f>'Option1 (base case)'!C$36</f>
        <v>Total risk cost</v>
      </c>
      <c r="D44" s="38" t="str">
        <f>A44&amp;C44</f>
        <v>Option 3Total risk cost</v>
      </c>
      <c r="E44" s="1"/>
      <c r="F44" s="97">
        <f>SUMPRODUCT($H44:$AG44, $H$5:$AG$5)</f>
        <v>188743913.40493497</v>
      </c>
      <c r="G44" s="225">
        <f>output_dollars</f>
        <v>46203</v>
      </c>
      <c r="H44" s="31"/>
      <c r="I44" s="31">
        <f>Option3!I$36*conv_2026*I$7</f>
        <v>16254951.525276421</v>
      </c>
      <c r="J44" s="31">
        <f>Option3!J$36*conv_2026*J$7</f>
        <v>15106314.693725837</v>
      </c>
      <c r="K44" s="31">
        <f>Option3!K$36*conv_2026*K$7</f>
        <v>13957677.862175258</v>
      </c>
      <c r="L44" s="31">
        <f>Option3!L$36*conv_2026*L$7</f>
        <v>12809041.030624676</v>
      </c>
      <c r="M44" s="31">
        <f>Option3!M$36*conv_2026*M$7</f>
        <v>11660404.199074093</v>
      </c>
      <c r="N44" s="31">
        <f>Option3!N$36*conv_2026*N$7</f>
        <v>11660404.199074093</v>
      </c>
      <c r="O44" s="31">
        <f>Option3!O$36*conv_2026*O$7</f>
        <v>11660404.199074093</v>
      </c>
      <c r="P44" s="31">
        <f>Option3!P$36*conv_2026*P$7</f>
        <v>11660404.199074093</v>
      </c>
      <c r="Q44" s="31">
        <f>Option3!Q$36*conv_2026*Q$7</f>
        <v>11660404.199074093</v>
      </c>
      <c r="R44" s="31">
        <f>Option3!R$36*conv_2026*R$7</f>
        <v>11660404.199074093</v>
      </c>
      <c r="S44" s="31">
        <f>Option3!S$36*conv_2026*S$7</f>
        <v>11660404.199074093</v>
      </c>
      <c r="T44" s="31">
        <f>Option3!T$36*conv_2026*T$7</f>
        <v>11660404.199074093</v>
      </c>
      <c r="U44" s="31">
        <f>Option3!U$36*conv_2026*U$7</f>
        <v>11660404.199074093</v>
      </c>
      <c r="V44" s="31">
        <f>Option3!V$36*conv_2026*V$7</f>
        <v>11660404.199074093</v>
      </c>
      <c r="W44" s="31">
        <f>Option3!W$36*conv_2026*W$7</f>
        <v>11660404.199074093</v>
      </c>
      <c r="X44" s="31">
        <f>Option3!X$36*conv_2026*X$7</f>
        <v>12809041.030624676</v>
      </c>
      <c r="Y44" s="31">
        <f>Option3!Y$36*conv_2026*Y$7</f>
        <v>13957677.862175258</v>
      </c>
      <c r="Z44" s="31">
        <f>Option3!Z$36*conv_2026*Z$7</f>
        <v>15106314.693725837</v>
      </c>
      <c r="AA44" s="31">
        <f>Option3!AA$36*conv_2026*AA$7</f>
        <v>16254951.525276421</v>
      </c>
      <c r="AB44" s="31">
        <f>Option3!AB$36*conv_2026*AB$7</f>
        <v>17403588.356827002</v>
      </c>
      <c r="AC44" s="31">
        <f>Option3!AC$36*conv_2026*AC$7</f>
        <v>0</v>
      </c>
      <c r="AD44" s="31">
        <f>Option3!AD$36*conv_2026*AD$7</f>
        <v>0</v>
      </c>
      <c r="AE44" s="31">
        <f>Option3!AE$36*conv_2026*AE$7</f>
        <v>0</v>
      </c>
      <c r="AF44" s="31">
        <f>Option3!AF$36*conv_2026*AF$7</f>
        <v>0</v>
      </c>
      <c r="AG44" s="31">
        <f>Option3!AG$36*conv_2026*AG$7</f>
        <v>0</v>
      </c>
    </row>
    <row r="45" spans="1:33" s="2" customFormat="1" x14ac:dyDescent="0.2">
      <c r="A45" s="135" t="str">
        <f t="shared" si="10"/>
        <v>Option 3</v>
      </c>
      <c r="B45" s="135"/>
      <c r="C45" s="58"/>
      <c r="D45" s="38"/>
      <c r="E45" s="1"/>
      <c r="F45" s="97"/>
      <c r="G45" s="225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</row>
    <row r="46" spans="1:33" s="2" customFormat="1" x14ac:dyDescent="0.2">
      <c r="A46" s="135" t="str">
        <f t="shared" si="10"/>
        <v>Option 3</v>
      </c>
      <c r="B46" s="135"/>
      <c r="C46" s="58" t="str">
        <f>Option3!C$82</f>
        <v>Annualised capex</v>
      </c>
      <c r="D46" s="38" t="str">
        <f t="shared" ref="D46:D53" si="11">A46&amp;C46</f>
        <v>Option 3Annualised capex</v>
      </c>
      <c r="E46" s="1"/>
      <c r="F46" s="97">
        <f>SUMPRODUCT($H46:$AG46, $H$5:$AG$5)</f>
        <v>-64843002.334436208</v>
      </c>
      <c r="G46" s="225">
        <f t="shared" ref="G46:G53" si="12">output_dollars</f>
        <v>46203</v>
      </c>
      <c r="H46" s="31"/>
      <c r="I46" s="31">
        <f>Option3!I$82*conv_2026*I$7</f>
        <v>0</v>
      </c>
      <c r="J46" s="31">
        <f>Option3!J$82*conv_2026*J$7</f>
        <v>-1225674.8835179487</v>
      </c>
      <c r="K46" s="31">
        <f>Option3!K$82*conv_2026*K$7</f>
        <v>-2451349.7670358974</v>
      </c>
      <c r="L46" s="31">
        <f>Option3!L$82*conv_2026*L$7</f>
        <v>-3677024.6505538453</v>
      </c>
      <c r="M46" s="31">
        <f>Option3!M$82*conv_2026*M$7</f>
        <v>-4902699.5340717947</v>
      </c>
      <c r="N46" s="31">
        <f>Option3!N$82*conv_2026*N$7</f>
        <v>-6128374.4175897427</v>
      </c>
      <c r="O46" s="31">
        <f>Option3!O$82*conv_2026*O$7</f>
        <v>-6128374.4175897427</v>
      </c>
      <c r="P46" s="31">
        <f>Option3!P$82*conv_2026*P$7</f>
        <v>-6128374.4175897427</v>
      </c>
      <c r="Q46" s="31">
        <f>Option3!Q$82*conv_2026*Q$7</f>
        <v>-6128374.4175897427</v>
      </c>
      <c r="R46" s="31">
        <f>Option3!R$82*conv_2026*R$7</f>
        <v>-6128374.4175897427</v>
      </c>
      <c r="S46" s="31">
        <f>Option3!S$82*conv_2026*S$7</f>
        <v>-6128374.4175897427</v>
      </c>
      <c r="T46" s="31">
        <f>Option3!T$82*conv_2026*T$7</f>
        <v>-6128374.4175897427</v>
      </c>
      <c r="U46" s="31">
        <f>Option3!U$82*conv_2026*U$7</f>
        <v>-6128374.4175897427</v>
      </c>
      <c r="V46" s="31">
        <f>Option3!V$82*conv_2026*V$7</f>
        <v>-6128374.4175897427</v>
      </c>
      <c r="W46" s="31">
        <f>Option3!W$82*conv_2026*W$7</f>
        <v>-6128374.4175897427</v>
      </c>
      <c r="X46" s="31">
        <f>Option3!X$82*conv_2026*X$7</f>
        <v>-6128374.4175897427</v>
      </c>
      <c r="Y46" s="31">
        <f>Option3!Y$82*conv_2026*Y$7</f>
        <v>-4902699.5340717947</v>
      </c>
      <c r="Z46" s="31">
        <f>Option3!Z$82*conv_2026*Z$7</f>
        <v>-3677024.6505538453</v>
      </c>
      <c r="AA46" s="31">
        <f>Option3!AA$82*conv_2026*AA$7</f>
        <v>-2451349.7670358974</v>
      </c>
      <c r="AB46" s="31">
        <f>Option3!AB$82*conv_2026*AB$7</f>
        <v>-1225674.8835179487</v>
      </c>
      <c r="AC46" s="31">
        <f>Option3!AC$82*conv_2026*AC$7</f>
        <v>0</v>
      </c>
      <c r="AD46" s="31">
        <f>Option3!AD$82*conv_2026*AD$7</f>
        <v>0</v>
      </c>
      <c r="AE46" s="31">
        <f>Option3!AE$82*conv_2026*AE$7</f>
        <v>0</v>
      </c>
      <c r="AF46" s="31">
        <f>Option3!AF$82*conv_2026*AF$7</f>
        <v>0</v>
      </c>
      <c r="AG46" s="31">
        <f>Option3!AG$82*conv_2026*AG$7</f>
        <v>0</v>
      </c>
    </row>
    <row r="47" spans="1:33" s="2" customFormat="1" x14ac:dyDescent="0.2">
      <c r="A47" s="135" t="str">
        <f t="shared" si="10"/>
        <v>Option 3</v>
      </c>
      <c r="B47" s="135"/>
      <c r="C47" s="58" t="str">
        <f>Option3!C$83</f>
        <v>Operating expenditure</v>
      </c>
      <c r="D47" s="38" t="str">
        <f t="shared" si="11"/>
        <v>Option 3Operating expenditure</v>
      </c>
      <c r="E47" s="1"/>
      <c r="F47" s="97">
        <f>SUMPRODUCT($H47:$AG47, $H$5:$AG$5)</f>
        <v>-50317288.047039934</v>
      </c>
      <c r="G47" s="225">
        <f t="shared" si="12"/>
        <v>46203</v>
      </c>
      <c r="H47" s="31"/>
      <c r="I47" s="31">
        <f>Option3!I$83*conv_2026*I$7</f>
        <v>-242855.52573609454</v>
      </c>
      <c r="J47" s="31">
        <f>Option3!J$83*conv_2026*J$7</f>
        <v>-242855.52573609454</v>
      </c>
      <c r="K47" s="31">
        <f>Option3!K$83*conv_2026*K$7</f>
        <v>-242855.52573609454</v>
      </c>
      <c r="L47" s="31">
        <f>Option3!L$83*conv_2026*L$7</f>
        <v>-242855.52573609454</v>
      </c>
      <c r="M47" s="31">
        <f>Option3!M$83*conv_2026*M$7</f>
        <v>-242855.52573609454</v>
      </c>
      <c r="N47" s="31">
        <f>Option3!N$83*conv_2026*N$7</f>
        <v>-5418296.7507251706</v>
      </c>
      <c r="O47" s="31">
        <f>Option3!O$83*conv_2026*O$7</f>
        <v>-5418296.7507251706</v>
      </c>
      <c r="P47" s="31">
        <f>Option3!P$83*conv_2026*P$7</f>
        <v>-5418296.7507251706</v>
      </c>
      <c r="Q47" s="31">
        <f>Option3!Q$83*conv_2026*Q$7</f>
        <v>-6695745.3566406379</v>
      </c>
      <c r="R47" s="31">
        <f>Option3!R$83*conv_2026*R$7</f>
        <v>-6695745.3566406379</v>
      </c>
      <c r="S47" s="31">
        <f>Option3!S$83*conv_2026*S$7</f>
        <v>-6695745.3566406379</v>
      </c>
      <c r="T47" s="31">
        <f>Option3!T$83*conv_2026*T$7</f>
        <v>-6695745.3566406379</v>
      </c>
      <c r="U47" s="31">
        <f>Option3!U$83*conv_2026*U$7</f>
        <v>-6695745.3566406379</v>
      </c>
      <c r="V47" s="31">
        <f>Option3!V$83*conv_2026*V$7</f>
        <v>-5418296.7507251706</v>
      </c>
      <c r="W47" s="31">
        <f>Option3!W$83*conv_2026*W$7</f>
        <v>-5418296.7507251706</v>
      </c>
      <c r="X47" s="31">
        <f>Option3!X$83*conv_2026*X$7</f>
        <v>-4334637.4005801361</v>
      </c>
      <c r="Y47" s="31">
        <f>Option3!Y$83*conv_2026*Y$7</f>
        <v>-3250978.0504351021</v>
      </c>
      <c r="Z47" s="31">
        <f>Option3!Z$83*conv_2026*Z$7</f>
        <v>-2167318.7002900681</v>
      </c>
      <c r="AA47" s="31">
        <f>Option3!AA$83*conv_2026*AA$7</f>
        <v>-1083659.350145034</v>
      </c>
      <c r="AB47" s="31">
        <f>Option3!AB$83*conv_2026*AB$7</f>
        <v>0</v>
      </c>
      <c r="AC47" s="31">
        <f>Option3!AC$83*conv_2026*AC$7</f>
        <v>0</v>
      </c>
      <c r="AD47" s="31">
        <f>Option3!AD$83*conv_2026*AD$7</f>
        <v>0</v>
      </c>
      <c r="AE47" s="31">
        <f>Option3!AE$83*conv_2026*AE$7</f>
        <v>0</v>
      </c>
      <c r="AF47" s="31">
        <f>Option3!AF$83*conv_2026*AF$7</f>
        <v>0</v>
      </c>
      <c r="AG47" s="31">
        <f>Option3!AG$83*conv_2026*AG$7</f>
        <v>0</v>
      </c>
    </row>
    <row r="48" spans="1:33" s="2" customFormat="1" x14ac:dyDescent="0.2">
      <c r="A48" s="135" t="str">
        <f t="shared" si="10"/>
        <v>Option 3</v>
      </c>
      <c r="B48" s="135"/>
      <c r="C48" s="58" t="str">
        <f>Option3!C$84</f>
        <v>Risk mitigated</v>
      </c>
      <c r="D48" s="38" t="str">
        <f t="shared" si="11"/>
        <v>Option 3Risk mitigated</v>
      </c>
      <c r="E48" s="1"/>
      <c r="F48" s="97">
        <f>SUMPRODUCT($H48:$AG48, $H$5:$AG$5)</f>
        <v>62894246.192459233</v>
      </c>
      <c r="G48" s="225">
        <f t="shared" si="12"/>
        <v>46203</v>
      </c>
      <c r="H48" s="31"/>
      <c r="I48" s="31">
        <f>Option3!I$84*conv_2026*I$7</f>
        <v>1148636.8315505809</v>
      </c>
      <c r="J48" s="31">
        <f>Option3!J$84*conv_2026*J$7</f>
        <v>2297273.6631011637</v>
      </c>
      <c r="K48" s="31">
        <f>Option3!K$84*conv_2026*K$7</f>
        <v>3445910.4946517446</v>
      </c>
      <c r="L48" s="31">
        <f>Option3!L$84*conv_2026*L$7</f>
        <v>4594547.3262023255</v>
      </c>
      <c r="M48" s="31">
        <f>Option3!M$84*conv_2026*M$7</f>
        <v>5743184.1577529088</v>
      </c>
      <c r="N48" s="31">
        <f>Option3!N$84*conv_2026*N$7</f>
        <v>5743184.1577529088</v>
      </c>
      <c r="O48" s="31">
        <f>Option3!O$84*conv_2026*O$7</f>
        <v>5743184.1577529088</v>
      </c>
      <c r="P48" s="31">
        <f>Option3!P$84*conv_2026*P$7</f>
        <v>5743184.1577529088</v>
      </c>
      <c r="Q48" s="31">
        <f>Option3!Q$84*conv_2026*Q$7</f>
        <v>5743184.1577529088</v>
      </c>
      <c r="R48" s="31">
        <f>Option3!R$84*conv_2026*R$7</f>
        <v>5743184.1577529088</v>
      </c>
      <c r="S48" s="31">
        <f>Option3!S$84*conv_2026*S$7</f>
        <v>5743184.1577529088</v>
      </c>
      <c r="T48" s="31">
        <f>Option3!T$84*conv_2026*T$7</f>
        <v>5743184.1577529088</v>
      </c>
      <c r="U48" s="31">
        <f>Option3!U$84*conv_2026*U$7</f>
        <v>5743184.1577529088</v>
      </c>
      <c r="V48" s="31">
        <f>Option3!V$84*conv_2026*V$7</f>
        <v>5743184.1577529088</v>
      </c>
      <c r="W48" s="31">
        <f>Option3!W$84*conv_2026*W$7</f>
        <v>5743184.1577529088</v>
      </c>
      <c r="X48" s="31">
        <f>Option3!X$84*conv_2026*X$7</f>
        <v>4594547.3262023255</v>
      </c>
      <c r="Y48" s="31">
        <f>Option3!Y$84*conv_2026*Y$7</f>
        <v>3445910.4946517446</v>
      </c>
      <c r="Z48" s="31">
        <f>Option3!Z$84*conv_2026*Z$7</f>
        <v>2297273.6631011637</v>
      </c>
      <c r="AA48" s="31">
        <f>Option3!AA$84*conv_2026*AA$7</f>
        <v>1148636.8315505809</v>
      </c>
      <c r="AB48" s="31">
        <f>Option3!AB$84*conv_2026*AB$7</f>
        <v>0</v>
      </c>
      <c r="AC48" s="31">
        <f>Option3!AC$84*conv_2026*AC$7</f>
        <v>0</v>
      </c>
      <c r="AD48" s="31">
        <f>Option3!AD$84*conv_2026*AD$7</f>
        <v>0</v>
      </c>
      <c r="AE48" s="31">
        <f>Option3!AE$84*conv_2026*AE$7</f>
        <v>0</v>
      </c>
      <c r="AF48" s="31">
        <f>Option3!AF$84*conv_2026*AF$7</f>
        <v>0</v>
      </c>
      <c r="AG48" s="31">
        <f>Option3!AG$84*conv_2026*AG$7</f>
        <v>0</v>
      </c>
    </row>
    <row r="49" spans="1:33" s="2" customFormat="1" x14ac:dyDescent="0.2">
      <c r="A49" s="135" t="str">
        <f t="shared" si="10"/>
        <v>Option 3</v>
      </c>
      <c r="B49" s="135"/>
      <c r="C49" s="58" t="str">
        <f>Option3!C$85</f>
        <v>Other benefits value</v>
      </c>
      <c r="D49" s="38" t="str">
        <f t="shared" si="11"/>
        <v>Option 3Other benefits value</v>
      </c>
      <c r="E49" s="1"/>
      <c r="F49" s="97">
        <f>SUMPRODUCT($H49:$AG49, $H$5:$AG$5)</f>
        <v>0</v>
      </c>
      <c r="G49" s="225">
        <f t="shared" si="12"/>
        <v>46203</v>
      </c>
      <c r="H49" s="31"/>
      <c r="I49" s="31">
        <f>Option3!I$85*conv_2026*I$7</f>
        <v>0</v>
      </c>
      <c r="J49" s="31">
        <f>Option3!J$85*conv_2026*J$7</f>
        <v>0</v>
      </c>
      <c r="K49" s="31">
        <f>Option3!K$85*conv_2026*K$7</f>
        <v>0</v>
      </c>
      <c r="L49" s="31">
        <f>Option3!L$85*conv_2026*L$7</f>
        <v>0</v>
      </c>
      <c r="M49" s="31">
        <f>Option3!M$85*conv_2026*M$7</f>
        <v>0</v>
      </c>
      <c r="N49" s="31">
        <f>Option3!N$85*conv_2026*N$7</f>
        <v>0</v>
      </c>
      <c r="O49" s="31">
        <f>Option3!O$85*conv_2026*O$7</f>
        <v>0</v>
      </c>
      <c r="P49" s="31">
        <f>Option3!P$85*conv_2026*P$7</f>
        <v>0</v>
      </c>
      <c r="Q49" s="31">
        <f>Option3!Q$85*conv_2026*Q$7</f>
        <v>0</v>
      </c>
      <c r="R49" s="31">
        <f>Option3!R$85*conv_2026*R$7</f>
        <v>0</v>
      </c>
      <c r="S49" s="31">
        <f>Option3!S$85*conv_2026*S$7</f>
        <v>0</v>
      </c>
      <c r="T49" s="31">
        <f>Option3!T$85*conv_2026*T$7</f>
        <v>0</v>
      </c>
      <c r="U49" s="31">
        <f>Option3!U$85*conv_2026*U$7</f>
        <v>0</v>
      </c>
      <c r="V49" s="31">
        <f>Option3!V$85*conv_2026*V$7</f>
        <v>0</v>
      </c>
      <c r="W49" s="31">
        <f>Option3!W$85*conv_2026*W$7</f>
        <v>0</v>
      </c>
      <c r="X49" s="31">
        <f>Option3!X$85*conv_2026*X$7</f>
        <v>0</v>
      </c>
      <c r="Y49" s="31">
        <f>Option3!Y$85*conv_2026*Y$7</f>
        <v>0</v>
      </c>
      <c r="Z49" s="31">
        <f>Option3!Z$85*conv_2026*Z$7</f>
        <v>0</v>
      </c>
      <c r="AA49" s="31">
        <f>Option3!AA$85*conv_2026*AA$7</f>
        <v>0</v>
      </c>
      <c r="AB49" s="31">
        <f>Option3!AB$85*conv_2026*AB$7</f>
        <v>0</v>
      </c>
      <c r="AC49" s="31">
        <f>Option3!AC$85*conv_2026*AC$7</f>
        <v>0</v>
      </c>
      <c r="AD49" s="31">
        <f>Option3!AD$85*conv_2026*AD$7</f>
        <v>0</v>
      </c>
      <c r="AE49" s="31">
        <f>Option3!AE$85*conv_2026*AE$7</f>
        <v>0</v>
      </c>
      <c r="AF49" s="31">
        <f>Option3!AF$85*conv_2026*AF$7</f>
        <v>0</v>
      </c>
      <c r="AG49" s="31">
        <f>Option3!AG$85*conv_2026*AG$7</f>
        <v>0</v>
      </c>
    </row>
    <row r="50" spans="1:33" s="2" customFormat="1" x14ac:dyDescent="0.2">
      <c r="A50" s="135" t="str">
        <f t="shared" si="10"/>
        <v>Option 3</v>
      </c>
      <c r="B50" s="135"/>
      <c r="C50" s="125" t="str">
        <f>Option3!C87</f>
        <v>Net benefits</v>
      </c>
      <c r="D50" s="109" t="str">
        <f t="shared" si="11"/>
        <v>Option 3Net benefits</v>
      </c>
      <c r="E50" s="110"/>
      <c r="F50" s="143"/>
      <c r="G50" s="227">
        <f t="shared" si="12"/>
        <v>46203</v>
      </c>
      <c r="H50" s="52"/>
      <c r="I50" s="52">
        <f t="shared" ref="I50:AB50" si="13">SUM(I46:I49)</f>
        <v>905781.30581448635</v>
      </c>
      <c r="J50" s="52">
        <f t="shared" si="13"/>
        <v>828743.25384712056</v>
      </c>
      <c r="K50" s="52">
        <f t="shared" si="13"/>
        <v>751705.2018797528</v>
      </c>
      <c r="L50" s="52">
        <f t="shared" si="13"/>
        <v>674667.14991238574</v>
      </c>
      <c r="M50" s="52">
        <f t="shared" si="13"/>
        <v>597629.0979450196</v>
      </c>
      <c r="N50" s="52">
        <f t="shared" si="13"/>
        <v>-5803487.0105620045</v>
      </c>
      <c r="O50" s="52">
        <f t="shared" si="13"/>
        <v>-5803487.0105620045</v>
      </c>
      <c r="P50" s="52">
        <f t="shared" si="13"/>
        <v>-5803487.0105620045</v>
      </c>
      <c r="Q50" s="52">
        <f t="shared" si="13"/>
        <v>-7080935.6164774708</v>
      </c>
      <c r="R50" s="52">
        <f t="shared" si="13"/>
        <v>-7080935.6164774708</v>
      </c>
      <c r="S50" s="52">
        <f t="shared" si="13"/>
        <v>-7080935.6164774708</v>
      </c>
      <c r="T50" s="52">
        <f t="shared" si="13"/>
        <v>-7080935.6164774708</v>
      </c>
      <c r="U50" s="52">
        <f t="shared" si="13"/>
        <v>-7080935.6164774708</v>
      </c>
      <c r="V50" s="52">
        <f t="shared" si="13"/>
        <v>-5803487.0105620045</v>
      </c>
      <c r="W50" s="52">
        <f t="shared" si="13"/>
        <v>-5803487.0105620045</v>
      </c>
      <c r="X50" s="52">
        <f t="shared" si="13"/>
        <v>-5868464.4919675533</v>
      </c>
      <c r="Y50" s="52">
        <f t="shared" si="13"/>
        <v>-4707767.0898551531</v>
      </c>
      <c r="Z50" s="52">
        <f t="shared" si="13"/>
        <v>-3547069.6877427502</v>
      </c>
      <c r="AA50" s="52">
        <f t="shared" si="13"/>
        <v>-2386372.2856303505</v>
      </c>
      <c r="AB50" s="52">
        <f t="shared" si="13"/>
        <v>-1225674.8835179487</v>
      </c>
      <c r="AC50" s="52">
        <f>SUM(AC46:AC49)</f>
        <v>0</v>
      </c>
      <c r="AD50" s="52">
        <f>SUM(AD46:AD49)</f>
        <v>0</v>
      </c>
      <c r="AE50" s="52">
        <f>SUM(AE46:AE49)</f>
        <v>0</v>
      </c>
      <c r="AF50" s="52">
        <f>SUM(AF46:AF49)</f>
        <v>0</v>
      </c>
      <c r="AG50" s="52">
        <f>SUM(AG46:AG49)</f>
        <v>0</v>
      </c>
    </row>
    <row r="51" spans="1:33" s="2" customFormat="1" x14ac:dyDescent="0.2">
      <c r="A51" s="135" t="str">
        <f t="shared" si="10"/>
        <v>Option 3</v>
      </c>
      <c r="B51" s="135"/>
      <c r="C51" s="8" t="s">
        <v>119</v>
      </c>
      <c r="D51" s="38" t="str">
        <f t="shared" si="11"/>
        <v>Option 3NPV</v>
      </c>
      <c r="E51" s="1"/>
      <c r="F51" s="108" cm="1">
        <f t="array" ref="F51">SUMPRODUCT(($H50:$AG50)*($H$5:$AG$5)*($H$7:$AG$7))</f>
        <v>-52266044.189016901</v>
      </c>
      <c r="G51" s="225">
        <f t="shared" si="12"/>
        <v>46203</v>
      </c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</row>
    <row r="52" spans="1:33" s="2" customFormat="1" x14ac:dyDescent="0.2">
      <c r="A52" s="135" t="str">
        <f t="shared" si="10"/>
        <v>Option 3</v>
      </c>
      <c r="B52" s="135"/>
      <c r="C52" s="8" t="s">
        <v>187</v>
      </c>
      <c r="D52" s="38" t="str">
        <f t="shared" si="11"/>
        <v>Option 3PV of costs</v>
      </c>
      <c r="E52" s="1"/>
      <c r="F52" s="108">
        <f>SUM(F46:F47)</f>
        <v>-115160290.38147613</v>
      </c>
      <c r="G52" s="225">
        <f t="shared" si="12"/>
        <v>46203</v>
      </c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</row>
    <row r="53" spans="1:33" s="2" customFormat="1" x14ac:dyDescent="0.2">
      <c r="A53" s="135" t="str">
        <f t="shared" si="10"/>
        <v>Option 3</v>
      </c>
      <c r="B53" s="135"/>
      <c r="C53" s="8" t="s">
        <v>188</v>
      </c>
      <c r="D53" s="38" t="str">
        <f t="shared" si="11"/>
        <v>Option 3PV of benefits</v>
      </c>
      <c r="E53" s="1"/>
      <c r="F53" s="108">
        <f>SUM(F48:F49)</f>
        <v>62894246.192459233</v>
      </c>
      <c r="G53" s="225">
        <f t="shared" si="12"/>
        <v>46203</v>
      </c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</row>
    <row r="54" spans="1:33" s="2" customFormat="1" x14ac:dyDescent="0.2">
      <c r="A54" s="135"/>
      <c r="B54" s="135"/>
      <c r="C54" s="1"/>
      <c r="D54" s="38"/>
      <c r="E54" s="1"/>
      <c r="F54" s="108"/>
      <c r="G54" s="228"/>
      <c r="H54" s="1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</row>
    <row r="55" spans="1:33" s="2" customFormat="1" x14ac:dyDescent="0.2">
      <c r="A55" s="123"/>
      <c r="B55" s="123"/>
      <c r="C55" s="123"/>
      <c r="D55" s="38"/>
      <c r="F55" s="118"/>
      <c r="G55" s="221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</row>
    <row r="56" spans="1:33" s="270" customFormat="1" x14ac:dyDescent="0.2">
      <c r="A56" s="268" t="str">
        <f>A57</f>
        <v>Option 4</v>
      </c>
      <c r="B56" s="268"/>
      <c r="C56" s="268" t="s">
        <v>124</v>
      </c>
      <c r="D56" s="269" t="str">
        <f>A56&amp;C56</f>
        <v>Option 4Energy at risk value</v>
      </c>
      <c r="F56" s="97">
        <f>SUMPRODUCT($H56:$AG56, $H$5:$AG$5)</f>
        <v>13298949.700731874</v>
      </c>
      <c r="G56" s="271">
        <f>output_dollars</f>
        <v>46203</v>
      </c>
      <c r="H56" s="272"/>
      <c r="I56" s="31">
        <f>Option4!I$28*conv_2026</f>
        <v>928993.18943277688</v>
      </c>
      <c r="J56" s="31">
        <f>Option4!J$28*conv_2026</f>
        <v>913450.39309957915</v>
      </c>
      <c r="K56" s="31">
        <f>Option4!K$28*conv_2026</f>
        <v>913450.39309957915</v>
      </c>
      <c r="L56" s="31">
        <f>Option4!L$28*conv_2026</f>
        <v>913450.39309957915</v>
      </c>
      <c r="M56" s="31">
        <f>Option4!M$28*conv_2026</f>
        <v>913450.39309957915</v>
      </c>
      <c r="N56" s="31">
        <f>Option4!N$28*conv_2026</f>
        <v>913450.39309957915</v>
      </c>
      <c r="O56" s="31">
        <f>Option4!O$28*conv_2026</f>
        <v>913450.39309957915</v>
      </c>
      <c r="P56" s="31">
        <f>Option4!P$28*conv_2026</f>
        <v>913450.39309957915</v>
      </c>
      <c r="Q56" s="31">
        <f>Option4!Q$28*conv_2026</f>
        <v>913450.39309957915</v>
      </c>
      <c r="R56" s="31">
        <f>Option4!R$28*conv_2026</f>
        <v>913450.39309957915</v>
      </c>
      <c r="S56" s="31">
        <f>Option4!S$28*conv_2026</f>
        <v>913450.39309957915</v>
      </c>
      <c r="T56" s="31">
        <f>Option4!T$28*conv_2026</f>
        <v>913450.39309957915</v>
      </c>
      <c r="U56" s="31">
        <f>Option4!U$28*conv_2026</f>
        <v>913450.39309957915</v>
      </c>
      <c r="V56" s="31">
        <f>Option4!V$28*conv_2026</f>
        <v>913450.39309957915</v>
      </c>
      <c r="W56" s="31">
        <f>Option4!W$28*conv_2026</f>
        <v>913450.39309957915</v>
      </c>
      <c r="X56" s="31">
        <f>Option4!X$28*conv_2026</f>
        <v>928993.18943277688</v>
      </c>
      <c r="Y56" s="31">
        <f>Option4!Y$28*conv_2026</f>
        <v>944535.98576597462</v>
      </c>
      <c r="Z56" s="31">
        <f>Option4!Z$28*conv_2026</f>
        <v>944535.98576597462</v>
      </c>
      <c r="AA56" s="31">
        <f>Option4!AA$28*conv_2026</f>
        <v>944535.98576597462</v>
      </c>
      <c r="AB56" s="31">
        <f>Option4!AB$28*conv_2026</f>
        <v>944535.98576597462</v>
      </c>
      <c r="AC56" s="31">
        <f>Option4!AC$28*conv_2026</f>
        <v>0</v>
      </c>
      <c r="AD56" s="31">
        <f>Option4!AD$28*conv_2026</f>
        <v>0</v>
      </c>
      <c r="AE56" s="31">
        <f>Option4!AE$28*conv_2026</f>
        <v>0</v>
      </c>
      <c r="AF56" s="31">
        <f>Option4!AF$28*conv_2026</f>
        <v>0</v>
      </c>
      <c r="AG56" s="31">
        <f>Option4!AG$28*conv_2026</f>
        <v>0</v>
      </c>
    </row>
    <row r="57" spans="1:33" s="2" customFormat="1" x14ac:dyDescent="0.2">
      <c r="A57" s="135" t="str">
        <f>Data!B12</f>
        <v>Option 4</v>
      </c>
      <c r="B57" s="135"/>
      <c r="C57" s="58" t="str">
        <f>Option4!C$66</f>
        <v>Capital expenditure</v>
      </c>
      <c r="D57" s="38" t="str">
        <f t="shared" ref="D57:D67" si="14">A57&amp;C57</f>
        <v>Option 4Capital expenditure</v>
      </c>
      <c r="E57" s="1"/>
      <c r="F57" s="97">
        <f>SUMPRODUCT($H57:$AG57, $H$5:$AG$5)</f>
        <v>-6802221.1683133673</v>
      </c>
      <c r="G57" s="225">
        <f>output_dollars</f>
        <v>46203</v>
      </c>
      <c r="H57" s="31"/>
      <c r="I57" s="31">
        <f>SUM(Option4!I$67:I$69)*conv_2026*I$7</f>
        <v>-3519628.7750904677</v>
      </c>
      <c r="J57" s="31">
        <f>SUM(Option4!J$67:J$69)*conv_2026*J$7</f>
        <v>-3519628.7750904677</v>
      </c>
      <c r="K57" s="31">
        <f>SUM(Option4!K$67:K$69)*conv_2026*K$7</f>
        <v>0</v>
      </c>
      <c r="L57" s="31">
        <f>SUM(Option4!L$67:L$69)*conv_2026*L$7</f>
        <v>0</v>
      </c>
      <c r="M57" s="31">
        <f>SUM(Option4!M$67:M$69)*conv_2026*M$7</f>
        <v>0</v>
      </c>
      <c r="N57" s="31">
        <f>SUM(Option4!N$67:N$69)*conv_2026*N$7</f>
        <v>0</v>
      </c>
      <c r="O57" s="31">
        <f>SUM(Option4!O$67:O$69)*conv_2026*O$7</f>
        <v>0</v>
      </c>
      <c r="P57" s="31">
        <f>SUM(Option4!P$67:P$69)*conv_2026*P$7</f>
        <v>0</v>
      </c>
      <c r="Q57" s="31">
        <f>SUM(Option4!Q$67:Q$69)*conv_2026*Q$7</f>
        <v>0</v>
      </c>
      <c r="R57" s="31">
        <f>SUM(Option4!R$67:R$69)*conv_2026*R$7</f>
        <v>0</v>
      </c>
      <c r="S57" s="31">
        <f>SUM(Option4!S$67:S$69)*conv_2026*S$7</f>
        <v>0</v>
      </c>
      <c r="T57" s="31">
        <f>SUM(Option4!T$67:T$69)*conv_2026*T$7</f>
        <v>0</v>
      </c>
      <c r="U57" s="31">
        <f>SUM(Option4!U$67:U$69)*conv_2026*U$7</f>
        <v>0</v>
      </c>
      <c r="V57" s="31">
        <f>SUM(Option4!V$67:V$69)*conv_2026*V$7</f>
        <v>0</v>
      </c>
      <c r="W57" s="31">
        <f>SUM(Option4!W$67:W$69)*conv_2026*W$7</f>
        <v>0</v>
      </c>
      <c r="X57" s="31">
        <f>SUM(Option4!X$67:X$69)*conv_2026*X$7</f>
        <v>0</v>
      </c>
      <c r="Y57" s="31">
        <f>SUM(Option4!Y$67:Y$69)*conv_2026*Y$7</f>
        <v>0</v>
      </c>
      <c r="Z57" s="31">
        <f>SUM(Option4!Z$67:Z$69)*conv_2026*Z$7</f>
        <v>0</v>
      </c>
      <c r="AA57" s="31">
        <f>SUM(Option4!AA$67:AA$69)*conv_2026*AA$7</f>
        <v>0</v>
      </c>
      <c r="AB57" s="31">
        <f>SUM(Option4!AB$67:AB$69)*conv_2026*AB$7</f>
        <v>0</v>
      </c>
      <c r="AC57" s="31">
        <f>SUM(Option4!AC$67:AC$69)*conv_2026*AC$7</f>
        <v>0</v>
      </c>
      <c r="AD57" s="31">
        <f>SUM(Option4!AD$67:AD$69)*conv_2026*AD$7</f>
        <v>0</v>
      </c>
      <c r="AE57" s="31">
        <f>SUM(Option4!AE$67:AE$69)*conv_2026*AE$7</f>
        <v>0</v>
      </c>
      <c r="AF57" s="31">
        <f>SUM(Option4!AF$67:AF$69)*conv_2026*AF$7</f>
        <v>0</v>
      </c>
      <c r="AG57" s="31">
        <f>SUM(Option4!AG$67:AG$69)*conv_2026*AG$7</f>
        <v>0</v>
      </c>
    </row>
    <row r="58" spans="1:33" s="2" customFormat="1" x14ac:dyDescent="0.2">
      <c r="A58" s="135" t="str">
        <f t="shared" ref="A58:A67" si="15">A57</f>
        <v>Option 4</v>
      </c>
      <c r="B58" s="135"/>
      <c r="C58" s="58" t="str">
        <f>'Option1 (base case)'!C$36</f>
        <v>Total risk cost</v>
      </c>
      <c r="D58" s="38" t="str">
        <f t="shared" si="14"/>
        <v>Option 4Total risk cost</v>
      </c>
      <c r="E58" s="1"/>
      <c r="F58" s="97">
        <f>SUMPRODUCT($H58:$AG58, $H$5:$AG$5)</f>
        <v>239657199.36501676</v>
      </c>
      <c r="G58" s="225">
        <f>output_dollars</f>
        <v>46203</v>
      </c>
      <c r="H58" s="31"/>
      <c r="I58" s="31">
        <f>Option4!I$36*conv_2026*I$7</f>
        <v>16883541.438820973</v>
      </c>
      <c r="J58" s="31">
        <f>Option4!J$36*conv_2026*J$7</f>
        <v>16363494.520814944</v>
      </c>
      <c r="K58" s="31">
        <f>Option4!K$36*conv_2026*K$7</f>
        <v>16363494.520814944</v>
      </c>
      <c r="L58" s="31">
        <f>Option4!L$36*conv_2026*L$7</f>
        <v>16363494.520814944</v>
      </c>
      <c r="M58" s="31">
        <f>Option4!M$36*conv_2026*M$7</f>
        <v>16363494.520814944</v>
      </c>
      <c r="N58" s="31">
        <f>Option4!N$36*conv_2026*N$7</f>
        <v>16363494.520814944</v>
      </c>
      <c r="O58" s="31">
        <f>Option4!O$36*conv_2026*O$7</f>
        <v>16363494.520814944</v>
      </c>
      <c r="P58" s="31">
        <f>Option4!P$36*conv_2026*P$7</f>
        <v>16363494.520814944</v>
      </c>
      <c r="Q58" s="31">
        <f>Option4!Q$36*conv_2026*Q$7</f>
        <v>16363494.520814944</v>
      </c>
      <c r="R58" s="31">
        <f>Option4!R$36*conv_2026*R$7</f>
        <v>16363494.520814944</v>
      </c>
      <c r="S58" s="31">
        <f>Option4!S$36*conv_2026*S$7</f>
        <v>16363494.520814944</v>
      </c>
      <c r="T58" s="31">
        <f>Option4!T$36*conv_2026*T$7</f>
        <v>16363494.520814944</v>
      </c>
      <c r="U58" s="31">
        <f>Option4!U$36*conv_2026*U$7</f>
        <v>16363494.520814944</v>
      </c>
      <c r="V58" s="31">
        <f>Option4!V$36*conv_2026*V$7</f>
        <v>16363494.520814944</v>
      </c>
      <c r="W58" s="31">
        <f>Option4!W$36*conv_2026*W$7</f>
        <v>16363494.520814944</v>
      </c>
      <c r="X58" s="31">
        <f>Option4!X$36*conv_2026*X$7</f>
        <v>16883541.438820973</v>
      </c>
      <c r="Y58" s="31">
        <f>Option4!Y$36*conv_2026*Y$7</f>
        <v>17403588.356827002</v>
      </c>
      <c r="Z58" s="31">
        <f>Option4!Z$36*conv_2026*Z$7</f>
        <v>17403588.356827002</v>
      </c>
      <c r="AA58" s="31">
        <f>Option4!AA$36*conv_2026*AA$7</f>
        <v>17403588.356827002</v>
      </c>
      <c r="AB58" s="31">
        <f>Option4!AB$36*conv_2026*AB$7</f>
        <v>17403588.356827002</v>
      </c>
      <c r="AC58" s="31">
        <f>Option4!AC$36*conv_2026*AC$7</f>
        <v>0</v>
      </c>
      <c r="AD58" s="31">
        <f>Option4!AD$36*conv_2026*AD$7</f>
        <v>0</v>
      </c>
      <c r="AE58" s="31">
        <f>Option4!AE$36*conv_2026*AE$7</f>
        <v>0</v>
      </c>
      <c r="AF58" s="31">
        <f>Option4!AF$36*conv_2026*AF$7</f>
        <v>0</v>
      </c>
      <c r="AG58" s="31">
        <f>Option4!AG$36*conv_2026*AG$7</f>
        <v>0</v>
      </c>
    </row>
    <row r="59" spans="1:33" s="2" customFormat="1" x14ac:dyDescent="0.2">
      <c r="A59" s="135" t="str">
        <f t="shared" si="15"/>
        <v>Option 4</v>
      </c>
      <c r="B59" s="135"/>
      <c r="C59" s="75"/>
      <c r="D59" s="38" t="str">
        <f t="shared" si="14"/>
        <v>Option 4</v>
      </c>
      <c r="E59" s="1"/>
      <c r="F59"/>
      <c r="G59" s="226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1:33" s="2" customFormat="1" x14ac:dyDescent="0.2">
      <c r="A60" s="135" t="str">
        <f t="shared" si="15"/>
        <v>Option 4</v>
      </c>
      <c r="B60" s="135"/>
      <c r="C60" s="58" t="str">
        <f>Option4!C$82</f>
        <v>Annualised capex</v>
      </c>
      <c r="D60" s="38" t="str">
        <f t="shared" si="14"/>
        <v>Option 4Annualised capex</v>
      </c>
      <c r="E60" s="1"/>
      <c r="F60" s="97">
        <f>SUMPRODUCT($H60:$AG60, $H$5:$AG$5)</f>
        <v>-6802221.1683133729</v>
      </c>
      <c r="G60" s="225">
        <f t="shared" ref="G60:G67" si="16">output_dollars</f>
        <v>46203</v>
      </c>
      <c r="H60" s="31"/>
      <c r="I60" s="31">
        <f>Option4!I$82*conv_2026*I$7</f>
        <v>0</v>
      </c>
      <c r="J60" s="31">
        <f>Option4!J$82*conv_2026*J$7</f>
        <v>-305592.01253991551</v>
      </c>
      <c r="K60" s="31">
        <f>Option4!K$82*conv_2026*K$7</f>
        <v>-611184.02507983102</v>
      </c>
      <c r="L60" s="31">
        <f>Option4!L$82*conv_2026*L$7</f>
        <v>-611184.02507983102</v>
      </c>
      <c r="M60" s="31">
        <f>Option4!M$82*conv_2026*M$7</f>
        <v>-611184.02507983102</v>
      </c>
      <c r="N60" s="31">
        <f>Option4!N$82*conv_2026*N$7</f>
        <v>-611184.02507983102</v>
      </c>
      <c r="O60" s="31">
        <f>Option4!O$82*conv_2026*O$7</f>
        <v>-611184.02507983102</v>
      </c>
      <c r="P60" s="31">
        <f>Option4!P$82*conv_2026*P$7</f>
        <v>-611184.02507983102</v>
      </c>
      <c r="Q60" s="31">
        <f>Option4!Q$82*conv_2026*Q$7</f>
        <v>-611184.02507983102</v>
      </c>
      <c r="R60" s="31">
        <f>Option4!R$82*conv_2026*R$7</f>
        <v>-611184.02507983102</v>
      </c>
      <c r="S60" s="31">
        <f>Option4!S$82*conv_2026*S$7</f>
        <v>-611184.02507983102</v>
      </c>
      <c r="T60" s="31">
        <f>Option4!T$82*conv_2026*T$7</f>
        <v>-611184.02507983102</v>
      </c>
      <c r="U60" s="31">
        <f>Option4!U$82*conv_2026*U$7</f>
        <v>-611184.02507983102</v>
      </c>
      <c r="V60" s="31">
        <f>Option4!V$82*conv_2026*V$7</f>
        <v>-611184.02507983102</v>
      </c>
      <c r="W60" s="31">
        <f>Option4!W$82*conv_2026*W$7</f>
        <v>-611184.02507983102</v>
      </c>
      <c r="X60" s="31">
        <f>Option4!X$82*conv_2026*X$7</f>
        <v>-611184.02507983102</v>
      </c>
      <c r="Y60" s="31">
        <f>Option4!Y$82*conv_2026*Y$7</f>
        <v>-305592.01253991551</v>
      </c>
      <c r="Z60" s="31">
        <f>Option4!Z$82*conv_2026*Z$7</f>
        <v>0</v>
      </c>
      <c r="AA60" s="31">
        <f>Option4!AA$82*conv_2026*AA$7</f>
        <v>0</v>
      </c>
      <c r="AB60" s="31">
        <f>Option4!AB$82*conv_2026*AB$7</f>
        <v>0</v>
      </c>
      <c r="AC60" s="31">
        <f>Option4!AC$82*conv_2026*AC$7</f>
        <v>0</v>
      </c>
      <c r="AD60" s="31">
        <f>Option4!AD$82*conv_2026*AD$7</f>
        <v>0</v>
      </c>
      <c r="AE60" s="31">
        <f>Option4!AE$82*conv_2026*AE$7</f>
        <v>0</v>
      </c>
      <c r="AF60" s="31">
        <f>Option4!AF$82*conv_2026*AF$7</f>
        <v>0</v>
      </c>
      <c r="AG60" s="31">
        <f>Option4!AG$82*conv_2026*AG$7</f>
        <v>0</v>
      </c>
    </row>
    <row r="61" spans="1:33" s="2" customFormat="1" x14ac:dyDescent="0.2">
      <c r="A61" s="135" t="str">
        <f t="shared" si="15"/>
        <v>Option 4</v>
      </c>
      <c r="B61" s="135"/>
      <c r="C61" s="58" t="str">
        <f>Option4!C$83</f>
        <v>Operating expenditure</v>
      </c>
      <c r="D61" s="38" t="str">
        <f t="shared" si="14"/>
        <v>Option 4Operating expenditure</v>
      </c>
      <c r="E61" s="1"/>
      <c r="F61" s="97">
        <f>SUMPRODUCT($H61:$AG61, $H$5:$AG$5)</f>
        <v>-4586725.6987092076</v>
      </c>
      <c r="G61" s="225">
        <f t="shared" si="16"/>
        <v>46203</v>
      </c>
      <c r="H61" s="31"/>
      <c r="I61" s="31">
        <f>Option4!I$83*conv_2026*I$7</f>
        <v>-24220.030895344877</v>
      </c>
      <c r="J61" s="31">
        <f>Option4!J$83*conv_2026*J$7</f>
        <v>-24220.030895344877</v>
      </c>
      <c r="K61" s="31">
        <f>Option4!K$83*conv_2026*K$7</f>
        <v>-24220.030895344877</v>
      </c>
      <c r="L61" s="31">
        <f>Option4!L$83*conv_2026*L$7</f>
        <v>-24220.030895344877</v>
      </c>
      <c r="M61" s="31">
        <f>Option4!M$83*conv_2026*M$7</f>
        <v>-24220.030895344877</v>
      </c>
      <c r="N61" s="31">
        <f>Option4!N$83*conv_2026*N$7</f>
        <v>-540367.83517669037</v>
      </c>
      <c r="O61" s="31">
        <f>Option4!O$83*conv_2026*O$7</f>
        <v>-540367.83517669037</v>
      </c>
      <c r="P61" s="31">
        <f>Option4!P$83*conv_2026*P$7</f>
        <v>-540367.83517669037</v>
      </c>
      <c r="Q61" s="31">
        <f>Option4!Q$83*conv_2026*Q$7</f>
        <v>-858868.35733599938</v>
      </c>
      <c r="R61" s="31">
        <f>Option4!R$83*conv_2026*R$7</f>
        <v>-858868.35733599938</v>
      </c>
      <c r="S61" s="31">
        <f>Option4!S$83*conv_2026*S$7</f>
        <v>-540367.83517669037</v>
      </c>
      <c r="T61" s="31">
        <f>Option4!T$83*conv_2026*T$7</f>
        <v>-540367.83517669037</v>
      </c>
      <c r="U61" s="31">
        <f>Option4!U$83*conv_2026*U$7</f>
        <v>-540367.83517669037</v>
      </c>
      <c r="V61" s="31">
        <f>Option4!V$83*conv_2026*V$7</f>
        <v>-540367.83517669037</v>
      </c>
      <c r="W61" s="31">
        <f>Option4!W$83*conv_2026*W$7</f>
        <v>-540367.83517669037</v>
      </c>
      <c r="X61" s="31">
        <f>Option4!X$83*conv_2026*X$7</f>
        <v>-270183.91758834518</v>
      </c>
      <c r="Y61" s="31">
        <f>Option4!Y$83*conv_2026*Y$7</f>
        <v>0</v>
      </c>
      <c r="Z61" s="31">
        <f>Option4!Z$83*conv_2026*Z$7</f>
        <v>0</v>
      </c>
      <c r="AA61" s="31">
        <f>Option4!AA$83*conv_2026*AA$7</f>
        <v>0</v>
      </c>
      <c r="AB61" s="31">
        <f>Option4!AB$83*conv_2026*AB$7</f>
        <v>0</v>
      </c>
      <c r="AC61" s="31">
        <f>Option4!AC$83*conv_2026*AC$7</f>
        <v>0</v>
      </c>
      <c r="AD61" s="31">
        <f>Option4!AD$83*conv_2026*AD$7</f>
        <v>0</v>
      </c>
      <c r="AE61" s="31">
        <f>Option4!AE$83*conv_2026*AE$7</f>
        <v>0</v>
      </c>
      <c r="AF61" s="31">
        <f>Option4!AF$83*conv_2026*AF$7</f>
        <v>0</v>
      </c>
      <c r="AG61" s="31">
        <f>Option4!AG$83*conv_2026*AG$7</f>
        <v>0</v>
      </c>
    </row>
    <row r="62" spans="1:33" s="2" customFormat="1" x14ac:dyDescent="0.2">
      <c r="A62" s="135" t="str">
        <f t="shared" si="15"/>
        <v>Option 4</v>
      </c>
      <c r="B62" s="135"/>
      <c r="C62" s="58" t="str">
        <f>Option4!C$84</f>
        <v>Risk mitigated</v>
      </c>
      <c r="D62" s="38" t="str">
        <f t="shared" si="14"/>
        <v>Option 4Risk mitigated</v>
      </c>
      <c r="E62" s="1"/>
      <c r="F62" s="97">
        <f>SUMPRODUCT($H62:$AG62, $H$5:$AG$5)</f>
        <v>11980960.232377475</v>
      </c>
      <c r="G62" s="225">
        <f t="shared" si="16"/>
        <v>46203</v>
      </c>
      <c r="H62" s="31"/>
      <c r="I62" s="31">
        <f>Option4!I$84*conv_2026*I$7</f>
        <v>520046.91800602921</v>
      </c>
      <c r="J62" s="31">
        <f>Option4!J$84*conv_2026*J$7</f>
        <v>1040093.8360120584</v>
      </c>
      <c r="K62" s="31">
        <f>Option4!K$84*conv_2026*K$7</f>
        <v>1040093.8360120584</v>
      </c>
      <c r="L62" s="31">
        <f>Option4!L$84*conv_2026*L$7</f>
        <v>1040093.8360120584</v>
      </c>
      <c r="M62" s="31">
        <f>Option4!M$84*conv_2026*M$7</f>
        <v>1040093.8360120584</v>
      </c>
      <c r="N62" s="31">
        <f>Option4!N$84*conv_2026*N$7</f>
        <v>1040093.8360120584</v>
      </c>
      <c r="O62" s="31">
        <f>Option4!O$84*conv_2026*O$7</f>
        <v>1040093.8360120584</v>
      </c>
      <c r="P62" s="31">
        <f>Option4!P$84*conv_2026*P$7</f>
        <v>1040093.8360120584</v>
      </c>
      <c r="Q62" s="31">
        <f>Option4!Q$84*conv_2026*Q$7</f>
        <v>1040093.8360120584</v>
      </c>
      <c r="R62" s="31">
        <f>Option4!R$84*conv_2026*R$7</f>
        <v>1040093.8360120584</v>
      </c>
      <c r="S62" s="31">
        <f>Option4!S$84*conv_2026*S$7</f>
        <v>1040093.8360120584</v>
      </c>
      <c r="T62" s="31">
        <f>Option4!T$84*conv_2026*T$7</f>
        <v>1040093.8360120584</v>
      </c>
      <c r="U62" s="31">
        <f>Option4!U$84*conv_2026*U$7</f>
        <v>1040093.8360120584</v>
      </c>
      <c r="V62" s="31">
        <f>Option4!V$84*conv_2026*V$7</f>
        <v>1040093.8360120584</v>
      </c>
      <c r="W62" s="31">
        <f>Option4!W$84*conv_2026*W$7</f>
        <v>1040093.8360120584</v>
      </c>
      <c r="X62" s="31">
        <f>Option4!X$84*conv_2026*X$7</f>
        <v>520046.91800602921</v>
      </c>
      <c r="Y62" s="31">
        <f>Option4!Y$84*conv_2026*Y$7</f>
        <v>0</v>
      </c>
      <c r="Z62" s="31">
        <f>Option4!Z$84*conv_2026*Z$7</f>
        <v>0</v>
      </c>
      <c r="AA62" s="31">
        <f>Option4!AA$84*conv_2026*AA$7</f>
        <v>0</v>
      </c>
      <c r="AB62" s="31">
        <f>Option4!AB$84*conv_2026*AB$7</f>
        <v>0</v>
      </c>
      <c r="AC62" s="31">
        <f>Option4!AC$84*conv_2026*AC$7</f>
        <v>0</v>
      </c>
      <c r="AD62" s="31">
        <f>Option4!AD$84*conv_2026*AD$7</f>
        <v>0</v>
      </c>
      <c r="AE62" s="31">
        <f>Option4!AE$84*conv_2026*AE$7</f>
        <v>0</v>
      </c>
      <c r="AF62" s="31">
        <f>Option4!AF$84*conv_2026*AF$7</f>
        <v>0</v>
      </c>
      <c r="AG62" s="31">
        <f>Option4!AG$84*conv_2026*AG$7</f>
        <v>0</v>
      </c>
    </row>
    <row r="63" spans="1:33" s="2" customFormat="1" x14ac:dyDescent="0.2">
      <c r="A63" s="135" t="str">
        <f t="shared" si="15"/>
        <v>Option 4</v>
      </c>
      <c r="B63" s="135"/>
      <c r="C63" s="58" t="str">
        <f>Option4!C$85</f>
        <v>Other benefits value</v>
      </c>
      <c r="D63" s="38" t="str">
        <f t="shared" si="14"/>
        <v>Option 4Other benefits value</v>
      </c>
      <c r="E63" s="1"/>
      <c r="F63" s="97">
        <f>SUMPRODUCT($H63:$AG63, $H$5:$AG$5)</f>
        <v>0</v>
      </c>
      <c r="G63" s="225">
        <f t="shared" si="16"/>
        <v>46203</v>
      </c>
      <c r="H63" s="31"/>
      <c r="I63" s="31">
        <f>Option4!I$85*conv_2026*I$7</f>
        <v>0</v>
      </c>
      <c r="J63" s="31">
        <f>Option4!J$85*conv_2026*J$7</f>
        <v>0</v>
      </c>
      <c r="K63" s="31">
        <f>Option4!K$85*conv_2026*K$7</f>
        <v>0</v>
      </c>
      <c r="L63" s="31">
        <f>Option4!L$85*conv_2026*L$7</f>
        <v>0</v>
      </c>
      <c r="M63" s="31">
        <f>Option4!M$85*conv_2026*M$7</f>
        <v>0</v>
      </c>
      <c r="N63" s="31">
        <f>Option4!N$85*conv_2026*N$7</f>
        <v>0</v>
      </c>
      <c r="O63" s="31">
        <f>Option4!O$85*conv_2026*O$7</f>
        <v>0</v>
      </c>
      <c r="P63" s="31">
        <f>Option4!P$85*conv_2026*P$7</f>
        <v>0</v>
      </c>
      <c r="Q63" s="31">
        <f>Option4!Q$85*conv_2026*Q$7</f>
        <v>0</v>
      </c>
      <c r="R63" s="31">
        <f>Option4!R$85*conv_2026*R$7</f>
        <v>0</v>
      </c>
      <c r="S63" s="31">
        <f>Option4!S$85*conv_2026*S$7</f>
        <v>0</v>
      </c>
      <c r="T63" s="31">
        <f>Option4!T$85*conv_2026*T$7</f>
        <v>0</v>
      </c>
      <c r="U63" s="31">
        <f>Option4!U$85*conv_2026*U$7</f>
        <v>0</v>
      </c>
      <c r="V63" s="31">
        <f>Option4!V$85*conv_2026*V$7</f>
        <v>0</v>
      </c>
      <c r="W63" s="31">
        <f>Option4!W$85*conv_2026*W$7</f>
        <v>0</v>
      </c>
      <c r="X63" s="31">
        <f>Option4!X$85*conv_2026*X$7</f>
        <v>0</v>
      </c>
      <c r="Y63" s="31">
        <f>Option4!Y$85*conv_2026*Y$7</f>
        <v>0</v>
      </c>
      <c r="Z63" s="31">
        <f>Option4!Z$85*conv_2026*Z$7</f>
        <v>0</v>
      </c>
      <c r="AA63" s="31">
        <f>Option4!AA$85*conv_2026*AA$7</f>
        <v>0</v>
      </c>
      <c r="AB63" s="31">
        <f>Option4!AB$85*conv_2026*AB$7</f>
        <v>0</v>
      </c>
      <c r="AC63" s="31">
        <f>Option4!AC$85*conv_2026*AC$7</f>
        <v>0</v>
      </c>
      <c r="AD63" s="31">
        <f>Option4!AD$85*conv_2026*AD$7</f>
        <v>0</v>
      </c>
      <c r="AE63" s="31">
        <f>Option4!AE$85*conv_2026*AE$7</f>
        <v>0</v>
      </c>
      <c r="AF63" s="31">
        <f>Option4!AF$85*conv_2026*AF$7</f>
        <v>0</v>
      </c>
      <c r="AG63" s="31">
        <f>Option4!AG$85*conv_2026*AG$7</f>
        <v>0</v>
      </c>
    </row>
    <row r="64" spans="1:33" s="2" customFormat="1" x14ac:dyDescent="0.2">
      <c r="A64" s="135" t="str">
        <f t="shared" si="15"/>
        <v>Option 4</v>
      </c>
      <c r="B64" s="135"/>
      <c r="C64" s="125" t="str">
        <f>Option4!C87</f>
        <v>Net benefits</v>
      </c>
      <c r="D64" s="109" t="str">
        <f t="shared" si="14"/>
        <v>Option 4Net benefits</v>
      </c>
      <c r="E64" s="110"/>
      <c r="F64" s="143"/>
      <c r="G64" s="227">
        <f t="shared" si="16"/>
        <v>46203</v>
      </c>
      <c r="H64" s="52"/>
      <c r="I64" s="52">
        <f t="shared" ref="I64:AB64" si="17">SUM(I60:I63)</f>
        <v>495826.88711068436</v>
      </c>
      <c r="J64" s="52">
        <f t="shared" si="17"/>
        <v>710281.79257679801</v>
      </c>
      <c r="K64" s="52">
        <f t="shared" si="17"/>
        <v>404689.7800368825</v>
      </c>
      <c r="L64" s="52">
        <f t="shared" si="17"/>
        <v>404689.7800368825</v>
      </c>
      <c r="M64" s="52">
        <f t="shared" si="17"/>
        <v>404689.7800368825</v>
      </c>
      <c r="N64" s="52">
        <f t="shared" si="17"/>
        <v>-111458.02424446307</v>
      </c>
      <c r="O64" s="52">
        <f t="shared" si="17"/>
        <v>-111458.02424446307</v>
      </c>
      <c r="P64" s="52">
        <f t="shared" si="17"/>
        <v>-111458.02424446307</v>
      </c>
      <c r="Q64" s="52">
        <f t="shared" si="17"/>
        <v>-429958.54640377196</v>
      </c>
      <c r="R64" s="52">
        <f t="shared" si="17"/>
        <v>-429958.54640377196</v>
      </c>
      <c r="S64" s="52">
        <f t="shared" si="17"/>
        <v>-111458.02424446307</v>
      </c>
      <c r="T64" s="52">
        <f t="shared" si="17"/>
        <v>-111458.02424446307</v>
      </c>
      <c r="U64" s="52">
        <f t="shared" si="17"/>
        <v>-111458.02424446307</v>
      </c>
      <c r="V64" s="52">
        <f t="shared" si="17"/>
        <v>-111458.02424446307</v>
      </c>
      <c r="W64" s="52">
        <f t="shared" si="17"/>
        <v>-111458.02424446307</v>
      </c>
      <c r="X64" s="52">
        <f t="shared" si="17"/>
        <v>-361321.02466214704</v>
      </c>
      <c r="Y64" s="52">
        <f t="shared" si="17"/>
        <v>-305592.01253991551</v>
      </c>
      <c r="Z64" s="52">
        <f t="shared" si="17"/>
        <v>0</v>
      </c>
      <c r="AA64" s="52">
        <f t="shared" si="17"/>
        <v>0</v>
      </c>
      <c r="AB64" s="52">
        <f t="shared" si="17"/>
        <v>0</v>
      </c>
      <c r="AC64" s="52">
        <f>SUM(AC60:AC63)</f>
        <v>0</v>
      </c>
      <c r="AD64" s="52">
        <f>SUM(AD60:AD63)</f>
        <v>0</v>
      </c>
      <c r="AE64" s="52">
        <f>SUM(AE60:AE63)</f>
        <v>0</v>
      </c>
      <c r="AF64" s="52">
        <f>SUM(AF60:AF63)</f>
        <v>0</v>
      </c>
      <c r="AG64" s="52">
        <f>SUM(AG60:AG63)</f>
        <v>0</v>
      </c>
    </row>
    <row r="65" spans="1:33" s="2" customFormat="1" x14ac:dyDescent="0.2">
      <c r="A65" s="135" t="str">
        <f t="shared" si="15"/>
        <v>Option 4</v>
      </c>
      <c r="B65" s="135"/>
      <c r="C65" s="8" t="s">
        <v>119</v>
      </c>
      <c r="D65" s="38" t="str">
        <f t="shared" si="14"/>
        <v>Option 4NPV</v>
      </c>
      <c r="E65" s="1"/>
      <c r="F65" s="108" cm="1">
        <f t="array" ref="F65">SUMPRODUCT(($H64:$AG64)*($H$5:$AG$5)*($H$7:$AG$7))</f>
        <v>592013.36535489303</v>
      </c>
      <c r="G65" s="225">
        <f t="shared" si="16"/>
        <v>46203</v>
      </c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</row>
    <row r="66" spans="1:33" s="2" customFormat="1" x14ac:dyDescent="0.2">
      <c r="A66" s="135" t="str">
        <f t="shared" si="15"/>
        <v>Option 4</v>
      </c>
      <c r="B66" s="135"/>
      <c r="C66" s="8" t="s">
        <v>187</v>
      </c>
      <c r="D66" s="38" t="str">
        <f t="shared" si="14"/>
        <v>Option 4PV of costs</v>
      </c>
      <c r="E66" s="1"/>
      <c r="F66" s="108">
        <f>SUM(F60:F61)</f>
        <v>-11388946.867022581</v>
      </c>
      <c r="G66" s="225">
        <f t="shared" si="16"/>
        <v>46203</v>
      </c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</row>
    <row r="67" spans="1:33" s="2" customFormat="1" x14ac:dyDescent="0.2">
      <c r="A67" s="135" t="str">
        <f t="shared" si="15"/>
        <v>Option 4</v>
      </c>
      <c r="B67" s="135"/>
      <c r="C67" s="8" t="s">
        <v>188</v>
      </c>
      <c r="D67" s="38" t="str">
        <f t="shared" si="14"/>
        <v>Option 4PV of benefits</v>
      </c>
      <c r="E67" s="1"/>
      <c r="F67" s="108">
        <f>SUM(F62:F63)</f>
        <v>11980960.232377475</v>
      </c>
      <c r="G67" s="225">
        <f t="shared" si="16"/>
        <v>46203</v>
      </c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</row>
    <row r="68" spans="1:33" s="2" customFormat="1" x14ac:dyDescent="0.2">
      <c r="A68" s="135"/>
      <c r="B68" s="135"/>
      <c r="C68" s="1"/>
      <c r="D68" s="38"/>
      <c r="E68" s="1"/>
      <c r="F68" s="108"/>
      <c r="G68" s="228"/>
      <c r="H68" s="1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</row>
    <row r="69" spans="1:33" s="2" customFormat="1" x14ac:dyDescent="0.2">
      <c r="A69" s="123"/>
      <c r="B69" s="123"/>
      <c r="C69" s="123"/>
      <c r="D69" s="38" t="str">
        <f t="shared" ref="D69:D81" si="18">A69&amp;C69</f>
        <v/>
      </c>
      <c r="F69" s="118"/>
      <c r="G69" s="221"/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  <c r="AC69" s="119"/>
      <c r="AD69" s="119"/>
      <c r="AE69" s="119"/>
      <c r="AF69" s="119"/>
      <c r="AG69" s="119"/>
    </row>
    <row r="70" spans="1:33" s="270" customFormat="1" x14ac:dyDescent="0.2">
      <c r="A70" s="268" t="str">
        <f>A71</f>
        <v>Option 5</v>
      </c>
      <c r="B70" s="268"/>
      <c r="C70" s="268" t="s">
        <v>124</v>
      </c>
      <c r="D70" s="269" t="str">
        <f t="shared" si="18"/>
        <v>Option 5Energy at risk value</v>
      </c>
      <c r="F70" s="97">
        <f>SUMPRODUCT($H70:$AG70, $H$5:$AG$5)</f>
        <v>13251491.288678916</v>
      </c>
      <c r="G70" s="271">
        <f>output_dollars</f>
        <v>46203</v>
      </c>
      <c r="H70" s="272"/>
      <c r="I70" s="31">
        <f>Option5!I$28*conv_2026</f>
        <v>927294.30329375539</v>
      </c>
      <c r="J70" s="31">
        <f>Option5!J$28*conv_2026</f>
        <v>910052.62082153605</v>
      </c>
      <c r="K70" s="31">
        <f>Option5!K$28*conv_2026</f>
        <v>910052.62082153605</v>
      </c>
      <c r="L70" s="31">
        <f>Option5!L$28*conv_2026</f>
        <v>910052.62082153605</v>
      </c>
      <c r="M70" s="31">
        <f>Option5!M$28*conv_2026</f>
        <v>910052.62082153605</v>
      </c>
      <c r="N70" s="31">
        <f>Option5!N$28*conv_2026</f>
        <v>910052.62082153605</v>
      </c>
      <c r="O70" s="31">
        <f>Option5!O$28*conv_2026</f>
        <v>910052.62082153605</v>
      </c>
      <c r="P70" s="31">
        <f>Option5!P$28*conv_2026</f>
        <v>910052.62082153605</v>
      </c>
      <c r="Q70" s="31">
        <f>Option5!Q$28*conv_2026</f>
        <v>910052.62082153605</v>
      </c>
      <c r="R70" s="31">
        <f>Option5!R$28*conv_2026</f>
        <v>910052.62082153605</v>
      </c>
      <c r="S70" s="31">
        <f>Option5!S$28*conv_2026</f>
        <v>910052.62082153605</v>
      </c>
      <c r="T70" s="31">
        <f>Option5!T$28*conv_2026</f>
        <v>910052.62082153605</v>
      </c>
      <c r="U70" s="31">
        <f>Option5!U$28*conv_2026</f>
        <v>910052.62082153605</v>
      </c>
      <c r="V70" s="31">
        <f>Option5!V$28*conv_2026</f>
        <v>910052.62082153605</v>
      </c>
      <c r="W70" s="31">
        <f>Option5!W$28*conv_2026</f>
        <v>910052.62082153605</v>
      </c>
      <c r="X70" s="31">
        <f>Option5!X$28*conv_2026</f>
        <v>925595.41715473391</v>
      </c>
      <c r="Y70" s="31">
        <f>Option5!Y$28*conv_2026</f>
        <v>941138.21348793164</v>
      </c>
      <c r="Z70" s="31">
        <f>Option5!Z$28*conv_2026</f>
        <v>941138.21348793164</v>
      </c>
      <c r="AA70" s="31">
        <f>Option5!AA$28*conv_2026</f>
        <v>941138.21348793164</v>
      </c>
      <c r="AB70" s="31">
        <f>Option5!AB$28*conv_2026</f>
        <v>941138.21348793164</v>
      </c>
      <c r="AC70" s="31">
        <f>Option5!AC$28*conv_2026</f>
        <v>0</v>
      </c>
      <c r="AD70" s="31">
        <f>Option5!AD$28*conv_2026</f>
        <v>0</v>
      </c>
      <c r="AE70" s="31">
        <f>Option5!AE$28*conv_2026</f>
        <v>0</v>
      </c>
      <c r="AF70" s="31">
        <f>Option5!AF$28*conv_2026</f>
        <v>0</v>
      </c>
      <c r="AG70" s="31">
        <f>Option5!AG$28*conv_2026</f>
        <v>0</v>
      </c>
    </row>
    <row r="71" spans="1:33" s="2" customFormat="1" x14ac:dyDescent="0.2">
      <c r="A71" s="135" t="str">
        <f>Data!B13</f>
        <v>Option 5</v>
      </c>
      <c r="B71" s="135"/>
      <c r="C71" s="58" t="str">
        <f>Option5!C$66</f>
        <v>Capital expenditure</v>
      </c>
      <c r="D71" s="38" t="str">
        <f t="shared" si="18"/>
        <v>Option 5Capital expenditure</v>
      </c>
      <c r="E71" s="1"/>
      <c r="F71" s="97">
        <f>SUMPRODUCT($H71:$AG71, $H$5:$AG$5)</f>
        <v>-12523545.962925874</v>
      </c>
      <c r="G71" s="225">
        <f>output_dollars</f>
        <v>46203</v>
      </c>
      <c r="H71" s="31"/>
      <c r="I71" s="31">
        <f>SUM(Option5!I$67:I$69)*conv_2026*I$7</f>
        <v>-6479976.4145586146</v>
      </c>
      <c r="J71" s="31">
        <f>SUM(Option5!J$67:J$69)*conv_2026*J$7</f>
        <v>-6479976.4145586146</v>
      </c>
      <c r="K71" s="31">
        <f>SUM(Option5!K$67:K$69)*conv_2026*K$7</f>
        <v>0</v>
      </c>
      <c r="L71" s="31">
        <f>SUM(Option5!L$67:L$69)*conv_2026*L$7</f>
        <v>0</v>
      </c>
      <c r="M71" s="31">
        <f>SUM(Option5!M$67:M$69)*conv_2026*M$7</f>
        <v>0</v>
      </c>
      <c r="N71" s="31">
        <f>SUM(Option5!N$67:N$69)*conv_2026*N$7</f>
        <v>0</v>
      </c>
      <c r="O71" s="31">
        <f>SUM(Option5!O$67:O$69)*conv_2026*O$7</f>
        <v>0</v>
      </c>
      <c r="P71" s="31">
        <f>SUM(Option5!P$67:P$69)*conv_2026*P$7</f>
        <v>0</v>
      </c>
      <c r="Q71" s="31">
        <f>SUM(Option5!Q$67:Q$69)*conv_2026*Q$7</f>
        <v>0</v>
      </c>
      <c r="R71" s="31">
        <f>SUM(Option5!R$67:R$69)*conv_2026*R$7</f>
        <v>0</v>
      </c>
      <c r="S71" s="31">
        <f>SUM(Option5!S$67:S$69)*conv_2026*S$7</f>
        <v>0</v>
      </c>
      <c r="T71" s="31">
        <f>SUM(Option5!T$67:T$69)*conv_2026*T$7</f>
        <v>0</v>
      </c>
      <c r="U71" s="31">
        <f>SUM(Option5!U$67:U$69)*conv_2026*U$7</f>
        <v>0</v>
      </c>
      <c r="V71" s="31">
        <f>SUM(Option5!V$67:V$69)*conv_2026*V$7</f>
        <v>0</v>
      </c>
      <c r="W71" s="31">
        <f>SUM(Option5!W$67:W$69)*conv_2026*W$7</f>
        <v>0</v>
      </c>
      <c r="X71" s="31">
        <f>SUM(Option5!X$67:X$69)*conv_2026*X$7</f>
        <v>0</v>
      </c>
      <c r="Y71" s="31">
        <f>SUM(Option5!Y$67:Y$69)*conv_2026*Y$7</f>
        <v>0</v>
      </c>
      <c r="Z71" s="31">
        <f>SUM(Option5!Z$67:Z$69)*conv_2026*Z$7</f>
        <v>0</v>
      </c>
      <c r="AA71" s="31">
        <f>SUM(Option5!AA$67:AA$69)*conv_2026*AA$7</f>
        <v>0</v>
      </c>
      <c r="AB71" s="31">
        <f>SUM(Option5!AB$67:AB$69)*conv_2026*AB$7</f>
        <v>0</v>
      </c>
      <c r="AC71" s="31">
        <f>SUM(Option5!AC$67:AC$69)*conv_2026*AC$7</f>
        <v>0</v>
      </c>
      <c r="AD71" s="31">
        <f>SUM(Option5!AD$67:AD$69)*conv_2026*AD$7</f>
        <v>0</v>
      </c>
      <c r="AE71" s="31">
        <f>SUM(Option5!AE$67:AE$69)*conv_2026*AE$7</f>
        <v>0</v>
      </c>
      <c r="AF71" s="31">
        <f>SUM(Option5!AF$67:AF$69)*conv_2026*AF$7</f>
        <v>0</v>
      </c>
      <c r="AG71" s="31">
        <f>SUM(Option5!AG$67:AG$69)*conv_2026*AG$7</f>
        <v>0</v>
      </c>
    </row>
    <row r="72" spans="1:33" s="2" customFormat="1" x14ac:dyDescent="0.2">
      <c r="A72" s="135" t="str">
        <f t="shared" ref="A72:A81" si="19">A71</f>
        <v>Option 5</v>
      </c>
      <c r="B72" s="135"/>
      <c r="C72" s="58" t="str">
        <f>'Option1 (base case)'!C$36</f>
        <v>Total risk cost</v>
      </c>
      <c r="D72" s="38" t="str">
        <f t="shared" si="18"/>
        <v>Option 5Total risk cost</v>
      </c>
      <c r="E72" s="1"/>
      <c r="F72" s="97">
        <f>SUMPRODUCT($H72:$AG72, $H$5:$AG$5)</f>
        <v>234342375.08060098</v>
      </c>
      <c r="G72" s="225">
        <f>output_dollars</f>
        <v>46203</v>
      </c>
      <c r="H72" s="31"/>
      <c r="I72" s="31">
        <f>Option5!I$36*conv_2026*I$7</f>
        <v>16693284.729471911</v>
      </c>
      <c r="J72" s="31">
        <f>Option5!J$36*conv_2026*J$7</f>
        <v>15982981.102116819</v>
      </c>
      <c r="K72" s="31">
        <f>Option5!K$36*conv_2026*K$7</f>
        <v>15982981.102116819</v>
      </c>
      <c r="L72" s="31">
        <f>Option5!L$36*conv_2026*L$7</f>
        <v>15982981.102116819</v>
      </c>
      <c r="M72" s="31">
        <f>Option5!M$36*conv_2026*M$7</f>
        <v>15982981.102116819</v>
      </c>
      <c r="N72" s="31">
        <f>Option5!N$36*conv_2026*N$7</f>
        <v>15982981.102116819</v>
      </c>
      <c r="O72" s="31">
        <f>Option5!O$36*conv_2026*O$7</f>
        <v>15982981.102116819</v>
      </c>
      <c r="P72" s="31">
        <f>Option5!P$36*conv_2026*P$7</f>
        <v>15982981.102116819</v>
      </c>
      <c r="Q72" s="31">
        <f>Option5!Q$36*conv_2026*Q$7</f>
        <v>15982981.102116819</v>
      </c>
      <c r="R72" s="31">
        <f>Option5!R$36*conv_2026*R$7</f>
        <v>15982981.102116819</v>
      </c>
      <c r="S72" s="31">
        <f>Option5!S$36*conv_2026*S$7</f>
        <v>15982981.102116819</v>
      </c>
      <c r="T72" s="31">
        <f>Option5!T$36*conv_2026*T$7</f>
        <v>15982981.102116819</v>
      </c>
      <c r="U72" s="31">
        <f>Option5!U$36*conv_2026*U$7</f>
        <v>15982981.102116819</v>
      </c>
      <c r="V72" s="31">
        <f>Option5!V$36*conv_2026*V$7</f>
        <v>15982981.102116819</v>
      </c>
      <c r="W72" s="31">
        <f>Option5!W$36*conv_2026*W$7</f>
        <v>15982981.102116819</v>
      </c>
      <c r="X72" s="31">
        <f>Option5!X$36*conv_2026*X$7</f>
        <v>16503028.020122848</v>
      </c>
      <c r="Y72" s="31">
        <f>Option5!Y$36*conv_2026*Y$7</f>
        <v>17023074.938128881</v>
      </c>
      <c r="Z72" s="31">
        <f>Option5!Z$36*conv_2026*Z$7</f>
        <v>17023074.938128881</v>
      </c>
      <c r="AA72" s="31">
        <f>Option5!AA$36*conv_2026*AA$7</f>
        <v>17023074.938128881</v>
      </c>
      <c r="AB72" s="31">
        <f>Option5!AB$36*conv_2026*AB$7</f>
        <v>17023074.938128881</v>
      </c>
      <c r="AC72" s="31">
        <f>Option5!AC$36*conv_2026*AC$7</f>
        <v>0</v>
      </c>
      <c r="AD72" s="31">
        <f>Option5!AD$36*conv_2026*AD$7</f>
        <v>0</v>
      </c>
      <c r="AE72" s="31">
        <f>Option5!AE$36*conv_2026*AE$7</f>
        <v>0</v>
      </c>
      <c r="AF72" s="31">
        <f>Option5!AF$36*conv_2026*AF$7</f>
        <v>0</v>
      </c>
      <c r="AG72" s="31">
        <f>Option5!AG$36*conv_2026*AG$7</f>
        <v>0</v>
      </c>
    </row>
    <row r="73" spans="1:33" s="2" customFormat="1" x14ac:dyDescent="0.2">
      <c r="A73" s="135" t="str">
        <f t="shared" si="19"/>
        <v>Option 5</v>
      </c>
      <c r="B73" s="135"/>
      <c r="C73" s="75"/>
      <c r="D73" s="38" t="str">
        <f t="shared" si="18"/>
        <v>Option 5</v>
      </c>
      <c r="E73" s="1"/>
      <c r="F73"/>
      <c r="G73" s="226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</row>
    <row r="74" spans="1:33" s="2" customFormat="1" x14ac:dyDescent="0.2">
      <c r="A74" s="135" t="str">
        <f t="shared" si="19"/>
        <v>Option 5</v>
      </c>
      <c r="B74" s="135"/>
      <c r="C74" s="58" t="str">
        <f>Option5!C$82</f>
        <v>Annualised capex</v>
      </c>
      <c r="D74" s="38" t="str">
        <f t="shared" si="18"/>
        <v>Option 5Annualised capex</v>
      </c>
      <c r="E74" s="1"/>
      <c r="F74" s="108" cm="1">
        <f t="array" ref="F74">SUMPRODUCT(($H74:$AG74)*($H$5:$AG$5)*($H$7:$AG$7))</f>
        <v>-10987510.686887261</v>
      </c>
      <c r="G74" s="225">
        <f t="shared" ref="G74:G81" si="20">output_dollars</f>
        <v>46203</v>
      </c>
      <c r="H74" s="31"/>
      <c r="I74" s="31">
        <f>Option5!I$82*conv_2026*I$7</f>
        <v>0</v>
      </c>
      <c r="J74" s="31">
        <f>Option5!J$82*conv_2026*J$7</f>
        <v>-466550.05571869167</v>
      </c>
      <c r="K74" s="31">
        <f>Option5!K$82*conv_2026*K$7</f>
        <v>-933100.11143738334</v>
      </c>
      <c r="L74" s="31">
        <f>Option5!L$82*conv_2026*L$7</f>
        <v>-933100.11143738334</v>
      </c>
      <c r="M74" s="31">
        <f>Option5!M$82*conv_2026*M$7</f>
        <v>-933100.11143738334</v>
      </c>
      <c r="N74" s="31">
        <f>Option5!N$82*conv_2026*N$7</f>
        <v>-933100.11143738334</v>
      </c>
      <c r="O74" s="31">
        <f>Option5!O$82*conv_2026*O$7</f>
        <v>-933100.11143738334</v>
      </c>
      <c r="P74" s="31">
        <f>Option5!P$82*conv_2026*P$7</f>
        <v>-933100.11143738334</v>
      </c>
      <c r="Q74" s="31">
        <f>Option5!Q$82*conv_2026*Q$7</f>
        <v>-933100.11143738334</v>
      </c>
      <c r="R74" s="31">
        <f>Option5!R$82*conv_2026*R$7</f>
        <v>-933100.11143738334</v>
      </c>
      <c r="S74" s="31">
        <f>Option5!S$82*conv_2026*S$7</f>
        <v>-933100.11143738334</v>
      </c>
      <c r="T74" s="31">
        <f>Option5!T$82*conv_2026*T$7</f>
        <v>-933100.11143738334</v>
      </c>
      <c r="U74" s="31">
        <f>Option5!U$82*conv_2026*U$7</f>
        <v>-933100.11143738334</v>
      </c>
      <c r="V74" s="31">
        <f>Option5!V$82*conv_2026*V$7</f>
        <v>-933100.11143738334</v>
      </c>
      <c r="W74" s="31">
        <f>Option5!W$82*conv_2026*W$7</f>
        <v>-933100.11143738334</v>
      </c>
      <c r="X74" s="31">
        <f>Option5!X$82*conv_2026*X$7</f>
        <v>-933100.11143738334</v>
      </c>
      <c r="Y74" s="31">
        <f>Option5!Y$82*conv_2026*Y$7</f>
        <v>-627508.09889746783</v>
      </c>
      <c r="Z74" s="31">
        <f>Option5!Z$82*conv_2026*Z$7</f>
        <v>-321916.08635755238</v>
      </c>
      <c r="AA74" s="31">
        <f>Option5!AA$82*conv_2026*AA$7</f>
        <v>-321916.08635755238</v>
      </c>
      <c r="AB74" s="31">
        <f>Option5!AB$82*conv_2026*AB$7</f>
        <v>-321916.08635755238</v>
      </c>
      <c r="AC74" s="31">
        <f>Option5!AC$82*conv_2026*AC$7</f>
        <v>0</v>
      </c>
      <c r="AD74" s="31">
        <f>Option5!AD$82*conv_2026*AD$7</f>
        <v>0</v>
      </c>
      <c r="AE74" s="31">
        <f>Option5!AE$82*conv_2026*AE$7</f>
        <v>0</v>
      </c>
      <c r="AF74" s="31">
        <f>Option5!AF$82*conv_2026*AF$7</f>
        <v>0</v>
      </c>
      <c r="AG74" s="31">
        <f>Option5!AG$82*conv_2026*AG$7</f>
        <v>0</v>
      </c>
    </row>
    <row r="75" spans="1:33" s="2" customFormat="1" x14ac:dyDescent="0.2">
      <c r="A75" s="135" t="str">
        <f t="shared" si="19"/>
        <v>Option 5</v>
      </c>
      <c r="B75" s="135"/>
      <c r="C75" s="58" t="str">
        <f>Option5!C$83</f>
        <v>Operating expenditure</v>
      </c>
      <c r="D75" s="38" t="str">
        <f t="shared" si="18"/>
        <v>Option 5Operating expenditure</v>
      </c>
      <c r="E75" s="1"/>
      <c r="F75" s="108" cm="1">
        <f t="array" ref="F75">SUMPRODUCT(($H75:$AG75)*($H$5:$AG$5)*($H$7:$AG$7))</f>
        <v>-4586725.6987092076</v>
      </c>
      <c r="G75" s="225">
        <f t="shared" si="20"/>
        <v>46203</v>
      </c>
      <c r="H75" s="31"/>
      <c r="I75" s="31">
        <f>Option5!I$83*conv_2026*I$7</f>
        <v>-24220.030895344877</v>
      </c>
      <c r="J75" s="31">
        <f>Option5!J$83*conv_2026*J$7</f>
        <v>-24220.030895344877</v>
      </c>
      <c r="K75" s="31">
        <f>Option5!K$83*conv_2026*K$7</f>
        <v>-24220.030895344877</v>
      </c>
      <c r="L75" s="31">
        <f>Option5!L$83*conv_2026*L$7</f>
        <v>-24220.030895344877</v>
      </c>
      <c r="M75" s="31">
        <f>Option5!M$83*conv_2026*M$7</f>
        <v>-24220.030895344877</v>
      </c>
      <c r="N75" s="31">
        <f>Option5!N$83*conv_2026*N$7</f>
        <v>-540367.83517669037</v>
      </c>
      <c r="O75" s="31">
        <f>Option5!O$83*conv_2026*O$7</f>
        <v>-540367.83517669037</v>
      </c>
      <c r="P75" s="31">
        <f>Option5!P$83*conv_2026*P$7</f>
        <v>-540367.83517669037</v>
      </c>
      <c r="Q75" s="31">
        <f>Option5!Q$83*conv_2026*Q$7</f>
        <v>-858868.35733599938</v>
      </c>
      <c r="R75" s="31">
        <f>Option5!R$83*conv_2026*R$7</f>
        <v>-858868.35733599938</v>
      </c>
      <c r="S75" s="31">
        <f>Option5!S$83*conv_2026*S$7</f>
        <v>-540367.83517669037</v>
      </c>
      <c r="T75" s="31">
        <f>Option5!T$83*conv_2026*T$7</f>
        <v>-540367.83517669037</v>
      </c>
      <c r="U75" s="31">
        <f>Option5!U$83*conv_2026*U$7</f>
        <v>-540367.83517669037</v>
      </c>
      <c r="V75" s="31">
        <f>Option5!V$83*conv_2026*V$7</f>
        <v>-540367.83517669037</v>
      </c>
      <c r="W75" s="31">
        <f>Option5!W$83*conv_2026*W$7</f>
        <v>-540367.83517669037</v>
      </c>
      <c r="X75" s="31">
        <f>Option5!X$83*conv_2026*X$7</f>
        <v>-270183.91758834518</v>
      </c>
      <c r="Y75" s="31">
        <f>Option5!Y$83*conv_2026*Y$7</f>
        <v>0</v>
      </c>
      <c r="Z75" s="31">
        <f>Option5!Z$83*conv_2026*Z$7</f>
        <v>0</v>
      </c>
      <c r="AA75" s="31">
        <f>Option5!AA$83*conv_2026*AA$7</f>
        <v>0</v>
      </c>
      <c r="AB75" s="31">
        <f>Option5!AB$83*conv_2026*AB$7</f>
        <v>0</v>
      </c>
      <c r="AC75" s="31">
        <f>Option5!AC$83*conv_2026*AC$7</f>
        <v>0</v>
      </c>
      <c r="AD75" s="31">
        <f>Option5!AD$83*conv_2026*AD$7</f>
        <v>0</v>
      </c>
      <c r="AE75" s="31">
        <f>Option5!AE$83*conv_2026*AE$7</f>
        <v>0</v>
      </c>
      <c r="AF75" s="31">
        <f>Option5!AF$83*conv_2026*AF$7</f>
        <v>0</v>
      </c>
      <c r="AG75" s="31">
        <f>Option5!AG$83*conv_2026*AG$7</f>
        <v>0</v>
      </c>
    </row>
    <row r="76" spans="1:33" s="2" customFormat="1" x14ac:dyDescent="0.2">
      <c r="A76" s="135" t="str">
        <f t="shared" si="19"/>
        <v>Option 5</v>
      </c>
      <c r="B76" s="135"/>
      <c r="C76" s="58" t="str">
        <f>Option5!C$84</f>
        <v>Risk mitigated</v>
      </c>
      <c r="D76" s="38" t="str">
        <f t="shared" si="18"/>
        <v>Option 5Risk mitigated</v>
      </c>
      <c r="E76" s="1"/>
      <c r="F76" s="97">
        <f>SUMPRODUCT($H76:$AG76, $H$5:$AG$5)</f>
        <v>17295784.516793225</v>
      </c>
      <c r="G76" s="225">
        <f t="shared" si="20"/>
        <v>46203</v>
      </c>
      <c r="H76" s="31"/>
      <c r="I76" s="31">
        <f>Option5!I$84*conv_2026*I$7</f>
        <v>710303.62735509104</v>
      </c>
      <c r="J76" s="31">
        <f>Option5!J$84*conv_2026*J$7</f>
        <v>1420607.2547101821</v>
      </c>
      <c r="K76" s="31">
        <f>Option5!K$84*conv_2026*K$7</f>
        <v>1420607.2547101821</v>
      </c>
      <c r="L76" s="31">
        <f>Option5!L$84*conv_2026*L$7</f>
        <v>1420607.2547101821</v>
      </c>
      <c r="M76" s="31">
        <f>Option5!M$84*conv_2026*M$7</f>
        <v>1420607.2547101821</v>
      </c>
      <c r="N76" s="31">
        <f>Option5!N$84*conv_2026*N$7</f>
        <v>1420607.2547101821</v>
      </c>
      <c r="O76" s="31">
        <f>Option5!O$84*conv_2026*O$7</f>
        <v>1420607.2547101821</v>
      </c>
      <c r="P76" s="31">
        <f>Option5!P$84*conv_2026*P$7</f>
        <v>1420607.2547101821</v>
      </c>
      <c r="Q76" s="31">
        <f>Option5!Q$84*conv_2026*Q$7</f>
        <v>1420607.2547101821</v>
      </c>
      <c r="R76" s="31">
        <f>Option5!R$84*conv_2026*R$7</f>
        <v>1420607.2547101821</v>
      </c>
      <c r="S76" s="31">
        <f>Option5!S$84*conv_2026*S$7</f>
        <v>1420607.2547101821</v>
      </c>
      <c r="T76" s="31">
        <f>Option5!T$84*conv_2026*T$7</f>
        <v>1420607.2547101821</v>
      </c>
      <c r="U76" s="31">
        <f>Option5!U$84*conv_2026*U$7</f>
        <v>1420607.2547101821</v>
      </c>
      <c r="V76" s="31">
        <f>Option5!V$84*conv_2026*V$7</f>
        <v>1420607.2547101821</v>
      </c>
      <c r="W76" s="31">
        <f>Option5!W$84*conv_2026*W$7</f>
        <v>1420607.2547101821</v>
      </c>
      <c r="X76" s="31">
        <f>Option5!X$84*conv_2026*X$7</f>
        <v>900560.33670415299</v>
      </c>
      <c r="Y76" s="31">
        <f>Option5!Y$84*conv_2026*Y$7</f>
        <v>380513.41869812162</v>
      </c>
      <c r="Z76" s="31">
        <f>Option5!Z$84*conv_2026*Z$7</f>
        <v>380513.41869812162</v>
      </c>
      <c r="AA76" s="31">
        <f>Option5!AA$84*conv_2026*AA$7</f>
        <v>380513.41869812162</v>
      </c>
      <c r="AB76" s="31">
        <f>Option5!AB$84*conv_2026*AB$7</f>
        <v>380513.41869812162</v>
      </c>
      <c r="AC76" s="31">
        <f>Option5!AC$84*conv_2026*AC$7</f>
        <v>0</v>
      </c>
      <c r="AD76" s="31">
        <f>Option5!AD$84*conv_2026*AD$7</f>
        <v>0</v>
      </c>
      <c r="AE76" s="31">
        <f>Option5!AE$84*conv_2026*AE$7</f>
        <v>0</v>
      </c>
      <c r="AF76" s="31">
        <f>Option5!AF$84*conv_2026*AF$7</f>
        <v>0</v>
      </c>
      <c r="AG76" s="31">
        <f>Option5!AG$84*conv_2026*AG$7</f>
        <v>0</v>
      </c>
    </row>
    <row r="77" spans="1:33" s="2" customFormat="1" x14ac:dyDescent="0.2">
      <c r="A77" s="135" t="str">
        <f t="shared" si="19"/>
        <v>Option 5</v>
      </c>
      <c r="B77" s="135"/>
      <c r="C77" s="58" t="str">
        <f>Option5!C$85</f>
        <v>Other benefits value</v>
      </c>
      <c r="D77" s="38" t="str">
        <f t="shared" si="18"/>
        <v>Option 5Other benefits value</v>
      </c>
      <c r="E77" s="1"/>
      <c r="F77" s="97">
        <f>SUMPRODUCT($H77:$AG77, $H$5:$AG$5)</f>
        <v>0</v>
      </c>
      <c r="G77" s="225">
        <f t="shared" si="20"/>
        <v>46203</v>
      </c>
      <c r="H77" s="31"/>
      <c r="I77" s="31">
        <f>Option5!I$85*conv_2026*I$7</f>
        <v>0</v>
      </c>
      <c r="J77" s="31">
        <f>Option5!J$85*conv_2026*J$7</f>
        <v>0</v>
      </c>
      <c r="K77" s="31">
        <f>Option5!K$85*conv_2026*K$7</f>
        <v>0</v>
      </c>
      <c r="L77" s="31">
        <f>Option5!L$85*conv_2026*L$7</f>
        <v>0</v>
      </c>
      <c r="M77" s="31">
        <f>Option5!M$85*conv_2026*M$7</f>
        <v>0</v>
      </c>
      <c r="N77" s="31">
        <f>Option5!N$85*conv_2026*N$7</f>
        <v>0</v>
      </c>
      <c r="O77" s="31">
        <f>Option5!O$85*conv_2026*O$7</f>
        <v>0</v>
      </c>
      <c r="P77" s="31">
        <f>Option5!P$85*conv_2026*P$7</f>
        <v>0</v>
      </c>
      <c r="Q77" s="31">
        <f>Option5!Q$85*conv_2026*Q$7</f>
        <v>0</v>
      </c>
      <c r="R77" s="31">
        <f>Option5!R$85*conv_2026*R$7</f>
        <v>0</v>
      </c>
      <c r="S77" s="31">
        <f>Option5!S$85*conv_2026*S$7</f>
        <v>0</v>
      </c>
      <c r="T77" s="31">
        <f>Option5!T$85*conv_2026*T$7</f>
        <v>0</v>
      </c>
      <c r="U77" s="31">
        <f>Option5!U$85*conv_2026*U$7</f>
        <v>0</v>
      </c>
      <c r="V77" s="31">
        <f>Option5!V$85*conv_2026*V$7</f>
        <v>0</v>
      </c>
      <c r="W77" s="31">
        <f>Option5!W$85*conv_2026*W$7</f>
        <v>0</v>
      </c>
      <c r="X77" s="31">
        <f>Option5!X$85*conv_2026*X$7</f>
        <v>0</v>
      </c>
      <c r="Y77" s="31">
        <f>Option5!Y$85*conv_2026*Y$7</f>
        <v>0</v>
      </c>
      <c r="Z77" s="31">
        <f>Option5!Z$85*conv_2026*Z$7</f>
        <v>0</v>
      </c>
      <c r="AA77" s="31">
        <f>Option5!AA$85*conv_2026*AA$7</f>
        <v>0</v>
      </c>
      <c r="AB77" s="31">
        <f>Option5!AB$85*conv_2026*AB$7</f>
        <v>0</v>
      </c>
      <c r="AC77" s="31">
        <f>Option5!AC$85*conv_2026*AC$7</f>
        <v>0</v>
      </c>
      <c r="AD77" s="31">
        <f>Option5!AD$85*conv_2026*AD$7</f>
        <v>0</v>
      </c>
      <c r="AE77" s="31">
        <f>Option5!AE$85*conv_2026*AE$7</f>
        <v>0</v>
      </c>
      <c r="AF77" s="31">
        <f>Option5!AF$85*conv_2026*AF$7</f>
        <v>0</v>
      </c>
      <c r="AG77" s="31">
        <f>Option5!AG$85*conv_2026*AG$7</f>
        <v>0</v>
      </c>
    </row>
    <row r="78" spans="1:33" s="2" customFormat="1" x14ac:dyDescent="0.2">
      <c r="A78" s="135" t="str">
        <f t="shared" si="19"/>
        <v>Option 5</v>
      </c>
      <c r="B78" s="135"/>
      <c r="C78" s="125" t="str">
        <f>Option5!C87</f>
        <v>Net benefits</v>
      </c>
      <c r="D78" s="109" t="str">
        <f t="shared" si="18"/>
        <v>Option 5Net benefits</v>
      </c>
      <c r="E78" s="110"/>
      <c r="F78" s="143"/>
      <c r="G78" s="227">
        <f t="shared" si="20"/>
        <v>46203</v>
      </c>
      <c r="H78" s="52"/>
      <c r="I78" s="52">
        <f t="shared" ref="I78:AB78" si="21">SUM(I74:I77)</f>
        <v>686083.59645974613</v>
      </c>
      <c r="J78" s="52">
        <f t="shared" si="21"/>
        <v>929837.16809614561</v>
      </c>
      <c r="K78" s="52">
        <f t="shared" si="21"/>
        <v>463287.11237745383</v>
      </c>
      <c r="L78" s="52">
        <f t="shared" si="21"/>
        <v>463287.11237745383</v>
      </c>
      <c r="M78" s="52">
        <f t="shared" si="21"/>
        <v>463287.11237745383</v>
      </c>
      <c r="N78" s="52">
        <f t="shared" si="21"/>
        <v>-52860.691903891508</v>
      </c>
      <c r="O78" s="52">
        <f t="shared" si="21"/>
        <v>-52860.691903891508</v>
      </c>
      <c r="P78" s="52">
        <f t="shared" si="21"/>
        <v>-52860.691903891508</v>
      </c>
      <c r="Q78" s="52">
        <f t="shared" si="21"/>
        <v>-371361.21406320063</v>
      </c>
      <c r="R78" s="52">
        <f t="shared" si="21"/>
        <v>-371361.21406320063</v>
      </c>
      <c r="S78" s="52">
        <f t="shared" si="21"/>
        <v>-52860.691903891508</v>
      </c>
      <c r="T78" s="52">
        <f t="shared" si="21"/>
        <v>-52860.691903891508</v>
      </c>
      <c r="U78" s="52">
        <f t="shared" si="21"/>
        <v>-52860.691903891508</v>
      </c>
      <c r="V78" s="52">
        <f t="shared" si="21"/>
        <v>-52860.691903891508</v>
      </c>
      <c r="W78" s="52">
        <f t="shared" si="21"/>
        <v>-52860.691903891508</v>
      </c>
      <c r="X78" s="52">
        <f t="shared" si="21"/>
        <v>-302723.6923215756</v>
      </c>
      <c r="Y78" s="52">
        <f t="shared" si="21"/>
        <v>-246994.68019934621</v>
      </c>
      <c r="Z78" s="52">
        <f t="shared" si="21"/>
        <v>58597.332340569235</v>
      </c>
      <c r="AA78" s="52">
        <f t="shared" si="21"/>
        <v>58597.332340569235</v>
      </c>
      <c r="AB78" s="52">
        <f t="shared" si="21"/>
        <v>58597.332340569235</v>
      </c>
      <c r="AC78" s="52">
        <f>SUM(AC74:AC77)</f>
        <v>0</v>
      </c>
      <c r="AD78" s="52">
        <f>SUM(AD74:AD77)</f>
        <v>0</v>
      </c>
      <c r="AE78" s="52">
        <f>SUM(AE74:AE77)</f>
        <v>0</v>
      </c>
      <c r="AF78" s="52">
        <f>SUM(AF74:AF77)</f>
        <v>0</v>
      </c>
      <c r="AG78" s="52">
        <f>SUM(AG74:AG77)</f>
        <v>0</v>
      </c>
    </row>
    <row r="79" spans="1:33" s="2" customFormat="1" x14ac:dyDescent="0.2">
      <c r="A79" s="135" t="str">
        <f t="shared" si="19"/>
        <v>Option 5</v>
      </c>
      <c r="B79" s="135"/>
      <c r="C79" s="8" t="s">
        <v>119</v>
      </c>
      <c r="D79" s="38" t="str">
        <f t="shared" si="18"/>
        <v>Option 5NPV</v>
      </c>
      <c r="E79" s="1"/>
      <c r="F79" s="108" cm="1">
        <f t="array" ref="F79">SUMPRODUCT(($H78:$AG78)*($H$5:$AG$5)*($H$7:$AG$7))</f>
        <v>1721548.1311967599</v>
      </c>
      <c r="G79" s="225">
        <f t="shared" si="20"/>
        <v>46203</v>
      </c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</row>
    <row r="80" spans="1:33" s="2" customFormat="1" x14ac:dyDescent="0.2">
      <c r="A80" s="135" t="str">
        <f t="shared" si="19"/>
        <v>Option 5</v>
      </c>
      <c r="B80" s="135"/>
      <c r="C80" s="8" t="s">
        <v>187</v>
      </c>
      <c r="D80" s="38" t="str">
        <f t="shared" si="18"/>
        <v>Option 5PV of costs</v>
      </c>
      <c r="E80" s="1"/>
      <c r="F80" s="108">
        <f>SUM(F74:F75)</f>
        <v>-15574236.385596469</v>
      </c>
      <c r="G80" s="225">
        <f t="shared" si="20"/>
        <v>46203</v>
      </c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</row>
    <row r="81" spans="1:33" s="2" customFormat="1" x14ac:dyDescent="0.2">
      <c r="A81" s="135" t="str">
        <f t="shared" si="19"/>
        <v>Option 5</v>
      </c>
      <c r="B81" s="135"/>
      <c r="C81" s="8" t="s">
        <v>188</v>
      </c>
      <c r="D81" s="38" t="str">
        <f t="shared" si="18"/>
        <v>Option 5PV of benefits</v>
      </c>
      <c r="E81" s="1"/>
      <c r="F81" s="108">
        <f>SUM(F76:F77)</f>
        <v>17295784.516793225</v>
      </c>
      <c r="G81" s="225">
        <f t="shared" si="20"/>
        <v>46203</v>
      </c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</row>
    <row r="82" spans="1:33" s="2" customFormat="1" x14ac:dyDescent="0.2">
      <c r="A82" s="124"/>
      <c r="B82" s="124"/>
      <c r="C82" s="124"/>
      <c r="D82" s="38" t="str">
        <f>A82&amp;C82</f>
        <v/>
      </c>
      <c r="F82" s="118"/>
      <c r="G82" s="221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  <c r="AC82" s="119"/>
      <c r="AD82" s="119"/>
      <c r="AE82" s="119"/>
      <c r="AF82" s="119"/>
      <c r="AG82" s="119"/>
    </row>
    <row r="83" spans="1:33" ht="12" x14ac:dyDescent="0.2">
      <c r="E83" s="84"/>
      <c r="G83" s="229"/>
    </row>
    <row r="84" spans="1:33" ht="12" x14ac:dyDescent="0.2">
      <c r="E84" s="84"/>
      <c r="G84" s="229"/>
    </row>
    <row r="85" spans="1:33" ht="12" x14ac:dyDescent="0.2">
      <c r="E85" s="84"/>
      <c r="G85" s="229"/>
    </row>
    <row r="86" spans="1:33" ht="12" x14ac:dyDescent="0.2">
      <c r="E86" s="84"/>
      <c r="G86" s="229"/>
    </row>
    <row r="87" spans="1:33" ht="12" x14ac:dyDescent="0.2">
      <c r="E87" s="10"/>
      <c r="G87" s="229"/>
    </row>
    <row r="88" spans="1:33" ht="15" x14ac:dyDescent="0.25">
      <c r="A88" s="202" t="s">
        <v>200</v>
      </c>
      <c r="B88" s="54"/>
      <c r="C88" s="19"/>
      <c r="D88" s="19"/>
      <c r="E88" s="83"/>
      <c r="F88" s="19"/>
      <c r="G88" s="223"/>
      <c r="H88" s="223"/>
      <c r="I88" s="199" t="str">
        <f>"FY"&amp;RIGHT(I$9,2)</f>
        <v>FY27</v>
      </c>
      <c r="J88" s="199" t="str">
        <f t="shared" ref="J88:AG88" si="22">"FY"&amp;RIGHT(J$9,2)</f>
        <v>FY28</v>
      </c>
      <c r="K88" s="199" t="str">
        <f t="shared" si="22"/>
        <v>FY29</v>
      </c>
      <c r="L88" s="199" t="str">
        <f t="shared" si="22"/>
        <v>FY30</v>
      </c>
      <c r="M88" s="199" t="str">
        <f t="shared" si="22"/>
        <v>FY31</v>
      </c>
      <c r="N88" s="199" t="str">
        <f t="shared" si="22"/>
        <v>FY32</v>
      </c>
      <c r="O88" s="199" t="str">
        <f t="shared" si="22"/>
        <v>FY33</v>
      </c>
      <c r="P88" s="199" t="str">
        <f t="shared" si="22"/>
        <v>FY34</v>
      </c>
      <c r="Q88" s="199" t="str">
        <f t="shared" si="22"/>
        <v>FY35</v>
      </c>
      <c r="R88" s="199" t="str">
        <f t="shared" si="22"/>
        <v>FY36</v>
      </c>
      <c r="S88" s="199" t="str">
        <f t="shared" si="22"/>
        <v>FY37</v>
      </c>
      <c r="T88" s="199" t="str">
        <f t="shared" si="22"/>
        <v>FY38</v>
      </c>
      <c r="U88" s="199" t="str">
        <f t="shared" si="22"/>
        <v>FY39</v>
      </c>
      <c r="V88" s="199" t="str">
        <f t="shared" si="22"/>
        <v>FY40</v>
      </c>
      <c r="W88" s="199" t="str">
        <f t="shared" si="22"/>
        <v>FY41</v>
      </c>
      <c r="X88" s="199" t="str">
        <f t="shared" si="22"/>
        <v>FY42</v>
      </c>
      <c r="Y88" s="199" t="str">
        <f t="shared" si="22"/>
        <v>FY43</v>
      </c>
      <c r="Z88" s="199" t="str">
        <f t="shared" si="22"/>
        <v>FY44</v>
      </c>
      <c r="AA88" s="199" t="str">
        <f t="shared" si="22"/>
        <v>FY45</v>
      </c>
      <c r="AB88" s="199" t="str">
        <f t="shared" si="22"/>
        <v>FY46</v>
      </c>
      <c r="AC88" s="199" t="str">
        <f t="shared" si="22"/>
        <v>FY47</v>
      </c>
      <c r="AD88" s="199" t="str">
        <f t="shared" si="22"/>
        <v>FY48</v>
      </c>
      <c r="AE88" s="199" t="str">
        <f t="shared" si="22"/>
        <v>FY49</v>
      </c>
      <c r="AF88" s="199" t="str">
        <f t="shared" si="22"/>
        <v>FY50</v>
      </c>
      <c r="AG88" s="199" t="str">
        <f t="shared" si="22"/>
        <v>FY51</v>
      </c>
    </row>
    <row r="89" spans="1:33" ht="12" x14ac:dyDescent="0.2">
      <c r="E89" s="84"/>
      <c r="G89" s="229"/>
    </row>
    <row r="90" spans="1:33" ht="12" x14ac:dyDescent="0.2">
      <c r="E90" s="84"/>
    </row>
    <row r="91" spans="1:33" x14ac:dyDescent="0.2">
      <c r="A91" s="198" t="str">
        <f>Summary!$C$26</f>
        <v>Option 5</v>
      </c>
      <c r="B91" s="139"/>
      <c r="C91" s="196" t="s">
        <v>91</v>
      </c>
      <c r="D91" s="118">
        <f>INDEX(Data!$C$30:$C$36, MATCH(C91, Data!$B$30:$B$36,0))</f>
        <v>-1</v>
      </c>
      <c r="E91" s="2"/>
      <c r="F91" s="118"/>
      <c r="G91" s="119"/>
      <c r="H91" s="119" t="str">
        <f>A91&amp;" "&amp;LOWER(C91)</f>
        <v>Option 5 annualised capex</v>
      </c>
      <c r="I91" s="297" cm="1">
        <f t="array" ref="I91">MAX($D91*INDEX(I$15:W$81, MATCH($A91&amp;$C91, $D$15:$D$81,0),))/mill_conv</f>
        <v>0.93310011143738336</v>
      </c>
      <c r="J91" s="297" cm="1">
        <f t="array" ref="J91">MAX($D91*INDEX(J$15:X$81, MATCH($A91&amp;$C91, $D$15:$D$81,0),))/mill_conv</f>
        <v>0.93310011143738336</v>
      </c>
      <c r="K91" s="297" cm="1">
        <f t="array" ref="K91">MAX($D91*INDEX(K$15:Y$81, MATCH($A91&amp;$C91, $D$15:$D$81,0),))/mill_conv</f>
        <v>0.93310011143738336</v>
      </c>
      <c r="L91" s="297" cm="1">
        <f t="array" ref="L91">MAX($D91*INDEX(L$15:Z$81, MATCH($A91&amp;$C91, $D$15:$D$81,0),))/mill_conv</f>
        <v>0.93310011143738336</v>
      </c>
      <c r="M91" s="297" cm="1">
        <f t="array" ref="M91">MAX($D91*INDEX(M$15:AA$81, MATCH($A91&amp;$C91, $D$15:$D$81,0),))/mill_conv</f>
        <v>0.93310011143738336</v>
      </c>
      <c r="N91" s="297" cm="1">
        <f t="array" ref="N91">MAX($D91*INDEX(N$15:AB$81, MATCH($A91&amp;$C91, $D$15:$D$81,0),))/mill_conv</f>
        <v>0.93310011143738336</v>
      </c>
      <c r="O91" s="297" cm="1">
        <f t="array" ref="O91">MAX($D91*INDEX(O$15:AC$81, MATCH($A91&amp;$C91, $D$15:$D$81,0),))/mill_conv</f>
        <v>0.93310011143738336</v>
      </c>
      <c r="P91" s="297" cm="1">
        <f t="array" ref="P91">MAX($D91*INDEX(P$15:AD$81, MATCH($A91&amp;$C91, $D$15:$D$81,0),))/mill_conv</f>
        <v>0.93310011143738336</v>
      </c>
      <c r="Q91" s="297" cm="1">
        <f t="array" ref="Q91">MAX($D91*INDEX(Q$15:AE$81, MATCH($A91&amp;$C91, $D$15:$D$81,0),))/mill_conv</f>
        <v>0.93310011143738336</v>
      </c>
      <c r="R91" s="297" cm="1">
        <f t="array" ref="R91">MAX($D91*INDEX(R$15:AF$81, MATCH($A91&amp;$C91, $D$15:$D$81,0),))/mill_conv</f>
        <v>0.93310011143738336</v>
      </c>
      <c r="S91" s="297" cm="1">
        <f t="array" ref="S91">MAX($D91*INDEX(S$15:AG$81, MATCH($A91&amp;$C91, $D$15:$D$81,0),))/mill_conv</f>
        <v>0.93310011143738336</v>
      </c>
      <c r="T91" s="297" cm="1">
        <f t="array" ref="T91">MAX($D91*INDEX(T$15:AH$81, MATCH($A91&amp;$C91, $D$15:$D$81,0),))/mill_conv</f>
        <v>0.93310011143738336</v>
      </c>
      <c r="U91" s="297" cm="1">
        <f t="array" ref="U91">MAX($D91*INDEX(U$15:AI$81, MATCH($A91&amp;$C91, $D$15:$D$81,0),))/mill_conv</f>
        <v>0.93310011143738336</v>
      </c>
      <c r="V91" s="297" cm="1">
        <f t="array" ref="V91">MAX($D91*INDEX(V$15:AJ$81, MATCH($A91&amp;$C91, $D$15:$D$81,0),))/mill_conv</f>
        <v>0.93310011143738336</v>
      </c>
      <c r="W91" s="297" cm="1">
        <f t="array" ref="W91">MAX($D91*INDEX(W$15:AK$81, MATCH($A91&amp;$C91, $D$15:$D$81,0),))/mill_conv</f>
        <v>0.93310011143738336</v>
      </c>
      <c r="X91" s="297" cm="1">
        <f t="array" ref="X91">MAX($D91*INDEX(X$15:AL$81, MATCH($A91&amp;$C91, $D$15:$D$81,0),))/mill_conv</f>
        <v>0.93310011143738336</v>
      </c>
      <c r="Y91" s="297" cm="1">
        <f t="array" ref="Y91">MAX($D91*INDEX(Y$15:AM$81, MATCH($A91&amp;$C91, $D$15:$D$81,0),))/mill_conv</f>
        <v>0.62750809889746784</v>
      </c>
      <c r="Z91" s="297" cm="1">
        <f t="array" ref="Z91">MAX($D91*INDEX(Z$15:AN$81, MATCH($A91&amp;$C91, $D$15:$D$81,0),))/mill_conv</f>
        <v>0.32191608635755237</v>
      </c>
      <c r="AA91" s="297" cm="1">
        <f t="array" ref="AA91">MAX($D91*INDEX(AA$15:AO$81, MATCH($A91&amp;$C91, $D$15:$D$81,0),))/mill_conv</f>
        <v>0.32191608635755237</v>
      </c>
      <c r="AB91" s="297" cm="1">
        <f t="array" ref="AB91">MAX($D91*INDEX(AB$15:AP$81, MATCH($A91&amp;$C91, $D$15:$D$81,0),))/mill_conv</f>
        <v>0.32191608635755237</v>
      </c>
      <c r="AC91" s="297" cm="1">
        <f t="array" ref="AC91">MAX($D91*INDEX(AC$15:AQ$81, MATCH($A91&amp;$C91, $D$15:$D$81,0),))/mill_conv</f>
        <v>0</v>
      </c>
      <c r="AD91" s="297" cm="1">
        <f t="array" ref="AD91">MAX($D91*INDEX(AD$15:AR$81, MATCH($A91&amp;$C91, $D$15:$D$81,0),))/mill_conv</f>
        <v>0</v>
      </c>
      <c r="AE91" s="297" cm="1">
        <f t="array" ref="AE91">MAX($D91*INDEX(AE$15:AS$81, MATCH($A91&amp;$C91, $D$15:$D$81,0),))/mill_conv</f>
        <v>0</v>
      </c>
      <c r="AF91" s="297" cm="1">
        <f t="array" ref="AF91">MAX($D91*INDEX(AF$15:AT$81, MATCH($A91&amp;$C91, $D$15:$D$81,0),))/mill_conv</f>
        <v>0</v>
      </c>
      <c r="AG91" s="297" cm="1">
        <f t="array" ref="AG91">MAX($D91*INDEX(AG$15:AU$81, MATCH($A91&amp;$C91, $D$15:$D$81,0),))/mill_conv</f>
        <v>0</v>
      </c>
    </row>
    <row r="92" spans="1:33" x14ac:dyDescent="0.2">
      <c r="A92" s="197" t="str">
        <f>A16</f>
        <v>Option 1 (base case)</v>
      </c>
      <c r="B92" s="139"/>
      <c r="C92" s="197" t="s">
        <v>170</v>
      </c>
      <c r="D92" s="118">
        <f>INDEX(Data!$C$30:$C$36, MATCH(C92, Data!$B$30:$B$36,0))</f>
        <v>1</v>
      </c>
      <c r="E92" s="84"/>
      <c r="H92" s="119" t="str">
        <f>A92&amp;" risk cost"</f>
        <v>Option 1 (base case) risk cost</v>
      </c>
      <c r="I92" s="297">
        <f t="shared" ref="I92:R92" si="23">$D92*INDEX(I$15:I$81, MATCH($A92&amp;$C92, $D$15:$D$81,0))/mill_conv</f>
        <v>17.403588356827001</v>
      </c>
      <c r="J92" s="297">
        <f t="shared" si="23"/>
        <v>17.403588356827001</v>
      </c>
      <c r="K92" s="297">
        <f t="shared" si="23"/>
        <v>17.403588356827001</v>
      </c>
      <c r="L92" s="297">
        <f t="shared" si="23"/>
        <v>17.403588356827001</v>
      </c>
      <c r="M92" s="297">
        <f t="shared" si="23"/>
        <v>17.403588356827001</v>
      </c>
      <c r="N92" s="297">
        <f t="shared" si="23"/>
        <v>17.403588356827001</v>
      </c>
      <c r="O92" s="297">
        <f t="shared" si="23"/>
        <v>17.403588356827001</v>
      </c>
      <c r="P92" s="297">
        <f t="shared" si="23"/>
        <v>17.403588356827001</v>
      </c>
      <c r="Q92" s="297">
        <f t="shared" si="23"/>
        <v>17.403588356827001</v>
      </c>
      <c r="R92" s="297">
        <f t="shared" si="23"/>
        <v>17.403588356827001</v>
      </c>
      <c r="S92" s="297">
        <f t="shared" ref="S92:AG92" si="24">$D92*INDEX(S$15:S$81, MATCH($A92&amp;$C92, $D$15:$D$81,0))/mill_conv</f>
        <v>17.403588356827001</v>
      </c>
      <c r="T92" s="297">
        <f t="shared" si="24"/>
        <v>17.403588356827001</v>
      </c>
      <c r="U92" s="297">
        <f t="shared" si="24"/>
        <v>17.403588356827001</v>
      </c>
      <c r="V92" s="297">
        <f t="shared" si="24"/>
        <v>17.403588356827001</v>
      </c>
      <c r="W92" s="297">
        <f t="shared" si="24"/>
        <v>17.403588356827001</v>
      </c>
      <c r="X92" s="297">
        <f t="shared" si="24"/>
        <v>17.403588356827001</v>
      </c>
      <c r="Y92" s="297">
        <f t="shared" si="24"/>
        <v>17.403588356827001</v>
      </c>
      <c r="Z92" s="297">
        <f t="shared" si="24"/>
        <v>17.403588356827001</v>
      </c>
      <c r="AA92" s="297">
        <f t="shared" si="24"/>
        <v>17.403588356827001</v>
      </c>
      <c r="AB92" s="297">
        <f t="shared" si="24"/>
        <v>17.403588356827001</v>
      </c>
      <c r="AC92" s="297">
        <f t="shared" si="24"/>
        <v>17.403588356827001</v>
      </c>
      <c r="AD92" s="297">
        <f t="shared" si="24"/>
        <v>17.403588356827001</v>
      </c>
      <c r="AE92" s="297">
        <f t="shared" si="24"/>
        <v>17.403588356827001</v>
      </c>
      <c r="AF92" s="297">
        <f t="shared" si="24"/>
        <v>17.403588356827001</v>
      </c>
      <c r="AG92" s="297">
        <f t="shared" si="24"/>
        <v>17.403588356827001</v>
      </c>
    </row>
    <row r="93" spans="1:33" ht="12" x14ac:dyDescent="0.2">
      <c r="E93" s="84"/>
      <c r="I93" s="150"/>
      <c r="J93" s="150"/>
      <c r="K93" s="150"/>
      <c r="L93" s="150"/>
      <c r="M93" s="150"/>
      <c r="N93" s="150"/>
      <c r="O93" s="150"/>
      <c r="P93" s="150"/>
      <c r="Q93" s="150"/>
      <c r="R93" s="150"/>
      <c r="S93" s="150"/>
      <c r="T93" s="150"/>
      <c r="U93" s="150"/>
      <c r="V93" s="150"/>
      <c r="W93" s="150"/>
      <c r="X93" s="150"/>
      <c r="Y93" s="150"/>
      <c r="Z93" s="150"/>
      <c r="AA93" s="150"/>
      <c r="AB93" s="150"/>
      <c r="AC93" s="150"/>
      <c r="AD93" s="150"/>
      <c r="AE93" s="150"/>
      <c r="AF93" s="150"/>
      <c r="AG93" s="150"/>
    </row>
    <row r="94" spans="1:33" ht="12" x14ac:dyDescent="0.2">
      <c r="E94" s="84"/>
    </row>
    <row r="95" spans="1:33" ht="12" x14ac:dyDescent="0.2">
      <c r="E95" s="84"/>
    </row>
    <row r="96" spans="1:33" ht="12" x14ac:dyDescent="0.2">
      <c r="E96" s="84"/>
    </row>
    <row r="97" spans="1:33" ht="12" x14ac:dyDescent="0.2">
      <c r="E97" s="84"/>
      <c r="I97" s="294" t="str">
        <f>I88</f>
        <v>FY27</v>
      </c>
      <c r="J97" s="294" t="str">
        <f t="shared" ref="J97:AG97" si="25">J88</f>
        <v>FY28</v>
      </c>
      <c r="K97" s="294" t="str">
        <f t="shared" si="25"/>
        <v>FY29</v>
      </c>
      <c r="L97" s="294" t="str">
        <f t="shared" si="25"/>
        <v>FY30</v>
      </c>
      <c r="M97" s="294" t="str">
        <f t="shared" si="25"/>
        <v>FY31</v>
      </c>
      <c r="N97" s="294" t="str">
        <f t="shared" si="25"/>
        <v>FY32</v>
      </c>
      <c r="O97" s="294" t="str">
        <f t="shared" si="25"/>
        <v>FY33</v>
      </c>
      <c r="P97" s="294" t="str">
        <f t="shared" si="25"/>
        <v>FY34</v>
      </c>
      <c r="Q97" s="294" t="str">
        <f t="shared" si="25"/>
        <v>FY35</v>
      </c>
      <c r="R97" s="294" t="str">
        <f t="shared" si="25"/>
        <v>FY36</v>
      </c>
      <c r="S97" s="294" t="str">
        <f t="shared" si="25"/>
        <v>FY37</v>
      </c>
      <c r="T97" s="294" t="str">
        <f t="shared" si="25"/>
        <v>FY38</v>
      </c>
      <c r="U97" s="294" t="str">
        <f t="shared" si="25"/>
        <v>FY39</v>
      </c>
      <c r="V97" s="294" t="str">
        <f t="shared" si="25"/>
        <v>FY40</v>
      </c>
      <c r="W97" s="294" t="str">
        <f t="shared" si="25"/>
        <v>FY41</v>
      </c>
      <c r="X97" s="294" t="str">
        <f t="shared" si="25"/>
        <v>FY42</v>
      </c>
      <c r="Y97" s="294" t="str">
        <f t="shared" si="25"/>
        <v>FY43</v>
      </c>
      <c r="Z97" s="294" t="str">
        <f t="shared" si="25"/>
        <v>FY44</v>
      </c>
      <c r="AA97" s="294" t="str">
        <f t="shared" si="25"/>
        <v>FY45</v>
      </c>
      <c r="AB97" s="294" t="str">
        <f t="shared" si="25"/>
        <v>FY46</v>
      </c>
      <c r="AC97" s="294" t="str">
        <f t="shared" si="25"/>
        <v>FY47</v>
      </c>
      <c r="AD97" s="294" t="str">
        <f t="shared" si="25"/>
        <v>FY48</v>
      </c>
      <c r="AE97" s="294" t="str">
        <f t="shared" si="25"/>
        <v>FY49</v>
      </c>
      <c r="AF97" s="294" t="str">
        <f t="shared" si="25"/>
        <v>FY50</v>
      </c>
      <c r="AG97" s="294" t="str">
        <f t="shared" si="25"/>
        <v>FY51</v>
      </c>
    </row>
    <row r="98" spans="1:33" x14ac:dyDescent="0.2">
      <c r="A98" s="198" t="s">
        <v>233</v>
      </c>
      <c r="B98" s="139"/>
      <c r="C98" s="196" t="s">
        <v>123</v>
      </c>
      <c r="D98" s="190">
        <f>MAX(H98:AG98)</f>
        <v>0</v>
      </c>
      <c r="E98" s="293"/>
      <c r="F98" s="118"/>
      <c r="G98" s="119"/>
      <c r="H98" s="119" t="str">
        <f>A98&amp;" "&amp;LOWER(C98)</f>
        <v>Energy at risk energy at risk (weighted)</v>
      </c>
      <c r="I98" s="119">
        <f>INDEX('Option1 (base case)'!I$14:I$87, MATCH($C98, 'Option1 (base case)'!$C$14:$C$87,0))</f>
        <v>0</v>
      </c>
      <c r="J98" s="119">
        <f>INDEX('Option1 (base case)'!J$14:J$87, MATCH($C98, 'Option1 (base case)'!$C$14:$C$87,0))</f>
        <v>0</v>
      </c>
      <c r="K98" s="119">
        <f>INDEX('Option1 (base case)'!K$14:K$87, MATCH($C98, 'Option1 (base case)'!$C$14:$C$87,0))</f>
        <v>0</v>
      </c>
      <c r="L98" s="119">
        <f>INDEX('Option1 (base case)'!L$14:L$87, MATCH($C98, 'Option1 (base case)'!$C$14:$C$87,0))</f>
        <v>0</v>
      </c>
      <c r="M98" s="119">
        <f>INDEX('Option1 (base case)'!M$14:M$87, MATCH($C98, 'Option1 (base case)'!$C$14:$C$87,0))</f>
        <v>0</v>
      </c>
      <c r="N98" s="119">
        <f>INDEX('Option1 (base case)'!N$14:N$87, MATCH($C98, 'Option1 (base case)'!$C$14:$C$87,0))</f>
        <v>0</v>
      </c>
      <c r="O98" s="119">
        <f>INDEX('Option1 (base case)'!O$14:O$87, MATCH($C98, 'Option1 (base case)'!$C$14:$C$87,0))</f>
        <v>0</v>
      </c>
      <c r="P98" s="119">
        <f>INDEX('Option1 (base case)'!P$14:P$87, MATCH($C98, 'Option1 (base case)'!$C$14:$C$87,0))</f>
        <v>0</v>
      </c>
      <c r="Q98" s="119">
        <f>INDEX('Option1 (base case)'!Q$14:Q$87, MATCH($C98, 'Option1 (base case)'!$C$14:$C$87,0))</f>
        <v>0</v>
      </c>
      <c r="R98" s="119">
        <f>INDEX('Option1 (base case)'!R$14:R$87, MATCH($C98, 'Option1 (base case)'!$C$14:$C$87,0))</f>
        <v>0</v>
      </c>
      <c r="S98" s="119">
        <f>INDEX('Option1 (base case)'!S$14:S$87, MATCH($C98, 'Option1 (base case)'!$C$14:$C$87,0))</f>
        <v>0</v>
      </c>
      <c r="T98" s="119">
        <f>INDEX('Option1 (base case)'!T$14:T$87, MATCH($C98, 'Option1 (base case)'!$C$14:$C$87,0))</f>
        <v>0</v>
      </c>
      <c r="U98" s="119">
        <f>INDEX('Option1 (base case)'!U$14:U$87, MATCH($C98, 'Option1 (base case)'!$C$14:$C$87,0))</f>
        <v>0</v>
      </c>
      <c r="V98" s="119">
        <f>INDEX('Option1 (base case)'!V$14:V$87, MATCH($C98, 'Option1 (base case)'!$C$14:$C$87,0))</f>
        <v>0</v>
      </c>
      <c r="W98" s="119">
        <f>INDEX('Option1 (base case)'!W$14:W$87, MATCH($C98, 'Option1 (base case)'!$C$14:$C$87,0))</f>
        <v>0</v>
      </c>
      <c r="X98" s="119">
        <f>INDEX('Option1 (base case)'!X$14:X$87, MATCH($C98, 'Option1 (base case)'!$C$14:$C$87,0))</f>
        <v>0</v>
      </c>
      <c r="Y98" s="119">
        <f>INDEX('Option1 (base case)'!Y$14:Y$87, MATCH($C98, 'Option1 (base case)'!$C$14:$C$87,0))</f>
        <v>0</v>
      </c>
      <c r="Z98" s="119">
        <f>INDEX('Option1 (base case)'!Z$14:Z$87, MATCH($C98, 'Option1 (base case)'!$C$14:$C$87,0))</f>
        <v>0</v>
      </c>
      <c r="AA98" s="119">
        <f>INDEX('Option1 (base case)'!AA$14:AA$87, MATCH($C98, 'Option1 (base case)'!$C$14:$C$87,0))</f>
        <v>0</v>
      </c>
      <c r="AB98" s="119">
        <f>INDEX('Option1 (base case)'!AB$14:AB$87, MATCH($C98, 'Option1 (base case)'!$C$14:$C$87,0))</f>
        <v>0</v>
      </c>
      <c r="AC98" s="119">
        <f>INDEX('Option1 (base case)'!AC$14:AC$87, MATCH($C98, 'Option1 (base case)'!$C$14:$C$87,0))</f>
        <v>0</v>
      </c>
      <c r="AD98" s="119">
        <f>INDEX('Option1 (base case)'!AD$14:AD$87, MATCH($C98, 'Option1 (base case)'!$C$14:$C$87,0))</f>
        <v>0</v>
      </c>
      <c r="AE98" s="119">
        <f>INDEX('Option1 (base case)'!AE$14:AE$87, MATCH($C98, 'Option1 (base case)'!$C$14:$C$87,0))</f>
        <v>0</v>
      </c>
      <c r="AF98" s="119">
        <f>INDEX('Option1 (base case)'!AF$14:AF$87, MATCH($C98, 'Option1 (base case)'!$C$14:$C$87,0))</f>
        <v>0</v>
      </c>
      <c r="AG98" s="119">
        <f>INDEX('Option1 (base case)'!AG$14:AG$87, MATCH($C98, 'Option1 (base case)'!$C$14:$C$87,0))</f>
        <v>0</v>
      </c>
    </row>
    <row r="99" spans="1:33" x14ac:dyDescent="0.2">
      <c r="A99" s="197" t="str">
        <f>A23</f>
        <v>Option 1 (base case)</v>
      </c>
      <c r="B99" s="139"/>
      <c r="C99" s="197" t="s">
        <v>124</v>
      </c>
      <c r="D99" s="190">
        <f>MAX(H99:AG99)</f>
        <v>0.84870631024567078</v>
      </c>
      <c r="E99" s="293"/>
      <c r="H99" s="119" t="str">
        <f>A99&amp;" risk cost"</f>
        <v>Option 1 (base case) risk cost</v>
      </c>
      <c r="I99" s="119">
        <f>INDEX('Option1 (base case)'!I$14:I$87, MATCH($C99, 'Option1 (base case)'!$C$14:$C$87,0))/10^6</f>
        <v>0.84870631024567078</v>
      </c>
      <c r="J99" s="119">
        <f>INDEX('Option1 (base case)'!J$14:J$87, MATCH($C99, 'Option1 (base case)'!$C$14:$C$87,0))/10^6</f>
        <v>0.84870631024567078</v>
      </c>
      <c r="K99" s="119">
        <f>INDEX('Option1 (base case)'!K$14:K$87, MATCH($C99, 'Option1 (base case)'!$C$14:$C$87,0))/10^6</f>
        <v>0.84870631024567078</v>
      </c>
      <c r="L99" s="119">
        <f>INDEX('Option1 (base case)'!L$14:L$87, MATCH($C99, 'Option1 (base case)'!$C$14:$C$87,0))/10^6</f>
        <v>0.84870631024567078</v>
      </c>
      <c r="M99" s="119">
        <f>INDEX('Option1 (base case)'!M$14:M$87, MATCH($C99, 'Option1 (base case)'!$C$14:$C$87,0))/10^6</f>
        <v>0.84870631024567078</v>
      </c>
      <c r="N99" s="119">
        <f>INDEX('Option1 (base case)'!N$14:N$87, MATCH($C99, 'Option1 (base case)'!$C$14:$C$87,0))/10^6</f>
        <v>0.84870631024567078</v>
      </c>
      <c r="O99" s="119">
        <f>INDEX('Option1 (base case)'!O$14:O$87, MATCH($C99, 'Option1 (base case)'!$C$14:$C$87,0))/10^6</f>
        <v>0.84870631024567078</v>
      </c>
      <c r="P99" s="119">
        <f>INDEX('Option1 (base case)'!P$14:P$87, MATCH($C99, 'Option1 (base case)'!$C$14:$C$87,0))/10^6</f>
        <v>0.84870631024567078</v>
      </c>
      <c r="Q99" s="119">
        <f>INDEX('Option1 (base case)'!Q$14:Q$87, MATCH($C99, 'Option1 (base case)'!$C$14:$C$87,0))/10^6</f>
        <v>0.84870631024567078</v>
      </c>
      <c r="R99" s="119">
        <f>INDEX('Option1 (base case)'!R$14:R$87, MATCH($C99, 'Option1 (base case)'!$C$14:$C$87,0))/10^6</f>
        <v>0.84870631024567078</v>
      </c>
      <c r="S99" s="119">
        <f>INDEX('Option1 (base case)'!S$14:S$87, MATCH($C99, 'Option1 (base case)'!$C$14:$C$87,0))/10^6</f>
        <v>0.84870631024567078</v>
      </c>
      <c r="T99" s="119">
        <f>INDEX('Option1 (base case)'!T$14:T$87, MATCH($C99, 'Option1 (base case)'!$C$14:$C$87,0))/10^6</f>
        <v>0.84870631024567078</v>
      </c>
      <c r="U99" s="119">
        <f>INDEX('Option1 (base case)'!U$14:U$87, MATCH($C99, 'Option1 (base case)'!$C$14:$C$87,0))/10^6</f>
        <v>0.84870631024567078</v>
      </c>
      <c r="V99" s="119">
        <f>INDEX('Option1 (base case)'!V$14:V$87, MATCH($C99, 'Option1 (base case)'!$C$14:$C$87,0))/10^6</f>
        <v>0.84870631024567078</v>
      </c>
      <c r="W99" s="119">
        <f>INDEX('Option1 (base case)'!W$14:W$87, MATCH($C99, 'Option1 (base case)'!$C$14:$C$87,0))/10^6</f>
        <v>0.84870631024567078</v>
      </c>
      <c r="X99" s="119">
        <f>INDEX('Option1 (base case)'!X$14:X$87, MATCH($C99, 'Option1 (base case)'!$C$14:$C$87,0))/10^6</f>
        <v>0.84870631024567078</v>
      </c>
      <c r="Y99" s="119">
        <f>INDEX('Option1 (base case)'!Y$14:Y$87, MATCH($C99, 'Option1 (base case)'!$C$14:$C$87,0))/10^6</f>
        <v>0.84870631024567078</v>
      </c>
      <c r="Z99" s="119">
        <f>INDEX('Option1 (base case)'!Z$14:Z$87, MATCH($C99, 'Option1 (base case)'!$C$14:$C$87,0))/10^6</f>
        <v>0.84870631024567078</v>
      </c>
      <c r="AA99" s="119">
        <f>INDEX('Option1 (base case)'!AA$14:AA$87, MATCH($C99, 'Option1 (base case)'!$C$14:$C$87,0))/10^6</f>
        <v>0.84870631024567078</v>
      </c>
      <c r="AB99" s="119">
        <f>INDEX('Option1 (base case)'!AB$14:AB$87, MATCH($C99, 'Option1 (base case)'!$C$14:$C$87,0))/10^6</f>
        <v>0.84870631024567078</v>
      </c>
      <c r="AC99" s="119">
        <f>INDEX('Option1 (base case)'!AC$14:AC$87, MATCH($C99, 'Option1 (base case)'!$C$14:$C$87,0))/10^6</f>
        <v>0.84870631024567078</v>
      </c>
      <c r="AD99" s="119">
        <f>INDEX('Option1 (base case)'!AD$14:AD$87, MATCH($C99, 'Option1 (base case)'!$C$14:$C$87,0))/10^6</f>
        <v>0.84870631024567078</v>
      </c>
      <c r="AE99" s="119">
        <f>INDEX('Option1 (base case)'!AE$14:AE$87, MATCH($C99, 'Option1 (base case)'!$C$14:$C$87,0))/10^6</f>
        <v>0.84870631024567078</v>
      </c>
      <c r="AF99" s="119">
        <f>INDEX('Option1 (base case)'!AF$14:AF$87, MATCH($C99, 'Option1 (base case)'!$C$14:$C$87,0))/10^6</f>
        <v>0.84870631024567078</v>
      </c>
      <c r="AG99" s="119">
        <f>INDEX('Option1 (base case)'!AG$14:AG$87, MATCH($C99, 'Option1 (base case)'!$C$14:$C$87,0))/10^6</f>
        <v>0.84870631024567078</v>
      </c>
    </row>
    <row r="100" spans="1:33" ht="12" x14ac:dyDescent="0.2">
      <c r="E100" s="10"/>
    </row>
    <row r="101" spans="1:33" s="295" customFormat="1" ht="12" x14ac:dyDescent="0.2"/>
    <row r="102" spans="1:33" ht="12" x14ac:dyDescent="0.2">
      <c r="E102" s="10"/>
    </row>
    <row r="103" spans="1:33" ht="12" x14ac:dyDescent="0.2">
      <c r="E103" s="10"/>
      <c r="I103" s="295"/>
    </row>
    <row r="104" spans="1:33" ht="12" x14ac:dyDescent="0.2">
      <c r="E104" s="10"/>
      <c r="H104" s="150"/>
    </row>
    <row r="105" spans="1:33" ht="12" x14ac:dyDescent="0.2">
      <c r="E105" s="10"/>
      <c r="H105" s="150"/>
    </row>
    <row r="106" spans="1:33" ht="12" x14ac:dyDescent="0.2">
      <c r="D106" s="190"/>
      <c r="E106" s="10"/>
    </row>
    <row r="107" spans="1:33" ht="12" x14ac:dyDescent="0.2">
      <c r="D107" s="190"/>
      <c r="E107" s="10"/>
    </row>
    <row r="108" spans="1:33" ht="12" x14ac:dyDescent="0.2">
      <c r="D108" s="190"/>
      <c r="E108" s="84"/>
    </row>
    <row r="109" spans="1:33" ht="12" x14ac:dyDescent="0.2">
      <c r="C109" s="124"/>
      <c r="D109" s="190"/>
      <c r="E109" s="190"/>
    </row>
    <row r="110" spans="1:33" ht="12" x14ac:dyDescent="0.2">
      <c r="D110" s="190"/>
      <c r="E110" s="84"/>
    </row>
    <row r="111" spans="1:33" ht="12" x14ac:dyDescent="0.2">
      <c r="D111" s="190"/>
      <c r="E111" s="84"/>
    </row>
    <row r="112" spans="1:33" ht="12" x14ac:dyDescent="0.2">
      <c r="D112" s="190"/>
      <c r="E112" s="84"/>
    </row>
    <row r="113" spans="4:5" ht="12" x14ac:dyDescent="0.2">
      <c r="D113" s="190"/>
      <c r="E113" s="84"/>
    </row>
    <row r="114" spans="4:5" ht="12" x14ac:dyDescent="0.2">
      <c r="D114" s="190"/>
      <c r="E114" s="84"/>
    </row>
    <row r="115" spans="4:5" ht="12" x14ac:dyDescent="0.2">
      <c r="D115" s="190"/>
      <c r="E115" s="84"/>
    </row>
    <row r="116" spans="4:5" ht="12" x14ac:dyDescent="0.2">
      <c r="D116" s="190"/>
      <c r="E116" s="84"/>
    </row>
    <row r="117" spans="4:5" ht="12" x14ac:dyDescent="0.2">
      <c r="D117" s="190"/>
      <c r="E117" s="84"/>
    </row>
    <row r="118" spans="4:5" ht="12" x14ac:dyDescent="0.2">
      <c r="D118" s="190"/>
      <c r="E118" s="84"/>
    </row>
    <row r="119" spans="4:5" ht="12" x14ac:dyDescent="0.2">
      <c r="D119" s="190"/>
      <c r="E119" s="84"/>
    </row>
    <row r="120" spans="4:5" ht="12" x14ac:dyDescent="0.2">
      <c r="D120" s="190"/>
      <c r="E120" s="84"/>
    </row>
    <row r="121" spans="4:5" ht="12" x14ac:dyDescent="0.2">
      <c r="D121" s="190"/>
      <c r="E121" s="84"/>
    </row>
    <row r="122" spans="4:5" ht="12" x14ac:dyDescent="0.2">
      <c r="D122" s="190"/>
      <c r="E122" s="84"/>
    </row>
    <row r="123" spans="4:5" ht="12" x14ac:dyDescent="0.2">
      <c r="D123" s="190"/>
      <c r="E123" s="84"/>
    </row>
    <row r="124" spans="4:5" ht="12" x14ac:dyDescent="0.2">
      <c r="D124" s="190"/>
      <c r="E124" s="84"/>
    </row>
    <row r="125" spans="4:5" ht="12" x14ac:dyDescent="0.2">
      <c r="D125" s="190"/>
      <c r="E125" s="84"/>
    </row>
    <row r="126" spans="4:5" ht="12" x14ac:dyDescent="0.2">
      <c r="D126" s="190"/>
      <c r="E126" s="84"/>
    </row>
    <row r="127" spans="4:5" ht="12" x14ac:dyDescent="0.2">
      <c r="D127" s="190"/>
      <c r="E127" s="84"/>
    </row>
    <row r="128" spans="4:5" ht="12" x14ac:dyDescent="0.2">
      <c r="D128" s="190"/>
      <c r="E128" s="84"/>
    </row>
    <row r="129" spans="4:5" ht="12" x14ac:dyDescent="0.2">
      <c r="D129" s="190"/>
      <c r="E129" s="84"/>
    </row>
    <row r="130" spans="4:5" ht="12" x14ac:dyDescent="0.2">
      <c r="D130" s="190"/>
      <c r="E130" s="84"/>
    </row>
    <row r="131" spans="4:5" ht="12" x14ac:dyDescent="0.2">
      <c r="D131" s="190"/>
      <c r="E131" s="84"/>
    </row>
    <row r="132" spans="4:5" ht="12" x14ac:dyDescent="0.2">
      <c r="D132" s="190"/>
      <c r="E132" s="84"/>
    </row>
    <row r="133" spans="4:5" ht="12" x14ac:dyDescent="0.2">
      <c r="D133" s="190"/>
      <c r="E133" s="84"/>
    </row>
    <row r="134" spans="4:5" ht="12" x14ac:dyDescent="0.2">
      <c r="D134" s="190"/>
      <c r="E134" s="84"/>
    </row>
    <row r="135" spans="4:5" ht="12" x14ac:dyDescent="0.2">
      <c r="D135" s="190"/>
      <c r="E135" s="84"/>
    </row>
    <row r="136" spans="4:5" ht="12" x14ac:dyDescent="0.2">
      <c r="D136" s="190"/>
      <c r="E136" s="84"/>
    </row>
    <row r="137" spans="4:5" ht="12" x14ac:dyDescent="0.2">
      <c r="D137" s="190"/>
      <c r="E137" s="84"/>
    </row>
    <row r="138" spans="4:5" ht="12" x14ac:dyDescent="0.2">
      <c r="E138" s="84"/>
    </row>
    <row r="139" spans="4:5" ht="12" x14ac:dyDescent="0.2">
      <c r="E139" s="84"/>
    </row>
    <row r="140" spans="4:5" ht="12" x14ac:dyDescent="0.2">
      <c r="E140" s="84"/>
    </row>
    <row r="141" spans="4:5" ht="12" x14ac:dyDescent="0.2">
      <c r="E141" s="84"/>
    </row>
    <row r="142" spans="4:5" ht="12" x14ac:dyDescent="0.2">
      <c r="E142" s="84"/>
    </row>
    <row r="143" spans="4:5" ht="12" x14ac:dyDescent="0.2">
      <c r="E143" s="84"/>
    </row>
    <row r="144" spans="4:5" ht="12" x14ac:dyDescent="0.2">
      <c r="E144" s="84"/>
    </row>
    <row r="145" spans="5:5" ht="12" x14ac:dyDescent="0.2">
      <c r="E145" s="84"/>
    </row>
    <row r="146" spans="5:5" ht="12" x14ac:dyDescent="0.2">
      <c r="E146" s="84"/>
    </row>
    <row r="147" spans="5:5" ht="12" x14ac:dyDescent="0.2">
      <c r="E147" s="84"/>
    </row>
    <row r="148" spans="5:5" ht="12" x14ac:dyDescent="0.2">
      <c r="E148" s="84"/>
    </row>
    <row r="149" spans="5:5" ht="12" x14ac:dyDescent="0.2">
      <c r="E149" s="84"/>
    </row>
    <row r="150" spans="5:5" ht="12" x14ac:dyDescent="0.2">
      <c r="E150" s="84"/>
    </row>
    <row r="151" spans="5:5" ht="12" x14ac:dyDescent="0.2">
      <c r="E151" s="84"/>
    </row>
    <row r="152" spans="5:5" ht="12" x14ac:dyDescent="0.2">
      <c r="E152" s="84"/>
    </row>
    <row r="153" spans="5:5" ht="12" x14ac:dyDescent="0.2">
      <c r="E153" s="84"/>
    </row>
    <row r="154" spans="5:5" ht="12" x14ac:dyDescent="0.2">
      <c r="E154" s="84"/>
    </row>
    <row r="155" spans="5:5" ht="12" x14ac:dyDescent="0.2">
      <c r="E155" s="84"/>
    </row>
    <row r="156" spans="5:5" ht="12" x14ac:dyDescent="0.2">
      <c r="E156" s="84"/>
    </row>
    <row r="157" spans="5:5" ht="12" x14ac:dyDescent="0.2">
      <c r="E157" s="84"/>
    </row>
    <row r="158" spans="5:5" ht="12" x14ac:dyDescent="0.2">
      <c r="E158" s="84"/>
    </row>
    <row r="159" spans="5:5" ht="12" x14ac:dyDescent="0.2">
      <c r="E159" s="84"/>
    </row>
    <row r="160" spans="5:5" ht="12" x14ac:dyDescent="0.2">
      <c r="E160" s="84"/>
    </row>
    <row r="161" spans="5:5" ht="12" x14ac:dyDescent="0.2">
      <c r="E161" s="84"/>
    </row>
    <row r="162" spans="5:5" ht="12" x14ac:dyDescent="0.2">
      <c r="E162" s="84"/>
    </row>
    <row r="163" spans="5:5" ht="12" x14ac:dyDescent="0.2">
      <c r="E163" s="84"/>
    </row>
    <row r="164" spans="5:5" ht="12" x14ac:dyDescent="0.2">
      <c r="E164" s="84"/>
    </row>
    <row r="165" spans="5:5" ht="12" x14ac:dyDescent="0.2">
      <c r="E165" s="84"/>
    </row>
    <row r="166" spans="5:5" ht="12" x14ac:dyDescent="0.2">
      <c r="E166" s="84"/>
    </row>
    <row r="167" spans="5:5" ht="12" x14ac:dyDescent="0.2">
      <c r="E167" s="84"/>
    </row>
    <row r="168" spans="5:5" ht="12" x14ac:dyDescent="0.2">
      <c r="E168" s="84"/>
    </row>
    <row r="169" spans="5:5" ht="12" x14ac:dyDescent="0.2">
      <c r="E169" s="84"/>
    </row>
    <row r="170" spans="5:5" ht="12" x14ac:dyDescent="0.2">
      <c r="E170" s="84"/>
    </row>
    <row r="171" spans="5:5" ht="12" x14ac:dyDescent="0.2">
      <c r="E171" s="84"/>
    </row>
    <row r="172" spans="5:5" ht="12" x14ac:dyDescent="0.2">
      <c r="E172" s="84"/>
    </row>
    <row r="173" spans="5:5" ht="12" x14ac:dyDescent="0.2">
      <c r="E173" s="84"/>
    </row>
    <row r="174" spans="5:5" ht="12" x14ac:dyDescent="0.2">
      <c r="E174" s="84"/>
    </row>
    <row r="175" spans="5:5" ht="12" x14ac:dyDescent="0.2">
      <c r="E175" s="84"/>
    </row>
    <row r="176" spans="5:5" ht="12" x14ac:dyDescent="0.2">
      <c r="E176" s="84"/>
    </row>
    <row r="177" spans="5:5" ht="12" x14ac:dyDescent="0.2">
      <c r="E177" s="84"/>
    </row>
    <row r="178" spans="5:5" ht="12" x14ac:dyDescent="0.2">
      <c r="E178" s="84"/>
    </row>
    <row r="179" spans="5:5" ht="12" x14ac:dyDescent="0.2">
      <c r="E179" s="84"/>
    </row>
    <row r="180" spans="5:5" ht="12" x14ac:dyDescent="0.2">
      <c r="E180" s="84"/>
    </row>
    <row r="181" spans="5:5" ht="12" x14ac:dyDescent="0.2">
      <c r="E181" s="84"/>
    </row>
    <row r="182" spans="5:5" ht="12" x14ac:dyDescent="0.2">
      <c r="E182" s="84"/>
    </row>
    <row r="183" spans="5:5" ht="12" x14ac:dyDescent="0.2">
      <c r="E183" s="84"/>
    </row>
    <row r="184" spans="5:5" ht="12" x14ac:dyDescent="0.2">
      <c r="E184" s="84"/>
    </row>
    <row r="185" spans="5:5" ht="12" x14ac:dyDescent="0.2">
      <c r="E185" s="84"/>
    </row>
    <row r="186" spans="5:5" ht="12" x14ac:dyDescent="0.2">
      <c r="E186" s="84"/>
    </row>
    <row r="187" spans="5:5" ht="12" x14ac:dyDescent="0.2">
      <c r="E187" s="84"/>
    </row>
    <row r="188" spans="5:5" ht="12" x14ac:dyDescent="0.2">
      <c r="E188" s="84"/>
    </row>
    <row r="189" spans="5:5" ht="12" x14ac:dyDescent="0.2">
      <c r="E189" s="84"/>
    </row>
    <row r="190" spans="5:5" ht="12" x14ac:dyDescent="0.2">
      <c r="E190" s="84"/>
    </row>
    <row r="191" spans="5:5" ht="12" x14ac:dyDescent="0.2">
      <c r="E191" s="84"/>
    </row>
    <row r="192" spans="5:5" ht="12" x14ac:dyDescent="0.2">
      <c r="E192" s="84"/>
    </row>
    <row r="193" spans="5:5" ht="12" x14ac:dyDescent="0.2">
      <c r="E193" s="84"/>
    </row>
    <row r="194" spans="5:5" ht="12" x14ac:dyDescent="0.2">
      <c r="E194" s="84"/>
    </row>
    <row r="195" spans="5:5" ht="12" x14ac:dyDescent="0.2">
      <c r="E195" s="84"/>
    </row>
    <row r="196" spans="5:5" ht="12" x14ac:dyDescent="0.2">
      <c r="E196" s="84"/>
    </row>
    <row r="197" spans="5:5" ht="12" x14ac:dyDescent="0.2">
      <c r="E197" s="84"/>
    </row>
    <row r="198" spans="5:5" ht="12" x14ac:dyDescent="0.2">
      <c r="E198" s="84"/>
    </row>
    <row r="199" spans="5:5" ht="12" x14ac:dyDescent="0.2">
      <c r="E199" s="84"/>
    </row>
    <row r="200" spans="5:5" ht="12" x14ac:dyDescent="0.2">
      <c r="E200" s="84"/>
    </row>
    <row r="201" spans="5:5" ht="12" x14ac:dyDescent="0.2">
      <c r="E201" s="84"/>
    </row>
    <row r="202" spans="5:5" ht="12" x14ac:dyDescent="0.2">
      <c r="E202" s="84"/>
    </row>
    <row r="203" spans="5:5" ht="12" x14ac:dyDescent="0.2">
      <c r="E203" s="84"/>
    </row>
    <row r="204" spans="5:5" ht="12" x14ac:dyDescent="0.2">
      <c r="E204" s="84"/>
    </row>
    <row r="205" spans="5:5" ht="12" x14ac:dyDescent="0.2">
      <c r="E205" s="84"/>
    </row>
    <row r="206" spans="5:5" ht="12" x14ac:dyDescent="0.2">
      <c r="E206" s="84"/>
    </row>
    <row r="207" spans="5:5" ht="12" x14ac:dyDescent="0.2">
      <c r="E207" s="84"/>
    </row>
    <row r="208" spans="5:5" ht="12" x14ac:dyDescent="0.2">
      <c r="E208" s="84"/>
    </row>
    <row r="209" spans="5:5" ht="12" x14ac:dyDescent="0.2">
      <c r="E209" s="84"/>
    </row>
    <row r="210" spans="5:5" ht="12" x14ac:dyDescent="0.2">
      <c r="E210" s="84"/>
    </row>
    <row r="211" spans="5:5" ht="12" x14ac:dyDescent="0.2">
      <c r="E211" s="84"/>
    </row>
    <row r="212" spans="5:5" ht="12" x14ac:dyDescent="0.2">
      <c r="E212" s="84"/>
    </row>
    <row r="213" spans="5:5" ht="12" x14ac:dyDescent="0.2">
      <c r="E213" s="84"/>
    </row>
    <row r="214" spans="5:5" ht="12" x14ac:dyDescent="0.2">
      <c r="E214" s="84"/>
    </row>
    <row r="215" spans="5:5" ht="12" x14ac:dyDescent="0.2">
      <c r="E215" s="84"/>
    </row>
    <row r="216" spans="5:5" ht="12" x14ac:dyDescent="0.2">
      <c r="E216" s="84"/>
    </row>
    <row r="217" spans="5:5" ht="12" x14ac:dyDescent="0.2">
      <c r="E217" s="84"/>
    </row>
    <row r="218" spans="5:5" ht="12" x14ac:dyDescent="0.2">
      <c r="E218" s="84"/>
    </row>
    <row r="219" spans="5:5" ht="12" x14ac:dyDescent="0.2">
      <c r="E219" s="84"/>
    </row>
    <row r="220" spans="5:5" ht="12" x14ac:dyDescent="0.2">
      <c r="E220" s="84"/>
    </row>
    <row r="221" spans="5:5" ht="12" x14ac:dyDescent="0.2">
      <c r="E221" s="84"/>
    </row>
    <row r="222" spans="5:5" ht="12" x14ac:dyDescent="0.2">
      <c r="E222" s="84"/>
    </row>
    <row r="223" spans="5:5" ht="12" x14ac:dyDescent="0.2">
      <c r="E223" s="84"/>
    </row>
    <row r="224" spans="5:5" ht="12" x14ac:dyDescent="0.2">
      <c r="E224" s="84"/>
    </row>
    <row r="225" spans="5:5" ht="12" x14ac:dyDescent="0.2">
      <c r="E225" s="84"/>
    </row>
    <row r="226" spans="5:5" ht="12" x14ac:dyDescent="0.2">
      <c r="E226" s="84"/>
    </row>
    <row r="227" spans="5:5" ht="12" x14ac:dyDescent="0.2">
      <c r="E227" s="84"/>
    </row>
    <row r="228" spans="5:5" ht="12" x14ac:dyDescent="0.2">
      <c r="E228" s="84"/>
    </row>
    <row r="229" spans="5:5" ht="12" x14ac:dyDescent="0.2">
      <c r="E229" s="84"/>
    </row>
    <row r="230" spans="5:5" ht="12" x14ac:dyDescent="0.2">
      <c r="E230" s="84"/>
    </row>
    <row r="231" spans="5:5" ht="12" x14ac:dyDescent="0.2">
      <c r="E231" s="84"/>
    </row>
    <row r="232" spans="5:5" ht="12" x14ac:dyDescent="0.2">
      <c r="E232" s="84"/>
    </row>
    <row r="233" spans="5:5" ht="12" x14ac:dyDescent="0.2">
      <c r="E233" s="84"/>
    </row>
    <row r="234" spans="5:5" ht="12" x14ac:dyDescent="0.2">
      <c r="E234" s="84"/>
    </row>
    <row r="235" spans="5:5" ht="12" x14ac:dyDescent="0.2">
      <c r="E235" s="84"/>
    </row>
    <row r="236" spans="5:5" ht="12" x14ac:dyDescent="0.2">
      <c r="E236" s="84"/>
    </row>
    <row r="237" spans="5:5" ht="12" x14ac:dyDescent="0.2">
      <c r="E237" s="84"/>
    </row>
    <row r="238" spans="5:5" ht="12" x14ac:dyDescent="0.2">
      <c r="E238" s="84"/>
    </row>
    <row r="239" spans="5:5" ht="12" x14ac:dyDescent="0.2">
      <c r="E239" s="84"/>
    </row>
    <row r="240" spans="5:5" ht="12" x14ac:dyDescent="0.2">
      <c r="E240" s="84"/>
    </row>
    <row r="241" spans="5:5" ht="12" x14ac:dyDescent="0.2">
      <c r="E241" s="84"/>
    </row>
    <row r="242" spans="5:5" ht="12" x14ac:dyDescent="0.2">
      <c r="E242" s="84"/>
    </row>
    <row r="243" spans="5:5" ht="12" x14ac:dyDescent="0.2">
      <c r="E243" s="84"/>
    </row>
    <row r="244" spans="5:5" ht="12" x14ac:dyDescent="0.2">
      <c r="E244" s="84"/>
    </row>
    <row r="245" spans="5:5" ht="12" x14ac:dyDescent="0.2">
      <c r="E245" s="84"/>
    </row>
    <row r="246" spans="5:5" ht="12" x14ac:dyDescent="0.2">
      <c r="E246" s="84"/>
    </row>
    <row r="247" spans="5:5" ht="12" x14ac:dyDescent="0.2">
      <c r="E247" s="84"/>
    </row>
    <row r="248" spans="5:5" ht="12" x14ac:dyDescent="0.2">
      <c r="E248" s="84"/>
    </row>
    <row r="249" spans="5:5" ht="12" x14ac:dyDescent="0.2">
      <c r="E249" s="84"/>
    </row>
    <row r="250" spans="5:5" ht="12" x14ac:dyDescent="0.2">
      <c r="E250" s="84"/>
    </row>
    <row r="251" spans="5:5" ht="12" x14ac:dyDescent="0.2">
      <c r="E251" s="84"/>
    </row>
    <row r="252" spans="5:5" x14ac:dyDescent="0.2"/>
    <row r="253" spans="5:5" x14ac:dyDescent="0.2"/>
    <row r="254" spans="5:5" x14ac:dyDescent="0.2"/>
    <row r="255" spans="5:5" x14ac:dyDescent="0.2"/>
    <row r="256" spans="5:5" x14ac:dyDescent="0.2"/>
    <row r="257" x14ac:dyDescent="0.2"/>
    <row r="258" x14ac:dyDescent="0.2"/>
    <row r="259" x14ac:dyDescent="0.2"/>
    <row r="260" x14ac:dyDescent="0.2"/>
    <row r="261" x14ac:dyDescent="0.2"/>
    <row r="262" x14ac:dyDescent="0.2"/>
    <row r="263" x14ac:dyDescent="0.2"/>
    <row r="264" x14ac:dyDescent="0.2"/>
    <row r="265" x14ac:dyDescent="0.2"/>
    <row r="266" x14ac:dyDescent="0.2"/>
    <row r="267" x14ac:dyDescent="0.2"/>
    <row r="268" x14ac:dyDescent="0.2"/>
    <row r="269" x14ac:dyDescent="0.2"/>
    <row r="270" x14ac:dyDescent="0.2"/>
    <row r="271" x14ac:dyDescent="0.2"/>
    <row r="272" x14ac:dyDescent="0.2"/>
    <row r="273" x14ac:dyDescent="0.2"/>
    <row r="274" x14ac:dyDescent="0.2"/>
    <row r="275" x14ac:dyDescent="0.2"/>
    <row r="276" x14ac:dyDescent="0.2"/>
    <row r="277" x14ac:dyDescent="0.2"/>
    <row r="278" x14ac:dyDescent="0.2"/>
    <row r="279" x14ac:dyDescent="0.2"/>
    <row r="280" x14ac:dyDescent="0.2"/>
    <row r="281" x14ac:dyDescent="0.2"/>
    <row r="282" x14ac:dyDescent="0.2"/>
    <row r="283" x14ac:dyDescent="0.2"/>
    <row r="284" x14ac:dyDescent="0.2"/>
    <row r="285" x14ac:dyDescent="0.2"/>
    <row r="286" x14ac:dyDescent="0.2"/>
    <row r="287" x14ac:dyDescent="0.2"/>
    <row r="288" x14ac:dyDescent="0.2"/>
    <row r="289" x14ac:dyDescent="0.2"/>
    <row r="290" x14ac:dyDescent="0.2"/>
    <row r="291" x14ac:dyDescent="0.2"/>
    <row r="292" x14ac:dyDescent="0.2"/>
    <row r="293" x14ac:dyDescent="0.2"/>
    <row r="294" x14ac:dyDescent="0.2"/>
    <row r="295" x14ac:dyDescent="0.2"/>
    <row r="296" x14ac:dyDescent="0.2"/>
    <row r="297" x14ac:dyDescent="0.2"/>
    <row r="298" x14ac:dyDescent="0.2"/>
    <row r="299" x14ac:dyDescent="0.2"/>
    <row r="300" x14ac:dyDescent="0.2"/>
    <row r="301" x14ac:dyDescent="0.2"/>
    <row r="302" x14ac:dyDescent="0.2"/>
    <row r="303" x14ac:dyDescent="0.2"/>
    <row r="304" x14ac:dyDescent="0.2"/>
    <row r="305" x14ac:dyDescent="0.2"/>
    <row r="306" x14ac:dyDescent="0.2"/>
    <row r="307" x14ac:dyDescent="0.2"/>
    <row r="308" x14ac:dyDescent="0.2"/>
    <row r="309" x14ac:dyDescent="0.2"/>
    <row r="310" x14ac:dyDescent="0.2"/>
    <row r="311" x14ac:dyDescent="0.2"/>
    <row r="312" x14ac:dyDescent="0.2"/>
    <row r="313" x14ac:dyDescent="0.2"/>
    <row r="314" x14ac:dyDescent="0.2"/>
    <row r="315" x14ac:dyDescent="0.2"/>
    <row r="316" x14ac:dyDescent="0.2"/>
    <row r="317" x14ac:dyDescent="0.2"/>
    <row r="318" x14ac:dyDescent="0.2"/>
    <row r="319" x14ac:dyDescent="0.2"/>
    <row r="320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  <row r="329" x14ac:dyDescent="0.2"/>
    <row r="330" x14ac:dyDescent="0.2"/>
    <row r="331" x14ac:dyDescent="0.2"/>
    <row r="332" x14ac:dyDescent="0.2"/>
    <row r="333" x14ac:dyDescent="0.2"/>
    <row r="334" x14ac:dyDescent="0.2"/>
    <row r="335" x14ac:dyDescent="0.2"/>
    <row r="336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  <row r="350" x14ac:dyDescent="0.2"/>
    <row r="351" x14ac:dyDescent="0.2"/>
    <row r="352" x14ac:dyDescent="0.2"/>
    <row r="353" x14ac:dyDescent="0.2"/>
    <row r="354" x14ac:dyDescent="0.2"/>
    <row r="355" x14ac:dyDescent="0.2"/>
    <row r="356" x14ac:dyDescent="0.2"/>
    <row r="357" x14ac:dyDescent="0.2"/>
    <row r="358" x14ac:dyDescent="0.2"/>
    <row r="359" x14ac:dyDescent="0.2"/>
    <row r="360" x14ac:dyDescent="0.2"/>
    <row r="361" x14ac:dyDescent="0.2"/>
    <row r="362" x14ac:dyDescent="0.2"/>
    <row r="363" x14ac:dyDescent="0.2"/>
    <row r="364" x14ac:dyDescent="0.2"/>
    <row r="365" x14ac:dyDescent="0.2"/>
    <row r="366" x14ac:dyDescent="0.2"/>
    <row r="367" x14ac:dyDescent="0.2"/>
    <row r="368" x14ac:dyDescent="0.2"/>
    <row r="369" x14ac:dyDescent="0.2"/>
    <row r="370" x14ac:dyDescent="0.2"/>
    <row r="371" x14ac:dyDescent="0.2"/>
    <row r="372" x14ac:dyDescent="0.2"/>
    <row r="373" x14ac:dyDescent="0.2"/>
    <row r="374" x14ac:dyDescent="0.2"/>
    <row r="375" x14ac:dyDescent="0.2"/>
    <row r="376" x14ac:dyDescent="0.2"/>
    <row r="377" x14ac:dyDescent="0.2"/>
    <row r="378" x14ac:dyDescent="0.2"/>
    <row r="379" x14ac:dyDescent="0.2"/>
    <row r="380" x14ac:dyDescent="0.2"/>
    <row r="381" x14ac:dyDescent="0.2"/>
    <row r="382" x14ac:dyDescent="0.2"/>
    <row r="383" x14ac:dyDescent="0.2"/>
    <row r="384" x14ac:dyDescent="0.2"/>
    <row r="385" x14ac:dyDescent="0.2"/>
    <row r="386" x14ac:dyDescent="0.2"/>
    <row r="387" x14ac:dyDescent="0.2"/>
    <row r="388" x14ac:dyDescent="0.2"/>
    <row r="389" x14ac:dyDescent="0.2"/>
    <row r="390" x14ac:dyDescent="0.2"/>
    <row r="391" x14ac:dyDescent="0.2"/>
    <row r="392" x14ac:dyDescent="0.2"/>
    <row r="393" x14ac:dyDescent="0.2"/>
    <row r="394" x14ac:dyDescent="0.2"/>
    <row r="395" x14ac:dyDescent="0.2"/>
    <row r="396" x14ac:dyDescent="0.2"/>
    <row r="397" x14ac:dyDescent="0.2"/>
    <row r="398" x14ac:dyDescent="0.2"/>
    <row r="399" x14ac:dyDescent="0.2"/>
    <row r="400" x14ac:dyDescent="0.2"/>
    <row r="401" x14ac:dyDescent="0.2"/>
    <row r="402" x14ac:dyDescent="0.2"/>
    <row r="403" x14ac:dyDescent="0.2"/>
    <row r="404" x14ac:dyDescent="0.2"/>
    <row r="405" x14ac:dyDescent="0.2"/>
    <row r="406" x14ac:dyDescent="0.2"/>
    <row r="407" x14ac:dyDescent="0.2"/>
    <row r="408" x14ac:dyDescent="0.2"/>
    <row r="409" x14ac:dyDescent="0.2"/>
    <row r="410" x14ac:dyDescent="0.2"/>
    <row r="411" x14ac:dyDescent="0.2"/>
    <row r="412" x14ac:dyDescent="0.2"/>
    <row r="413" x14ac:dyDescent="0.2"/>
    <row r="414" x14ac:dyDescent="0.2"/>
    <row r="415" x14ac:dyDescent="0.2"/>
    <row r="416" x14ac:dyDescent="0.2"/>
    <row r="417" x14ac:dyDescent="0.2"/>
    <row r="418" x14ac:dyDescent="0.2"/>
    <row r="419" x14ac:dyDescent="0.2"/>
    <row r="420" x14ac:dyDescent="0.2"/>
    <row r="421" x14ac:dyDescent="0.2"/>
    <row r="422" x14ac:dyDescent="0.2"/>
    <row r="423" x14ac:dyDescent="0.2"/>
    <row r="424" x14ac:dyDescent="0.2"/>
    <row r="425" x14ac:dyDescent="0.2"/>
    <row r="426" x14ac:dyDescent="0.2"/>
    <row r="427" x14ac:dyDescent="0.2"/>
    <row r="428" x14ac:dyDescent="0.2"/>
    <row r="429" x14ac:dyDescent="0.2"/>
    <row r="430" x14ac:dyDescent="0.2"/>
    <row r="431" x14ac:dyDescent="0.2"/>
    <row r="432" x14ac:dyDescent="0.2"/>
    <row r="433" x14ac:dyDescent="0.2"/>
    <row r="434" x14ac:dyDescent="0.2"/>
    <row r="435" x14ac:dyDescent="0.2"/>
    <row r="436" x14ac:dyDescent="0.2"/>
    <row r="437" x14ac:dyDescent="0.2"/>
    <row r="438" x14ac:dyDescent="0.2"/>
    <row r="439" x14ac:dyDescent="0.2"/>
    <row r="440" x14ac:dyDescent="0.2"/>
    <row r="441" x14ac:dyDescent="0.2"/>
    <row r="442" x14ac:dyDescent="0.2"/>
    <row r="443" x14ac:dyDescent="0.2"/>
    <row r="444" x14ac:dyDescent="0.2"/>
    <row r="445" x14ac:dyDescent="0.2"/>
    <row r="446" x14ac:dyDescent="0.2"/>
    <row r="447" x14ac:dyDescent="0.2"/>
    <row r="448" x14ac:dyDescent="0.2"/>
    <row r="449" x14ac:dyDescent="0.2"/>
    <row r="450" x14ac:dyDescent="0.2"/>
    <row r="451" x14ac:dyDescent="0.2"/>
    <row r="452" x14ac:dyDescent="0.2"/>
    <row r="453" x14ac:dyDescent="0.2"/>
    <row r="454" x14ac:dyDescent="0.2"/>
    <row r="455" x14ac:dyDescent="0.2"/>
    <row r="456" x14ac:dyDescent="0.2"/>
    <row r="457" x14ac:dyDescent="0.2"/>
    <row r="458" x14ac:dyDescent="0.2"/>
    <row r="459" x14ac:dyDescent="0.2"/>
    <row r="460" x14ac:dyDescent="0.2"/>
    <row r="461" x14ac:dyDescent="0.2"/>
    <row r="462" x14ac:dyDescent="0.2"/>
    <row r="463" x14ac:dyDescent="0.2"/>
    <row r="464" x14ac:dyDescent="0.2"/>
    <row r="465" x14ac:dyDescent="0.2"/>
    <row r="466" x14ac:dyDescent="0.2"/>
    <row r="467" x14ac:dyDescent="0.2"/>
    <row r="468" x14ac:dyDescent="0.2"/>
    <row r="469" x14ac:dyDescent="0.2"/>
    <row r="470" x14ac:dyDescent="0.2"/>
    <row r="471" x14ac:dyDescent="0.2"/>
    <row r="472" x14ac:dyDescent="0.2"/>
    <row r="473" x14ac:dyDescent="0.2"/>
    <row r="474" x14ac:dyDescent="0.2"/>
    <row r="475" x14ac:dyDescent="0.2"/>
    <row r="476" x14ac:dyDescent="0.2"/>
    <row r="477" x14ac:dyDescent="0.2"/>
    <row r="478" x14ac:dyDescent="0.2"/>
    <row r="479" x14ac:dyDescent="0.2"/>
    <row r="480" x14ac:dyDescent="0.2"/>
    <row r="481" x14ac:dyDescent="0.2"/>
    <row r="482" x14ac:dyDescent="0.2"/>
    <row r="483" x14ac:dyDescent="0.2"/>
    <row r="484" x14ac:dyDescent="0.2"/>
    <row r="485" x14ac:dyDescent="0.2"/>
    <row r="486" x14ac:dyDescent="0.2"/>
    <row r="487" x14ac:dyDescent="0.2"/>
    <row r="488" x14ac:dyDescent="0.2"/>
    <row r="489" x14ac:dyDescent="0.2"/>
    <row r="490" x14ac:dyDescent="0.2"/>
    <row r="491" x14ac:dyDescent="0.2"/>
    <row r="492" x14ac:dyDescent="0.2"/>
    <row r="493" x14ac:dyDescent="0.2"/>
    <row r="494" x14ac:dyDescent="0.2"/>
    <row r="495" x14ac:dyDescent="0.2"/>
    <row r="496" x14ac:dyDescent="0.2"/>
    <row r="497" x14ac:dyDescent="0.2"/>
    <row r="498" x14ac:dyDescent="0.2"/>
    <row r="499" x14ac:dyDescent="0.2"/>
    <row r="500" x14ac:dyDescent="0.2"/>
    <row r="501" x14ac:dyDescent="0.2"/>
    <row r="502" x14ac:dyDescent="0.2"/>
    <row r="503" x14ac:dyDescent="0.2"/>
    <row r="504" x14ac:dyDescent="0.2"/>
    <row r="505" x14ac:dyDescent="0.2"/>
    <row r="506" x14ac:dyDescent="0.2"/>
    <row r="507" x14ac:dyDescent="0.2"/>
    <row r="508" x14ac:dyDescent="0.2"/>
    <row r="509" x14ac:dyDescent="0.2"/>
    <row r="510" x14ac:dyDescent="0.2"/>
    <row r="511" x14ac:dyDescent="0.2"/>
    <row r="512" x14ac:dyDescent="0.2"/>
    <row r="513" x14ac:dyDescent="0.2"/>
    <row r="514" x14ac:dyDescent="0.2"/>
    <row r="515" x14ac:dyDescent="0.2"/>
    <row r="516" x14ac:dyDescent="0.2"/>
    <row r="517" x14ac:dyDescent="0.2"/>
    <row r="518" x14ac:dyDescent="0.2"/>
    <row r="519" x14ac:dyDescent="0.2"/>
    <row r="520" x14ac:dyDescent="0.2"/>
    <row r="521" x14ac:dyDescent="0.2"/>
    <row r="522" x14ac:dyDescent="0.2"/>
    <row r="523" x14ac:dyDescent="0.2"/>
    <row r="524" x14ac:dyDescent="0.2"/>
    <row r="525" x14ac:dyDescent="0.2"/>
    <row r="526" x14ac:dyDescent="0.2"/>
    <row r="527" x14ac:dyDescent="0.2"/>
    <row r="528" x14ac:dyDescent="0.2"/>
    <row r="529" x14ac:dyDescent="0.2"/>
    <row r="530" x14ac:dyDescent="0.2"/>
    <row r="531" x14ac:dyDescent="0.2"/>
    <row r="532" x14ac:dyDescent="0.2"/>
    <row r="533" x14ac:dyDescent="0.2"/>
    <row r="534" x14ac:dyDescent="0.2"/>
    <row r="535" x14ac:dyDescent="0.2"/>
    <row r="536" x14ac:dyDescent="0.2"/>
    <row r="537" x14ac:dyDescent="0.2"/>
    <row r="538" x14ac:dyDescent="0.2"/>
    <row r="539" x14ac:dyDescent="0.2"/>
    <row r="540" x14ac:dyDescent="0.2"/>
    <row r="541" x14ac:dyDescent="0.2"/>
    <row r="542" x14ac:dyDescent="0.2"/>
    <row r="543" x14ac:dyDescent="0.2"/>
    <row r="544" x14ac:dyDescent="0.2"/>
    <row r="545" x14ac:dyDescent="0.2"/>
    <row r="546" x14ac:dyDescent="0.2"/>
    <row r="547" x14ac:dyDescent="0.2"/>
    <row r="548" x14ac:dyDescent="0.2"/>
    <row r="549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  <row r="558" x14ac:dyDescent="0.2"/>
    <row r="559" x14ac:dyDescent="0.2"/>
    <row r="560" x14ac:dyDescent="0.2"/>
    <row r="561" x14ac:dyDescent="0.2"/>
    <row r="562" x14ac:dyDescent="0.2"/>
    <row r="563" x14ac:dyDescent="0.2"/>
    <row r="564" x14ac:dyDescent="0.2"/>
    <row r="565" x14ac:dyDescent="0.2"/>
    <row r="566" x14ac:dyDescent="0.2"/>
    <row r="567" x14ac:dyDescent="0.2"/>
    <row r="568" x14ac:dyDescent="0.2"/>
    <row r="569" x14ac:dyDescent="0.2"/>
    <row r="570" x14ac:dyDescent="0.2"/>
    <row r="571" x14ac:dyDescent="0.2"/>
    <row r="572" x14ac:dyDescent="0.2"/>
    <row r="573" x14ac:dyDescent="0.2"/>
    <row r="574" x14ac:dyDescent="0.2"/>
    <row r="575" x14ac:dyDescent="0.2"/>
    <row r="576" x14ac:dyDescent="0.2"/>
    <row r="577" x14ac:dyDescent="0.2"/>
    <row r="578" x14ac:dyDescent="0.2"/>
    <row r="579" x14ac:dyDescent="0.2"/>
    <row r="580" x14ac:dyDescent="0.2"/>
    <row r="581" x14ac:dyDescent="0.2"/>
    <row r="582" x14ac:dyDescent="0.2"/>
    <row r="583" x14ac:dyDescent="0.2"/>
    <row r="584" x14ac:dyDescent="0.2"/>
    <row r="585" x14ac:dyDescent="0.2"/>
    <row r="586" x14ac:dyDescent="0.2"/>
    <row r="587" x14ac:dyDescent="0.2"/>
    <row r="588" x14ac:dyDescent="0.2"/>
    <row r="589" x14ac:dyDescent="0.2"/>
    <row r="590" x14ac:dyDescent="0.2"/>
    <row r="591" x14ac:dyDescent="0.2"/>
    <row r="592" x14ac:dyDescent="0.2"/>
    <row r="593" x14ac:dyDescent="0.2"/>
    <row r="594" x14ac:dyDescent="0.2"/>
    <row r="595" x14ac:dyDescent="0.2"/>
    <row r="596" x14ac:dyDescent="0.2"/>
    <row r="597" x14ac:dyDescent="0.2"/>
    <row r="598" x14ac:dyDescent="0.2"/>
    <row r="599" x14ac:dyDescent="0.2"/>
    <row r="600" x14ac:dyDescent="0.2"/>
    <row r="601" x14ac:dyDescent="0.2"/>
    <row r="602" x14ac:dyDescent="0.2"/>
    <row r="603" x14ac:dyDescent="0.2"/>
    <row r="604" x14ac:dyDescent="0.2"/>
    <row r="605" x14ac:dyDescent="0.2"/>
    <row r="606" x14ac:dyDescent="0.2"/>
    <row r="607" x14ac:dyDescent="0.2"/>
    <row r="608" x14ac:dyDescent="0.2"/>
    <row r="609" x14ac:dyDescent="0.2"/>
    <row r="610" x14ac:dyDescent="0.2"/>
    <row r="611" x14ac:dyDescent="0.2"/>
    <row r="612" x14ac:dyDescent="0.2"/>
    <row r="613" x14ac:dyDescent="0.2"/>
    <row r="614" x14ac:dyDescent="0.2"/>
    <row r="615" x14ac:dyDescent="0.2"/>
    <row r="616" x14ac:dyDescent="0.2"/>
    <row r="617" x14ac:dyDescent="0.2"/>
    <row r="618" x14ac:dyDescent="0.2"/>
    <row r="619" x14ac:dyDescent="0.2"/>
    <row r="620" x14ac:dyDescent="0.2"/>
    <row r="621" x14ac:dyDescent="0.2"/>
    <row r="622" x14ac:dyDescent="0.2"/>
    <row r="623" x14ac:dyDescent="0.2"/>
    <row r="624" x14ac:dyDescent="0.2"/>
    <row r="625" x14ac:dyDescent="0.2"/>
    <row r="626" x14ac:dyDescent="0.2"/>
    <row r="627" x14ac:dyDescent="0.2"/>
    <row r="628" x14ac:dyDescent="0.2"/>
    <row r="629" x14ac:dyDescent="0.2"/>
    <row r="630" x14ac:dyDescent="0.2"/>
    <row r="631" x14ac:dyDescent="0.2"/>
    <row r="632" x14ac:dyDescent="0.2"/>
    <row r="633" x14ac:dyDescent="0.2"/>
    <row r="634" x14ac:dyDescent="0.2"/>
    <row r="635" x14ac:dyDescent="0.2"/>
    <row r="636" x14ac:dyDescent="0.2"/>
    <row r="637" x14ac:dyDescent="0.2"/>
    <row r="638" x14ac:dyDescent="0.2"/>
    <row r="639" x14ac:dyDescent="0.2"/>
    <row r="640" x14ac:dyDescent="0.2"/>
    <row r="641" x14ac:dyDescent="0.2"/>
    <row r="642" x14ac:dyDescent="0.2"/>
    <row r="643" x14ac:dyDescent="0.2"/>
    <row r="644" x14ac:dyDescent="0.2"/>
    <row r="645" x14ac:dyDescent="0.2"/>
    <row r="646" x14ac:dyDescent="0.2"/>
    <row r="647" x14ac:dyDescent="0.2"/>
    <row r="648" x14ac:dyDescent="0.2"/>
    <row r="649" x14ac:dyDescent="0.2"/>
    <row r="650" x14ac:dyDescent="0.2"/>
    <row r="651" x14ac:dyDescent="0.2"/>
    <row r="652" x14ac:dyDescent="0.2"/>
    <row r="653" x14ac:dyDescent="0.2"/>
    <row r="654" x14ac:dyDescent="0.2"/>
    <row r="655" x14ac:dyDescent="0.2"/>
    <row r="656" x14ac:dyDescent="0.2"/>
    <row r="657" x14ac:dyDescent="0.2"/>
    <row r="658" x14ac:dyDescent="0.2"/>
    <row r="659" x14ac:dyDescent="0.2"/>
    <row r="660" x14ac:dyDescent="0.2"/>
    <row r="661" x14ac:dyDescent="0.2"/>
    <row r="662" x14ac:dyDescent="0.2"/>
    <row r="663" x14ac:dyDescent="0.2"/>
    <row r="664" x14ac:dyDescent="0.2"/>
    <row r="665" x14ac:dyDescent="0.2"/>
    <row r="666" x14ac:dyDescent="0.2"/>
    <row r="667" x14ac:dyDescent="0.2"/>
    <row r="668" x14ac:dyDescent="0.2"/>
    <row r="669" x14ac:dyDescent="0.2"/>
    <row r="670" x14ac:dyDescent="0.2"/>
    <row r="671" x14ac:dyDescent="0.2"/>
    <row r="672" x14ac:dyDescent="0.2"/>
    <row r="673" x14ac:dyDescent="0.2"/>
    <row r="674" x14ac:dyDescent="0.2"/>
    <row r="675" x14ac:dyDescent="0.2"/>
    <row r="676" x14ac:dyDescent="0.2"/>
    <row r="677" x14ac:dyDescent="0.2"/>
    <row r="678" x14ac:dyDescent="0.2"/>
    <row r="679" x14ac:dyDescent="0.2"/>
    <row r="680" x14ac:dyDescent="0.2"/>
    <row r="681" x14ac:dyDescent="0.2"/>
    <row r="682" x14ac:dyDescent="0.2"/>
    <row r="683" x14ac:dyDescent="0.2"/>
    <row r="684" x14ac:dyDescent="0.2"/>
    <row r="685" x14ac:dyDescent="0.2"/>
    <row r="686" x14ac:dyDescent="0.2"/>
    <row r="687" x14ac:dyDescent="0.2"/>
    <row r="688" x14ac:dyDescent="0.2"/>
    <row r="689" x14ac:dyDescent="0.2"/>
    <row r="690" x14ac:dyDescent="0.2"/>
    <row r="691" x14ac:dyDescent="0.2"/>
    <row r="692" x14ac:dyDescent="0.2"/>
    <row r="693" x14ac:dyDescent="0.2"/>
    <row r="694" x14ac:dyDescent="0.2"/>
    <row r="695" x14ac:dyDescent="0.2"/>
    <row r="696" x14ac:dyDescent="0.2"/>
    <row r="697" x14ac:dyDescent="0.2"/>
    <row r="698" x14ac:dyDescent="0.2"/>
    <row r="699" x14ac:dyDescent="0.2"/>
    <row r="700" x14ac:dyDescent="0.2"/>
    <row r="701" x14ac:dyDescent="0.2"/>
    <row r="702" x14ac:dyDescent="0.2"/>
    <row r="703" x14ac:dyDescent="0.2"/>
    <row r="704" x14ac:dyDescent="0.2"/>
    <row r="705" x14ac:dyDescent="0.2"/>
    <row r="706" x14ac:dyDescent="0.2"/>
    <row r="707" x14ac:dyDescent="0.2"/>
    <row r="708" x14ac:dyDescent="0.2"/>
    <row r="709" x14ac:dyDescent="0.2"/>
    <row r="710" x14ac:dyDescent="0.2"/>
    <row r="711" x14ac:dyDescent="0.2"/>
    <row r="712" x14ac:dyDescent="0.2"/>
    <row r="713" x14ac:dyDescent="0.2"/>
    <row r="714" x14ac:dyDescent="0.2"/>
    <row r="715" x14ac:dyDescent="0.2"/>
    <row r="716" x14ac:dyDescent="0.2"/>
    <row r="717" x14ac:dyDescent="0.2"/>
    <row r="718" x14ac:dyDescent="0.2"/>
    <row r="719" x14ac:dyDescent="0.2"/>
    <row r="720" x14ac:dyDescent="0.2"/>
    <row r="721" x14ac:dyDescent="0.2"/>
    <row r="722" x14ac:dyDescent="0.2"/>
    <row r="723" x14ac:dyDescent="0.2"/>
    <row r="724" x14ac:dyDescent="0.2"/>
    <row r="725" x14ac:dyDescent="0.2"/>
    <row r="726" x14ac:dyDescent="0.2"/>
    <row r="727" x14ac:dyDescent="0.2"/>
    <row r="728" x14ac:dyDescent="0.2"/>
    <row r="729" x14ac:dyDescent="0.2"/>
    <row r="730" x14ac:dyDescent="0.2"/>
    <row r="731" x14ac:dyDescent="0.2"/>
    <row r="732" x14ac:dyDescent="0.2"/>
    <row r="733" x14ac:dyDescent="0.2"/>
    <row r="734" x14ac:dyDescent="0.2"/>
    <row r="735" x14ac:dyDescent="0.2"/>
    <row r="736" x14ac:dyDescent="0.2"/>
    <row r="737" x14ac:dyDescent="0.2"/>
    <row r="738" x14ac:dyDescent="0.2"/>
    <row r="739" x14ac:dyDescent="0.2"/>
    <row r="740" x14ac:dyDescent="0.2"/>
    <row r="741" x14ac:dyDescent="0.2"/>
    <row r="742" x14ac:dyDescent="0.2"/>
    <row r="743" x14ac:dyDescent="0.2"/>
    <row r="744" x14ac:dyDescent="0.2"/>
    <row r="745" x14ac:dyDescent="0.2"/>
    <row r="746" x14ac:dyDescent="0.2"/>
    <row r="747" x14ac:dyDescent="0.2"/>
    <row r="748" x14ac:dyDescent="0.2"/>
    <row r="749" x14ac:dyDescent="0.2"/>
    <row r="750" x14ac:dyDescent="0.2"/>
    <row r="751" x14ac:dyDescent="0.2"/>
    <row r="752" x14ac:dyDescent="0.2"/>
    <row r="753" x14ac:dyDescent="0.2"/>
    <row r="754" x14ac:dyDescent="0.2"/>
    <row r="755" x14ac:dyDescent="0.2"/>
    <row r="756" x14ac:dyDescent="0.2"/>
    <row r="757" x14ac:dyDescent="0.2"/>
    <row r="758" x14ac:dyDescent="0.2"/>
    <row r="759" x14ac:dyDescent="0.2"/>
    <row r="760" x14ac:dyDescent="0.2"/>
    <row r="761" x14ac:dyDescent="0.2"/>
    <row r="762" x14ac:dyDescent="0.2"/>
    <row r="763" x14ac:dyDescent="0.2"/>
    <row r="764" x14ac:dyDescent="0.2"/>
    <row r="765" x14ac:dyDescent="0.2"/>
    <row r="766" x14ac:dyDescent="0.2"/>
    <row r="767" x14ac:dyDescent="0.2"/>
    <row r="768" x14ac:dyDescent="0.2"/>
    <row r="769" x14ac:dyDescent="0.2"/>
    <row r="770" x14ac:dyDescent="0.2"/>
    <row r="771" x14ac:dyDescent="0.2"/>
    <row r="772" x14ac:dyDescent="0.2"/>
    <row r="773" x14ac:dyDescent="0.2"/>
    <row r="774" x14ac:dyDescent="0.2"/>
    <row r="775" x14ac:dyDescent="0.2"/>
    <row r="776" x14ac:dyDescent="0.2"/>
    <row r="777" x14ac:dyDescent="0.2"/>
    <row r="778" x14ac:dyDescent="0.2"/>
    <row r="779" x14ac:dyDescent="0.2"/>
    <row r="780" x14ac:dyDescent="0.2"/>
    <row r="781" x14ac:dyDescent="0.2"/>
    <row r="782" x14ac:dyDescent="0.2"/>
    <row r="783" x14ac:dyDescent="0.2"/>
    <row r="784" x14ac:dyDescent="0.2"/>
    <row r="785" x14ac:dyDescent="0.2"/>
    <row r="786" x14ac:dyDescent="0.2"/>
    <row r="787" x14ac:dyDescent="0.2"/>
    <row r="788" x14ac:dyDescent="0.2"/>
    <row r="789" x14ac:dyDescent="0.2"/>
    <row r="790" x14ac:dyDescent="0.2"/>
    <row r="791" x14ac:dyDescent="0.2"/>
    <row r="792" x14ac:dyDescent="0.2"/>
    <row r="793" x14ac:dyDescent="0.2"/>
    <row r="794" x14ac:dyDescent="0.2"/>
    <row r="795" x14ac:dyDescent="0.2"/>
    <row r="796" x14ac:dyDescent="0.2"/>
    <row r="797" x14ac:dyDescent="0.2"/>
    <row r="798" x14ac:dyDescent="0.2"/>
    <row r="799" x14ac:dyDescent="0.2"/>
    <row r="800" x14ac:dyDescent="0.2"/>
    <row r="801" x14ac:dyDescent="0.2"/>
    <row r="802" x14ac:dyDescent="0.2"/>
    <row r="803" x14ac:dyDescent="0.2"/>
    <row r="804" x14ac:dyDescent="0.2"/>
    <row r="805" x14ac:dyDescent="0.2"/>
    <row r="806" x14ac:dyDescent="0.2"/>
    <row r="807" x14ac:dyDescent="0.2"/>
    <row r="808" x14ac:dyDescent="0.2"/>
    <row r="809" x14ac:dyDescent="0.2"/>
    <row r="810" x14ac:dyDescent="0.2"/>
  </sheetData>
  <pageMargins left="0.25" right="0.25" top="0.75" bottom="0.75" header="0.3" footer="0.3"/>
  <pageSetup paperSize="9" scale="3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737E-41CF-42A2-A119-76A4B8382B50}">
  <sheetPr codeName="Sheet19">
    <tabColor rgb="FFFFFF00"/>
    <pageSetUpPr fitToPage="1"/>
  </sheetPr>
  <dimension ref="A1:AK1328"/>
  <sheetViews>
    <sheetView showGridLines="0" zoomScale="70" zoomScaleNormal="70" workbookViewId="0">
      <pane xSplit="7" ySplit="10" topLeftCell="H11" activePane="bottomRight" state="frozen"/>
      <selection activeCell="D33" sqref="D33"/>
      <selection pane="topRight" activeCell="D33" sqref="D33"/>
      <selection pane="bottomLeft" activeCell="D33" sqref="D33"/>
      <selection pane="bottomRight" activeCell="H11" sqref="H11"/>
    </sheetView>
  </sheetViews>
  <sheetFormatPr defaultColWidth="0" defaultRowHeight="12.75" zeroHeight="1" outlineLevelRow="1" x14ac:dyDescent="0.2"/>
  <cols>
    <col min="1" max="1" width="8.125" style="10" customWidth="1"/>
    <col min="2" max="2" width="20.75" style="10" customWidth="1"/>
    <col min="3" max="3" width="20.5" style="10" customWidth="1"/>
    <col min="4" max="4" width="16.875" style="10" bestFit="1" customWidth="1"/>
    <col min="5" max="5" width="12.375" style="10" customWidth="1"/>
    <col min="6" max="6" width="14.25" customWidth="1"/>
    <col min="7" max="7" width="11.625" style="10" customWidth="1"/>
    <col min="8" max="8" width="10" style="10" customWidth="1"/>
    <col min="9" max="33" width="11" style="10" customWidth="1"/>
    <col min="34" max="35" width="9" style="10" customWidth="1"/>
    <col min="36" max="37" width="0" style="10" hidden="1" customWidth="1"/>
    <col min="38" max="16384" width="9" style="10" hidden="1"/>
  </cols>
  <sheetData>
    <row r="1" spans="1:33" s="8" customFormat="1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s="8" customFormat="1" ht="18.75" x14ac:dyDescent="0.3">
      <c r="A2" s="56" t="str">
        <f>proj</f>
        <v>Minimise bushfire risk from SWER in ELCA, REFCL and HBRA areas</v>
      </c>
      <c r="B2" s="56"/>
      <c r="C2" s="56"/>
      <c r="D2" s="56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spans="1:33" s="2" customFormat="1" ht="18.75" x14ac:dyDescent="0.3">
      <c r="A3" s="203" t="s">
        <v>222</v>
      </c>
      <c r="B3" s="5"/>
      <c r="D3" s="34"/>
      <c r="E3" s="34"/>
      <c r="F3" s="3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</row>
    <row r="4" spans="1:33" s="2" customFormat="1" ht="6.75" customHeight="1" x14ac:dyDescent="0.2">
      <c r="A4" s="115"/>
      <c r="B4" s="115"/>
      <c r="D4" s="116"/>
      <c r="E4" s="116"/>
      <c r="F4" s="116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</row>
    <row r="5" spans="1:33" s="2" customFormat="1" hidden="1" outlineLevel="1" x14ac:dyDescent="0.2">
      <c r="A5" s="116" t="s">
        <v>192</v>
      </c>
      <c r="B5" s="116"/>
      <c r="D5" s="117"/>
      <c r="E5" s="116"/>
      <c r="F5" s="116"/>
      <c r="G5" s="101"/>
      <c r="H5" s="188">
        <f>Consol!H5</f>
        <v>0</v>
      </c>
      <c r="I5" s="188">
        <f>Consol!I5</f>
        <v>0.98294637436598087</v>
      </c>
      <c r="J5" s="188">
        <f>Consol!J5</f>
        <v>0.94970664189949849</v>
      </c>
      <c r="K5" s="188">
        <f>Consol!K5</f>
        <v>0.91759095835700344</v>
      </c>
      <c r="L5" s="188">
        <f>Consol!L5</f>
        <v>0.88656131242222558</v>
      </c>
      <c r="M5" s="188">
        <f>Consol!M5</f>
        <v>0.85658097818572532</v>
      </c>
      <c r="N5" s="188">
        <f>Consol!N5</f>
        <v>0.8276144716770294</v>
      </c>
      <c r="O5" s="188">
        <f>Consol!O5</f>
        <v>0.79962750886669509</v>
      </c>
      <c r="P5" s="188">
        <f>Consol!P5</f>
        <v>0.77258696508859437</v>
      </c>
      <c r="Q5" s="188">
        <f>Consol!Q5</f>
        <v>0.74646083583439071</v>
      </c>
      <c r="R5" s="188">
        <f>Consol!R5</f>
        <v>0.72121819887380756</v>
      </c>
      <c r="S5" s="188">
        <f>Consol!S5</f>
        <v>0.69682917765585273</v>
      </c>
      <c r="T5" s="188">
        <f>Consol!T5</f>
        <v>0.67326490594768384</v>
      </c>
      <c r="U5" s="188">
        <f>Consol!U5</f>
        <v>0.6504974936692598</v>
      </c>
      <c r="V5" s="188">
        <f>Consol!V5</f>
        <v>0.62849999388334288</v>
      </c>
      <c r="W5" s="188">
        <f>Consol!W5</f>
        <v>0.60724637090178057</v>
      </c>
      <c r="X5" s="188">
        <f>Consol!X5</f>
        <v>0.58671146947031949</v>
      </c>
      <c r="Y5" s="188">
        <f>Consol!Y5</f>
        <v>0.56687098499547783</v>
      </c>
      <c r="Z5" s="188">
        <f>Consol!Z5</f>
        <v>0.54770143477823952</v>
      </c>
      <c r="AA5" s="188">
        <f>Consol!AA5</f>
        <v>0.52918013022052135</v>
      </c>
      <c r="AB5" s="188">
        <f>Consol!AB5</f>
        <v>0.5112851499715183</v>
      </c>
      <c r="AC5" s="188">
        <f>Consol!AC5</f>
        <v>0.4939953139821433</v>
      </c>
      <c r="AD5" s="188">
        <f>Consol!AD5</f>
        <v>0.47729015843685346</v>
      </c>
      <c r="AE5" s="188">
        <f>Consol!AE5</f>
        <v>0.46114991153319179</v>
      </c>
      <c r="AF5" s="188">
        <f>Consol!AF5</f>
        <v>0.4455554700803786</v>
      </c>
      <c r="AG5" s="188">
        <f>Consol!AG5</f>
        <v>0.43048837688925473</v>
      </c>
    </row>
    <row r="6" spans="1:33" s="2" customFormat="1" hidden="1" outlineLevel="1" x14ac:dyDescent="0.2">
      <c r="A6" s="189" t="str">
        <f>'Option1 (base case)'!A6</f>
        <v>Count</v>
      </c>
      <c r="B6" s="116"/>
      <c r="D6" s="117"/>
      <c r="E6" s="116"/>
      <c r="F6" s="116"/>
      <c r="G6" s="101"/>
      <c r="H6" s="189">
        <f>Consol!H6</f>
        <v>0</v>
      </c>
      <c r="I6" s="189">
        <f>Consol!I6</f>
        <v>1</v>
      </c>
      <c r="J6" s="189">
        <f>Consol!J6</f>
        <v>2</v>
      </c>
      <c r="K6" s="189">
        <f>Consol!K6</f>
        <v>3</v>
      </c>
      <c r="L6" s="189">
        <f>Consol!L6</f>
        <v>4</v>
      </c>
      <c r="M6" s="189">
        <f>Consol!M6</f>
        <v>5</v>
      </c>
      <c r="N6" s="189">
        <f>Consol!N6</f>
        <v>6</v>
      </c>
      <c r="O6" s="189">
        <f>Consol!O6</f>
        <v>7</v>
      </c>
      <c r="P6" s="189">
        <f>Consol!P6</f>
        <v>8</v>
      </c>
      <c r="Q6" s="189">
        <f>Consol!Q6</f>
        <v>9</v>
      </c>
      <c r="R6" s="189">
        <f>Consol!R6</f>
        <v>10</v>
      </c>
      <c r="S6" s="189">
        <f>Consol!S6</f>
        <v>11</v>
      </c>
      <c r="T6" s="189">
        <f>Consol!T6</f>
        <v>12</v>
      </c>
      <c r="U6" s="189">
        <f>Consol!U6</f>
        <v>13</v>
      </c>
      <c r="V6" s="189">
        <f>Consol!V6</f>
        <v>14</v>
      </c>
      <c r="W6" s="189">
        <f>Consol!W6</f>
        <v>15</v>
      </c>
      <c r="X6" s="189">
        <f>Consol!X6</f>
        <v>16</v>
      </c>
      <c r="Y6" s="189">
        <f>Consol!Y6</f>
        <v>17</v>
      </c>
      <c r="Z6" s="189">
        <f>Consol!Z6</f>
        <v>18</v>
      </c>
      <c r="AA6" s="189">
        <f>Consol!AA6</f>
        <v>19</v>
      </c>
      <c r="AB6" s="189">
        <f>Consol!AB6</f>
        <v>20</v>
      </c>
      <c r="AC6" s="189">
        <f>Consol!AC6</f>
        <v>21</v>
      </c>
      <c r="AD6" s="189">
        <f>Consol!AD6</f>
        <v>22</v>
      </c>
      <c r="AE6" s="189">
        <f>Consol!AE6</f>
        <v>23</v>
      </c>
      <c r="AF6" s="189">
        <f>Consol!AF6</f>
        <v>24</v>
      </c>
      <c r="AG6" s="189">
        <f>Consol!AG6</f>
        <v>25</v>
      </c>
    </row>
    <row r="7" spans="1:33" s="2" customFormat="1" hidden="1" outlineLevel="1" x14ac:dyDescent="0.2">
      <c r="A7" s="116" t="s">
        <v>193</v>
      </c>
      <c r="B7" s="116"/>
      <c r="D7" s="117"/>
      <c r="E7" s="116"/>
      <c r="F7" s="116"/>
      <c r="G7" s="101"/>
      <c r="H7" s="255" t="b">
        <f>Consol!H7</f>
        <v>1</v>
      </c>
      <c r="I7" s="255" t="b">
        <f>Consol!I7</f>
        <v>1</v>
      </c>
      <c r="J7" s="255" t="b">
        <f>Consol!J7</f>
        <v>1</v>
      </c>
      <c r="K7" s="255" t="b">
        <f>Consol!K7</f>
        <v>1</v>
      </c>
      <c r="L7" s="255" t="b">
        <f>Consol!L7</f>
        <v>1</v>
      </c>
      <c r="M7" s="255" t="b">
        <f>Consol!M7</f>
        <v>1</v>
      </c>
      <c r="N7" s="255" t="b">
        <f>Consol!N7</f>
        <v>1</v>
      </c>
      <c r="O7" s="255" t="b">
        <f>Consol!O7</f>
        <v>1</v>
      </c>
      <c r="P7" s="255" t="b">
        <f>Consol!P7</f>
        <v>1</v>
      </c>
      <c r="Q7" s="255" t="b">
        <f>Consol!Q7</f>
        <v>1</v>
      </c>
      <c r="R7" s="255" t="b">
        <f>Consol!R7</f>
        <v>1</v>
      </c>
      <c r="S7" s="255" t="b">
        <f>Consol!S7</f>
        <v>1</v>
      </c>
      <c r="T7" s="255" t="b">
        <f>Consol!T7</f>
        <v>1</v>
      </c>
      <c r="U7" s="255" t="b">
        <f>Consol!U7</f>
        <v>1</v>
      </c>
      <c r="V7" s="255" t="b">
        <f>Consol!V7</f>
        <v>1</v>
      </c>
      <c r="W7" s="255" t="b">
        <f>Consol!W7</f>
        <v>1</v>
      </c>
      <c r="X7" s="255" t="b">
        <f>Consol!X7</f>
        <v>1</v>
      </c>
      <c r="Y7" s="255" t="b">
        <f>Consol!Y7</f>
        <v>1</v>
      </c>
      <c r="Z7" s="255" t="b">
        <f>Consol!Z7</f>
        <v>1</v>
      </c>
      <c r="AA7" s="255" t="b">
        <f>Consol!AA7</f>
        <v>1</v>
      </c>
      <c r="AB7" s="255" t="b">
        <f>Consol!AB7</f>
        <v>1</v>
      </c>
      <c r="AC7" s="255" t="b">
        <f>Consol!AC7</f>
        <v>0</v>
      </c>
      <c r="AD7" s="255" t="b">
        <f>Consol!AD7</f>
        <v>0</v>
      </c>
      <c r="AE7" s="255" t="b">
        <f>Consol!AE7</f>
        <v>0</v>
      </c>
      <c r="AF7" s="255" t="b">
        <f>Consol!AF7</f>
        <v>0</v>
      </c>
      <c r="AG7" s="255" t="b">
        <f>Consol!AG7</f>
        <v>0</v>
      </c>
    </row>
    <row r="8" spans="1:33" s="2" customFormat="1" ht="4.5" customHeight="1" collapsed="1" x14ac:dyDescent="0.2"/>
    <row r="9" spans="1:33" s="2" customFormat="1" ht="15" x14ac:dyDescent="0.25">
      <c r="A9" s="19"/>
      <c r="B9" s="19"/>
      <c r="C9" s="19"/>
      <c r="D9" s="19"/>
      <c r="E9" s="19"/>
      <c r="F9" s="83"/>
      <c r="G9" s="20"/>
      <c r="H9" s="319">
        <f>'Option1 (base case)'!H9</f>
        <v>46203</v>
      </c>
      <c r="I9" s="20" t="str">
        <f>'Option1 (base case)'!I9</f>
        <v>2026-27</v>
      </c>
      <c r="J9" s="20" t="str">
        <f>'Option1 (base case)'!J9</f>
        <v>2027-28</v>
      </c>
      <c r="K9" s="20" t="str">
        <f>'Option1 (base case)'!K9</f>
        <v>2028-29</v>
      </c>
      <c r="L9" s="20" t="str">
        <f>'Option1 (base case)'!L9</f>
        <v>2029-30</v>
      </c>
      <c r="M9" s="20" t="str">
        <f>'Option1 (base case)'!M9</f>
        <v>2030-31</v>
      </c>
      <c r="N9" s="20" t="str">
        <f>'Option1 (base case)'!N9</f>
        <v>2031-32</v>
      </c>
      <c r="O9" s="20" t="str">
        <f>'Option1 (base case)'!O9</f>
        <v>2032-33</v>
      </c>
      <c r="P9" s="20" t="str">
        <f>'Option1 (base case)'!P9</f>
        <v>2033-34</v>
      </c>
      <c r="Q9" s="20" t="str">
        <f>'Option1 (base case)'!Q9</f>
        <v>2034-35</v>
      </c>
      <c r="R9" s="20" t="str">
        <f>'Option1 (base case)'!R9</f>
        <v>2035-36</v>
      </c>
      <c r="S9" s="20" t="str">
        <f>'Option1 (base case)'!S9</f>
        <v>2036-37</v>
      </c>
      <c r="T9" s="20" t="str">
        <f>'Option1 (base case)'!T9</f>
        <v>2037-38</v>
      </c>
      <c r="U9" s="20" t="str">
        <f>'Option1 (base case)'!U9</f>
        <v>2038-39</v>
      </c>
      <c r="V9" s="20" t="str">
        <f>'Option1 (base case)'!V9</f>
        <v>2039-40</v>
      </c>
      <c r="W9" s="20" t="str">
        <f>'Option1 (base case)'!W9</f>
        <v>2040-41</v>
      </c>
      <c r="X9" s="20" t="str">
        <f>'Option1 (base case)'!X9</f>
        <v>2041-42</v>
      </c>
      <c r="Y9" s="20" t="str">
        <f>'Option1 (base case)'!Y9</f>
        <v>2042-43</v>
      </c>
      <c r="Z9" s="20" t="str">
        <f>'Option1 (base case)'!Z9</f>
        <v>2043-44</v>
      </c>
      <c r="AA9" s="20" t="str">
        <f>'Option1 (base case)'!AA9</f>
        <v>2044-45</v>
      </c>
      <c r="AB9" s="20" t="str">
        <f>'Option1 (base case)'!AB9</f>
        <v>2045-46</v>
      </c>
      <c r="AC9" s="20" t="str">
        <f>'Option1 (base case)'!AC9</f>
        <v>2046-47</v>
      </c>
      <c r="AD9" s="20" t="str">
        <f>'Option1 (base case)'!AD9</f>
        <v>2047-48</v>
      </c>
      <c r="AE9" s="20" t="str">
        <f>'Option1 (base case)'!AE9</f>
        <v>2048-49</v>
      </c>
      <c r="AF9" s="20" t="str">
        <f>'Option1 (base case)'!AF9</f>
        <v>2049-50</v>
      </c>
      <c r="AG9" s="20" t="str">
        <f>'Option1 (base case)'!AG9</f>
        <v>2050-51</v>
      </c>
    </row>
    <row r="10" spans="1:33" s="2" customFormat="1" x14ac:dyDescent="0.2">
      <c r="D10" s="118"/>
      <c r="E10" s="118"/>
      <c r="G10" s="221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</row>
    <row r="11" spans="1:33" s="2" customFormat="1" ht="15" x14ac:dyDescent="0.2">
      <c r="A11" s="120"/>
      <c r="B11" s="120"/>
      <c r="C11" s="120"/>
      <c r="D11" s="121"/>
      <c r="E11" s="121"/>
      <c r="F11" s="70" t="s">
        <v>152</v>
      </c>
      <c r="G11" s="222"/>
      <c r="H11" s="122" t="str" cm="1">
        <f t="array" ref="H11">IF(H6=$D$4,UPPER($A$4),IF(H6=end, "END", ""))</f>
        <v/>
      </c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</row>
    <row r="12" spans="1:33" s="7" customFormat="1" x14ac:dyDescent="0.2">
      <c r="A12" s="245"/>
      <c r="B12" s="245"/>
      <c r="C12" s="245"/>
      <c r="D12" s="245"/>
      <c r="E12" s="245"/>
      <c r="F12" s="245"/>
      <c r="G12" s="246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>
        <f>Consol!AA36</f>
        <v>58597.332340565103</v>
      </c>
      <c r="AA12" s="31">
        <f>Consol!AB36</f>
        <v>58597.332340565103</v>
      </c>
      <c r="AB12" s="31">
        <f>Consol!AC36</f>
        <v>0</v>
      </c>
      <c r="AC12" s="31">
        <f>Consol!AD36</f>
        <v>0</v>
      </c>
      <c r="AD12" s="31">
        <f>Consol!AE36</f>
        <v>0</v>
      </c>
      <c r="AE12" s="31">
        <f>Consol!AF36</f>
        <v>0</v>
      </c>
      <c r="AF12" s="31">
        <f>Consol!AG36</f>
        <v>0</v>
      </c>
      <c r="AG12" s="246"/>
    </row>
    <row r="13" spans="1:33" s="7" customFormat="1" x14ac:dyDescent="0.2">
      <c r="A13" s="245"/>
      <c r="B13" s="245"/>
      <c r="C13" s="245"/>
      <c r="D13" s="245"/>
      <c r="E13" s="245"/>
      <c r="F13" s="245"/>
      <c r="G13" s="246"/>
      <c r="H13" s="246"/>
      <c r="I13" s="246"/>
      <c r="J13" s="246"/>
      <c r="K13" s="246"/>
      <c r="L13" s="246"/>
      <c r="M13" s="246"/>
      <c r="N13" s="246"/>
      <c r="O13" s="246"/>
      <c r="P13" s="246"/>
      <c r="Q13" s="246"/>
      <c r="R13" s="246"/>
      <c r="S13" s="246"/>
      <c r="T13" s="246"/>
      <c r="U13" s="246"/>
      <c r="V13" s="246"/>
      <c r="W13" s="246"/>
      <c r="X13" s="246"/>
      <c r="Y13" s="246"/>
      <c r="Z13" s="246"/>
      <c r="AA13" s="246"/>
      <c r="AB13" s="246"/>
      <c r="AC13" s="246"/>
      <c r="AD13" s="246"/>
      <c r="AE13" s="246"/>
      <c r="AF13" s="246"/>
      <c r="AG13" s="246"/>
    </row>
    <row r="14" spans="1:33" s="7" customFormat="1" x14ac:dyDescent="0.2">
      <c r="A14" s="253" t="s">
        <v>141</v>
      </c>
      <c r="B14" s="253" t="s">
        <v>119</v>
      </c>
      <c r="C14" s="253" t="s">
        <v>186</v>
      </c>
      <c r="D14" s="253" t="str">
        <f>A14&amp;B14</f>
        <v>OPTION 1 (base case)NPV</v>
      </c>
      <c r="E14" s="254"/>
      <c r="F14" s="31">
        <f>SUMPRODUCT($H14:$AG14, $H$5:$AG$5)</f>
        <v>0</v>
      </c>
      <c r="G14" s="246"/>
      <c r="H14" s="31">
        <f>'Option1 (base case)'!I87*conv_2026</f>
        <v>0</v>
      </c>
      <c r="I14" s="31">
        <f>'Option1 (base case)'!J87*conv_2026</f>
        <v>0</v>
      </c>
      <c r="J14" s="31">
        <f>'Option1 (base case)'!K87*conv_2026</f>
        <v>0</v>
      </c>
      <c r="K14" s="31">
        <f>'Option1 (base case)'!L87*conv_2026</f>
        <v>0</v>
      </c>
      <c r="L14" s="31">
        <f>'Option1 (base case)'!M87*conv_2026</f>
        <v>0</v>
      </c>
      <c r="M14" s="31">
        <f>'Option1 (base case)'!N87*conv_2026</f>
        <v>0</v>
      </c>
      <c r="N14" s="31">
        <f>'Option1 (base case)'!O87*conv_2026</f>
        <v>0</v>
      </c>
      <c r="O14" s="31">
        <f>'Option1 (base case)'!P87*conv_2026</f>
        <v>0</v>
      </c>
      <c r="P14" s="31">
        <f>'Option1 (base case)'!Q87*conv_2026</f>
        <v>0</v>
      </c>
      <c r="Q14" s="31">
        <f>'Option1 (base case)'!R87*conv_2026</f>
        <v>0</v>
      </c>
      <c r="R14" s="31">
        <f>'Option1 (base case)'!S87*conv_2026</f>
        <v>0</v>
      </c>
      <c r="S14" s="31">
        <f>'Option1 (base case)'!T87*conv_2026</f>
        <v>0</v>
      </c>
      <c r="T14" s="31">
        <f>'Option1 (base case)'!U87*conv_2026</f>
        <v>0</v>
      </c>
      <c r="U14" s="31">
        <f>'Option1 (base case)'!V87*conv_2026</f>
        <v>0</v>
      </c>
      <c r="V14" s="31">
        <f>'Option1 (base case)'!W87*conv_2026</f>
        <v>0</v>
      </c>
      <c r="W14" s="31">
        <f>'Option1 (base case)'!X87*conv_2026</f>
        <v>0</v>
      </c>
      <c r="X14" s="31">
        <f>'Option1 (base case)'!Y87*conv_2026</f>
        <v>0</v>
      </c>
      <c r="Y14" s="31">
        <f>'Option1 (base case)'!Z87*conv_2026</f>
        <v>0</v>
      </c>
      <c r="Z14" s="31">
        <f>'Option1 (base case)'!AA87*conv_2026</f>
        <v>0</v>
      </c>
      <c r="AA14" s="31">
        <f>'Option1 (base case)'!AB87*conv_2026</f>
        <v>0</v>
      </c>
      <c r="AB14" s="31">
        <f>'Option1 (base case)'!AC87*conv_2026</f>
        <v>0</v>
      </c>
      <c r="AC14" s="31">
        <f>'Option1 (base case)'!AD87*conv_2026</f>
        <v>0</v>
      </c>
      <c r="AD14" s="31">
        <f>'Option1 (base case)'!AE87*conv_2026</f>
        <v>0</v>
      </c>
      <c r="AE14" s="31">
        <f>'Option1 (base case)'!AF87*conv_2026</f>
        <v>0</v>
      </c>
      <c r="AF14" s="31">
        <f>'Option1 (base case)'!AG87*conv_2026</f>
        <v>0</v>
      </c>
      <c r="AG14" s="31">
        <f>'Option1 (base case)'!AH87*conv_2026</f>
        <v>0</v>
      </c>
    </row>
    <row r="15" spans="1:33" s="7" customFormat="1" x14ac:dyDescent="0.2">
      <c r="A15" s="245"/>
      <c r="B15" s="245"/>
      <c r="C15" s="245"/>
      <c r="D15" s="245"/>
      <c r="E15" s="245"/>
      <c r="F15" s="245"/>
      <c r="G15" s="246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</row>
    <row r="16" spans="1:33" s="7" customFormat="1" x14ac:dyDescent="0.2">
      <c r="A16" s="253" t="s">
        <v>141</v>
      </c>
      <c r="B16" s="253" t="str">
        <f>'Option1 (base case)'!A110</f>
        <v>sens1</v>
      </c>
      <c r="C16" s="253" t="str">
        <f>'Option1 (base case)'!C110</f>
        <v>Capex 10% higher</v>
      </c>
      <c r="D16" s="253" t="str">
        <f t="shared" ref="D16:D23" si="0">A16&amp;B16</f>
        <v>OPTION 1 (base case)sens1</v>
      </c>
      <c r="E16" s="254"/>
      <c r="F16" s="31">
        <f>SUMPRODUCT($H16:$AG16, $H$5:$AG$5)</f>
        <v>0</v>
      </c>
      <c r="G16" s="246"/>
      <c r="H16" s="31">
        <f>(INDEX('Option1 (base case)'!H$106:H$117, MATCH($D16, 'Option1 (base case)'!$G$106:$G$117,0)))*conv_2026*H$7</f>
        <v>0</v>
      </c>
      <c r="I16" s="31">
        <f>(INDEX('Option1 (base case)'!I$106:I$117, MATCH($D16, 'Option1 (base case)'!$G$106:$G$117,0)))*conv_2026*I$7</f>
        <v>0</v>
      </c>
      <c r="J16" s="31">
        <f>(INDEX('Option1 (base case)'!J$106:J$117, MATCH($D16, 'Option1 (base case)'!$G$106:$G$117,0)))*conv_2026*J$7</f>
        <v>0</v>
      </c>
      <c r="K16" s="31">
        <f>(INDEX('Option1 (base case)'!K$106:K$117, MATCH($D16, 'Option1 (base case)'!$G$106:$G$117,0)))*conv_2026*K$7</f>
        <v>0</v>
      </c>
      <c r="L16" s="31">
        <f>(INDEX('Option1 (base case)'!L$106:L$117, MATCH($D16, 'Option1 (base case)'!$G$106:$G$117,0)))*conv_2026*L$7</f>
        <v>0</v>
      </c>
      <c r="M16" s="31">
        <f>(INDEX('Option1 (base case)'!M$106:M$117, MATCH($D16, 'Option1 (base case)'!$G$106:$G$117,0)))*conv_2026*M$7</f>
        <v>0</v>
      </c>
      <c r="N16" s="31">
        <f>(INDEX('Option1 (base case)'!N$106:N$117, MATCH($D16, 'Option1 (base case)'!$G$106:$G$117,0)))*conv_2026*N$7</f>
        <v>0</v>
      </c>
      <c r="O16" s="31">
        <f>(INDEX('Option1 (base case)'!O$106:O$117, MATCH($D16, 'Option1 (base case)'!$G$106:$G$117,0)))*conv_2026*O$7</f>
        <v>0</v>
      </c>
      <c r="P16" s="31">
        <f>(INDEX('Option1 (base case)'!P$106:P$117, MATCH($D16, 'Option1 (base case)'!$G$106:$G$117,0)))*conv_2026*P$7</f>
        <v>0</v>
      </c>
      <c r="Q16" s="31">
        <f>(INDEX('Option1 (base case)'!Q$106:Q$117, MATCH($D16, 'Option1 (base case)'!$G$106:$G$117,0)))*conv_2026*Q$7</f>
        <v>0</v>
      </c>
      <c r="R16" s="31">
        <f>(INDEX('Option1 (base case)'!R$106:R$117, MATCH($D16, 'Option1 (base case)'!$G$106:$G$117,0)))*conv_2026*R$7</f>
        <v>0</v>
      </c>
      <c r="S16" s="31">
        <f>(INDEX('Option1 (base case)'!S$106:S$117, MATCH($D16, 'Option1 (base case)'!$G$106:$G$117,0)))*conv_2026*S$7</f>
        <v>0</v>
      </c>
      <c r="T16" s="31">
        <f>(INDEX('Option1 (base case)'!T$106:T$117, MATCH($D16, 'Option1 (base case)'!$G$106:$G$117,0)))*conv_2026*T$7</f>
        <v>0</v>
      </c>
      <c r="U16" s="31">
        <f>(INDEX('Option1 (base case)'!U$106:U$117, MATCH($D16, 'Option1 (base case)'!$G$106:$G$117,0)))*conv_2026*U$7</f>
        <v>0</v>
      </c>
      <c r="V16" s="31">
        <f>(INDEX('Option1 (base case)'!V$106:V$117, MATCH($D16, 'Option1 (base case)'!$G$106:$G$117,0)))*conv_2026*V$7</f>
        <v>0</v>
      </c>
      <c r="W16" s="31">
        <f>(INDEX('Option1 (base case)'!W$106:W$117, MATCH($D16, 'Option1 (base case)'!$G$106:$G$117,0)))*conv_2026*W$7</f>
        <v>0</v>
      </c>
      <c r="X16" s="31">
        <f>(INDEX('Option1 (base case)'!X$106:X$117, MATCH($D16, 'Option1 (base case)'!$G$106:$G$117,0)))*conv_2026*X$7</f>
        <v>0</v>
      </c>
      <c r="Y16" s="31">
        <f>(INDEX('Option1 (base case)'!Y$106:Y$117, MATCH($D16, 'Option1 (base case)'!$G$106:$G$117,0)))*conv_2026*Y$7</f>
        <v>0</v>
      </c>
      <c r="Z16" s="31">
        <f>(INDEX('Option1 (base case)'!Z$106:Z$117, MATCH($D16, 'Option1 (base case)'!$G$106:$G$117,0)))*conv_2026*Z$7</f>
        <v>0</v>
      </c>
      <c r="AA16" s="31">
        <f>(INDEX('Option1 (base case)'!AA$106:AA$117, MATCH($D16, 'Option1 (base case)'!$G$106:$G$117,0)))*conv_2026*AA$7</f>
        <v>0</v>
      </c>
      <c r="AB16" s="31">
        <f>(INDEX('Option1 (base case)'!AB$106:AB$117, MATCH($D16, 'Option1 (base case)'!$G$106:$G$117,0)))*conv_2026*AB$7</f>
        <v>0</v>
      </c>
      <c r="AC16" s="31">
        <f>(INDEX('Option1 (base case)'!AC$106:AC$117, MATCH($D16, 'Option1 (base case)'!$G$106:$G$117,0)))*conv_2026*AC$7</f>
        <v>0</v>
      </c>
      <c r="AD16" s="31">
        <f>(INDEX('Option1 (base case)'!AD$106:AD$117, MATCH($D16, 'Option1 (base case)'!$G$106:$G$117,0)))*conv_2026*AD$7</f>
        <v>0</v>
      </c>
      <c r="AE16" s="31">
        <f>(INDEX('Option1 (base case)'!AE$106:AE$117, MATCH($D16, 'Option1 (base case)'!$G$106:$G$117,0)))*conv_2026*AE$7</f>
        <v>0</v>
      </c>
      <c r="AF16" s="31">
        <f>(INDEX('Option1 (base case)'!AF$106:AF$117, MATCH($D16, 'Option1 (base case)'!$G$106:$G$117,0)))*conv_2026*AF$7</f>
        <v>0</v>
      </c>
      <c r="AG16" s="31">
        <f>(INDEX('Option1 (base case)'!AG$106:AG$117, MATCH($D16, 'Option1 (base case)'!$G$106:$G$117,0)))*conv_2026*AG$7</f>
        <v>0</v>
      </c>
    </row>
    <row r="17" spans="1:35" s="7" customFormat="1" x14ac:dyDescent="0.2">
      <c r="A17" s="253" t="s">
        <v>141</v>
      </c>
      <c r="B17" s="253" t="str">
        <f>'Option1 (base case)'!A111</f>
        <v>sens2</v>
      </c>
      <c r="C17" s="253" t="str">
        <f>'Option1 (base case)'!C111</f>
        <v>Capex 10% lower</v>
      </c>
      <c r="D17" s="253" t="str">
        <f t="shared" si="0"/>
        <v>OPTION 1 (base case)sens2</v>
      </c>
      <c r="E17" s="254"/>
      <c r="F17" s="31">
        <f t="shared" ref="F17:F23" si="1">SUMPRODUCT($H17:$AG17, $H$5:$AG$5)</f>
        <v>0</v>
      </c>
      <c r="G17" s="253"/>
      <c r="H17" s="31">
        <f>(INDEX('Option1 (base case)'!H$106:H$117, MATCH($D17, 'Option1 (base case)'!$G$106:$G$117,0)))*conv_2026*H$7</f>
        <v>0</v>
      </c>
      <c r="I17" s="31">
        <f>(INDEX('Option1 (base case)'!I$106:I$117, MATCH($D17, 'Option1 (base case)'!$G$106:$G$117,0)))*conv_2026*I$7</f>
        <v>0</v>
      </c>
      <c r="J17" s="31">
        <f>(INDEX('Option1 (base case)'!J$106:J$117, MATCH($D17, 'Option1 (base case)'!$G$106:$G$117,0)))*conv_2026*J$7</f>
        <v>0</v>
      </c>
      <c r="K17" s="31">
        <f>(INDEX('Option1 (base case)'!K$106:K$117, MATCH($D17, 'Option1 (base case)'!$G$106:$G$117,0)))*conv_2026*K$7</f>
        <v>0</v>
      </c>
      <c r="L17" s="31">
        <f>(INDEX('Option1 (base case)'!L$106:L$117, MATCH($D17, 'Option1 (base case)'!$G$106:$G$117,0)))*conv_2026*L$7</f>
        <v>0</v>
      </c>
      <c r="M17" s="31">
        <f>(INDEX('Option1 (base case)'!M$106:M$117, MATCH($D17, 'Option1 (base case)'!$G$106:$G$117,0)))*conv_2026*M$7</f>
        <v>0</v>
      </c>
      <c r="N17" s="31">
        <f>(INDEX('Option1 (base case)'!N$106:N$117, MATCH($D17, 'Option1 (base case)'!$G$106:$G$117,0)))*conv_2026*N$7</f>
        <v>0</v>
      </c>
      <c r="O17" s="31">
        <f>(INDEX('Option1 (base case)'!O$106:O$117, MATCH($D17, 'Option1 (base case)'!$G$106:$G$117,0)))*conv_2026*O$7</f>
        <v>0</v>
      </c>
      <c r="P17" s="31">
        <f>(INDEX('Option1 (base case)'!P$106:P$117, MATCH($D17, 'Option1 (base case)'!$G$106:$G$117,0)))*conv_2026*P$7</f>
        <v>0</v>
      </c>
      <c r="Q17" s="31">
        <f>(INDEX('Option1 (base case)'!Q$106:Q$117, MATCH($D17, 'Option1 (base case)'!$G$106:$G$117,0)))*conv_2026*Q$7</f>
        <v>0</v>
      </c>
      <c r="R17" s="31">
        <f>(INDEX('Option1 (base case)'!R$106:R$117, MATCH($D17, 'Option1 (base case)'!$G$106:$G$117,0)))*conv_2026*R$7</f>
        <v>0</v>
      </c>
      <c r="S17" s="31">
        <f>(INDEX('Option1 (base case)'!S$106:S$117, MATCH($D17, 'Option1 (base case)'!$G$106:$G$117,0)))*conv_2026*S$7</f>
        <v>0</v>
      </c>
      <c r="T17" s="31">
        <f>(INDEX('Option1 (base case)'!T$106:T$117, MATCH($D17, 'Option1 (base case)'!$G$106:$G$117,0)))*conv_2026*T$7</f>
        <v>0</v>
      </c>
      <c r="U17" s="31">
        <f>(INDEX('Option1 (base case)'!U$106:U$117, MATCH($D17, 'Option1 (base case)'!$G$106:$G$117,0)))*conv_2026*U$7</f>
        <v>0</v>
      </c>
      <c r="V17" s="31">
        <f>(INDEX('Option1 (base case)'!V$106:V$117, MATCH($D17, 'Option1 (base case)'!$G$106:$G$117,0)))*conv_2026*V$7</f>
        <v>0</v>
      </c>
      <c r="W17" s="31">
        <f>(INDEX('Option1 (base case)'!W$106:W$117, MATCH($D17, 'Option1 (base case)'!$G$106:$G$117,0)))*conv_2026*W$7</f>
        <v>0</v>
      </c>
      <c r="X17" s="31">
        <f>(INDEX('Option1 (base case)'!X$106:X$117, MATCH($D17, 'Option1 (base case)'!$G$106:$G$117,0)))*conv_2026*X$7</f>
        <v>0</v>
      </c>
      <c r="Y17" s="31">
        <f>(INDEX('Option1 (base case)'!Y$106:Y$117, MATCH($D17, 'Option1 (base case)'!$G$106:$G$117,0)))*conv_2026*Y$7</f>
        <v>0</v>
      </c>
      <c r="Z17" s="31">
        <f>(INDEX('Option1 (base case)'!Z$106:Z$117, MATCH($D17, 'Option1 (base case)'!$G$106:$G$117,0)))*conv_2026*Z$7</f>
        <v>0</v>
      </c>
      <c r="AA17" s="31">
        <f>(INDEX('Option1 (base case)'!AA$106:AA$117, MATCH($D17, 'Option1 (base case)'!$G$106:$G$117,0)))*conv_2026*AA$7</f>
        <v>0</v>
      </c>
      <c r="AB17" s="31">
        <f>(INDEX('Option1 (base case)'!AB$106:AB$117, MATCH($D17, 'Option1 (base case)'!$G$106:$G$117,0)))*conv_2026*AB$7</f>
        <v>0</v>
      </c>
      <c r="AC17" s="31">
        <f>(INDEX('Option1 (base case)'!AC$106:AC$117, MATCH($D17, 'Option1 (base case)'!$G$106:$G$117,0)))*conv_2026*AC$7</f>
        <v>0</v>
      </c>
      <c r="AD17" s="31">
        <f>(INDEX('Option1 (base case)'!AD$106:AD$117, MATCH($D17, 'Option1 (base case)'!$G$106:$G$117,0)))*conv_2026*AD$7</f>
        <v>0</v>
      </c>
      <c r="AE17" s="31">
        <f>(INDEX('Option1 (base case)'!AE$106:AE$117, MATCH($D17, 'Option1 (base case)'!$G$106:$G$117,0)))*conv_2026*AE$7</f>
        <v>0</v>
      </c>
      <c r="AF17" s="31">
        <f>(INDEX('Option1 (base case)'!AF$106:AF$117, MATCH($D17, 'Option1 (base case)'!$G$106:$G$117,0)))*conv_2026*AF$7</f>
        <v>0</v>
      </c>
      <c r="AG17" s="31">
        <f>(INDEX('Option1 (base case)'!AG$106:AG$117, MATCH($D17, 'Option1 (base case)'!$G$106:$G$117,0)))*conv_2026*AG$7</f>
        <v>0</v>
      </c>
      <c r="AH17" s="8"/>
      <c r="AI17" s="8"/>
    </row>
    <row r="18" spans="1:35" s="7" customFormat="1" x14ac:dyDescent="0.2">
      <c r="A18" s="253" t="s">
        <v>141</v>
      </c>
      <c r="B18" s="253" t="str">
        <f>'Option1 (base case)'!A112</f>
        <v>sens3</v>
      </c>
      <c r="C18" s="253" t="str">
        <f>'Option1 (base case)'!C112</f>
        <v>Total benefits 10% higher</v>
      </c>
      <c r="D18" s="253" t="str">
        <f t="shared" si="0"/>
        <v>OPTION 1 (base case)sens3</v>
      </c>
      <c r="E18" s="254"/>
      <c r="F18" s="31">
        <f t="shared" si="1"/>
        <v>0</v>
      </c>
      <c r="G18" s="8"/>
      <c r="H18" s="31">
        <f>(INDEX('Option1 (base case)'!H$106:H$117, MATCH($D18, 'Option1 (base case)'!$G$106:$G$117,0)))*conv_2026*H$7</f>
        <v>0</v>
      </c>
      <c r="I18" s="31">
        <f>(INDEX('Option1 (base case)'!I$106:I$117, MATCH($D18, 'Option1 (base case)'!$G$106:$G$117,0)))*conv_2026*I$7</f>
        <v>0</v>
      </c>
      <c r="J18" s="31">
        <f>(INDEX('Option1 (base case)'!J$106:J$117, MATCH($D18, 'Option1 (base case)'!$G$106:$G$117,0)))*conv_2026*J$7</f>
        <v>0</v>
      </c>
      <c r="K18" s="31">
        <f>(INDEX('Option1 (base case)'!K$106:K$117, MATCH($D18, 'Option1 (base case)'!$G$106:$G$117,0)))*conv_2026*K$7</f>
        <v>0</v>
      </c>
      <c r="L18" s="31">
        <f>(INDEX('Option1 (base case)'!L$106:L$117, MATCH($D18, 'Option1 (base case)'!$G$106:$G$117,0)))*conv_2026*L$7</f>
        <v>0</v>
      </c>
      <c r="M18" s="31">
        <f>(INDEX('Option1 (base case)'!M$106:M$117, MATCH($D18, 'Option1 (base case)'!$G$106:$G$117,0)))*conv_2026*M$7</f>
        <v>0</v>
      </c>
      <c r="N18" s="31">
        <f>(INDEX('Option1 (base case)'!N$106:N$117, MATCH($D18, 'Option1 (base case)'!$G$106:$G$117,0)))*conv_2026*N$7</f>
        <v>0</v>
      </c>
      <c r="O18" s="31">
        <f>(INDEX('Option1 (base case)'!O$106:O$117, MATCH($D18, 'Option1 (base case)'!$G$106:$G$117,0)))*conv_2026*O$7</f>
        <v>0</v>
      </c>
      <c r="P18" s="31">
        <f>(INDEX('Option1 (base case)'!P$106:P$117, MATCH($D18, 'Option1 (base case)'!$G$106:$G$117,0)))*conv_2026*P$7</f>
        <v>0</v>
      </c>
      <c r="Q18" s="31">
        <f>(INDEX('Option1 (base case)'!Q$106:Q$117, MATCH($D18, 'Option1 (base case)'!$G$106:$G$117,0)))*conv_2026*Q$7</f>
        <v>0</v>
      </c>
      <c r="R18" s="31">
        <f>(INDEX('Option1 (base case)'!R$106:R$117, MATCH($D18, 'Option1 (base case)'!$G$106:$G$117,0)))*conv_2026*R$7</f>
        <v>0</v>
      </c>
      <c r="S18" s="31">
        <f>(INDEX('Option1 (base case)'!S$106:S$117, MATCH($D18, 'Option1 (base case)'!$G$106:$G$117,0)))*conv_2026*S$7</f>
        <v>0</v>
      </c>
      <c r="T18" s="31">
        <f>(INDEX('Option1 (base case)'!T$106:T$117, MATCH($D18, 'Option1 (base case)'!$G$106:$G$117,0)))*conv_2026*T$7</f>
        <v>0</v>
      </c>
      <c r="U18" s="31">
        <f>(INDEX('Option1 (base case)'!U$106:U$117, MATCH($D18, 'Option1 (base case)'!$G$106:$G$117,0)))*conv_2026*U$7</f>
        <v>0</v>
      </c>
      <c r="V18" s="31">
        <f>(INDEX('Option1 (base case)'!V$106:V$117, MATCH($D18, 'Option1 (base case)'!$G$106:$G$117,0)))*conv_2026*V$7</f>
        <v>0</v>
      </c>
      <c r="W18" s="31">
        <f>(INDEX('Option1 (base case)'!W$106:W$117, MATCH($D18, 'Option1 (base case)'!$G$106:$G$117,0)))*conv_2026*W$7</f>
        <v>0</v>
      </c>
      <c r="X18" s="31">
        <f>(INDEX('Option1 (base case)'!X$106:X$117, MATCH($D18, 'Option1 (base case)'!$G$106:$G$117,0)))*conv_2026*X$7</f>
        <v>0</v>
      </c>
      <c r="Y18" s="31">
        <f>(INDEX('Option1 (base case)'!Y$106:Y$117, MATCH($D18, 'Option1 (base case)'!$G$106:$G$117,0)))*conv_2026*Y$7</f>
        <v>0</v>
      </c>
      <c r="Z18" s="31">
        <f>(INDEX('Option1 (base case)'!Z$106:Z$117, MATCH($D18, 'Option1 (base case)'!$G$106:$G$117,0)))*conv_2026*Z$7</f>
        <v>0</v>
      </c>
      <c r="AA18" s="31">
        <f>(INDEX('Option1 (base case)'!AA$106:AA$117, MATCH($D18, 'Option1 (base case)'!$G$106:$G$117,0)))*conv_2026*AA$7</f>
        <v>0</v>
      </c>
      <c r="AB18" s="31">
        <f>(INDEX('Option1 (base case)'!AB$106:AB$117, MATCH($D18, 'Option1 (base case)'!$G$106:$G$117,0)))*conv_2026*AB$7</f>
        <v>0</v>
      </c>
      <c r="AC18" s="31">
        <f>(INDEX('Option1 (base case)'!AC$106:AC$117, MATCH($D18, 'Option1 (base case)'!$G$106:$G$117,0)))*conv_2026*AC$7</f>
        <v>0</v>
      </c>
      <c r="AD18" s="31">
        <f>(INDEX('Option1 (base case)'!AD$106:AD$117, MATCH($D18, 'Option1 (base case)'!$G$106:$G$117,0)))*conv_2026*AD$7</f>
        <v>0</v>
      </c>
      <c r="AE18" s="31">
        <f>(INDEX('Option1 (base case)'!AE$106:AE$117, MATCH($D18, 'Option1 (base case)'!$G$106:$G$117,0)))*conv_2026*AE$7</f>
        <v>0</v>
      </c>
      <c r="AF18" s="31">
        <f>(INDEX('Option1 (base case)'!AF$106:AF$117, MATCH($D18, 'Option1 (base case)'!$G$106:$G$117,0)))*conv_2026*AF$7</f>
        <v>0</v>
      </c>
      <c r="AG18" s="31">
        <f>(INDEX('Option1 (base case)'!AG$106:AG$117, MATCH($D18, 'Option1 (base case)'!$G$106:$G$117,0)))*conv_2026*AG$7</f>
        <v>0</v>
      </c>
      <c r="AH18" s="8"/>
      <c r="AI18" s="8"/>
    </row>
    <row r="19" spans="1:35" s="7" customFormat="1" x14ac:dyDescent="0.2">
      <c r="A19" s="253" t="s">
        <v>141</v>
      </c>
      <c r="B19" s="253" t="str">
        <f>'Option1 (base case)'!A113</f>
        <v>sens4</v>
      </c>
      <c r="C19" s="253" t="str">
        <f>'Option1 (base case)'!C113</f>
        <v>Total benefits 10% lower</v>
      </c>
      <c r="D19" s="253" t="str">
        <f t="shared" si="0"/>
        <v>OPTION 1 (base case)sens4</v>
      </c>
      <c r="E19" s="254"/>
      <c r="F19" s="31">
        <f t="shared" si="1"/>
        <v>0</v>
      </c>
      <c r="G19" s="8"/>
      <c r="H19" s="31">
        <f>(INDEX('Option1 (base case)'!H$106:H$117, MATCH($D19, 'Option1 (base case)'!$G$106:$G$117,0)))*conv_2026*H$7</f>
        <v>0</v>
      </c>
      <c r="I19" s="31">
        <f>(INDEX('Option1 (base case)'!I$106:I$117, MATCH($D19, 'Option1 (base case)'!$G$106:$G$117,0)))*conv_2026*I$7</f>
        <v>0</v>
      </c>
      <c r="J19" s="31">
        <f>(INDEX('Option1 (base case)'!J$106:J$117, MATCH($D19, 'Option1 (base case)'!$G$106:$G$117,0)))*conv_2026*J$7</f>
        <v>0</v>
      </c>
      <c r="K19" s="31">
        <f>(INDEX('Option1 (base case)'!K$106:K$117, MATCH($D19, 'Option1 (base case)'!$G$106:$G$117,0)))*conv_2026*K$7</f>
        <v>0</v>
      </c>
      <c r="L19" s="31">
        <f>(INDEX('Option1 (base case)'!L$106:L$117, MATCH($D19, 'Option1 (base case)'!$G$106:$G$117,0)))*conv_2026*L$7</f>
        <v>0</v>
      </c>
      <c r="M19" s="31">
        <f>(INDEX('Option1 (base case)'!M$106:M$117, MATCH($D19, 'Option1 (base case)'!$G$106:$G$117,0)))*conv_2026*M$7</f>
        <v>0</v>
      </c>
      <c r="N19" s="31">
        <f>(INDEX('Option1 (base case)'!N$106:N$117, MATCH($D19, 'Option1 (base case)'!$G$106:$G$117,0)))*conv_2026*N$7</f>
        <v>0</v>
      </c>
      <c r="O19" s="31">
        <f>(INDEX('Option1 (base case)'!O$106:O$117, MATCH($D19, 'Option1 (base case)'!$G$106:$G$117,0)))*conv_2026*O$7</f>
        <v>0</v>
      </c>
      <c r="P19" s="31">
        <f>(INDEX('Option1 (base case)'!P$106:P$117, MATCH($D19, 'Option1 (base case)'!$G$106:$G$117,0)))*conv_2026*P$7</f>
        <v>0</v>
      </c>
      <c r="Q19" s="31">
        <f>(INDEX('Option1 (base case)'!Q$106:Q$117, MATCH($D19, 'Option1 (base case)'!$G$106:$G$117,0)))*conv_2026*Q$7</f>
        <v>0</v>
      </c>
      <c r="R19" s="31">
        <f>(INDEX('Option1 (base case)'!R$106:R$117, MATCH($D19, 'Option1 (base case)'!$G$106:$G$117,0)))*conv_2026*R$7</f>
        <v>0</v>
      </c>
      <c r="S19" s="31">
        <f>(INDEX('Option1 (base case)'!S$106:S$117, MATCH($D19, 'Option1 (base case)'!$G$106:$G$117,0)))*conv_2026*S$7</f>
        <v>0</v>
      </c>
      <c r="T19" s="31">
        <f>(INDEX('Option1 (base case)'!T$106:T$117, MATCH($D19, 'Option1 (base case)'!$G$106:$G$117,0)))*conv_2026*T$7</f>
        <v>0</v>
      </c>
      <c r="U19" s="31">
        <f>(INDEX('Option1 (base case)'!U$106:U$117, MATCH($D19, 'Option1 (base case)'!$G$106:$G$117,0)))*conv_2026*U$7</f>
        <v>0</v>
      </c>
      <c r="V19" s="31">
        <f>(INDEX('Option1 (base case)'!V$106:V$117, MATCH($D19, 'Option1 (base case)'!$G$106:$G$117,0)))*conv_2026*V$7</f>
        <v>0</v>
      </c>
      <c r="W19" s="31">
        <f>(INDEX('Option1 (base case)'!W$106:W$117, MATCH($D19, 'Option1 (base case)'!$G$106:$G$117,0)))*conv_2026*W$7</f>
        <v>0</v>
      </c>
      <c r="X19" s="31">
        <f>(INDEX('Option1 (base case)'!X$106:X$117, MATCH($D19, 'Option1 (base case)'!$G$106:$G$117,0)))*conv_2026*X$7</f>
        <v>0</v>
      </c>
      <c r="Y19" s="31">
        <f>(INDEX('Option1 (base case)'!Y$106:Y$117, MATCH($D19, 'Option1 (base case)'!$G$106:$G$117,0)))*conv_2026*Y$7</f>
        <v>0</v>
      </c>
      <c r="Z19" s="31">
        <f>(INDEX('Option1 (base case)'!Z$106:Z$117, MATCH($D19, 'Option1 (base case)'!$G$106:$G$117,0)))*conv_2026*Z$7</f>
        <v>0</v>
      </c>
      <c r="AA19" s="31">
        <f>(INDEX('Option1 (base case)'!AA$106:AA$117, MATCH($D19, 'Option1 (base case)'!$G$106:$G$117,0)))*conv_2026*AA$7</f>
        <v>0</v>
      </c>
      <c r="AB19" s="31">
        <f>(INDEX('Option1 (base case)'!AB$106:AB$117, MATCH($D19, 'Option1 (base case)'!$G$106:$G$117,0)))*conv_2026*AB$7</f>
        <v>0</v>
      </c>
      <c r="AC19" s="31">
        <f>(INDEX('Option1 (base case)'!AC$106:AC$117, MATCH($D19, 'Option1 (base case)'!$G$106:$G$117,0)))*conv_2026*AC$7</f>
        <v>0</v>
      </c>
      <c r="AD19" s="31">
        <f>(INDEX('Option1 (base case)'!AD$106:AD$117, MATCH($D19, 'Option1 (base case)'!$G$106:$G$117,0)))*conv_2026*AD$7</f>
        <v>0</v>
      </c>
      <c r="AE19" s="31">
        <f>(INDEX('Option1 (base case)'!AE$106:AE$117, MATCH($D19, 'Option1 (base case)'!$G$106:$G$117,0)))*conv_2026*AE$7</f>
        <v>0</v>
      </c>
      <c r="AF19" s="31">
        <f>(INDEX('Option1 (base case)'!AF$106:AF$117, MATCH($D19, 'Option1 (base case)'!$G$106:$G$117,0)))*conv_2026*AF$7</f>
        <v>0</v>
      </c>
      <c r="AG19" s="31">
        <f>(INDEX('Option1 (base case)'!AG$106:AG$117, MATCH($D19, 'Option1 (base case)'!$G$106:$G$117,0)))*conv_2026*AG$7</f>
        <v>0</v>
      </c>
      <c r="AH19" s="8"/>
      <c r="AI19" s="8"/>
    </row>
    <row r="20" spans="1:35" s="7" customFormat="1" x14ac:dyDescent="0.2">
      <c r="A20" s="253" t="s">
        <v>141</v>
      </c>
      <c r="B20" s="253" t="str">
        <f>'Option1 (base case)'!A114</f>
        <v>sens5</v>
      </c>
      <c r="C20" s="253" t="str">
        <f>'Option1 (base case)'!C114</f>
        <v>Capex 10% higher &amp; Total benefits 10% lower</v>
      </c>
      <c r="D20" s="253" t="str">
        <f t="shared" si="0"/>
        <v>OPTION 1 (base case)sens5</v>
      </c>
      <c r="E20" s="254"/>
      <c r="F20" s="31">
        <f t="shared" si="1"/>
        <v>0</v>
      </c>
      <c r="G20" s="8"/>
      <c r="H20" s="31">
        <f>(INDEX('Option1 (base case)'!H$106:H$117, MATCH($D20, 'Option1 (base case)'!$G$106:$G$117,0)))*conv_2026*H$7</f>
        <v>0</v>
      </c>
      <c r="I20" s="31">
        <f>(INDEX('Option1 (base case)'!I$106:I$117, MATCH($D20, 'Option1 (base case)'!$G$106:$G$117,0)))*conv_2026*I$7</f>
        <v>0</v>
      </c>
      <c r="J20" s="31">
        <f>(INDEX('Option1 (base case)'!J$106:J$117, MATCH($D20, 'Option1 (base case)'!$G$106:$G$117,0)))*conv_2026*J$7</f>
        <v>0</v>
      </c>
      <c r="K20" s="31">
        <f>(INDEX('Option1 (base case)'!K$106:K$117, MATCH($D20, 'Option1 (base case)'!$G$106:$G$117,0)))*conv_2026*K$7</f>
        <v>0</v>
      </c>
      <c r="L20" s="31">
        <f>(INDEX('Option1 (base case)'!L$106:L$117, MATCH($D20, 'Option1 (base case)'!$G$106:$G$117,0)))*conv_2026*L$7</f>
        <v>0</v>
      </c>
      <c r="M20" s="31">
        <f>(INDEX('Option1 (base case)'!M$106:M$117, MATCH($D20, 'Option1 (base case)'!$G$106:$G$117,0)))*conv_2026*M$7</f>
        <v>0</v>
      </c>
      <c r="N20" s="31">
        <f>(INDEX('Option1 (base case)'!N$106:N$117, MATCH($D20, 'Option1 (base case)'!$G$106:$G$117,0)))*conv_2026*N$7</f>
        <v>0</v>
      </c>
      <c r="O20" s="31">
        <f>(INDEX('Option1 (base case)'!O$106:O$117, MATCH($D20, 'Option1 (base case)'!$G$106:$G$117,0)))*conv_2026*O$7</f>
        <v>0</v>
      </c>
      <c r="P20" s="31">
        <f>(INDEX('Option1 (base case)'!P$106:P$117, MATCH($D20, 'Option1 (base case)'!$G$106:$G$117,0)))*conv_2026*P$7</f>
        <v>0</v>
      </c>
      <c r="Q20" s="31">
        <f>(INDEX('Option1 (base case)'!Q$106:Q$117, MATCH($D20, 'Option1 (base case)'!$G$106:$G$117,0)))*conv_2026*Q$7</f>
        <v>0</v>
      </c>
      <c r="R20" s="31">
        <f>(INDEX('Option1 (base case)'!R$106:R$117, MATCH($D20, 'Option1 (base case)'!$G$106:$G$117,0)))*conv_2026*R$7</f>
        <v>0</v>
      </c>
      <c r="S20" s="31">
        <f>(INDEX('Option1 (base case)'!S$106:S$117, MATCH($D20, 'Option1 (base case)'!$G$106:$G$117,0)))*conv_2026*S$7</f>
        <v>0</v>
      </c>
      <c r="T20" s="31">
        <f>(INDEX('Option1 (base case)'!T$106:T$117, MATCH($D20, 'Option1 (base case)'!$G$106:$G$117,0)))*conv_2026*T$7</f>
        <v>0</v>
      </c>
      <c r="U20" s="31">
        <f>(INDEX('Option1 (base case)'!U$106:U$117, MATCH($D20, 'Option1 (base case)'!$G$106:$G$117,0)))*conv_2026*U$7</f>
        <v>0</v>
      </c>
      <c r="V20" s="31">
        <f>(INDEX('Option1 (base case)'!V$106:V$117, MATCH($D20, 'Option1 (base case)'!$G$106:$G$117,0)))*conv_2026*V$7</f>
        <v>0</v>
      </c>
      <c r="W20" s="31">
        <f>(INDEX('Option1 (base case)'!W$106:W$117, MATCH($D20, 'Option1 (base case)'!$G$106:$G$117,0)))*conv_2026*W$7</f>
        <v>0</v>
      </c>
      <c r="X20" s="31">
        <f>(INDEX('Option1 (base case)'!X$106:X$117, MATCH($D20, 'Option1 (base case)'!$G$106:$G$117,0)))*conv_2026*X$7</f>
        <v>0</v>
      </c>
      <c r="Y20" s="31">
        <f>(INDEX('Option1 (base case)'!Y$106:Y$117, MATCH($D20, 'Option1 (base case)'!$G$106:$G$117,0)))*conv_2026*Y$7</f>
        <v>0</v>
      </c>
      <c r="Z20" s="31">
        <f>(INDEX('Option1 (base case)'!Z$106:Z$117, MATCH($D20, 'Option1 (base case)'!$G$106:$G$117,0)))*conv_2026*Z$7</f>
        <v>0</v>
      </c>
      <c r="AA20" s="31">
        <f>(INDEX('Option1 (base case)'!AA$106:AA$117, MATCH($D20, 'Option1 (base case)'!$G$106:$G$117,0)))*conv_2026*AA$7</f>
        <v>0</v>
      </c>
      <c r="AB20" s="31">
        <f>(INDEX('Option1 (base case)'!AB$106:AB$117, MATCH($D20, 'Option1 (base case)'!$G$106:$G$117,0)))*conv_2026*AB$7</f>
        <v>0</v>
      </c>
      <c r="AC20" s="31">
        <f>(INDEX('Option1 (base case)'!AC$106:AC$117, MATCH($D20, 'Option1 (base case)'!$G$106:$G$117,0)))*conv_2026*AC$7</f>
        <v>0</v>
      </c>
      <c r="AD20" s="31">
        <f>(INDEX('Option1 (base case)'!AD$106:AD$117, MATCH($D20, 'Option1 (base case)'!$G$106:$G$117,0)))*conv_2026*AD$7</f>
        <v>0</v>
      </c>
      <c r="AE20" s="31">
        <f>(INDEX('Option1 (base case)'!AE$106:AE$117, MATCH($D20, 'Option1 (base case)'!$G$106:$G$117,0)))*conv_2026*AE$7</f>
        <v>0</v>
      </c>
      <c r="AF20" s="31">
        <f>(INDEX('Option1 (base case)'!AF$106:AF$117, MATCH($D20, 'Option1 (base case)'!$G$106:$G$117,0)))*conv_2026*AF$7</f>
        <v>0</v>
      </c>
      <c r="AG20" s="31">
        <f>(INDEX('Option1 (base case)'!AG$106:AG$117, MATCH($D20, 'Option1 (base case)'!$G$106:$G$117,0)))*conv_2026*AG$7</f>
        <v>0</v>
      </c>
      <c r="AH20" s="8"/>
      <c r="AI20" s="8"/>
    </row>
    <row r="21" spans="1:35" s="7" customFormat="1" x14ac:dyDescent="0.2">
      <c r="A21" s="253" t="s">
        <v>141</v>
      </c>
      <c r="B21" s="253" t="str">
        <f>'Option1 (base case)'!A115</f>
        <v>sens</v>
      </c>
      <c r="C21" s="253">
        <f>'Option1 (base case)'!C115</f>
        <v>0</v>
      </c>
      <c r="D21" s="253" t="str">
        <f t="shared" si="0"/>
        <v>OPTION 1 (base case)sens</v>
      </c>
      <c r="E21" s="254"/>
      <c r="F21" s="31">
        <f t="shared" si="1"/>
        <v>0</v>
      </c>
      <c r="G21" s="8"/>
      <c r="H21" s="31">
        <f>(INDEX('Option1 (base case)'!H$106:H$117, MATCH($D21, 'Option1 (base case)'!$G$106:$G$117,0)))*conv_2026*H$7</f>
        <v>0</v>
      </c>
      <c r="I21" s="31">
        <f>(INDEX('Option1 (base case)'!I$106:I$117, MATCH($D21, 'Option1 (base case)'!$G$106:$G$117,0)))*conv_2026*I$7</f>
        <v>0</v>
      </c>
      <c r="J21" s="31">
        <f>(INDEX('Option1 (base case)'!J$106:J$117, MATCH($D21, 'Option1 (base case)'!$G$106:$G$117,0)))*conv_2026*J$7</f>
        <v>0</v>
      </c>
      <c r="K21" s="31">
        <f>(INDEX('Option1 (base case)'!K$106:K$117, MATCH($D21, 'Option1 (base case)'!$G$106:$G$117,0)))*conv_2026*K$7</f>
        <v>0</v>
      </c>
      <c r="L21" s="31">
        <f>(INDEX('Option1 (base case)'!L$106:L$117, MATCH($D21, 'Option1 (base case)'!$G$106:$G$117,0)))*conv_2026*L$7</f>
        <v>0</v>
      </c>
      <c r="M21" s="31">
        <f>(INDEX('Option1 (base case)'!M$106:M$117, MATCH($D21, 'Option1 (base case)'!$G$106:$G$117,0)))*conv_2026*M$7</f>
        <v>0</v>
      </c>
      <c r="N21" s="31">
        <f>(INDEX('Option1 (base case)'!N$106:N$117, MATCH($D21, 'Option1 (base case)'!$G$106:$G$117,0)))*conv_2026*N$7</f>
        <v>0</v>
      </c>
      <c r="O21" s="31">
        <f>(INDEX('Option1 (base case)'!O$106:O$117, MATCH($D21, 'Option1 (base case)'!$G$106:$G$117,0)))*conv_2026*O$7</f>
        <v>0</v>
      </c>
      <c r="P21" s="31">
        <f>(INDEX('Option1 (base case)'!P$106:P$117, MATCH($D21, 'Option1 (base case)'!$G$106:$G$117,0)))*conv_2026*P$7</f>
        <v>0</v>
      </c>
      <c r="Q21" s="31">
        <f>(INDEX('Option1 (base case)'!Q$106:Q$117, MATCH($D21, 'Option1 (base case)'!$G$106:$G$117,0)))*conv_2026*Q$7</f>
        <v>0</v>
      </c>
      <c r="R21" s="31">
        <f>(INDEX('Option1 (base case)'!R$106:R$117, MATCH($D21, 'Option1 (base case)'!$G$106:$G$117,0)))*conv_2026*R$7</f>
        <v>0</v>
      </c>
      <c r="S21" s="31">
        <f>(INDEX('Option1 (base case)'!S$106:S$117, MATCH($D21, 'Option1 (base case)'!$G$106:$G$117,0)))*conv_2026*S$7</f>
        <v>0</v>
      </c>
      <c r="T21" s="31">
        <f>(INDEX('Option1 (base case)'!T$106:T$117, MATCH($D21, 'Option1 (base case)'!$G$106:$G$117,0)))*conv_2026*T$7</f>
        <v>0</v>
      </c>
      <c r="U21" s="31">
        <f>(INDEX('Option1 (base case)'!U$106:U$117, MATCH($D21, 'Option1 (base case)'!$G$106:$G$117,0)))*conv_2026*U$7</f>
        <v>0</v>
      </c>
      <c r="V21" s="31">
        <f>(INDEX('Option1 (base case)'!V$106:V$117, MATCH($D21, 'Option1 (base case)'!$G$106:$G$117,0)))*conv_2026*V$7</f>
        <v>0</v>
      </c>
      <c r="W21" s="31">
        <f>(INDEX('Option1 (base case)'!W$106:W$117, MATCH($D21, 'Option1 (base case)'!$G$106:$G$117,0)))*conv_2026*W$7</f>
        <v>0</v>
      </c>
      <c r="X21" s="31">
        <f>(INDEX('Option1 (base case)'!X$106:X$117, MATCH($D21, 'Option1 (base case)'!$G$106:$G$117,0)))*conv_2026*X$7</f>
        <v>0</v>
      </c>
      <c r="Y21" s="31">
        <f>(INDEX('Option1 (base case)'!Y$106:Y$117, MATCH($D21, 'Option1 (base case)'!$G$106:$G$117,0)))*conv_2026*Y$7</f>
        <v>0</v>
      </c>
      <c r="Z21" s="31">
        <f>(INDEX('Option1 (base case)'!Z$106:Z$117, MATCH($D21, 'Option1 (base case)'!$G$106:$G$117,0)))*conv_2026*Z$7</f>
        <v>0</v>
      </c>
      <c r="AA21" s="31">
        <f>(INDEX('Option1 (base case)'!AA$106:AA$117, MATCH($D21, 'Option1 (base case)'!$G$106:$G$117,0)))*conv_2026*AA$7</f>
        <v>0</v>
      </c>
      <c r="AB21" s="31">
        <f>(INDEX('Option1 (base case)'!AB$106:AB$117, MATCH($D21, 'Option1 (base case)'!$G$106:$G$117,0)))*conv_2026*AB$7</f>
        <v>0</v>
      </c>
      <c r="AC21" s="31">
        <f>(INDEX('Option1 (base case)'!AC$106:AC$117, MATCH($D21, 'Option1 (base case)'!$G$106:$G$117,0)))*conv_2026*AC$7</f>
        <v>0</v>
      </c>
      <c r="AD21" s="31">
        <f>(INDEX('Option1 (base case)'!AD$106:AD$117, MATCH($D21, 'Option1 (base case)'!$G$106:$G$117,0)))*conv_2026*AD$7</f>
        <v>0</v>
      </c>
      <c r="AE21" s="31">
        <f>(INDEX('Option1 (base case)'!AE$106:AE$117, MATCH($D21, 'Option1 (base case)'!$G$106:$G$117,0)))*conv_2026*AE$7</f>
        <v>0</v>
      </c>
      <c r="AF21" s="31">
        <f>(INDEX('Option1 (base case)'!AF$106:AF$117, MATCH($D21, 'Option1 (base case)'!$G$106:$G$117,0)))*conv_2026*AF$7</f>
        <v>0</v>
      </c>
      <c r="AG21" s="31">
        <f>(INDEX('Option1 (base case)'!AG$106:AG$117, MATCH($D21, 'Option1 (base case)'!$G$106:$G$117,0)))*conv_2026*AG$7</f>
        <v>0</v>
      </c>
      <c r="AH21" s="8"/>
      <c r="AI21" s="8"/>
    </row>
    <row r="22" spans="1:35" s="7" customFormat="1" x14ac:dyDescent="0.2">
      <c r="A22" s="253" t="s">
        <v>141</v>
      </c>
      <c r="B22" s="253" t="str">
        <f>'Option1 (base case)'!A116</f>
        <v>sens</v>
      </c>
      <c r="C22" s="253">
        <f>'Option1 (base case)'!C116</f>
        <v>0</v>
      </c>
      <c r="D22" s="253" t="str">
        <f t="shared" si="0"/>
        <v>OPTION 1 (base case)sens</v>
      </c>
      <c r="E22" s="254"/>
      <c r="F22" s="31">
        <f t="shared" si="1"/>
        <v>0</v>
      </c>
      <c r="G22" s="8"/>
      <c r="H22" s="31">
        <f>(INDEX('Option1 (base case)'!H$106:H$117, MATCH($D22, 'Option1 (base case)'!$G$106:$G$117,0)))*conv_2026*H$7</f>
        <v>0</v>
      </c>
      <c r="I22" s="31">
        <f>(INDEX('Option1 (base case)'!I$106:I$117, MATCH($D22, 'Option1 (base case)'!$G$106:$G$117,0)))*conv_2026*I$7</f>
        <v>0</v>
      </c>
      <c r="J22" s="31">
        <f>(INDEX('Option1 (base case)'!J$106:J$117, MATCH($D22, 'Option1 (base case)'!$G$106:$G$117,0)))*conv_2026*J$7</f>
        <v>0</v>
      </c>
      <c r="K22" s="31">
        <f>(INDEX('Option1 (base case)'!K$106:K$117, MATCH($D22, 'Option1 (base case)'!$G$106:$G$117,0)))*conv_2026*K$7</f>
        <v>0</v>
      </c>
      <c r="L22" s="31">
        <f>(INDEX('Option1 (base case)'!L$106:L$117, MATCH($D22, 'Option1 (base case)'!$G$106:$G$117,0)))*conv_2026*L$7</f>
        <v>0</v>
      </c>
      <c r="M22" s="31">
        <f>(INDEX('Option1 (base case)'!M$106:M$117, MATCH($D22, 'Option1 (base case)'!$G$106:$G$117,0)))*conv_2026*M$7</f>
        <v>0</v>
      </c>
      <c r="N22" s="31">
        <f>(INDEX('Option1 (base case)'!N$106:N$117, MATCH($D22, 'Option1 (base case)'!$G$106:$G$117,0)))*conv_2026*N$7</f>
        <v>0</v>
      </c>
      <c r="O22" s="31">
        <f>(INDEX('Option1 (base case)'!O$106:O$117, MATCH($D22, 'Option1 (base case)'!$G$106:$G$117,0)))*conv_2026*O$7</f>
        <v>0</v>
      </c>
      <c r="P22" s="31">
        <f>(INDEX('Option1 (base case)'!P$106:P$117, MATCH($D22, 'Option1 (base case)'!$G$106:$G$117,0)))*conv_2026*P$7</f>
        <v>0</v>
      </c>
      <c r="Q22" s="31">
        <f>(INDEX('Option1 (base case)'!Q$106:Q$117, MATCH($D22, 'Option1 (base case)'!$G$106:$G$117,0)))*conv_2026*Q$7</f>
        <v>0</v>
      </c>
      <c r="R22" s="31">
        <f>(INDEX('Option1 (base case)'!R$106:R$117, MATCH($D22, 'Option1 (base case)'!$G$106:$G$117,0)))*conv_2026*R$7</f>
        <v>0</v>
      </c>
      <c r="S22" s="31">
        <f>(INDEX('Option1 (base case)'!S$106:S$117, MATCH($D22, 'Option1 (base case)'!$G$106:$G$117,0)))*conv_2026*S$7</f>
        <v>0</v>
      </c>
      <c r="T22" s="31">
        <f>(INDEX('Option1 (base case)'!T$106:T$117, MATCH($D22, 'Option1 (base case)'!$G$106:$G$117,0)))*conv_2026*T$7</f>
        <v>0</v>
      </c>
      <c r="U22" s="31">
        <f>(INDEX('Option1 (base case)'!U$106:U$117, MATCH($D22, 'Option1 (base case)'!$G$106:$G$117,0)))*conv_2026*U$7</f>
        <v>0</v>
      </c>
      <c r="V22" s="31">
        <f>(INDEX('Option1 (base case)'!V$106:V$117, MATCH($D22, 'Option1 (base case)'!$G$106:$G$117,0)))*conv_2026*V$7</f>
        <v>0</v>
      </c>
      <c r="W22" s="31">
        <f>(INDEX('Option1 (base case)'!W$106:W$117, MATCH($D22, 'Option1 (base case)'!$G$106:$G$117,0)))*conv_2026*W$7</f>
        <v>0</v>
      </c>
      <c r="X22" s="31">
        <f>(INDEX('Option1 (base case)'!X$106:X$117, MATCH($D22, 'Option1 (base case)'!$G$106:$G$117,0)))*conv_2026*X$7</f>
        <v>0</v>
      </c>
      <c r="Y22" s="31">
        <f>(INDEX('Option1 (base case)'!Y$106:Y$117, MATCH($D22, 'Option1 (base case)'!$G$106:$G$117,0)))*conv_2026*Y$7</f>
        <v>0</v>
      </c>
      <c r="Z22" s="31">
        <f>(INDEX('Option1 (base case)'!Z$106:Z$117, MATCH($D22, 'Option1 (base case)'!$G$106:$G$117,0)))*conv_2026*Z$7</f>
        <v>0</v>
      </c>
      <c r="AA22" s="31">
        <f>(INDEX('Option1 (base case)'!AA$106:AA$117, MATCH($D22, 'Option1 (base case)'!$G$106:$G$117,0)))*conv_2026*AA$7</f>
        <v>0</v>
      </c>
      <c r="AB22" s="31">
        <f>(INDEX('Option1 (base case)'!AB$106:AB$117, MATCH($D22, 'Option1 (base case)'!$G$106:$G$117,0)))*conv_2026*AB$7</f>
        <v>0</v>
      </c>
      <c r="AC22" s="31">
        <f>(INDEX('Option1 (base case)'!AC$106:AC$117, MATCH($D22, 'Option1 (base case)'!$G$106:$G$117,0)))*conv_2026*AC$7</f>
        <v>0</v>
      </c>
      <c r="AD22" s="31">
        <f>(INDEX('Option1 (base case)'!AD$106:AD$117, MATCH($D22, 'Option1 (base case)'!$G$106:$G$117,0)))*conv_2026*AD$7</f>
        <v>0</v>
      </c>
      <c r="AE22" s="31">
        <f>(INDEX('Option1 (base case)'!AE$106:AE$117, MATCH($D22, 'Option1 (base case)'!$G$106:$G$117,0)))*conv_2026*AE$7</f>
        <v>0</v>
      </c>
      <c r="AF22" s="31">
        <f>(INDEX('Option1 (base case)'!AF$106:AF$117, MATCH($D22, 'Option1 (base case)'!$G$106:$G$117,0)))*conv_2026*AF$7</f>
        <v>0</v>
      </c>
      <c r="AG22" s="31">
        <f>(INDEX('Option1 (base case)'!AG$106:AG$117, MATCH($D22, 'Option1 (base case)'!$G$106:$G$117,0)))*conv_2026*AG$7</f>
        <v>0</v>
      </c>
      <c r="AH22" s="8"/>
      <c r="AI22" s="8"/>
    </row>
    <row r="23" spans="1:35" s="7" customFormat="1" x14ac:dyDescent="0.2">
      <c r="A23" s="253" t="s">
        <v>141</v>
      </c>
      <c r="B23" s="253" t="str">
        <f>'Option1 (base case)'!A117</f>
        <v>sens</v>
      </c>
      <c r="C23" s="253">
        <f>'Option1 (base case)'!C117</f>
        <v>0</v>
      </c>
      <c r="D23" s="253" t="str">
        <f t="shared" si="0"/>
        <v>OPTION 1 (base case)sens</v>
      </c>
      <c r="E23" s="254"/>
      <c r="F23" s="31">
        <f t="shared" si="1"/>
        <v>0</v>
      </c>
      <c r="G23" s="8"/>
      <c r="H23" s="31">
        <f>(INDEX('Option1 (base case)'!H$106:H$117, MATCH($D23, 'Option1 (base case)'!$G$106:$G$117,0)))*conv_2026*H$7</f>
        <v>0</v>
      </c>
      <c r="I23" s="31">
        <f>(INDEX('Option1 (base case)'!I$106:I$117, MATCH($D23, 'Option1 (base case)'!$G$106:$G$117,0)))*conv_2026*I$7</f>
        <v>0</v>
      </c>
      <c r="J23" s="31">
        <f>(INDEX('Option1 (base case)'!J$106:J$117, MATCH($D23, 'Option1 (base case)'!$G$106:$G$117,0)))*conv_2026*J$7</f>
        <v>0</v>
      </c>
      <c r="K23" s="31">
        <f>(INDEX('Option1 (base case)'!K$106:K$117, MATCH($D23, 'Option1 (base case)'!$G$106:$G$117,0)))*conv_2026*K$7</f>
        <v>0</v>
      </c>
      <c r="L23" s="31">
        <f>(INDEX('Option1 (base case)'!L$106:L$117, MATCH($D23, 'Option1 (base case)'!$G$106:$G$117,0)))*conv_2026*L$7</f>
        <v>0</v>
      </c>
      <c r="M23" s="31">
        <f>(INDEX('Option1 (base case)'!M$106:M$117, MATCH($D23, 'Option1 (base case)'!$G$106:$G$117,0)))*conv_2026*M$7</f>
        <v>0</v>
      </c>
      <c r="N23" s="31">
        <f>(INDEX('Option1 (base case)'!N$106:N$117, MATCH($D23, 'Option1 (base case)'!$G$106:$G$117,0)))*conv_2026*N$7</f>
        <v>0</v>
      </c>
      <c r="O23" s="31">
        <f>(INDEX('Option1 (base case)'!O$106:O$117, MATCH($D23, 'Option1 (base case)'!$G$106:$G$117,0)))*conv_2026*O$7</f>
        <v>0</v>
      </c>
      <c r="P23" s="31">
        <f>(INDEX('Option1 (base case)'!P$106:P$117, MATCH($D23, 'Option1 (base case)'!$G$106:$G$117,0)))*conv_2026*P$7</f>
        <v>0</v>
      </c>
      <c r="Q23" s="31">
        <f>(INDEX('Option1 (base case)'!Q$106:Q$117, MATCH($D23, 'Option1 (base case)'!$G$106:$G$117,0)))*conv_2026*Q$7</f>
        <v>0</v>
      </c>
      <c r="R23" s="31">
        <f>(INDEX('Option1 (base case)'!R$106:R$117, MATCH($D23, 'Option1 (base case)'!$G$106:$G$117,0)))*conv_2026*R$7</f>
        <v>0</v>
      </c>
      <c r="S23" s="31">
        <f>(INDEX('Option1 (base case)'!S$106:S$117, MATCH($D23, 'Option1 (base case)'!$G$106:$G$117,0)))*conv_2026*S$7</f>
        <v>0</v>
      </c>
      <c r="T23" s="31">
        <f>(INDEX('Option1 (base case)'!T$106:T$117, MATCH($D23, 'Option1 (base case)'!$G$106:$G$117,0)))*conv_2026*T$7</f>
        <v>0</v>
      </c>
      <c r="U23" s="31">
        <f>(INDEX('Option1 (base case)'!U$106:U$117, MATCH($D23, 'Option1 (base case)'!$G$106:$G$117,0)))*conv_2026*U$7</f>
        <v>0</v>
      </c>
      <c r="V23" s="31">
        <f>(INDEX('Option1 (base case)'!V$106:V$117, MATCH($D23, 'Option1 (base case)'!$G$106:$G$117,0)))*conv_2026*V$7</f>
        <v>0</v>
      </c>
      <c r="W23" s="31">
        <f>(INDEX('Option1 (base case)'!W$106:W$117, MATCH($D23, 'Option1 (base case)'!$G$106:$G$117,0)))*conv_2026*W$7</f>
        <v>0</v>
      </c>
      <c r="X23" s="31">
        <f>(INDEX('Option1 (base case)'!X$106:X$117, MATCH($D23, 'Option1 (base case)'!$G$106:$G$117,0)))*conv_2026*X$7</f>
        <v>0</v>
      </c>
      <c r="Y23" s="31">
        <f>(INDEX('Option1 (base case)'!Y$106:Y$117, MATCH($D23, 'Option1 (base case)'!$G$106:$G$117,0)))*conv_2026*Y$7</f>
        <v>0</v>
      </c>
      <c r="Z23" s="31">
        <f>(INDEX('Option1 (base case)'!Z$106:Z$117, MATCH($D23, 'Option1 (base case)'!$G$106:$G$117,0)))*conv_2026*Z$7</f>
        <v>0</v>
      </c>
      <c r="AA23" s="31">
        <f>(INDEX('Option1 (base case)'!AA$106:AA$117, MATCH($D23, 'Option1 (base case)'!$G$106:$G$117,0)))*conv_2026*AA$7</f>
        <v>0</v>
      </c>
      <c r="AB23" s="31">
        <f>(INDEX('Option1 (base case)'!AB$106:AB$117, MATCH($D23, 'Option1 (base case)'!$G$106:$G$117,0)))*conv_2026*AB$7</f>
        <v>0</v>
      </c>
      <c r="AC23" s="31">
        <f>(INDEX('Option1 (base case)'!AC$106:AC$117, MATCH($D23, 'Option1 (base case)'!$G$106:$G$117,0)))*conv_2026*AC$7</f>
        <v>0</v>
      </c>
      <c r="AD23" s="31">
        <f>(INDEX('Option1 (base case)'!AD$106:AD$117, MATCH($D23, 'Option1 (base case)'!$G$106:$G$117,0)))*conv_2026*AD$7</f>
        <v>0</v>
      </c>
      <c r="AE23" s="31">
        <f>(INDEX('Option1 (base case)'!AE$106:AE$117, MATCH($D23, 'Option1 (base case)'!$G$106:$G$117,0)))*conv_2026*AE$7</f>
        <v>0</v>
      </c>
      <c r="AF23" s="31">
        <f>(INDEX('Option1 (base case)'!AF$106:AF$117, MATCH($D23, 'Option1 (base case)'!$G$106:$G$117,0)))*conv_2026*AF$7</f>
        <v>0</v>
      </c>
      <c r="AG23" s="31">
        <f>(INDEX('Option1 (base case)'!AG$106:AG$117, MATCH($D23, 'Option1 (base case)'!$G$106:$G$117,0)))*conv_2026*AG$7</f>
        <v>0</v>
      </c>
      <c r="AH23" s="8"/>
      <c r="AI23" s="8"/>
    </row>
    <row r="24" spans="1:35" s="7" customFormat="1" x14ac:dyDescent="0.2">
      <c r="A24" s="245"/>
      <c r="B24" s="245"/>
      <c r="C24" s="245"/>
      <c r="D24" s="245"/>
      <c r="E24" s="245"/>
      <c r="F24" s="245"/>
      <c r="G24" s="246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</row>
    <row r="25" spans="1:35" s="7" customFormat="1" x14ac:dyDescent="0.2">
      <c r="A25" s="245"/>
      <c r="B25" s="245"/>
      <c r="C25" s="245"/>
      <c r="D25" s="245"/>
      <c r="E25" s="245"/>
      <c r="F25" s="245"/>
      <c r="G25" s="246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</row>
    <row r="26" spans="1:35" s="7" customFormat="1" x14ac:dyDescent="0.2">
      <c r="A26" s="245"/>
      <c r="B26" s="245"/>
      <c r="C26" s="245"/>
      <c r="D26" s="245"/>
      <c r="E26" s="245"/>
      <c r="F26" s="245"/>
      <c r="G26" s="246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</row>
    <row r="27" spans="1:35" s="7" customFormat="1" x14ac:dyDescent="0.2">
      <c r="A27" s="245"/>
      <c r="B27" s="245"/>
      <c r="C27" s="245"/>
      <c r="D27" s="245"/>
      <c r="E27" s="245"/>
      <c r="F27" s="245"/>
      <c r="G27" s="246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</row>
    <row r="28" spans="1:35" s="7" customFormat="1" x14ac:dyDescent="0.2">
      <c r="A28" s="253" t="s">
        <v>131</v>
      </c>
      <c r="B28" s="253" t="s">
        <v>119</v>
      </c>
      <c r="C28" s="253" t="s">
        <v>186</v>
      </c>
      <c r="D28" s="253" t="str">
        <f>A28&amp;B28</f>
        <v>Option 2NPV</v>
      </c>
      <c r="E28" s="254"/>
      <c r="F28" s="31">
        <f>SUMPRODUCT($H28:$AG28, $H$5:$AG$5)</f>
        <v>1129534.7658417835</v>
      </c>
      <c r="G28" s="246"/>
      <c r="H28" s="31">
        <f>(INDEX(Option2!H$106:H$117, MATCH($D28, Option2!$G$106:$G$117,0)))*conv_2026*H$7</f>
        <v>0</v>
      </c>
      <c r="I28" s="31">
        <f>(INDEX(Option2!I$106:I$117, MATCH($D28, Option2!$G$106:$G$117,0)))*conv_2026*I$7</f>
        <v>190256.70934905979</v>
      </c>
      <c r="J28" s="31">
        <f>(INDEX(Option2!J$106:J$117, MATCH($D28, Option2!$G$106:$G$117,0)))*conv_2026*J$7</f>
        <v>219555.37551934132</v>
      </c>
      <c r="K28" s="31">
        <f>(INDEX(Option2!K$106:K$117, MATCH($D28, Option2!$G$106:$G$117,0)))*conv_2026*K$7</f>
        <v>58597.332340565117</v>
      </c>
      <c r="L28" s="31">
        <f>(INDEX(Option2!L$106:L$117, MATCH($D28, Option2!$G$106:$G$117,0)))*conv_2026*L$7</f>
        <v>58597.332340565117</v>
      </c>
      <c r="M28" s="31">
        <f>(INDEX(Option2!M$106:M$117, MATCH($D28, Option2!$G$106:$G$117,0)))*conv_2026*M$7</f>
        <v>58597.332340565117</v>
      </c>
      <c r="N28" s="31">
        <f>(INDEX(Option2!N$106:N$117, MATCH($D28, Option2!$G$106:$G$117,0)))*conv_2026*N$7</f>
        <v>58597.332340565117</v>
      </c>
      <c r="O28" s="31">
        <f>(INDEX(Option2!O$106:O$117, MATCH($D28, Option2!$G$106:$G$117,0)))*conv_2026*O$7</f>
        <v>58597.332340565117</v>
      </c>
      <c r="P28" s="31">
        <f>(INDEX(Option2!P$106:P$117, MATCH($D28, Option2!$G$106:$G$117,0)))*conv_2026*P$7</f>
        <v>58597.332340565117</v>
      </c>
      <c r="Q28" s="31">
        <f>(INDEX(Option2!Q$106:Q$117, MATCH($D28, Option2!$G$106:$G$117,0)))*conv_2026*Q$7</f>
        <v>58597.332340565117</v>
      </c>
      <c r="R28" s="31">
        <f>(INDEX(Option2!R$106:R$117, MATCH($D28, Option2!$G$106:$G$117,0)))*conv_2026*R$7</f>
        <v>58597.332340565117</v>
      </c>
      <c r="S28" s="31">
        <f>(INDEX(Option2!S$106:S$117, MATCH($D28, Option2!$G$106:$G$117,0)))*conv_2026*S$7</f>
        <v>58597.332340565117</v>
      </c>
      <c r="T28" s="31">
        <f>(INDEX(Option2!T$106:T$117, MATCH($D28, Option2!$G$106:$G$117,0)))*conv_2026*T$7</f>
        <v>58597.332340565117</v>
      </c>
      <c r="U28" s="31">
        <f>(INDEX(Option2!U$106:U$117, MATCH($D28, Option2!$G$106:$G$117,0)))*conv_2026*U$7</f>
        <v>58597.332340565117</v>
      </c>
      <c r="V28" s="31">
        <f>(INDEX(Option2!V$106:V$117, MATCH($D28, Option2!$G$106:$G$117,0)))*conv_2026*V$7</f>
        <v>58597.332340565117</v>
      </c>
      <c r="W28" s="31">
        <f>(INDEX(Option2!W$106:W$117, MATCH($D28, Option2!$G$106:$G$117,0)))*conv_2026*W$7</f>
        <v>58597.332340565117</v>
      </c>
      <c r="X28" s="31">
        <f>(INDEX(Option2!X$106:X$117, MATCH($D28, Option2!$G$106:$G$117,0)))*conv_2026*X$7</f>
        <v>58597.332340565117</v>
      </c>
      <c r="Y28" s="31">
        <f>(INDEX(Option2!Y$106:Y$117, MATCH($D28, Option2!$G$106:$G$117,0)))*conv_2026*Y$7</f>
        <v>58597.332340565117</v>
      </c>
      <c r="Z28" s="31">
        <f>(INDEX(Option2!Z$106:Z$117, MATCH($D28, Option2!$G$106:$G$117,0)))*conv_2026*Z$7</f>
        <v>58597.332340565117</v>
      </c>
      <c r="AA28" s="31">
        <f>(INDEX(Option2!AA$106:AA$117, MATCH($D28, Option2!$G$106:$G$117,0)))*conv_2026*AA$7</f>
        <v>58597.332340565117</v>
      </c>
      <c r="AB28" s="31">
        <f>(INDEX(Option2!AB$106:AB$117, MATCH($D28, Option2!$G$106:$G$117,0)))*conv_2026*AB$7</f>
        <v>58597.332340565117</v>
      </c>
      <c r="AC28" s="31">
        <f>(INDEX(Option2!AC$106:AC$117, MATCH($D28, Option2!$G$106:$G$117,0)))*conv_2026*AC$7</f>
        <v>0</v>
      </c>
      <c r="AD28" s="31">
        <f>(INDEX(Option2!AD$106:AD$117, MATCH($D28, Option2!$G$106:$G$117,0)))*conv_2026*AD$7</f>
        <v>0</v>
      </c>
      <c r="AE28" s="31">
        <f>(INDEX(Option2!AE$106:AE$117, MATCH($D28, Option2!$G$106:$G$117,0)))*conv_2026*AE$7</f>
        <v>0</v>
      </c>
      <c r="AF28" s="31">
        <f>(INDEX(Option2!AF$106:AF$117, MATCH($D28, Option2!$G$106:$G$117,0)))*conv_2026*AF$7</f>
        <v>0</v>
      </c>
      <c r="AG28" s="31">
        <f>(INDEX(Option2!AG$106:AG$117, MATCH($D28, Option2!$G$106:$G$117,0)))*conv_2026*AG$7</f>
        <v>0</v>
      </c>
    </row>
    <row r="29" spans="1:35" s="7" customFormat="1" x14ac:dyDescent="0.2">
      <c r="A29" s="245"/>
      <c r="B29" s="245"/>
      <c r="C29" s="245"/>
      <c r="D29" s="245"/>
      <c r="E29" s="245"/>
      <c r="F29" s="245"/>
      <c r="G29" s="246"/>
      <c r="H29" s="246"/>
      <c r="I29" s="246"/>
      <c r="J29" s="246"/>
      <c r="K29" s="246"/>
      <c r="L29" s="246"/>
      <c r="M29" s="246"/>
      <c r="N29" s="246"/>
      <c r="O29" s="246"/>
      <c r="P29" s="246"/>
      <c r="Q29" s="246"/>
      <c r="R29" s="246"/>
      <c r="S29" s="246"/>
      <c r="T29" s="246"/>
      <c r="U29" s="246"/>
      <c r="V29" s="246"/>
      <c r="W29" s="246"/>
      <c r="X29" s="246"/>
      <c r="Y29" s="246"/>
      <c r="Z29" s="246"/>
      <c r="AA29" s="246"/>
      <c r="AB29" s="246"/>
      <c r="AC29" s="246"/>
      <c r="AD29" s="246"/>
      <c r="AE29" s="246"/>
      <c r="AF29" s="246"/>
      <c r="AG29" s="246"/>
    </row>
    <row r="30" spans="1:35" s="7" customFormat="1" x14ac:dyDescent="0.2">
      <c r="A30" s="253" t="s">
        <v>131</v>
      </c>
      <c r="B30" s="253" t="str">
        <f>Option2!A110</f>
        <v>sens1</v>
      </c>
      <c r="C30" s="253" t="str">
        <f>Option2!C110</f>
        <v>Capex 10% higher</v>
      </c>
      <c r="D30" s="253" t="str">
        <f t="shared" ref="D30:D37" si="2">A30&amp;B30</f>
        <v>Option 2sens1</v>
      </c>
      <c r="E30" s="254"/>
      <c r="F30" s="31">
        <f>SUMPRODUCT($H30:$AG30, $H$5:$AG$5)</f>
        <v>711005.813984395</v>
      </c>
      <c r="G30" s="246"/>
      <c r="H30" s="31">
        <f>IF($B30=0,0, (INDEX(Option2!H$106:H$117, MATCH($D30, Option2!$G$106:$G$117,0)))*conv_2026*H$7)</f>
        <v>0</v>
      </c>
      <c r="I30" s="31">
        <f>IF($B30=0,0, (INDEX(Option2!I$106:I$117, MATCH($D30, Option2!$G$106:$G$117,0)))*conv_2026*I$7)</f>
        <v>190256.70934905979</v>
      </c>
      <c r="J30" s="31">
        <f>IF($B30=0,0, (INDEX(Option2!J$106:J$117, MATCH($D30, Option2!$G$106:$G$117,0)))*conv_2026*J$7)</f>
        <v>203459.5712014637</v>
      </c>
      <c r="K30" s="31">
        <f>IF($B30=0,0, (INDEX(Option2!K$106:K$117, MATCH($D30, Option2!$G$106:$G$117,0)))*conv_2026*K$7)</f>
        <v>26405.723704809883</v>
      </c>
      <c r="L30" s="31">
        <f>IF($B30=0,0, (INDEX(Option2!L$106:L$117, MATCH($D30, Option2!$G$106:$G$117,0)))*conv_2026*L$7)</f>
        <v>26405.723704809883</v>
      </c>
      <c r="M30" s="31">
        <f>IF($B30=0,0, (INDEX(Option2!M$106:M$117, MATCH($D30, Option2!$G$106:$G$117,0)))*conv_2026*M$7)</f>
        <v>26405.723704809883</v>
      </c>
      <c r="N30" s="31">
        <f>IF($B30=0,0, (INDEX(Option2!N$106:N$117, MATCH($D30, Option2!$G$106:$G$117,0)))*conv_2026*N$7)</f>
        <v>26405.723704809883</v>
      </c>
      <c r="O30" s="31">
        <f>IF($B30=0,0, (INDEX(Option2!O$106:O$117, MATCH($D30, Option2!$G$106:$G$117,0)))*conv_2026*O$7)</f>
        <v>26405.723704809883</v>
      </c>
      <c r="P30" s="31">
        <f>IF($B30=0,0, (INDEX(Option2!P$106:P$117, MATCH($D30, Option2!$G$106:$G$117,0)))*conv_2026*P$7)</f>
        <v>26405.723704809883</v>
      </c>
      <c r="Q30" s="31">
        <f>IF($B30=0,0, (INDEX(Option2!Q$106:Q$117, MATCH($D30, Option2!$G$106:$G$117,0)))*conv_2026*Q$7)</f>
        <v>26405.723704809883</v>
      </c>
      <c r="R30" s="31">
        <f>IF($B30=0,0, (INDEX(Option2!R$106:R$117, MATCH($D30, Option2!$G$106:$G$117,0)))*conv_2026*R$7)</f>
        <v>26405.723704809883</v>
      </c>
      <c r="S30" s="31">
        <f>IF($B30=0,0, (INDEX(Option2!S$106:S$117, MATCH($D30, Option2!$G$106:$G$117,0)))*conv_2026*S$7)</f>
        <v>26405.723704809883</v>
      </c>
      <c r="T30" s="31">
        <f>IF($B30=0,0, (INDEX(Option2!T$106:T$117, MATCH($D30, Option2!$G$106:$G$117,0)))*conv_2026*T$7)</f>
        <v>26405.723704809883</v>
      </c>
      <c r="U30" s="31">
        <f>IF($B30=0,0, (INDEX(Option2!U$106:U$117, MATCH($D30, Option2!$G$106:$G$117,0)))*conv_2026*U$7)</f>
        <v>26405.723704809883</v>
      </c>
      <c r="V30" s="31">
        <f>IF($B30=0,0, (INDEX(Option2!V$106:V$117, MATCH($D30, Option2!$G$106:$G$117,0)))*conv_2026*V$7)</f>
        <v>26405.723704809883</v>
      </c>
      <c r="W30" s="31">
        <f>IF($B30=0,0, (INDEX(Option2!W$106:W$117, MATCH($D30, Option2!$G$106:$G$117,0)))*conv_2026*W$7)</f>
        <v>26405.723704809883</v>
      </c>
      <c r="X30" s="31">
        <f>IF($B30=0,0, (INDEX(Option2!X$106:X$117, MATCH($D30, Option2!$G$106:$G$117,0)))*conv_2026*X$7)</f>
        <v>26405.723704809883</v>
      </c>
      <c r="Y30" s="31">
        <f>IF($B30=0,0, (INDEX(Option2!Y$106:Y$117, MATCH($D30, Option2!$G$106:$G$117,0)))*conv_2026*Y$7)</f>
        <v>26405.723704809883</v>
      </c>
      <c r="Z30" s="31">
        <f>IF($B30=0,0, (INDEX(Option2!Z$106:Z$117, MATCH($D30, Option2!$G$106:$G$117,0)))*conv_2026*Z$7)</f>
        <v>26405.723704809883</v>
      </c>
      <c r="AA30" s="31">
        <f>IF($B30=0,0, (INDEX(Option2!AA$106:AA$117, MATCH($D30, Option2!$G$106:$G$117,0)))*conv_2026*AA$7)</f>
        <v>26405.723704809883</v>
      </c>
      <c r="AB30" s="31">
        <f>IF($B30=0,0, (INDEX(Option2!AB$106:AB$117, MATCH($D30, Option2!$G$106:$G$117,0)))*conv_2026*AB$7)</f>
        <v>26405.723704809883</v>
      </c>
      <c r="AC30" s="31">
        <f>IF($B30=0,0, (INDEX(Option2!AC$106:AC$117, MATCH($D30, Option2!$G$106:$G$117,0)))*conv_2026*AC$7)</f>
        <v>0</v>
      </c>
      <c r="AD30" s="31">
        <f>IF($B30=0,0, (INDEX(Option2!AD$106:AD$117, MATCH($D30, Option2!$G$106:$G$117,0)))*conv_2026*AD$7)</f>
        <v>0</v>
      </c>
      <c r="AE30" s="31">
        <f>IF($B30=0,0, (INDEX(Option2!AE$106:AE$117, MATCH($D30, Option2!$G$106:$G$117,0)))*conv_2026*AE$7)</f>
        <v>0</v>
      </c>
      <c r="AF30" s="31">
        <f>IF($B30=0,0, (INDEX(Option2!AF$106:AF$117, MATCH($D30, Option2!$G$106:$G$117,0)))*conv_2026*AF$7)</f>
        <v>0</v>
      </c>
      <c r="AG30" s="31">
        <f>IF($B30=0,0, (INDEX(Option2!AG$106:AG$117, MATCH($D30, Option2!$G$106:$G$117,0)))*conv_2026*AG$7)</f>
        <v>0</v>
      </c>
    </row>
    <row r="31" spans="1:35" s="8" customFormat="1" x14ac:dyDescent="0.2">
      <c r="A31" s="253" t="s">
        <v>131</v>
      </c>
      <c r="B31" s="253" t="str">
        <f>Option2!A111</f>
        <v>sens2</v>
      </c>
      <c r="C31" s="253" t="str">
        <f>Option2!C111</f>
        <v>Capex 10% lower</v>
      </c>
      <c r="D31" s="253" t="str">
        <f t="shared" si="2"/>
        <v>Option 2sens2</v>
      </c>
      <c r="E31" s="254"/>
      <c r="F31" s="31">
        <f t="shared" ref="F31:F37" si="3">SUMPRODUCT($H31:$AG31, $H$5:$AG$5)</f>
        <v>1548063.7176991722</v>
      </c>
      <c r="G31" s="253"/>
      <c r="H31" s="31">
        <f>IF($B31=0,0, (INDEX(Option2!H$106:H$117, MATCH($D31, Option2!$G$106:$G$117,0)))*conv_2026*H$7)</f>
        <v>0</v>
      </c>
      <c r="I31" s="31">
        <f>IF($B31=0,0, (INDEX(Option2!I$106:I$117, MATCH($D31, Option2!$G$106:$G$117,0)))*conv_2026*I$7)</f>
        <v>190256.70934905979</v>
      </c>
      <c r="J31" s="31">
        <f>IF($B31=0,0, (INDEX(Option2!J$106:J$117, MATCH($D31, Option2!$G$106:$G$117,0)))*conv_2026*J$7)</f>
        <v>235651.17983721892</v>
      </c>
      <c r="K31" s="31">
        <f>IF($B31=0,0, (INDEX(Option2!K$106:K$117, MATCH($D31, Option2!$G$106:$G$117,0)))*conv_2026*K$7)</f>
        <v>90788.940976320358</v>
      </c>
      <c r="L31" s="31">
        <f>IF($B31=0,0, (INDEX(Option2!L$106:L$117, MATCH($D31, Option2!$G$106:$G$117,0)))*conv_2026*L$7)</f>
        <v>90788.940976320358</v>
      </c>
      <c r="M31" s="31">
        <f>IF($B31=0,0, (INDEX(Option2!M$106:M$117, MATCH($D31, Option2!$G$106:$G$117,0)))*conv_2026*M$7)</f>
        <v>90788.940976320358</v>
      </c>
      <c r="N31" s="31">
        <f>IF($B31=0,0, (INDEX(Option2!N$106:N$117, MATCH($D31, Option2!$G$106:$G$117,0)))*conv_2026*N$7)</f>
        <v>90788.940976320358</v>
      </c>
      <c r="O31" s="31">
        <f>IF($B31=0,0, (INDEX(Option2!O$106:O$117, MATCH($D31, Option2!$G$106:$G$117,0)))*conv_2026*O$7)</f>
        <v>90788.940976320358</v>
      </c>
      <c r="P31" s="31">
        <f>IF($B31=0,0, (INDEX(Option2!P$106:P$117, MATCH($D31, Option2!$G$106:$G$117,0)))*conv_2026*P$7)</f>
        <v>90788.940976320358</v>
      </c>
      <c r="Q31" s="31">
        <f>IF($B31=0,0, (INDEX(Option2!Q$106:Q$117, MATCH($D31, Option2!$G$106:$G$117,0)))*conv_2026*Q$7)</f>
        <v>90788.940976320358</v>
      </c>
      <c r="R31" s="31">
        <f>IF($B31=0,0, (INDEX(Option2!R$106:R$117, MATCH($D31, Option2!$G$106:$G$117,0)))*conv_2026*R$7)</f>
        <v>90788.940976320358</v>
      </c>
      <c r="S31" s="31">
        <f>IF($B31=0,0, (INDEX(Option2!S$106:S$117, MATCH($D31, Option2!$G$106:$G$117,0)))*conv_2026*S$7)</f>
        <v>90788.940976320358</v>
      </c>
      <c r="T31" s="31">
        <f>IF($B31=0,0, (INDEX(Option2!T$106:T$117, MATCH($D31, Option2!$G$106:$G$117,0)))*conv_2026*T$7)</f>
        <v>90788.940976320358</v>
      </c>
      <c r="U31" s="31">
        <f>IF($B31=0,0, (INDEX(Option2!U$106:U$117, MATCH($D31, Option2!$G$106:$G$117,0)))*conv_2026*U$7)</f>
        <v>90788.940976320358</v>
      </c>
      <c r="V31" s="31">
        <f>IF($B31=0,0, (INDEX(Option2!V$106:V$117, MATCH($D31, Option2!$G$106:$G$117,0)))*conv_2026*V$7)</f>
        <v>90788.940976320358</v>
      </c>
      <c r="W31" s="31">
        <f>IF($B31=0,0, (INDEX(Option2!W$106:W$117, MATCH($D31, Option2!$G$106:$G$117,0)))*conv_2026*W$7)</f>
        <v>90788.940976320358</v>
      </c>
      <c r="X31" s="31">
        <f>IF($B31=0,0, (INDEX(Option2!X$106:X$117, MATCH($D31, Option2!$G$106:$G$117,0)))*conv_2026*X$7)</f>
        <v>90788.940976320358</v>
      </c>
      <c r="Y31" s="31">
        <f>IF($B31=0,0, (INDEX(Option2!Y$106:Y$117, MATCH($D31, Option2!$G$106:$G$117,0)))*conv_2026*Y$7)</f>
        <v>90788.940976320358</v>
      </c>
      <c r="Z31" s="31">
        <f>IF($B31=0,0, (INDEX(Option2!Z$106:Z$117, MATCH($D31, Option2!$G$106:$G$117,0)))*conv_2026*Z$7)</f>
        <v>90788.940976320358</v>
      </c>
      <c r="AA31" s="31">
        <f>IF($B31=0,0, (INDEX(Option2!AA$106:AA$117, MATCH($D31, Option2!$G$106:$G$117,0)))*conv_2026*AA$7)</f>
        <v>90788.940976320358</v>
      </c>
      <c r="AB31" s="31">
        <f>IF($B31=0,0, (INDEX(Option2!AB$106:AB$117, MATCH($D31, Option2!$G$106:$G$117,0)))*conv_2026*AB$7)</f>
        <v>90788.940976320358</v>
      </c>
      <c r="AC31" s="31">
        <f>IF($B31=0,0, (INDEX(Option2!AC$106:AC$117, MATCH($D31, Option2!$G$106:$G$117,0)))*conv_2026*AC$7)</f>
        <v>0</v>
      </c>
      <c r="AD31" s="31">
        <f>IF($B31=0,0, (INDEX(Option2!AD$106:AD$117, MATCH($D31, Option2!$G$106:$G$117,0)))*conv_2026*AD$7)</f>
        <v>0</v>
      </c>
      <c r="AE31" s="31">
        <f>IF($B31=0,0, (INDEX(Option2!AE$106:AE$117, MATCH($D31, Option2!$G$106:$G$117,0)))*conv_2026*AE$7)</f>
        <v>0</v>
      </c>
      <c r="AF31" s="31">
        <f>IF($B31=0,0, (INDEX(Option2!AF$106:AF$117, MATCH($D31, Option2!$G$106:$G$117,0)))*conv_2026*AF$7)</f>
        <v>0</v>
      </c>
      <c r="AG31" s="31">
        <f>IF($B31=0,0, (INDEX(Option2!AG$106:AG$117, MATCH($D31, Option2!$G$106:$G$117,0)))*conv_2026*AG$7)</f>
        <v>0</v>
      </c>
    </row>
    <row r="32" spans="1:35" s="8" customFormat="1" x14ac:dyDescent="0.2">
      <c r="A32" s="253" t="s">
        <v>131</v>
      </c>
      <c r="B32" s="253" t="str">
        <f>Option2!A112</f>
        <v>sens3</v>
      </c>
      <c r="C32" s="253" t="str">
        <f>Option2!C112</f>
        <v>Total benefits 10% higher</v>
      </c>
      <c r="D32" s="253" t="str">
        <f t="shared" si="2"/>
        <v>Option 2sens3</v>
      </c>
      <c r="E32" s="254"/>
      <c r="F32" s="31">
        <f t="shared" si="3"/>
        <v>1661017.1942833511</v>
      </c>
      <c r="H32" s="31">
        <f>IF($B32=0,0, (INDEX(Option2!H$106:H$117, MATCH($D32, Option2!$G$106:$G$117,0)))*conv_2026*H$7)</f>
        <v>0</v>
      </c>
      <c r="I32" s="31">
        <f>IF($B32=0,0, (INDEX(Option2!I$106:I$117, MATCH($D32, Option2!$G$106:$G$117,0)))*conv_2026*I$7)</f>
        <v>209282.38028396576</v>
      </c>
      <c r="J32" s="31">
        <f>IF($B32=0,0, (INDEX(Option2!J$106:J$117, MATCH($D32, Option2!$G$106:$G$117,0)))*conv_2026*J$7)</f>
        <v>257606.71738915308</v>
      </c>
      <c r="K32" s="31">
        <f>IF($B32=0,0, (INDEX(Option2!K$106:K$117, MATCH($D32, Option2!$G$106:$G$117,0)))*conv_2026*K$7)</f>
        <v>96648.674210376877</v>
      </c>
      <c r="L32" s="31">
        <f>IF($B32=0,0, (INDEX(Option2!L$106:L$117, MATCH($D32, Option2!$G$106:$G$117,0)))*conv_2026*L$7)</f>
        <v>96648.674210376877</v>
      </c>
      <c r="M32" s="31">
        <f>IF($B32=0,0, (INDEX(Option2!M$106:M$117, MATCH($D32, Option2!$G$106:$G$117,0)))*conv_2026*M$7)</f>
        <v>96648.674210376877</v>
      </c>
      <c r="N32" s="31">
        <f>IF($B32=0,0, (INDEX(Option2!N$106:N$117, MATCH($D32, Option2!$G$106:$G$117,0)))*conv_2026*N$7)</f>
        <v>96648.674210376877</v>
      </c>
      <c r="O32" s="31">
        <f>IF($B32=0,0, (INDEX(Option2!O$106:O$117, MATCH($D32, Option2!$G$106:$G$117,0)))*conv_2026*O$7)</f>
        <v>96648.674210376877</v>
      </c>
      <c r="P32" s="31">
        <f>IF($B32=0,0, (INDEX(Option2!P$106:P$117, MATCH($D32, Option2!$G$106:$G$117,0)))*conv_2026*P$7)</f>
        <v>96648.674210376877</v>
      </c>
      <c r="Q32" s="31">
        <f>IF($B32=0,0, (INDEX(Option2!Q$106:Q$117, MATCH($D32, Option2!$G$106:$G$117,0)))*conv_2026*Q$7)</f>
        <v>96648.674210376877</v>
      </c>
      <c r="R32" s="31">
        <f>IF($B32=0,0, (INDEX(Option2!R$106:R$117, MATCH($D32, Option2!$G$106:$G$117,0)))*conv_2026*R$7)</f>
        <v>96648.674210376877</v>
      </c>
      <c r="S32" s="31">
        <f>IF($B32=0,0, (INDEX(Option2!S$106:S$117, MATCH($D32, Option2!$G$106:$G$117,0)))*conv_2026*S$7)</f>
        <v>96648.674210376877</v>
      </c>
      <c r="T32" s="31">
        <f>IF($B32=0,0, (INDEX(Option2!T$106:T$117, MATCH($D32, Option2!$G$106:$G$117,0)))*conv_2026*T$7)</f>
        <v>96648.674210376877</v>
      </c>
      <c r="U32" s="31">
        <f>IF($B32=0,0, (INDEX(Option2!U$106:U$117, MATCH($D32, Option2!$G$106:$G$117,0)))*conv_2026*U$7)</f>
        <v>96648.674210376877</v>
      </c>
      <c r="V32" s="31">
        <f>IF($B32=0,0, (INDEX(Option2!V$106:V$117, MATCH($D32, Option2!$G$106:$G$117,0)))*conv_2026*V$7)</f>
        <v>96648.674210376877</v>
      </c>
      <c r="W32" s="31">
        <f>IF($B32=0,0, (INDEX(Option2!W$106:W$117, MATCH($D32, Option2!$G$106:$G$117,0)))*conv_2026*W$7)</f>
        <v>96648.674210376877</v>
      </c>
      <c r="X32" s="31">
        <f>IF($B32=0,0, (INDEX(Option2!X$106:X$117, MATCH($D32, Option2!$G$106:$G$117,0)))*conv_2026*X$7)</f>
        <v>96648.674210376877</v>
      </c>
      <c r="Y32" s="31">
        <f>IF($B32=0,0, (INDEX(Option2!Y$106:Y$117, MATCH($D32, Option2!$G$106:$G$117,0)))*conv_2026*Y$7)</f>
        <v>96648.674210376877</v>
      </c>
      <c r="Z32" s="31">
        <f>IF($B32=0,0, (INDEX(Option2!Z$106:Z$117, MATCH($D32, Option2!$G$106:$G$117,0)))*conv_2026*Z$7)</f>
        <v>96648.674210376877</v>
      </c>
      <c r="AA32" s="31">
        <f>IF($B32=0,0, (INDEX(Option2!AA$106:AA$117, MATCH($D32, Option2!$G$106:$G$117,0)))*conv_2026*AA$7)</f>
        <v>96648.674210376877</v>
      </c>
      <c r="AB32" s="31">
        <f>IF($B32=0,0, (INDEX(Option2!AB$106:AB$117, MATCH($D32, Option2!$G$106:$G$117,0)))*conv_2026*AB$7)</f>
        <v>96648.674210376877</v>
      </c>
      <c r="AC32" s="31">
        <f>IF($B32=0,0, (INDEX(Option2!AC$106:AC$117, MATCH($D32, Option2!$G$106:$G$117,0)))*conv_2026*AC$7)</f>
        <v>0</v>
      </c>
      <c r="AD32" s="31">
        <f>IF($B32=0,0, (INDEX(Option2!AD$106:AD$117, MATCH($D32, Option2!$G$106:$G$117,0)))*conv_2026*AD$7)</f>
        <v>0</v>
      </c>
      <c r="AE32" s="31">
        <f>IF($B32=0,0, (INDEX(Option2!AE$106:AE$117, MATCH($D32, Option2!$G$106:$G$117,0)))*conv_2026*AE$7)</f>
        <v>0</v>
      </c>
      <c r="AF32" s="31">
        <f>IF($B32=0,0, (INDEX(Option2!AF$106:AF$117, MATCH($D32, Option2!$G$106:$G$117,0)))*conv_2026*AF$7)</f>
        <v>0</v>
      </c>
      <c r="AG32" s="31">
        <f>IF($B32=0,0, (INDEX(Option2!AG$106:AG$117, MATCH($D32, Option2!$G$106:$G$117,0)))*conv_2026*AG$7)</f>
        <v>0</v>
      </c>
    </row>
    <row r="33" spans="1:35" s="8" customFormat="1" x14ac:dyDescent="0.2">
      <c r="A33" s="253" t="s">
        <v>131</v>
      </c>
      <c r="B33" s="253" t="str">
        <f>Option2!A113</f>
        <v>sens4</v>
      </c>
      <c r="C33" s="253" t="str">
        <f>Option2!C113</f>
        <v>Total benefits 10% lower</v>
      </c>
      <c r="D33" s="253" t="str">
        <f t="shared" si="2"/>
        <v>Option 2sens4</v>
      </c>
      <c r="E33" s="254"/>
      <c r="F33" s="31">
        <f t="shared" si="3"/>
        <v>598052.33740021638</v>
      </c>
      <c r="H33" s="31">
        <f>IF($B33=0,0, (INDEX(Option2!H$106:H$117, MATCH($D33, Option2!$G$106:$G$117,0)))*conv_2026*H$7)</f>
        <v>0</v>
      </c>
      <c r="I33" s="31">
        <f>IF($B33=0,0, (INDEX(Option2!I$106:I$117, MATCH($D33, Option2!$G$106:$G$117,0)))*conv_2026*I$7)</f>
        <v>171231.03841415379</v>
      </c>
      <c r="J33" s="31">
        <f>IF($B33=0,0, (INDEX(Option2!J$106:J$117, MATCH($D33, Option2!$G$106:$G$117,0)))*conv_2026*J$7)</f>
        <v>181504.03364952953</v>
      </c>
      <c r="K33" s="31">
        <f>IF($B33=0,0, (INDEX(Option2!K$106:K$117, MATCH($D33, Option2!$G$106:$G$117,0)))*conv_2026*K$7)</f>
        <v>20545.990470753364</v>
      </c>
      <c r="L33" s="31">
        <f>IF($B33=0,0, (INDEX(Option2!L$106:L$117, MATCH($D33, Option2!$G$106:$G$117,0)))*conv_2026*L$7)</f>
        <v>20545.990470753364</v>
      </c>
      <c r="M33" s="31">
        <f>IF($B33=0,0, (INDEX(Option2!M$106:M$117, MATCH($D33, Option2!$G$106:$G$117,0)))*conv_2026*M$7)</f>
        <v>20545.990470753364</v>
      </c>
      <c r="N33" s="31">
        <f>IF($B33=0,0, (INDEX(Option2!N$106:N$117, MATCH($D33, Option2!$G$106:$G$117,0)))*conv_2026*N$7)</f>
        <v>20545.990470753364</v>
      </c>
      <c r="O33" s="31">
        <f>IF($B33=0,0, (INDEX(Option2!O$106:O$117, MATCH($D33, Option2!$G$106:$G$117,0)))*conv_2026*O$7)</f>
        <v>20545.990470753364</v>
      </c>
      <c r="P33" s="31">
        <f>IF($B33=0,0, (INDEX(Option2!P$106:P$117, MATCH($D33, Option2!$G$106:$G$117,0)))*conv_2026*P$7)</f>
        <v>20545.990470753364</v>
      </c>
      <c r="Q33" s="31">
        <f>IF($B33=0,0, (INDEX(Option2!Q$106:Q$117, MATCH($D33, Option2!$G$106:$G$117,0)))*conv_2026*Q$7)</f>
        <v>20545.990470753364</v>
      </c>
      <c r="R33" s="31">
        <f>IF($B33=0,0, (INDEX(Option2!R$106:R$117, MATCH($D33, Option2!$G$106:$G$117,0)))*conv_2026*R$7)</f>
        <v>20545.990470753364</v>
      </c>
      <c r="S33" s="31">
        <f>IF($B33=0,0, (INDEX(Option2!S$106:S$117, MATCH($D33, Option2!$G$106:$G$117,0)))*conv_2026*S$7)</f>
        <v>20545.990470753364</v>
      </c>
      <c r="T33" s="31">
        <f>IF($B33=0,0, (INDEX(Option2!T$106:T$117, MATCH($D33, Option2!$G$106:$G$117,0)))*conv_2026*T$7)</f>
        <v>20545.990470753364</v>
      </c>
      <c r="U33" s="31">
        <f>IF($B33=0,0, (INDEX(Option2!U$106:U$117, MATCH($D33, Option2!$G$106:$G$117,0)))*conv_2026*U$7)</f>
        <v>20545.990470753364</v>
      </c>
      <c r="V33" s="31">
        <f>IF($B33=0,0, (INDEX(Option2!V$106:V$117, MATCH($D33, Option2!$G$106:$G$117,0)))*conv_2026*V$7)</f>
        <v>20545.990470753364</v>
      </c>
      <c r="W33" s="31">
        <f>IF($B33=0,0, (INDEX(Option2!W$106:W$117, MATCH($D33, Option2!$G$106:$G$117,0)))*conv_2026*W$7)</f>
        <v>20545.990470753364</v>
      </c>
      <c r="X33" s="31">
        <f>IF($B33=0,0, (INDEX(Option2!X$106:X$117, MATCH($D33, Option2!$G$106:$G$117,0)))*conv_2026*X$7)</f>
        <v>20545.990470753364</v>
      </c>
      <c r="Y33" s="31">
        <f>IF($B33=0,0, (INDEX(Option2!Y$106:Y$117, MATCH($D33, Option2!$G$106:$G$117,0)))*conv_2026*Y$7)</f>
        <v>20545.990470753364</v>
      </c>
      <c r="Z33" s="31">
        <f>IF($B33=0,0, (INDEX(Option2!Z$106:Z$117, MATCH($D33, Option2!$G$106:$G$117,0)))*conv_2026*Z$7)</f>
        <v>20545.990470753364</v>
      </c>
      <c r="AA33" s="31">
        <f>IF($B33=0,0, (INDEX(Option2!AA$106:AA$117, MATCH($D33, Option2!$G$106:$G$117,0)))*conv_2026*AA$7)</f>
        <v>20545.990470753364</v>
      </c>
      <c r="AB33" s="31">
        <f>IF($B33=0,0, (INDEX(Option2!AB$106:AB$117, MATCH($D33, Option2!$G$106:$G$117,0)))*conv_2026*AB$7)</f>
        <v>20545.990470753364</v>
      </c>
      <c r="AC33" s="31">
        <f>IF($B33=0,0, (INDEX(Option2!AC$106:AC$117, MATCH($D33, Option2!$G$106:$G$117,0)))*conv_2026*AC$7)</f>
        <v>0</v>
      </c>
      <c r="AD33" s="31">
        <f>IF($B33=0,0, (INDEX(Option2!AD$106:AD$117, MATCH($D33, Option2!$G$106:$G$117,0)))*conv_2026*AD$7)</f>
        <v>0</v>
      </c>
      <c r="AE33" s="31">
        <f>IF($B33=0,0, (INDEX(Option2!AE$106:AE$117, MATCH($D33, Option2!$G$106:$G$117,0)))*conv_2026*AE$7)</f>
        <v>0</v>
      </c>
      <c r="AF33" s="31">
        <f>IF($B33=0,0, (INDEX(Option2!AF$106:AF$117, MATCH($D33, Option2!$G$106:$G$117,0)))*conv_2026*AF$7)</f>
        <v>0</v>
      </c>
      <c r="AG33" s="31">
        <f>IF($B33=0,0, (INDEX(Option2!AG$106:AG$117, MATCH($D33, Option2!$G$106:$G$117,0)))*conv_2026*AG$7)</f>
        <v>0</v>
      </c>
    </row>
    <row r="34" spans="1:35" s="8" customFormat="1" x14ac:dyDescent="0.2">
      <c r="A34" s="253" t="s">
        <v>131</v>
      </c>
      <c r="B34" s="253" t="str">
        <f>Option2!A114</f>
        <v>sens5</v>
      </c>
      <c r="C34" s="253" t="str">
        <f>Option2!C114</f>
        <v>Capex 10% higher &amp; Total benefits 10% lower</v>
      </c>
      <c r="D34" s="253" t="str">
        <f t="shared" si="2"/>
        <v>Option 2sens5</v>
      </c>
      <c r="E34" s="254"/>
      <c r="F34" s="31">
        <f t="shared" si="3"/>
        <v>179523.38554282754</v>
      </c>
      <c r="H34" s="31">
        <f>IF($B34=0,0, (INDEX(Option2!H$106:H$117, MATCH($D34, Option2!$G$106:$G$117,0)))*conv_2026*H$7)</f>
        <v>0</v>
      </c>
      <c r="I34" s="31">
        <f>IF($B34=0,0, (INDEX(Option2!I$106:I$117, MATCH($D34, Option2!$G$106:$G$117,0)))*conv_2026*I$7)</f>
        <v>171231.03841415379</v>
      </c>
      <c r="J34" s="31">
        <f>IF($B34=0,0, (INDEX(Option2!J$106:J$117, MATCH($D34, Option2!$G$106:$G$117,0)))*conv_2026*J$7)</f>
        <v>165408.22933165194</v>
      </c>
      <c r="K34" s="31">
        <f>IF($B34=0,0, (INDEX(Option2!K$106:K$117, MATCH($D34, Option2!$G$106:$G$117,0)))*conv_2026*K$7)</f>
        <v>-11645.618165001873</v>
      </c>
      <c r="L34" s="31">
        <f>IF($B34=0,0, (INDEX(Option2!L$106:L$117, MATCH($D34, Option2!$G$106:$G$117,0)))*conv_2026*L$7)</f>
        <v>-11645.618165001873</v>
      </c>
      <c r="M34" s="31">
        <f>IF($B34=0,0, (INDEX(Option2!M$106:M$117, MATCH($D34, Option2!$G$106:$G$117,0)))*conv_2026*M$7)</f>
        <v>-11645.618165001873</v>
      </c>
      <c r="N34" s="31">
        <f>IF($B34=0,0, (INDEX(Option2!N$106:N$117, MATCH($D34, Option2!$G$106:$G$117,0)))*conv_2026*N$7)</f>
        <v>-11645.618165001873</v>
      </c>
      <c r="O34" s="31">
        <f>IF($B34=0,0, (INDEX(Option2!O$106:O$117, MATCH($D34, Option2!$G$106:$G$117,0)))*conv_2026*O$7)</f>
        <v>-11645.618165001873</v>
      </c>
      <c r="P34" s="31">
        <f>IF($B34=0,0, (INDEX(Option2!P$106:P$117, MATCH($D34, Option2!$G$106:$G$117,0)))*conv_2026*P$7)</f>
        <v>-11645.618165001873</v>
      </c>
      <c r="Q34" s="31">
        <f>IF($B34=0,0, (INDEX(Option2!Q$106:Q$117, MATCH($D34, Option2!$G$106:$G$117,0)))*conv_2026*Q$7)</f>
        <v>-11645.618165001873</v>
      </c>
      <c r="R34" s="31">
        <f>IF($B34=0,0, (INDEX(Option2!R$106:R$117, MATCH($D34, Option2!$G$106:$G$117,0)))*conv_2026*R$7)</f>
        <v>-11645.618165001873</v>
      </c>
      <c r="S34" s="31">
        <f>IF($B34=0,0, (INDEX(Option2!S$106:S$117, MATCH($D34, Option2!$G$106:$G$117,0)))*conv_2026*S$7)</f>
        <v>-11645.618165001873</v>
      </c>
      <c r="T34" s="31">
        <f>IF($B34=0,0, (INDEX(Option2!T$106:T$117, MATCH($D34, Option2!$G$106:$G$117,0)))*conv_2026*T$7)</f>
        <v>-11645.618165001873</v>
      </c>
      <c r="U34" s="31">
        <f>IF($B34=0,0, (INDEX(Option2!U$106:U$117, MATCH($D34, Option2!$G$106:$G$117,0)))*conv_2026*U$7)</f>
        <v>-11645.618165001873</v>
      </c>
      <c r="V34" s="31">
        <f>IF($B34=0,0, (INDEX(Option2!V$106:V$117, MATCH($D34, Option2!$G$106:$G$117,0)))*conv_2026*V$7)</f>
        <v>-11645.618165001873</v>
      </c>
      <c r="W34" s="31">
        <f>IF($B34=0,0, (INDEX(Option2!W$106:W$117, MATCH($D34, Option2!$G$106:$G$117,0)))*conv_2026*W$7)</f>
        <v>-11645.618165001873</v>
      </c>
      <c r="X34" s="31">
        <f>IF($B34=0,0, (INDEX(Option2!X$106:X$117, MATCH($D34, Option2!$G$106:$G$117,0)))*conv_2026*X$7)</f>
        <v>-11645.618165001873</v>
      </c>
      <c r="Y34" s="31">
        <f>IF($B34=0,0, (INDEX(Option2!Y$106:Y$117, MATCH($D34, Option2!$G$106:$G$117,0)))*conv_2026*Y$7)</f>
        <v>-11645.618165001873</v>
      </c>
      <c r="Z34" s="31">
        <f>IF($B34=0,0, (INDEX(Option2!Z$106:Z$117, MATCH($D34, Option2!$G$106:$G$117,0)))*conv_2026*Z$7)</f>
        <v>-11645.618165001873</v>
      </c>
      <c r="AA34" s="31">
        <f>IF($B34=0,0, (INDEX(Option2!AA$106:AA$117, MATCH($D34, Option2!$G$106:$G$117,0)))*conv_2026*AA$7)</f>
        <v>-11645.618165001873</v>
      </c>
      <c r="AB34" s="31">
        <f>IF($B34=0,0, (INDEX(Option2!AB$106:AB$117, MATCH($D34, Option2!$G$106:$G$117,0)))*conv_2026*AB$7)</f>
        <v>-11645.618165001873</v>
      </c>
      <c r="AC34" s="31">
        <f>IF($B34=0,0, (INDEX(Option2!AC$106:AC$117, MATCH($D34, Option2!$G$106:$G$117,0)))*conv_2026*AC$7)</f>
        <v>0</v>
      </c>
      <c r="AD34" s="31">
        <f>IF($B34=0,0, (INDEX(Option2!AD$106:AD$117, MATCH($D34, Option2!$G$106:$G$117,0)))*conv_2026*AD$7)</f>
        <v>0</v>
      </c>
      <c r="AE34" s="31">
        <f>IF($B34=0,0, (INDEX(Option2!AE$106:AE$117, MATCH($D34, Option2!$G$106:$G$117,0)))*conv_2026*AE$7)</f>
        <v>0</v>
      </c>
      <c r="AF34" s="31">
        <f>IF($B34=0,0, (INDEX(Option2!AF$106:AF$117, MATCH($D34, Option2!$G$106:$G$117,0)))*conv_2026*AF$7)</f>
        <v>0</v>
      </c>
      <c r="AG34" s="31">
        <f>IF($B34=0,0, (INDEX(Option2!AG$106:AG$117, MATCH($D34, Option2!$G$106:$G$117,0)))*conv_2026*AG$7)</f>
        <v>0</v>
      </c>
    </row>
    <row r="35" spans="1:35" s="8" customFormat="1" x14ac:dyDescent="0.2">
      <c r="A35" s="253" t="s">
        <v>131</v>
      </c>
      <c r="B35" s="253" t="str">
        <f>Option2!A115</f>
        <v>sens</v>
      </c>
      <c r="C35" s="253">
        <f>Option2!C115</f>
        <v>0</v>
      </c>
      <c r="D35" s="253" t="str">
        <f t="shared" si="2"/>
        <v>Option 2sens</v>
      </c>
      <c r="E35" s="254"/>
      <c r="F35" s="31">
        <f t="shared" si="3"/>
        <v>1129534.7658417835</v>
      </c>
      <c r="H35" s="31">
        <f>IF($B35=0,0, (INDEX(Option2!H$106:H$117, MATCH($D35, Option2!$G$106:$G$117,0)))*conv_2026*H$7)</f>
        <v>0</v>
      </c>
      <c r="I35" s="31">
        <f>IF($B35=0,0, (INDEX(Option2!I$106:I$117, MATCH($D35, Option2!$G$106:$G$117,0)))*conv_2026*I$7)</f>
        <v>190256.70934905979</v>
      </c>
      <c r="J35" s="31">
        <f>IF($B35=0,0, (INDEX(Option2!J$106:J$117, MATCH($D35, Option2!$G$106:$G$117,0)))*conv_2026*J$7)</f>
        <v>219555.37551934132</v>
      </c>
      <c r="K35" s="31">
        <f>IF($B35=0,0, (INDEX(Option2!K$106:K$117, MATCH($D35, Option2!$G$106:$G$117,0)))*conv_2026*K$7)</f>
        <v>58597.332340565117</v>
      </c>
      <c r="L35" s="31">
        <f>IF($B35=0,0, (INDEX(Option2!L$106:L$117, MATCH($D35, Option2!$G$106:$G$117,0)))*conv_2026*L$7)</f>
        <v>58597.332340565117</v>
      </c>
      <c r="M35" s="31">
        <f>IF($B35=0,0, (INDEX(Option2!M$106:M$117, MATCH($D35, Option2!$G$106:$G$117,0)))*conv_2026*M$7)</f>
        <v>58597.332340565117</v>
      </c>
      <c r="N35" s="31">
        <f>IF($B35=0,0, (INDEX(Option2!N$106:N$117, MATCH($D35, Option2!$G$106:$G$117,0)))*conv_2026*N$7)</f>
        <v>58597.332340565117</v>
      </c>
      <c r="O35" s="31">
        <f>IF($B35=0,0, (INDEX(Option2!O$106:O$117, MATCH($D35, Option2!$G$106:$G$117,0)))*conv_2026*O$7)</f>
        <v>58597.332340565117</v>
      </c>
      <c r="P35" s="31">
        <f>IF($B35=0,0, (INDEX(Option2!P$106:P$117, MATCH($D35, Option2!$G$106:$G$117,0)))*conv_2026*P$7)</f>
        <v>58597.332340565117</v>
      </c>
      <c r="Q35" s="31">
        <f>IF($B35=0,0, (INDEX(Option2!Q$106:Q$117, MATCH($D35, Option2!$G$106:$G$117,0)))*conv_2026*Q$7)</f>
        <v>58597.332340565117</v>
      </c>
      <c r="R35" s="31">
        <f>IF($B35=0,0, (INDEX(Option2!R$106:R$117, MATCH($D35, Option2!$G$106:$G$117,0)))*conv_2026*R$7)</f>
        <v>58597.332340565117</v>
      </c>
      <c r="S35" s="31">
        <f>IF($B35=0,0, (INDEX(Option2!S$106:S$117, MATCH($D35, Option2!$G$106:$G$117,0)))*conv_2026*S$7)</f>
        <v>58597.332340565117</v>
      </c>
      <c r="T35" s="31">
        <f>IF($B35=0,0, (INDEX(Option2!T$106:T$117, MATCH($D35, Option2!$G$106:$G$117,0)))*conv_2026*T$7)</f>
        <v>58597.332340565117</v>
      </c>
      <c r="U35" s="31">
        <f>IF($B35=0,0, (INDEX(Option2!U$106:U$117, MATCH($D35, Option2!$G$106:$G$117,0)))*conv_2026*U$7)</f>
        <v>58597.332340565117</v>
      </c>
      <c r="V35" s="31">
        <f>IF($B35=0,0, (INDEX(Option2!V$106:V$117, MATCH($D35, Option2!$G$106:$G$117,0)))*conv_2026*V$7)</f>
        <v>58597.332340565117</v>
      </c>
      <c r="W35" s="31">
        <f>IF($B35=0,0, (INDEX(Option2!W$106:W$117, MATCH($D35, Option2!$G$106:$G$117,0)))*conv_2026*W$7)</f>
        <v>58597.332340565117</v>
      </c>
      <c r="X35" s="31">
        <f>IF($B35=0,0, (INDEX(Option2!X$106:X$117, MATCH($D35, Option2!$G$106:$G$117,0)))*conv_2026*X$7)</f>
        <v>58597.332340565117</v>
      </c>
      <c r="Y35" s="31">
        <f>IF($B35=0,0, (INDEX(Option2!Y$106:Y$117, MATCH($D35, Option2!$G$106:$G$117,0)))*conv_2026*Y$7)</f>
        <v>58597.332340565117</v>
      </c>
      <c r="Z35" s="31">
        <f>IF($B35=0,0, (INDEX(Option2!Z$106:Z$117, MATCH($D35, Option2!$G$106:$G$117,0)))*conv_2026*Z$7)</f>
        <v>58597.332340565117</v>
      </c>
      <c r="AA35" s="31">
        <f>IF($B35=0,0, (INDEX(Option2!AA$106:AA$117, MATCH($D35, Option2!$G$106:$G$117,0)))*conv_2026*AA$7)</f>
        <v>58597.332340565117</v>
      </c>
      <c r="AB35" s="31">
        <f>IF($B35=0,0, (INDEX(Option2!AB$106:AB$117, MATCH($D35, Option2!$G$106:$G$117,0)))*conv_2026*AB$7)</f>
        <v>58597.332340565117</v>
      </c>
      <c r="AC35" s="31">
        <f>IF($B35=0,0, (INDEX(Option2!AC$106:AC$117, MATCH($D35, Option2!$G$106:$G$117,0)))*conv_2026*AC$7)</f>
        <v>0</v>
      </c>
      <c r="AD35" s="31">
        <f>IF($B35=0,0, (INDEX(Option2!AD$106:AD$117, MATCH($D35, Option2!$G$106:$G$117,0)))*conv_2026*AD$7)</f>
        <v>0</v>
      </c>
      <c r="AE35" s="31">
        <f>IF($B35=0,0, (INDEX(Option2!AE$106:AE$117, MATCH($D35, Option2!$G$106:$G$117,0)))*conv_2026*AE$7)</f>
        <v>0</v>
      </c>
      <c r="AF35" s="31">
        <f>IF($B35=0,0, (INDEX(Option2!AF$106:AF$117, MATCH($D35, Option2!$G$106:$G$117,0)))*conv_2026*AF$7)</f>
        <v>0</v>
      </c>
      <c r="AG35" s="31">
        <f>IF($B35=0,0, (INDEX(Option2!AG$106:AG$117, MATCH($D35, Option2!$G$106:$G$117,0)))*conv_2026*AG$7)</f>
        <v>0</v>
      </c>
    </row>
    <row r="36" spans="1:35" s="8" customFormat="1" x14ac:dyDescent="0.2">
      <c r="A36" s="253" t="s">
        <v>131</v>
      </c>
      <c r="B36" s="253" t="str">
        <f>Option2!A116</f>
        <v>sens</v>
      </c>
      <c r="C36" s="253">
        <f>Option2!C116</f>
        <v>0</v>
      </c>
      <c r="D36" s="253" t="str">
        <f t="shared" si="2"/>
        <v>Option 2sens</v>
      </c>
      <c r="E36" s="254"/>
      <c r="F36" s="31">
        <f t="shared" si="3"/>
        <v>1129534.7658417835</v>
      </c>
      <c r="H36" s="31">
        <f>IF($B36=0,0, (INDEX(Option2!H$106:H$117, MATCH($D36, Option2!$G$106:$G$117,0)))*conv_2026*H$7)</f>
        <v>0</v>
      </c>
      <c r="I36" s="31">
        <f>IF($B36=0,0, (INDEX(Option2!I$106:I$117, MATCH($D36, Option2!$G$106:$G$117,0)))*conv_2026*I$7)</f>
        <v>190256.70934905979</v>
      </c>
      <c r="J36" s="31">
        <f>IF($B36=0,0, (INDEX(Option2!J$106:J$117, MATCH($D36, Option2!$G$106:$G$117,0)))*conv_2026*J$7)</f>
        <v>219555.37551934132</v>
      </c>
      <c r="K36" s="31">
        <f>IF($B36=0,0, (INDEX(Option2!K$106:K$117, MATCH($D36, Option2!$G$106:$G$117,0)))*conv_2026*K$7)</f>
        <v>58597.332340565117</v>
      </c>
      <c r="L36" s="31">
        <f>IF($B36=0,0, (INDEX(Option2!L$106:L$117, MATCH($D36, Option2!$G$106:$G$117,0)))*conv_2026*L$7)</f>
        <v>58597.332340565117</v>
      </c>
      <c r="M36" s="31">
        <f>IF($B36=0,0, (INDEX(Option2!M$106:M$117, MATCH($D36, Option2!$G$106:$G$117,0)))*conv_2026*M$7)</f>
        <v>58597.332340565117</v>
      </c>
      <c r="N36" s="31">
        <f>IF($B36=0,0, (INDEX(Option2!N$106:N$117, MATCH($D36, Option2!$G$106:$G$117,0)))*conv_2026*N$7)</f>
        <v>58597.332340565117</v>
      </c>
      <c r="O36" s="31">
        <f>IF($B36=0,0, (INDEX(Option2!O$106:O$117, MATCH($D36, Option2!$G$106:$G$117,0)))*conv_2026*O$7)</f>
        <v>58597.332340565117</v>
      </c>
      <c r="P36" s="31">
        <f>IF($B36=0,0, (INDEX(Option2!P$106:P$117, MATCH($D36, Option2!$G$106:$G$117,0)))*conv_2026*P$7)</f>
        <v>58597.332340565117</v>
      </c>
      <c r="Q36" s="31">
        <f>IF($B36=0,0, (INDEX(Option2!Q$106:Q$117, MATCH($D36, Option2!$G$106:$G$117,0)))*conv_2026*Q$7)</f>
        <v>58597.332340565117</v>
      </c>
      <c r="R36" s="31">
        <f>IF($B36=0,0, (INDEX(Option2!R$106:R$117, MATCH($D36, Option2!$G$106:$G$117,0)))*conv_2026*R$7)</f>
        <v>58597.332340565117</v>
      </c>
      <c r="S36" s="31">
        <f>IF($B36=0,0, (INDEX(Option2!S$106:S$117, MATCH($D36, Option2!$G$106:$G$117,0)))*conv_2026*S$7)</f>
        <v>58597.332340565117</v>
      </c>
      <c r="T36" s="31">
        <f>IF($B36=0,0, (INDEX(Option2!T$106:T$117, MATCH($D36, Option2!$G$106:$G$117,0)))*conv_2026*T$7)</f>
        <v>58597.332340565117</v>
      </c>
      <c r="U36" s="31">
        <f>IF($B36=0,0, (INDEX(Option2!U$106:U$117, MATCH($D36, Option2!$G$106:$G$117,0)))*conv_2026*U$7)</f>
        <v>58597.332340565117</v>
      </c>
      <c r="V36" s="31">
        <f>IF($B36=0,0, (INDEX(Option2!V$106:V$117, MATCH($D36, Option2!$G$106:$G$117,0)))*conv_2026*V$7)</f>
        <v>58597.332340565117</v>
      </c>
      <c r="W36" s="31">
        <f>IF($B36=0,0, (INDEX(Option2!W$106:W$117, MATCH($D36, Option2!$G$106:$G$117,0)))*conv_2026*W$7)</f>
        <v>58597.332340565117</v>
      </c>
      <c r="X36" s="31">
        <f>IF($B36=0,0, (INDEX(Option2!X$106:X$117, MATCH($D36, Option2!$G$106:$G$117,0)))*conv_2026*X$7)</f>
        <v>58597.332340565117</v>
      </c>
      <c r="Y36" s="31">
        <f>IF($B36=0,0, (INDEX(Option2!Y$106:Y$117, MATCH($D36, Option2!$G$106:$G$117,0)))*conv_2026*Y$7)</f>
        <v>58597.332340565117</v>
      </c>
      <c r="Z36" s="31">
        <f>IF($B36=0,0, (INDEX(Option2!Z$106:Z$117, MATCH($D36, Option2!$G$106:$G$117,0)))*conv_2026*Z$7)</f>
        <v>58597.332340565117</v>
      </c>
      <c r="AA36" s="31">
        <f>IF($B36=0,0, (INDEX(Option2!AA$106:AA$117, MATCH($D36, Option2!$G$106:$G$117,0)))*conv_2026*AA$7)</f>
        <v>58597.332340565117</v>
      </c>
      <c r="AB36" s="31">
        <f>IF($B36=0,0, (INDEX(Option2!AB$106:AB$117, MATCH($D36, Option2!$G$106:$G$117,0)))*conv_2026*AB$7)</f>
        <v>58597.332340565117</v>
      </c>
      <c r="AC36" s="31">
        <f>IF($B36=0,0, (INDEX(Option2!AC$106:AC$117, MATCH($D36, Option2!$G$106:$G$117,0)))*conv_2026*AC$7)</f>
        <v>0</v>
      </c>
      <c r="AD36" s="31">
        <f>IF($B36=0,0, (INDEX(Option2!AD$106:AD$117, MATCH($D36, Option2!$G$106:$G$117,0)))*conv_2026*AD$7)</f>
        <v>0</v>
      </c>
      <c r="AE36" s="31">
        <f>IF($B36=0,0, (INDEX(Option2!AE$106:AE$117, MATCH($D36, Option2!$G$106:$G$117,0)))*conv_2026*AE$7)</f>
        <v>0</v>
      </c>
      <c r="AF36" s="31">
        <f>IF($B36=0,0, (INDEX(Option2!AF$106:AF$117, MATCH($D36, Option2!$G$106:$G$117,0)))*conv_2026*AF$7)</f>
        <v>0</v>
      </c>
      <c r="AG36" s="31">
        <f>IF($B36=0,0, (INDEX(Option2!AG$106:AG$117, MATCH($D36, Option2!$G$106:$G$117,0)))*conv_2026*AG$7)</f>
        <v>0</v>
      </c>
    </row>
    <row r="37" spans="1:35" s="8" customFormat="1" x14ac:dyDescent="0.2">
      <c r="A37" s="253" t="s">
        <v>131</v>
      </c>
      <c r="B37" s="253" t="str">
        <f>Option2!A117</f>
        <v>sens</v>
      </c>
      <c r="C37" s="253">
        <f>Option2!C117</f>
        <v>0</v>
      </c>
      <c r="D37" s="253" t="str">
        <f t="shared" si="2"/>
        <v>Option 2sens</v>
      </c>
      <c r="E37" s="254"/>
      <c r="F37" s="31">
        <f t="shared" si="3"/>
        <v>1129534.7658417835</v>
      </c>
      <c r="H37" s="31">
        <f>IF($B37=0,0, (INDEX(Option2!H$106:H$117, MATCH($D37, Option2!$G$106:$G$117,0)))*conv_2026*H$7)</f>
        <v>0</v>
      </c>
      <c r="I37" s="31">
        <f>IF($B37=0,0, (INDEX(Option2!I$106:I$117, MATCH($D37, Option2!$G$106:$G$117,0)))*conv_2026*I$7)</f>
        <v>190256.70934905979</v>
      </c>
      <c r="J37" s="31">
        <f>IF($B37=0,0, (INDEX(Option2!J$106:J$117, MATCH($D37, Option2!$G$106:$G$117,0)))*conv_2026*J$7)</f>
        <v>219555.37551934132</v>
      </c>
      <c r="K37" s="31">
        <f>IF($B37=0,0, (INDEX(Option2!K$106:K$117, MATCH($D37, Option2!$G$106:$G$117,0)))*conv_2026*K$7)</f>
        <v>58597.332340565117</v>
      </c>
      <c r="L37" s="31">
        <f>IF($B37=0,0, (INDEX(Option2!L$106:L$117, MATCH($D37, Option2!$G$106:$G$117,0)))*conv_2026*L$7)</f>
        <v>58597.332340565117</v>
      </c>
      <c r="M37" s="31">
        <f>IF($B37=0,0, (INDEX(Option2!M$106:M$117, MATCH($D37, Option2!$G$106:$G$117,0)))*conv_2026*M$7)</f>
        <v>58597.332340565117</v>
      </c>
      <c r="N37" s="31">
        <f>IF($B37=0,0, (INDEX(Option2!N$106:N$117, MATCH($D37, Option2!$G$106:$G$117,0)))*conv_2026*N$7)</f>
        <v>58597.332340565117</v>
      </c>
      <c r="O37" s="31">
        <f>IF($B37=0,0, (INDEX(Option2!O$106:O$117, MATCH($D37, Option2!$G$106:$G$117,0)))*conv_2026*O$7)</f>
        <v>58597.332340565117</v>
      </c>
      <c r="P37" s="31">
        <f>IF($B37=0,0, (INDEX(Option2!P$106:P$117, MATCH($D37, Option2!$G$106:$G$117,0)))*conv_2026*P$7)</f>
        <v>58597.332340565117</v>
      </c>
      <c r="Q37" s="31">
        <f>IF($B37=0,0, (INDEX(Option2!Q$106:Q$117, MATCH($D37, Option2!$G$106:$G$117,0)))*conv_2026*Q$7)</f>
        <v>58597.332340565117</v>
      </c>
      <c r="R37" s="31">
        <f>IF($B37=0,0, (INDEX(Option2!R$106:R$117, MATCH($D37, Option2!$G$106:$G$117,0)))*conv_2026*R$7)</f>
        <v>58597.332340565117</v>
      </c>
      <c r="S37" s="31">
        <f>IF($B37=0,0, (INDEX(Option2!S$106:S$117, MATCH($D37, Option2!$G$106:$G$117,0)))*conv_2026*S$7)</f>
        <v>58597.332340565117</v>
      </c>
      <c r="T37" s="31">
        <f>IF($B37=0,0, (INDEX(Option2!T$106:T$117, MATCH($D37, Option2!$G$106:$G$117,0)))*conv_2026*T$7)</f>
        <v>58597.332340565117</v>
      </c>
      <c r="U37" s="31">
        <f>IF($B37=0,0, (INDEX(Option2!U$106:U$117, MATCH($D37, Option2!$G$106:$G$117,0)))*conv_2026*U$7)</f>
        <v>58597.332340565117</v>
      </c>
      <c r="V37" s="31">
        <f>IF($B37=0,0, (INDEX(Option2!V$106:V$117, MATCH($D37, Option2!$G$106:$G$117,0)))*conv_2026*V$7)</f>
        <v>58597.332340565117</v>
      </c>
      <c r="W37" s="31">
        <f>IF($B37=0,0, (INDEX(Option2!W$106:W$117, MATCH($D37, Option2!$G$106:$G$117,0)))*conv_2026*W$7)</f>
        <v>58597.332340565117</v>
      </c>
      <c r="X37" s="31">
        <f>IF($B37=0,0, (INDEX(Option2!X$106:X$117, MATCH($D37, Option2!$G$106:$G$117,0)))*conv_2026*X$7)</f>
        <v>58597.332340565117</v>
      </c>
      <c r="Y37" s="31">
        <f>IF($B37=0,0, (INDEX(Option2!Y$106:Y$117, MATCH($D37, Option2!$G$106:$G$117,0)))*conv_2026*Y$7)</f>
        <v>58597.332340565117</v>
      </c>
      <c r="Z37" s="31">
        <f>IF($B37=0,0, (INDEX(Option2!Z$106:Z$117, MATCH($D37, Option2!$G$106:$G$117,0)))*conv_2026*Z$7)</f>
        <v>58597.332340565117</v>
      </c>
      <c r="AA37" s="31">
        <f>IF($B37=0,0, (INDEX(Option2!AA$106:AA$117, MATCH($D37, Option2!$G$106:$G$117,0)))*conv_2026*AA$7)</f>
        <v>58597.332340565117</v>
      </c>
      <c r="AB37" s="31">
        <f>IF($B37=0,0, (INDEX(Option2!AB$106:AB$117, MATCH($D37, Option2!$G$106:$G$117,0)))*conv_2026*AB$7)</f>
        <v>58597.332340565117</v>
      </c>
      <c r="AC37" s="31">
        <f>IF($B37=0,0, (INDEX(Option2!AC$106:AC$117, MATCH($D37, Option2!$G$106:$G$117,0)))*conv_2026*AC$7)</f>
        <v>0</v>
      </c>
      <c r="AD37" s="31">
        <f>IF($B37=0,0, (INDEX(Option2!AD$106:AD$117, MATCH($D37, Option2!$G$106:$G$117,0)))*conv_2026*AD$7)</f>
        <v>0</v>
      </c>
      <c r="AE37" s="31">
        <f>IF($B37=0,0, (INDEX(Option2!AE$106:AE$117, MATCH($D37, Option2!$G$106:$G$117,0)))*conv_2026*AE$7)</f>
        <v>0</v>
      </c>
      <c r="AF37" s="31">
        <f>IF($B37=0,0, (INDEX(Option2!AF$106:AF$117, MATCH($D37, Option2!$G$106:$G$117,0)))*conv_2026*AF$7)</f>
        <v>0</v>
      </c>
      <c r="AG37" s="31">
        <f>IF($B37=0,0, (INDEX(Option2!AG$106:AG$117, MATCH($D37, Option2!$G$106:$G$117,0)))*conv_2026*AG$7)</f>
        <v>0</v>
      </c>
    </row>
    <row r="38" spans="1:35" s="8" customFormat="1" x14ac:dyDescent="0.2">
      <c r="A38" s="253"/>
      <c r="B38" s="253"/>
      <c r="C38" s="253"/>
      <c r="D38" s="253"/>
      <c r="E38" s="253"/>
      <c r="F38" s="31"/>
      <c r="H38" s="253"/>
      <c r="I38" s="253"/>
      <c r="J38" s="253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</row>
    <row r="39" spans="1:35" s="8" customFormat="1" x14ac:dyDescent="0.2">
      <c r="A39" s="253"/>
      <c r="B39" s="253"/>
      <c r="C39" s="253"/>
      <c r="D39" s="253"/>
      <c r="E39" s="253"/>
      <c r="F39" s="31"/>
      <c r="H39" s="253"/>
      <c r="I39" s="253"/>
      <c r="J39" s="253"/>
      <c r="K39" s="253"/>
      <c r="L39" s="253"/>
      <c r="M39" s="253"/>
      <c r="N39" s="253"/>
      <c r="O39" s="253"/>
      <c r="P39" s="253"/>
      <c r="Q39" s="253"/>
      <c r="R39" s="253"/>
      <c r="S39" s="253"/>
      <c r="T39" s="253"/>
      <c r="U39" s="253"/>
      <c r="V39" s="253"/>
      <c r="W39" s="253"/>
      <c r="X39" s="253"/>
      <c r="Y39" s="253"/>
      <c r="Z39" s="253"/>
      <c r="AA39" s="253"/>
      <c r="AB39" s="253"/>
      <c r="AC39" s="253"/>
      <c r="AD39" s="253"/>
      <c r="AE39" s="253"/>
      <c r="AF39" s="253"/>
      <c r="AG39" s="253"/>
    </row>
    <row r="40" spans="1:35" s="8" customFormat="1" x14ac:dyDescent="0.2">
      <c r="A40" s="253"/>
      <c r="B40" s="253"/>
      <c r="C40" s="253"/>
      <c r="D40" s="253"/>
      <c r="E40" s="253"/>
      <c r="F40" s="31"/>
      <c r="H40" s="31">
        <f>Consol!H50</f>
        <v>0</v>
      </c>
      <c r="I40" s="31">
        <f>Consol!I50</f>
        <v>905781.30581448635</v>
      </c>
      <c r="J40" s="31">
        <f>Consol!J50</f>
        <v>828743.25384712056</v>
      </c>
      <c r="K40" s="31">
        <f>Consol!K50</f>
        <v>751705.2018797528</v>
      </c>
      <c r="L40" s="31">
        <f>Consol!L50</f>
        <v>674667.14991238574</v>
      </c>
      <c r="M40" s="31">
        <f>Consol!M50</f>
        <v>597629.0979450196</v>
      </c>
      <c r="N40" s="31">
        <f>Consol!N50</f>
        <v>-5803487.0105620045</v>
      </c>
      <c r="O40" s="31">
        <f>Consol!O50</f>
        <v>-5803487.0105620045</v>
      </c>
      <c r="P40" s="31">
        <f>Consol!P50</f>
        <v>-5803487.0105620045</v>
      </c>
      <c r="Q40" s="31">
        <f>Consol!Q50</f>
        <v>-7080935.6164774708</v>
      </c>
      <c r="R40" s="31">
        <f>Consol!R50</f>
        <v>-7080935.6164774708</v>
      </c>
      <c r="S40" s="31">
        <f>Consol!S50</f>
        <v>-7080935.6164774708</v>
      </c>
      <c r="T40" s="31">
        <f>Consol!T50</f>
        <v>-7080935.6164774708</v>
      </c>
      <c r="U40" s="31">
        <f>Consol!U50</f>
        <v>-7080935.6164774708</v>
      </c>
      <c r="V40" s="31">
        <f>Consol!V50</f>
        <v>-5803487.0105620045</v>
      </c>
      <c r="W40" s="31">
        <f>Consol!W50</f>
        <v>-5803487.0105620045</v>
      </c>
      <c r="X40" s="31">
        <f>Consol!X50</f>
        <v>-5868464.4919675533</v>
      </c>
      <c r="Y40" s="31">
        <f>Consol!Y50</f>
        <v>-4707767.0898551531</v>
      </c>
      <c r="Z40" s="31">
        <f>Consol!Z50</f>
        <v>-3547069.6877427502</v>
      </c>
      <c r="AA40" s="31">
        <f>Consol!AA50</f>
        <v>-2386372.2856303505</v>
      </c>
      <c r="AB40" s="31">
        <f>Consol!AB50</f>
        <v>-1225674.8835179487</v>
      </c>
      <c r="AC40" s="31">
        <f>Consol!AC50</f>
        <v>0</v>
      </c>
      <c r="AD40" s="31">
        <f>Consol!AD50</f>
        <v>0</v>
      </c>
      <c r="AE40" s="31">
        <f>Consol!AE50</f>
        <v>0</v>
      </c>
      <c r="AF40" s="31">
        <f>Consol!AF50</f>
        <v>0</v>
      </c>
      <c r="AG40" s="31">
        <f>Consol!AG50</f>
        <v>0</v>
      </c>
    </row>
    <row r="41" spans="1:35" s="8" customFormat="1" x14ac:dyDescent="0.2">
      <c r="A41" s="253"/>
      <c r="B41" s="253"/>
      <c r="C41" s="253"/>
      <c r="D41" s="253"/>
      <c r="E41" s="253"/>
      <c r="F41" s="31"/>
      <c r="H41" s="253"/>
      <c r="I41" s="253"/>
      <c r="J41" s="253"/>
      <c r="K41" s="253"/>
      <c r="L41" s="253"/>
      <c r="M41" s="25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</row>
    <row r="42" spans="1:35" s="8" customFormat="1" x14ac:dyDescent="0.2">
      <c r="A42" s="253" t="s">
        <v>132</v>
      </c>
      <c r="B42" s="253" t="s">
        <v>119</v>
      </c>
      <c r="C42" s="253" t="s">
        <v>186</v>
      </c>
      <c r="D42" s="253" t="str">
        <f>A42&amp;B42</f>
        <v>Option 3NPV</v>
      </c>
      <c r="E42" s="254"/>
      <c r="F42" s="31">
        <f t="shared" ref="F42:F51" si="4">SUMPRODUCT($H42:$AG42, $H$5:$AG$5)</f>
        <v>-52266044.189016894</v>
      </c>
      <c r="G42" s="246"/>
      <c r="H42" s="31">
        <f>(INDEX(Option3!H$106:H$117, MATCH($D42, Option3!$G$106:$G$117,0)))*conv_2026*H$7</f>
        <v>0</v>
      </c>
      <c r="I42" s="31">
        <f>(INDEX(Option3!I$106:I$117, MATCH($D42, Option3!$G$106:$G$117,0)))*conv_2026*I$7</f>
        <v>905781.30581448635</v>
      </c>
      <c r="J42" s="31">
        <f>(INDEX(Option3!J$106:J$117, MATCH($D42, Option3!$G$106:$G$117,0)))*conv_2026*J$7</f>
        <v>828743.25384712056</v>
      </c>
      <c r="K42" s="31">
        <f>(INDEX(Option3!K$106:K$117, MATCH($D42, Option3!$G$106:$G$117,0)))*conv_2026*K$7</f>
        <v>751705.20187975268</v>
      </c>
      <c r="L42" s="31">
        <f>(INDEX(Option3!L$106:L$117, MATCH($D42, Option3!$G$106:$G$117,0)))*conv_2026*L$7</f>
        <v>674667.1499123855</v>
      </c>
      <c r="M42" s="31">
        <f>(INDEX(Option3!M$106:M$117, MATCH($D42, Option3!$G$106:$G$117,0)))*conv_2026*M$7</f>
        <v>597629.09794501972</v>
      </c>
      <c r="N42" s="31">
        <f>(INDEX(Option3!N$106:N$117, MATCH($D42, Option3!$G$106:$G$117,0)))*conv_2026*N$7</f>
        <v>-5803487.0105620027</v>
      </c>
      <c r="O42" s="31">
        <f>(INDEX(Option3!O$106:O$117, MATCH($D42, Option3!$G$106:$G$117,0)))*conv_2026*O$7</f>
        <v>-5803487.0105620027</v>
      </c>
      <c r="P42" s="31">
        <f>(INDEX(Option3!P$106:P$117, MATCH($D42, Option3!$G$106:$G$117,0)))*conv_2026*P$7</f>
        <v>-5803487.0105620027</v>
      </c>
      <c r="Q42" s="31">
        <f>(INDEX(Option3!Q$106:Q$117, MATCH($D42, Option3!$G$106:$G$117,0)))*conv_2026*Q$7</f>
        <v>-7080935.6164774708</v>
      </c>
      <c r="R42" s="31">
        <f>(INDEX(Option3!R$106:R$117, MATCH($D42, Option3!$G$106:$G$117,0)))*conv_2026*R$7</f>
        <v>-7080935.6164774708</v>
      </c>
      <c r="S42" s="31">
        <f>(INDEX(Option3!S$106:S$117, MATCH($D42, Option3!$G$106:$G$117,0)))*conv_2026*S$7</f>
        <v>-7080935.6164774708</v>
      </c>
      <c r="T42" s="31">
        <f>(INDEX(Option3!T$106:T$117, MATCH($D42, Option3!$G$106:$G$117,0)))*conv_2026*T$7</f>
        <v>-7080935.6164774708</v>
      </c>
      <c r="U42" s="31">
        <f>(INDEX(Option3!U$106:U$117, MATCH($D42, Option3!$G$106:$G$117,0)))*conv_2026*U$7</f>
        <v>-7080935.6164774708</v>
      </c>
      <c r="V42" s="31">
        <f>(INDEX(Option3!V$106:V$117, MATCH($D42, Option3!$G$106:$G$117,0)))*conv_2026*V$7</f>
        <v>-5803487.0105620027</v>
      </c>
      <c r="W42" s="31">
        <f>(INDEX(Option3!W$106:W$117, MATCH($D42, Option3!$G$106:$G$117,0)))*conv_2026*W$7</f>
        <v>-5803487.0105620027</v>
      </c>
      <c r="X42" s="31">
        <f>(INDEX(Option3!X$106:X$117, MATCH($D42, Option3!$G$106:$G$117,0)))*conv_2026*X$7</f>
        <v>-5868464.4919675523</v>
      </c>
      <c r="Y42" s="31">
        <f>(INDEX(Option3!Y$106:Y$117, MATCH($D42, Option3!$G$106:$G$117,0)))*conv_2026*Y$7</f>
        <v>-4707767.0898551522</v>
      </c>
      <c r="Z42" s="31">
        <f>(INDEX(Option3!Z$106:Z$117, MATCH($D42, Option3!$G$106:$G$117,0)))*conv_2026*Z$7</f>
        <v>-3547069.6877427492</v>
      </c>
      <c r="AA42" s="31">
        <f>(INDEX(Option3!AA$106:AA$117, MATCH($D42, Option3!$G$106:$G$117,0)))*conv_2026*AA$7</f>
        <v>-2386372.2856303505</v>
      </c>
      <c r="AB42" s="31">
        <f>(INDEX(Option3!AB$106:AB$117, MATCH($D42, Option3!$G$106:$G$117,0)))*conv_2026*AB$7</f>
        <v>-1225674.8835179487</v>
      </c>
      <c r="AC42" s="31">
        <f>(INDEX(Option3!AC$106:AC$117, MATCH($D42, Option3!$G$106:$G$117,0)))*conv_2026*AC$7</f>
        <v>0</v>
      </c>
      <c r="AD42" s="31">
        <f>(INDEX(Option3!AD$106:AD$117, MATCH($D42, Option3!$G$106:$G$117,0)))*conv_2026*AD$7</f>
        <v>0</v>
      </c>
      <c r="AE42" s="31">
        <f>(INDEX(Option3!AE$106:AE$117, MATCH($D42, Option3!$G$106:$G$117,0)))*conv_2026*AE$7</f>
        <v>0</v>
      </c>
      <c r="AF42" s="31">
        <f>(INDEX(Option3!AF$106:AF$117, MATCH($D42, Option3!$G$106:$G$117,0)))*conv_2026*AF$7</f>
        <v>0</v>
      </c>
      <c r="AG42" s="31">
        <f>(INDEX(Option3!AG$106:AG$117, MATCH($D42, Option3!$G$106:$G$117,0)))*conv_2026*AG$7</f>
        <v>0</v>
      </c>
      <c r="AH42" s="7"/>
      <c r="AI42" s="7"/>
    </row>
    <row r="43" spans="1:35" s="8" customFormat="1" x14ac:dyDescent="0.2">
      <c r="A43" s="245"/>
      <c r="B43" s="245"/>
      <c r="C43" s="245"/>
      <c r="D43" s="245"/>
      <c r="E43" s="245"/>
      <c r="F43" s="245"/>
      <c r="G43" s="246"/>
      <c r="H43" s="246"/>
      <c r="I43" s="246"/>
      <c r="J43" s="246"/>
      <c r="K43" s="246"/>
      <c r="L43" s="246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  <c r="AG43" s="246"/>
      <c r="AH43" s="7"/>
      <c r="AI43" s="7"/>
    </row>
    <row r="44" spans="1:35" s="8" customFormat="1" x14ac:dyDescent="0.2">
      <c r="A44" s="253" t="s">
        <v>132</v>
      </c>
      <c r="B44" s="253" t="str">
        <f>Option3!A110</f>
        <v>sens1</v>
      </c>
      <c r="C44" s="253" t="str">
        <f>Option3!C110</f>
        <v>Capex 10% higher</v>
      </c>
      <c r="D44" s="253" t="str">
        <f t="shared" ref="D44:D51" si="5">A44&amp;B44</f>
        <v>Option 3sens1</v>
      </c>
      <c r="E44" s="254"/>
      <c r="F44" s="31">
        <f t="shared" si="4"/>
        <v>-58750344.422460511</v>
      </c>
      <c r="G44" s="246"/>
      <c r="H44" s="31">
        <f>(INDEX(Option3!H$106:H$117, MATCH($D44, Option3!$G$106:$G$117,0)))*conv_2026*H$7</f>
        <v>0</v>
      </c>
      <c r="I44" s="31">
        <f>(INDEX(Option3!I$106:I$117, MATCH($D44, Option3!$G$106:$G$117,0)))*conv_2026*I$7</f>
        <v>905781.30581448635</v>
      </c>
      <c r="J44" s="31">
        <f>(INDEX(Option3!J$106:J$117, MATCH($D44, Option3!$G$106:$G$117,0)))*conv_2026*J$7</f>
        <v>706175.76549532567</v>
      </c>
      <c r="K44" s="31">
        <f>(INDEX(Option3!K$106:K$117, MATCH($D44, Option3!$G$106:$G$117,0)))*conv_2026*K$7</f>
        <v>506570.22517616296</v>
      </c>
      <c r="L44" s="31">
        <f>(INDEX(Option3!L$106:L$117, MATCH($D44, Option3!$G$106:$G$117,0)))*conv_2026*L$7</f>
        <v>306964.68485700089</v>
      </c>
      <c r="M44" s="31">
        <f>(INDEX(Option3!M$106:M$117, MATCH($D44, Option3!$G$106:$G$117,0)))*conv_2026*M$7</f>
        <v>107359.14453784024</v>
      </c>
      <c r="N44" s="31">
        <f>(INDEX(Option3!N$106:N$117, MATCH($D44, Option3!$G$106:$G$117,0)))*conv_2026*N$7</f>
        <v>-6416324.4523209771</v>
      </c>
      <c r="O44" s="31">
        <f>(INDEX(Option3!O$106:O$117, MATCH($D44, Option3!$G$106:$G$117,0)))*conv_2026*O$7</f>
        <v>-6416324.4523209771</v>
      </c>
      <c r="P44" s="31">
        <f>(INDEX(Option3!P$106:P$117, MATCH($D44, Option3!$G$106:$G$117,0)))*conv_2026*P$7</f>
        <v>-6416324.4523209771</v>
      </c>
      <c r="Q44" s="31">
        <f>(INDEX(Option3!Q$106:Q$117, MATCH($D44, Option3!$G$106:$G$117,0)))*conv_2026*Q$7</f>
        <v>-7693773.0582364453</v>
      </c>
      <c r="R44" s="31">
        <f>(INDEX(Option3!R$106:R$117, MATCH($D44, Option3!$G$106:$G$117,0)))*conv_2026*R$7</f>
        <v>-7693773.0582364453</v>
      </c>
      <c r="S44" s="31">
        <f>(INDEX(Option3!S$106:S$117, MATCH($D44, Option3!$G$106:$G$117,0)))*conv_2026*S$7</f>
        <v>-7693773.0582364453</v>
      </c>
      <c r="T44" s="31">
        <f>(INDEX(Option3!T$106:T$117, MATCH($D44, Option3!$G$106:$G$117,0)))*conv_2026*T$7</f>
        <v>-7693773.0582364453</v>
      </c>
      <c r="U44" s="31">
        <f>(INDEX(Option3!U$106:U$117, MATCH($D44, Option3!$G$106:$G$117,0)))*conv_2026*U$7</f>
        <v>-7693773.0582364453</v>
      </c>
      <c r="V44" s="31">
        <f>(INDEX(Option3!V$106:V$117, MATCH($D44, Option3!$G$106:$G$117,0)))*conv_2026*V$7</f>
        <v>-6416324.4523209771</v>
      </c>
      <c r="W44" s="31">
        <f>(INDEX(Option3!W$106:W$117, MATCH($D44, Option3!$G$106:$G$117,0)))*conv_2026*W$7</f>
        <v>-6416324.4523209771</v>
      </c>
      <c r="X44" s="31">
        <f>(INDEX(Option3!X$106:X$117, MATCH($D44, Option3!$G$106:$G$117,0)))*conv_2026*X$7</f>
        <v>-6481301.9337265268</v>
      </c>
      <c r="Y44" s="31">
        <f>(INDEX(Option3!Y$106:Y$117, MATCH($D44, Option3!$G$106:$G$117,0)))*conv_2026*Y$7</f>
        <v>-5198037.0432623308</v>
      </c>
      <c r="Z44" s="31">
        <f>(INDEX(Option3!Z$106:Z$117, MATCH($D44, Option3!$G$106:$G$117,0)))*conv_2026*Z$7</f>
        <v>-3914772.1527981339</v>
      </c>
      <c r="AA44" s="31">
        <f>(INDEX(Option3!AA$106:AA$117, MATCH($D44, Option3!$G$106:$G$117,0)))*conv_2026*AA$7</f>
        <v>-2631507.2623339402</v>
      </c>
      <c r="AB44" s="31">
        <f>(INDEX(Option3!AB$106:AB$117, MATCH($D44, Option3!$G$106:$G$117,0)))*conv_2026*AB$7</f>
        <v>-1348242.3718697436</v>
      </c>
      <c r="AC44" s="31">
        <f>(INDEX(Option3!AC$106:AC$117, MATCH($D44, Option3!$G$106:$G$117,0)))*conv_2026*AC$7</f>
        <v>0</v>
      </c>
      <c r="AD44" s="31">
        <f>(INDEX(Option3!AD$106:AD$117, MATCH($D44, Option3!$G$106:$G$117,0)))*conv_2026*AD$7</f>
        <v>0</v>
      </c>
      <c r="AE44" s="31">
        <f>(INDEX(Option3!AE$106:AE$117, MATCH($D44, Option3!$G$106:$G$117,0)))*conv_2026*AE$7</f>
        <v>0</v>
      </c>
      <c r="AF44" s="31">
        <f>(INDEX(Option3!AF$106:AF$117, MATCH($D44, Option3!$G$106:$G$117,0)))*conv_2026*AF$7</f>
        <v>0</v>
      </c>
      <c r="AG44" s="31">
        <f>(INDEX(Option3!AG$106:AG$117, MATCH($D44, Option3!$G$106:$G$117,0)))*conv_2026*AG$7</f>
        <v>0</v>
      </c>
      <c r="AH44" s="7"/>
      <c r="AI44" s="7"/>
    </row>
    <row r="45" spans="1:35" s="8" customFormat="1" x14ac:dyDescent="0.2">
      <c r="A45" s="253" t="s">
        <v>132</v>
      </c>
      <c r="B45" s="253" t="str">
        <f>Option3!A111</f>
        <v>sens2</v>
      </c>
      <c r="C45" s="253" t="str">
        <f>Option3!C111</f>
        <v>Capex 10% lower</v>
      </c>
      <c r="D45" s="253" t="str">
        <f t="shared" si="5"/>
        <v>Option 3sens2</v>
      </c>
      <c r="E45" s="254"/>
      <c r="F45" s="31">
        <f t="shared" si="4"/>
        <v>-45781743.955573268</v>
      </c>
      <c r="G45" s="253"/>
      <c r="H45" s="31">
        <f>(INDEX(Option3!H$106:H$117, MATCH($D45, Option3!$G$106:$G$117,0)))*conv_2026*H$7</f>
        <v>0</v>
      </c>
      <c r="I45" s="31">
        <f>(INDEX(Option3!I$106:I$117, MATCH($D45, Option3!$G$106:$G$117,0)))*conv_2026*I$7</f>
        <v>905781.30581448635</v>
      </c>
      <c r="J45" s="31">
        <f>(INDEX(Option3!J$106:J$117, MATCH($D45, Option3!$G$106:$G$117,0)))*conv_2026*J$7</f>
        <v>951310.74219891534</v>
      </c>
      <c r="K45" s="31">
        <f>(INDEX(Option3!K$106:K$117, MATCH($D45, Option3!$G$106:$G$117,0)))*conv_2026*K$7</f>
        <v>996840.17858334247</v>
      </c>
      <c r="L45" s="31">
        <f>(INDEX(Option3!L$106:L$117, MATCH($D45, Option3!$G$106:$G$117,0)))*conv_2026*L$7</f>
        <v>1042369.6149677701</v>
      </c>
      <c r="M45" s="31">
        <f>(INDEX(Option3!M$106:M$117, MATCH($D45, Option3!$G$106:$G$117,0)))*conv_2026*M$7</f>
        <v>1087899.0513521992</v>
      </c>
      <c r="N45" s="31">
        <f>(INDEX(Option3!N$106:N$117, MATCH($D45, Option3!$G$106:$G$117,0)))*conv_2026*N$7</f>
        <v>-5190649.5688030282</v>
      </c>
      <c r="O45" s="31">
        <f>(INDEX(Option3!O$106:O$117, MATCH($D45, Option3!$G$106:$G$117,0)))*conv_2026*O$7</f>
        <v>-5190649.5688030282</v>
      </c>
      <c r="P45" s="31">
        <f>(INDEX(Option3!P$106:P$117, MATCH($D45, Option3!$G$106:$G$117,0)))*conv_2026*P$7</f>
        <v>-5190649.5688030282</v>
      </c>
      <c r="Q45" s="31">
        <f>(INDEX(Option3!Q$106:Q$117, MATCH($D45, Option3!$G$106:$G$117,0)))*conv_2026*Q$7</f>
        <v>-6468098.1747184964</v>
      </c>
      <c r="R45" s="31">
        <f>(INDEX(Option3!R$106:R$117, MATCH($D45, Option3!$G$106:$G$117,0)))*conv_2026*R$7</f>
        <v>-6468098.1747184964</v>
      </c>
      <c r="S45" s="31">
        <f>(INDEX(Option3!S$106:S$117, MATCH($D45, Option3!$G$106:$G$117,0)))*conv_2026*S$7</f>
        <v>-6468098.1747184964</v>
      </c>
      <c r="T45" s="31">
        <f>(INDEX(Option3!T$106:T$117, MATCH($D45, Option3!$G$106:$G$117,0)))*conv_2026*T$7</f>
        <v>-6468098.1747184964</v>
      </c>
      <c r="U45" s="31">
        <f>(INDEX(Option3!U$106:U$117, MATCH($D45, Option3!$G$106:$G$117,0)))*conv_2026*U$7</f>
        <v>-6468098.1747184964</v>
      </c>
      <c r="V45" s="31">
        <f>(INDEX(Option3!V$106:V$117, MATCH($D45, Option3!$G$106:$G$117,0)))*conv_2026*V$7</f>
        <v>-5190649.5688030282</v>
      </c>
      <c r="W45" s="31">
        <f>(INDEX(Option3!W$106:W$117, MATCH($D45, Option3!$G$106:$G$117,0)))*conv_2026*W$7</f>
        <v>-5190649.5688030282</v>
      </c>
      <c r="X45" s="31">
        <f>(INDEX(Option3!X$106:X$117, MATCH($D45, Option3!$G$106:$G$117,0)))*conv_2026*X$7</f>
        <v>-5255627.0502085779</v>
      </c>
      <c r="Y45" s="31">
        <f>(INDEX(Option3!Y$106:Y$117, MATCH($D45, Option3!$G$106:$G$117,0)))*conv_2026*Y$7</f>
        <v>-4217497.1364479726</v>
      </c>
      <c r="Z45" s="31">
        <f>(INDEX(Option3!Z$106:Z$117, MATCH($D45, Option3!$G$106:$G$117,0)))*conv_2026*Z$7</f>
        <v>-3179367.2226873646</v>
      </c>
      <c r="AA45" s="31">
        <f>(INDEX(Option3!AA$106:AA$117, MATCH($D45, Option3!$G$106:$G$117,0)))*conv_2026*AA$7</f>
        <v>-2141237.3089267612</v>
      </c>
      <c r="AB45" s="31">
        <f>(INDEX(Option3!AB$106:AB$117, MATCH($D45, Option3!$G$106:$G$117,0)))*conv_2026*AB$7</f>
        <v>-1103107.3951661538</v>
      </c>
      <c r="AC45" s="31">
        <f>(INDEX(Option3!AC$106:AC$117, MATCH($D45, Option3!$G$106:$G$117,0)))*conv_2026*AC$7</f>
        <v>0</v>
      </c>
      <c r="AD45" s="31">
        <f>(INDEX(Option3!AD$106:AD$117, MATCH($D45, Option3!$G$106:$G$117,0)))*conv_2026*AD$7</f>
        <v>0</v>
      </c>
      <c r="AE45" s="31">
        <f>(INDEX(Option3!AE$106:AE$117, MATCH($D45, Option3!$G$106:$G$117,0)))*conv_2026*AE$7</f>
        <v>0</v>
      </c>
      <c r="AF45" s="31">
        <f>(INDEX(Option3!AF$106:AF$117, MATCH($D45, Option3!$G$106:$G$117,0)))*conv_2026*AF$7</f>
        <v>0</v>
      </c>
      <c r="AG45" s="31">
        <f>(INDEX(Option3!AG$106:AG$117, MATCH($D45, Option3!$G$106:$G$117,0)))*conv_2026*AG$7</f>
        <v>0</v>
      </c>
    </row>
    <row r="46" spans="1:35" s="8" customFormat="1" x14ac:dyDescent="0.2">
      <c r="A46" s="253" t="s">
        <v>132</v>
      </c>
      <c r="B46" s="253" t="str">
        <f>Option3!A112</f>
        <v>sens3</v>
      </c>
      <c r="C46" s="253" t="str">
        <f>Option3!C112</f>
        <v>Total benefits 10% higher</v>
      </c>
      <c r="D46" s="253" t="str">
        <f t="shared" si="5"/>
        <v>Option 3sens3</v>
      </c>
      <c r="E46" s="254"/>
      <c r="F46" s="31">
        <f t="shared" si="4"/>
        <v>-45976619.569770984</v>
      </c>
      <c r="H46" s="31">
        <f>(INDEX(Option3!H$106:H$117, MATCH($D46, Option3!$G$106:$G$117,0)))*conv_2026*H$7</f>
        <v>0</v>
      </c>
      <c r="I46" s="31">
        <f>(INDEX(Option3!I$106:I$117, MATCH($D46, Option3!$G$106:$G$117,0)))*conv_2026*I$7</f>
        <v>1020644.9889695444</v>
      </c>
      <c r="J46" s="31">
        <f>(INDEX(Option3!J$106:J$117, MATCH($D46, Option3!$G$106:$G$117,0)))*conv_2026*J$7</f>
        <v>1058470.6201572369</v>
      </c>
      <c r="K46" s="31">
        <f>(INDEX(Option3!K$106:K$117, MATCH($D46, Option3!$G$106:$G$117,0)))*conv_2026*K$7</f>
        <v>1096296.2513449274</v>
      </c>
      <c r="L46" s="31">
        <f>(INDEX(Option3!L$106:L$117, MATCH($D46, Option3!$G$106:$G$117,0)))*conv_2026*L$7</f>
        <v>1134121.882532618</v>
      </c>
      <c r="M46" s="31">
        <f>(INDEX(Option3!M$106:M$117, MATCH($D46, Option3!$G$106:$G$117,0)))*conv_2026*M$7</f>
        <v>1171947.5137203108</v>
      </c>
      <c r="N46" s="31">
        <f>(INDEX(Option3!N$106:N$117, MATCH($D46, Option3!$G$106:$G$117,0)))*conv_2026*N$7</f>
        <v>-5229168.5947867129</v>
      </c>
      <c r="O46" s="31">
        <f>(INDEX(Option3!O$106:O$117, MATCH($D46, Option3!$G$106:$G$117,0)))*conv_2026*O$7</f>
        <v>-5229168.5947867129</v>
      </c>
      <c r="P46" s="31">
        <f>(INDEX(Option3!P$106:P$117, MATCH($D46, Option3!$G$106:$G$117,0)))*conv_2026*P$7</f>
        <v>-5229168.5947867129</v>
      </c>
      <c r="Q46" s="31">
        <f>(INDEX(Option3!Q$106:Q$117, MATCH($D46, Option3!$G$106:$G$117,0)))*conv_2026*Q$7</f>
        <v>-6506617.2007021802</v>
      </c>
      <c r="R46" s="31">
        <f>(INDEX(Option3!R$106:R$117, MATCH($D46, Option3!$G$106:$G$117,0)))*conv_2026*R$7</f>
        <v>-6506617.2007021802</v>
      </c>
      <c r="S46" s="31">
        <f>(INDEX(Option3!S$106:S$117, MATCH($D46, Option3!$G$106:$G$117,0)))*conv_2026*S$7</f>
        <v>-6506617.2007021802</v>
      </c>
      <c r="T46" s="31">
        <f>(INDEX(Option3!T$106:T$117, MATCH($D46, Option3!$G$106:$G$117,0)))*conv_2026*T$7</f>
        <v>-6506617.2007021802</v>
      </c>
      <c r="U46" s="31">
        <f>(INDEX(Option3!U$106:U$117, MATCH($D46, Option3!$G$106:$G$117,0)))*conv_2026*U$7</f>
        <v>-6506617.2007021802</v>
      </c>
      <c r="V46" s="31">
        <f>(INDEX(Option3!V$106:V$117, MATCH($D46, Option3!$G$106:$G$117,0)))*conv_2026*V$7</f>
        <v>-5229168.5947867129</v>
      </c>
      <c r="W46" s="31">
        <f>(INDEX(Option3!W$106:W$117, MATCH($D46, Option3!$G$106:$G$117,0)))*conv_2026*W$7</f>
        <v>-5229168.5947867129</v>
      </c>
      <c r="X46" s="31">
        <f>(INDEX(Option3!X$106:X$117, MATCH($D46, Option3!$G$106:$G$117,0)))*conv_2026*X$7</f>
        <v>-5409009.7593473196</v>
      </c>
      <c r="Y46" s="31">
        <f>(INDEX(Option3!Y$106:Y$117, MATCH($D46, Option3!$G$106:$G$117,0)))*conv_2026*Y$7</f>
        <v>-4363176.0403899774</v>
      </c>
      <c r="Z46" s="31">
        <f>(INDEX(Option3!Z$106:Z$117, MATCH($D46, Option3!$G$106:$G$117,0)))*conv_2026*Z$7</f>
        <v>-3317342.3214326333</v>
      </c>
      <c r="AA46" s="31">
        <f>(INDEX(Option3!AA$106:AA$117, MATCH($D46, Option3!$G$106:$G$117,0)))*conv_2026*AA$7</f>
        <v>-2271508.6024752925</v>
      </c>
      <c r="AB46" s="31">
        <f>(INDEX(Option3!AB$106:AB$117, MATCH($D46, Option3!$G$106:$G$117,0)))*conv_2026*AB$7</f>
        <v>-1225674.8835179487</v>
      </c>
      <c r="AC46" s="31">
        <f>(INDEX(Option3!AC$106:AC$117, MATCH($D46, Option3!$G$106:$G$117,0)))*conv_2026*AC$7</f>
        <v>0</v>
      </c>
      <c r="AD46" s="31">
        <f>(INDEX(Option3!AD$106:AD$117, MATCH($D46, Option3!$G$106:$G$117,0)))*conv_2026*AD$7</f>
        <v>0</v>
      </c>
      <c r="AE46" s="31">
        <f>(INDEX(Option3!AE$106:AE$117, MATCH($D46, Option3!$G$106:$G$117,0)))*conv_2026*AE$7</f>
        <v>0</v>
      </c>
      <c r="AF46" s="31">
        <f>(INDEX(Option3!AF$106:AF$117, MATCH($D46, Option3!$G$106:$G$117,0)))*conv_2026*AF$7</f>
        <v>0</v>
      </c>
      <c r="AG46" s="31">
        <f>(INDEX(Option3!AG$106:AG$117, MATCH($D46, Option3!$G$106:$G$117,0)))*conv_2026*AG$7</f>
        <v>0</v>
      </c>
    </row>
    <row r="47" spans="1:35" s="8" customFormat="1" x14ac:dyDescent="0.2">
      <c r="A47" s="253" t="s">
        <v>132</v>
      </c>
      <c r="B47" s="253" t="str">
        <f>Option3!A113</f>
        <v>sens4</v>
      </c>
      <c r="C47" s="253" t="str">
        <f>Option3!C113</f>
        <v>Total benefits 10% lower</v>
      </c>
      <c r="D47" s="253" t="str">
        <f t="shared" si="5"/>
        <v>Option 3sens4</v>
      </c>
      <c r="E47" s="254"/>
      <c r="F47" s="31">
        <f t="shared" si="4"/>
        <v>-58555468.808262825</v>
      </c>
      <c r="H47" s="31">
        <f>(INDEX(Option3!H$106:H$117, MATCH($D47, Option3!$G$106:$G$117,0)))*conv_2026*H$7</f>
        <v>0</v>
      </c>
      <c r="I47" s="31">
        <f>(INDEX(Option3!I$106:I$117, MATCH($D47, Option3!$G$106:$G$117,0)))*conv_2026*I$7</f>
        <v>790917.62265942828</v>
      </c>
      <c r="J47" s="31">
        <f>(INDEX(Option3!J$106:J$117, MATCH($D47, Option3!$G$106:$G$117,0)))*conv_2026*J$7</f>
        <v>599015.88753700408</v>
      </c>
      <c r="K47" s="31">
        <f>(INDEX(Option3!K$106:K$117, MATCH($D47, Option3!$G$106:$G$117,0)))*conv_2026*K$7</f>
        <v>407114.15241457825</v>
      </c>
      <c r="L47" s="31">
        <f>(INDEX(Option3!L$106:L$117, MATCH($D47, Option3!$G$106:$G$117,0)))*conv_2026*L$7</f>
        <v>215212.41729215285</v>
      </c>
      <c r="M47" s="31">
        <f>(INDEX(Option3!M$106:M$117, MATCH($D47, Option3!$G$106:$G$117,0)))*conv_2026*M$7</f>
        <v>23310.682169728872</v>
      </c>
      <c r="N47" s="31">
        <f>(INDEX(Option3!N$106:N$117, MATCH($D47, Option3!$G$106:$G$117,0)))*conv_2026*N$7</f>
        <v>-6377805.4263372933</v>
      </c>
      <c r="O47" s="31">
        <f>(INDEX(Option3!O$106:O$117, MATCH($D47, Option3!$G$106:$G$117,0)))*conv_2026*O$7</f>
        <v>-6377805.4263372933</v>
      </c>
      <c r="P47" s="31">
        <f>(INDEX(Option3!P$106:P$117, MATCH($D47, Option3!$G$106:$G$117,0)))*conv_2026*P$7</f>
        <v>-6377805.4263372933</v>
      </c>
      <c r="Q47" s="31">
        <f>(INDEX(Option3!Q$106:Q$117, MATCH($D47, Option3!$G$106:$G$117,0)))*conv_2026*Q$7</f>
        <v>-7655254.0322527615</v>
      </c>
      <c r="R47" s="31">
        <f>(INDEX(Option3!R$106:R$117, MATCH($D47, Option3!$G$106:$G$117,0)))*conv_2026*R$7</f>
        <v>-7655254.0322527615</v>
      </c>
      <c r="S47" s="31">
        <f>(INDEX(Option3!S$106:S$117, MATCH($D47, Option3!$G$106:$G$117,0)))*conv_2026*S$7</f>
        <v>-7655254.0322527615</v>
      </c>
      <c r="T47" s="31">
        <f>(INDEX(Option3!T$106:T$117, MATCH($D47, Option3!$G$106:$G$117,0)))*conv_2026*T$7</f>
        <v>-7655254.0322527615</v>
      </c>
      <c r="U47" s="31">
        <f>(INDEX(Option3!U$106:U$117, MATCH($D47, Option3!$G$106:$G$117,0)))*conv_2026*U$7</f>
        <v>-7655254.0322527615</v>
      </c>
      <c r="V47" s="31">
        <f>(INDEX(Option3!V$106:V$117, MATCH($D47, Option3!$G$106:$G$117,0)))*conv_2026*V$7</f>
        <v>-6377805.4263372933</v>
      </c>
      <c r="W47" s="31">
        <f>(INDEX(Option3!W$106:W$117, MATCH($D47, Option3!$G$106:$G$117,0)))*conv_2026*W$7</f>
        <v>-6377805.4263372933</v>
      </c>
      <c r="X47" s="31">
        <f>(INDEX(Option3!X$106:X$117, MATCH($D47, Option3!$G$106:$G$117,0)))*conv_2026*X$7</f>
        <v>-6327919.2245877851</v>
      </c>
      <c r="Y47" s="31">
        <f>(INDEX(Option3!Y$106:Y$117, MATCH($D47, Option3!$G$106:$G$117,0)))*conv_2026*Y$7</f>
        <v>-5052358.139320326</v>
      </c>
      <c r="Z47" s="31">
        <f>(INDEX(Option3!Z$106:Z$117, MATCH($D47, Option3!$G$106:$G$117,0)))*conv_2026*Z$7</f>
        <v>-3776797.0540528656</v>
      </c>
      <c r="AA47" s="31">
        <f>(INDEX(Option3!AA$106:AA$117, MATCH($D47, Option3!$G$106:$G$117,0)))*conv_2026*AA$7</f>
        <v>-2501235.9687854089</v>
      </c>
      <c r="AB47" s="31">
        <f>(INDEX(Option3!AB$106:AB$117, MATCH($D47, Option3!$G$106:$G$117,0)))*conv_2026*AB$7</f>
        <v>-1225674.8835179487</v>
      </c>
      <c r="AC47" s="31">
        <f>(INDEX(Option3!AC$106:AC$117, MATCH($D47, Option3!$G$106:$G$117,0)))*conv_2026*AC$7</f>
        <v>0</v>
      </c>
      <c r="AD47" s="31">
        <f>(INDEX(Option3!AD$106:AD$117, MATCH($D47, Option3!$G$106:$G$117,0)))*conv_2026*AD$7</f>
        <v>0</v>
      </c>
      <c r="AE47" s="31">
        <f>(INDEX(Option3!AE$106:AE$117, MATCH($D47, Option3!$G$106:$G$117,0)))*conv_2026*AE$7</f>
        <v>0</v>
      </c>
      <c r="AF47" s="31">
        <f>(INDEX(Option3!AF$106:AF$117, MATCH($D47, Option3!$G$106:$G$117,0)))*conv_2026*AF$7</f>
        <v>0</v>
      </c>
      <c r="AG47" s="31">
        <f>(INDEX(Option3!AG$106:AG$117, MATCH($D47, Option3!$G$106:$G$117,0)))*conv_2026*AG$7</f>
        <v>0</v>
      </c>
    </row>
    <row r="48" spans="1:35" s="8" customFormat="1" x14ac:dyDescent="0.2">
      <c r="A48" s="253" t="s">
        <v>132</v>
      </c>
      <c r="B48" s="253" t="str">
        <f>Option3!A114</f>
        <v>sens5</v>
      </c>
      <c r="C48" s="253" t="str">
        <f>Option3!C114</f>
        <v>Capex 10% higher &amp; Total benefits 10% lower</v>
      </c>
      <c r="D48" s="253" t="str">
        <f t="shared" si="5"/>
        <v>Option 3sens5</v>
      </c>
      <c r="E48" s="254"/>
      <c r="F48" s="31">
        <f t="shared" si="4"/>
        <v>-65039769.041706435</v>
      </c>
      <c r="H48" s="31">
        <f>(INDEX(Option3!H$106:H$117, MATCH($D48, Option3!$G$106:$G$117,0)))*conv_2026*H$7</f>
        <v>0</v>
      </c>
      <c r="I48" s="31">
        <f>(INDEX(Option3!I$106:I$117, MATCH($D48, Option3!$G$106:$G$117,0)))*conv_2026*I$7</f>
        <v>790917.62265942828</v>
      </c>
      <c r="J48" s="31">
        <f>(INDEX(Option3!J$106:J$117, MATCH($D48, Option3!$G$106:$G$117,0)))*conv_2026*J$7</f>
        <v>476448.39918520924</v>
      </c>
      <c r="K48" s="31">
        <f>(INDEX(Option3!K$106:K$117, MATCH($D48, Option3!$G$106:$G$117,0)))*conv_2026*K$7</f>
        <v>161979.17571098858</v>
      </c>
      <c r="L48" s="31">
        <f>(INDEX(Option3!L$106:L$117, MATCH($D48, Option3!$G$106:$G$117,0)))*conv_2026*L$7</f>
        <v>-152490.04776323171</v>
      </c>
      <c r="M48" s="31">
        <f>(INDEX(Option3!M$106:M$117, MATCH($D48, Option3!$G$106:$G$117,0)))*conv_2026*M$7</f>
        <v>-466959.27123745071</v>
      </c>
      <c r="N48" s="31">
        <f>(INDEX(Option3!N$106:N$117, MATCH($D48, Option3!$G$106:$G$117,0)))*conv_2026*N$7</f>
        <v>-6990642.8680962678</v>
      </c>
      <c r="O48" s="31">
        <f>(INDEX(Option3!O$106:O$117, MATCH($D48, Option3!$G$106:$G$117,0)))*conv_2026*O$7</f>
        <v>-6990642.8680962678</v>
      </c>
      <c r="P48" s="31">
        <f>(INDEX(Option3!P$106:P$117, MATCH($D48, Option3!$G$106:$G$117,0)))*conv_2026*P$7</f>
        <v>-6990642.8680962678</v>
      </c>
      <c r="Q48" s="31">
        <f>(INDEX(Option3!Q$106:Q$117, MATCH($D48, Option3!$G$106:$G$117,0)))*conv_2026*Q$7</f>
        <v>-8268091.4740117351</v>
      </c>
      <c r="R48" s="31">
        <f>(INDEX(Option3!R$106:R$117, MATCH($D48, Option3!$G$106:$G$117,0)))*conv_2026*R$7</f>
        <v>-8268091.4740117351</v>
      </c>
      <c r="S48" s="31">
        <f>(INDEX(Option3!S$106:S$117, MATCH($D48, Option3!$G$106:$G$117,0)))*conv_2026*S$7</f>
        <v>-8268091.4740117351</v>
      </c>
      <c r="T48" s="31">
        <f>(INDEX(Option3!T$106:T$117, MATCH($D48, Option3!$G$106:$G$117,0)))*conv_2026*T$7</f>
        <v>-8268091.4740117351</v>
      </c>
      <c r="U48" s="31">
        <f>(INDEX(Option3!U$106:U$117, MATCH($D48, Option3!$G$106:$G$117,0)))*conv_2026*U$7</f>
        <v>-8268091.4740117351</v>
      </c>
      <c r="V48" s="31">
        <f>(INDEX(Option3!V$106:V$117, MATCH($D48, Option3!$G$106:$G$117,0)))*conv_2026*V$7</f>
        <v>-6990642.8680962678</v>
      </c>
      <c r="W48" s="31">
        <f>(INDEX(Option3!W$106:W$117, MATCH($D48, Option3!$G$106:$G$117,0)))*conv_2026*W$7</f>
        <v>-6990642.8680962678</v>
      </c>
      <c r="X48" s="31">
        <f>(INDEX(Option3!X$106:X$117, MATCH($D48, Option3!$G$106:$G$117,0)))*conv_2026*X$7</f>
        <v>-6940756.6663467586</v>
      </c>
      <c r="Y48" s="31">
        <f>(INDEX(Option3!Y$106:Y$117, MATCH($D48, Option3!$G$106:$G$117,0)))*conv_2026*Y$7</f>
        <v>-5542628.0927275056</v>
      </c>
      <c r="Z48" s="31">
        <f>(INDEX(Option3!Z$106:Z$117, MATCH($D48, Option3!$G$106:$G$117,0)))*conv_2026*Z$7</f>
        <v>-4144499.5191082503</v>
      </c>
      <c r="AA48" s="31">
        <f>(INDEX(Option3!AA$106:AA$117, MATCH($D48, Option3!$G$106:$G$117,0)))*conv_2026*AA$7</f>
        <v>-2746370.9454889982</v>
      </c>
      <c r="AB48" s="31">
        <f>(INDEX(Option3!AB$106:AB$117, MATCH($D48, Option3!$G$106:$G$117,0)))*conv_2026*AB$7</f>
        <v>-1348242.3718697436</v>
      </c>
      <c r="AC48" s="31">
        <f>(INDEX(Option3!AC$106:AC$117, MATCH($D48, Option3!$G$106:$G$117,0)))*conv_2026*AC$7</f>
        <v>0</v>
      </c>
      <c r="AD48" s="31">
        <f>(INDEX(Option3!AD$106:AD$117, MATCH($D48, Option3!$G$106:$G$117,0)))*conv_2026*AD$7</f>
        <v>0</v>
      </c>
      <c r="AE48" s="31">
        <f>(INDEX(Option3!AE$106:AE$117, MATCH($D48, Option3!$G$106:$G$117,0)))*conv_2026*AE$7</f>
        <v>0</v>
      </c>
      <c r="AF48" s="31">
        <f>(INDEX(Option3!AF$106:AF$117, MATCH($D48, Option3!$G$106:$G$117,0)))*conv_2026*AF$7</f>
        <v>0</v>
      </c>
      <c r="AG48" s="31">
        <f>(INDEX(Option3!AG$106:AG$117, MATCH($D48, Option3!$G$106:$G$117,0)))*conv_2026*AG$7</f>
        <v>0</v>
      </c>
    </row>
    <row r="49" spans="1:35" s="8" customFormat="1" x14ac:dyDescent="0.2">
      <c r="A49" s="253" t="s">
        <v>132</v>
      </c>
      <c r="B49" s="253" t="str">
        <f>Option3!A115</f>
        <v>sens</v>
      </c>
      <c r="C49" s="253">
        <f>Option3!C115</f>
        <v>0</v>
      </c>
      <c r="D49" s="253" t="str">
        <f t="shared" si="5"/>
        <v>Option 3sens</v>
      </c>
      <c r="E49" s="254"/>
      <c r="F49" s="31">
        <f t="shared" si="4"/>
        <v>-52266044.189016894</v>
      </c>
      <c r="H49" s="31">
        <f>(INDEX(Option3!H$106:H$117, MATCH($D49, Option3!$G$106:$G$117,0)))*conv_2026*H$7</f>
        <v>0</v>
      </c>
      <c r="I49" s="31">
        <f>(INDEX(Option3!I$106:I$117, MATCH($D49, Option3!$G$106:$G$117,0)))*conv_2026*I$7</f>
        <v>905781.30581448635</v>
      </c>
      <c r="J49" s="31">
        <f>(INDEX(Option3!J$106:J$117, MATCH($D49, Option3!$G$106:$G$117,0)))*conv_2026*J$7</f>
        <v>828743.25384712056</v>
      </c>
      <c r="K49" s="31">
        <f>(INDEX(Option3!K$106:K$117, MATCH($D49, Option3!$G$106:$G$117,0)))*conv_2026*K$7</f>
        <v>751705.20187975268</v>
      </c>
      <c r="L49" s="31">
        <f>(INDEX(Option3!L$106:L$117, MATCH($D49, Option3!$G$106:$G$117,0)))*conv_2026*L$7</f>
        <v>674667.1499123855</v>
      </c>
      <c r="M49" s="31">
        <f>(INDEX(Option3!M$106:M$117, MATCH($D49, Option3!$G$106:$G$117,0)))*conv_2026*M$7</f>
        <v>597629.09794501972</v>
      </c>
      <c r="N49" s="31">
        <f>(INDEX(Option3!N$106:N$117, MATCH($D49, Option3!$G$106:$G$117,0)))*conv_2026*N$7</f>
        <v>-5803487.0105620027</v>
      </c>
      <c r="O49" s="31">
        <f>(INDEX(Option3!O$106:O$117, MATCH($D49, Option3!$G$106:$G$117,0)))*conv_2026*O$7</f>
        <v>-5803487.0105620027</v>
      </c>
      <c r="P49" s="31">
        <f>(INDEX(Option3!P$106:P$117, MATCH($D49, Option3!$G$106:$G$117,0)))*conv_2026*P$7</f>
        <v>-5803487.0105620027</v>
      </c>
      <c r="Q49" s="31">
        <f>(INDEX(Option3!Q$106:Q$117, MATCH($D49, Option3!$G$106:$G$117,0)))*conv_2026*Q$7</f>
        <v>-7080935.6164774708</v>
      </c>
      <c r="R49" s="31">
        <f>(INDEX(Option3!R$106:R$117, MATCH($D49, Option3!$G$106:$G$117,0)))*conv_2026*R$7</f>
        <v>-7080935.6164774708</v>
      </c>
      <c r="S49" s="31">
        <f>(INDEX(Option3!S$106:S$117, MATCH($D49, Option3!$G$106:$G$117,0)))*conv_2026*S$7</f>
        <v>-7080935.6164774708</v>
      </c>
      <c r="T49" s="31">
        <f>(INDEX(Option3!T$106:T$117, MATCH($D49, Option3!$G$106:$G$117,0)))*conv_2026*T$7</f>
        <v>-7080935.6164774708</v>
      </c>
      <c r="U49" s="31">
        <f>(INDEX(Option3!U$106:U$117, MATCH($D49, Option3!$G$106:$G$117,0)))*conv_2026*U$7</f>
        <v>-7080935.6164774708</v>
      </c>
      <c r="V49" s="31">
        <f>(INDEX(Option3!V$106:V$117, MATCH($D49, Option3!$G$106:$G$117,0)))*conv_2026*V$7</f>
        <v>-5803487.0105620027</v>
      </c>
      <c r="W49" s="31">
        <f>(INDEX(Option3!W$106:W$117, MATCH($D49, Option3!$G$106:$G$117,0)))*conv_2026*W$7</f>
        <v>-5803487.0105620027</v>
      </c>
      <c r="X49" s="31">
        <f>(INDEX(Option3!X$106:X$117, MATCH($D49, Option3!$G$106:$G$117,0)))*conv_2026*X$7</f>
        <v>-5868464.4919675523</v>
      </c>
      <c r="Y49" s="31">
        <f>(INDEX(Option3!Y$106:Y$117, MATCH($D49, Option3!$G$106:$G$117,0)))*conv_2026*Y$7</f>
        <v>-4707767.0898551522</v>
      </c>
      <c r="Z49" s="31">
        <f>(INDEX(Option3!Z$106:Z$117, MATCH($D49, Option3!$G$106:$G$117,0)))*conv_2026*Z$7</f>
        <v>-3547069.6877427492</v>
      </c>
      <c r="AA49" s="31">
        <f>(INDEX(Option3!AA$106:AA$117, MATCH($D49, Option3!$G$106:$G$117,0)))*conv_2026*AA$7</f>
        <v>-2386372.2856303505</v>
      </c>
      <c r="AB49" s="31">
        <f>(INDEX(Option3!AB$106:AB$117, MATCH($D49, Option3!$G$106:$G$117,0)))*conv_2026*AB$7</f>
        <v>-1225674.8835179487</v>
      </c>
      <c r="AC49" s="31">
        <f>(INDEX(Option3!AC$106:AC$117, MATCH($D49, Option3!$G$106:$G$117,0)))*conv_2026*AC$7</f>
        <v>0</v>
      </c>
      <c r="AD49" s="31">
        <f>(INDEX(Option3!AD$106:AD$117, MATCH($D49, Option3!$G$106:$G$117,0)))*conv_2026*AD$7</f>
        <v>0</v>
      </c>
      <c r="AE49" s="31">
        <f>(INDEX(Option3!AE$106:AE$117, MATCH($D49, Option3!$G$106:$G$117,0)))*conv_2026*AE$7</f>
        <v>0</v>
      </c>
      <c r="AF49" s="31">
        <f>(INDEX(Option3!AF$106:AF$117, MATCH($D49, Option3!$G$106:$G$117,0)))*conv_2026*AF$7</f>
        <v>0</v>
      </c>
      <c r="AG49" s="31">
        <f>(INDEX(Option3!AG$106:AG$117, MATCH($D49, Option3!$G$106:$G$117,0)))*conv_2026*AG$7</f>
        <v>0</v>
      </c>
    </row>
    <row r="50" spans="1:35" s="8" customFormat="1" x14ac:dyDescent="0.2">
      <c r="A50" s="253" t="s">
        <v>132</v>
      </c>
      <c r="B50" s="253" t="str">
        <f>Option3!A116</f>
        <v>sens</v>
      </c>
      <c r="C50" s="253">
        <f>Option3!C116</f>
        <v>0</v>
      </c>
      <c r="D50" s="253" t="str">
        <f t="shared" si="5"/>
        <v>Option 3sens</v>
      </c>
      <c r="E50" s="254"/>
      <c r="F50" s="31">
        <f t="shared" si="4"/>
        <v>-52266044.189016894</v>
      </c>
      <c r="H50" s="31">
        <f>(INDEX(Option3!H$106:H$117, MATCH($D50, Option3!$G$106:$G$117,0)))*conv_2026*H$7</f>
        <v>0</v>
      </c>
      <c r="I50" s="31">
        <f>(INDEX(Option3!I$106:I$117, MATCH($D50, Option3!$G$106:$G$117,0)))*conv_2026*I$7</f>
        <v>905781.30581448635</v>
      </c>
      <c r="J50" s="31">
        <f>(INDEX(Option3!J$106:J$117, MATCH($D50, Option3!$G$106:$G$117,0)))*conv_2026*J$7</f>
        <v>828743.25384712056</v>
      </c>
      <c r="K50" s="31">
        <f>(INDEX(Option3!K$106:K$117, MATCH($D50, Option3!$G$106:$G$117,0)))*conv_2026*K$7</f>
        <v>751705.20187975268</v>
      </c>
      <c r="L50" s="31">
        <f>(INDEX(Option3!L$106:L$117, MATCH($D50, Option3!$G$106:$G$117,0)))*conv_2026*L$7</f>
        <v>674667.1499123855</v>
      </c>
      <c r="M50" s="31">
        <f>(INDEX(Option3!M$106:M$117, MATCH($D50, Option3!$G$106:$G$117,0)))*conv_2026*M$7</f>
        <v>597629.09794501972</v>
      </c>
      <c r="N50" s="31">
        <f>(INDEX(Option3!N$106:N$117, MATCH($D50, Option3!$G$106:$G$117,0)))*conv_2026*N$7</f>
        <v>-5803487.0105620027</v>
      </c>
      <c r="O50" s="31">
        <f>(INDEX(Option3!O$106:O$117, MATCH($D50, Option3!$G$106:$G$117,0)))*conv_2026*O$7</f>
        <v>-5803487.0105620027</v>
      </c>
      <c r="P50" s="31">
        <f>(INDEX(Option3!P$106:P$117, MATCH($D50, Option3!$G$106:$G$117,0)))*conv_2026*P$7</f>
        <v>-5803487.0105620027</v>
      </c>
      <c r="Q50" s="31">
        <f>(INDEX(Option3!Q$106:Q$117, MATCH($D50, Option3!$G$106:$G$117,0)))*conv_2026*Q$7</f>
        <v>-7080935.6164774708</v>
      </c>
      <c r="R50" s="31">
        <f>(INDEX(Option3!R$106:R$117, MATCH($D50, Option3!$G$106:$G$117,0)))*conv_2026*R$7</f>
        <v>-7080935.6164774708</v>
      </c>
      <c r="S50" s="31">
        <f>(INDEX(Option3!S$106:S$117, MATCH($D50, Option3!$G$106:$G$117,0)))*conv_2026*S$7</f>
        <v>-7080935.6164774708</v>
      </c>
      <c r="T50" s="31">
        <f>(INDEX(Option3!T$106:T$117, MATCH($D50, Option3!$G$106:$G$117,0)))*conv_2026*T$7</f>
        <v>-7080935.6164774708</v>
      </c>
      <c r="U50" s="31">
        <f>(INDEX(Option3!U$106:U$117, MATCH($D50, Option3!$G$106:$G$117,0)))*conv_2026*U$7</f>
        <v>-7080935.6164774708</v>
      </c>
      <c r="V50" s="31">
        <f>(INDEX(Option3!V$106:V$117, MATCH($D50, Option3!$G$106:$G$117,0)))*conv_2026*V$7</f>
        <v>-5803487.0105620027</v>
      </c>
      <c r="W50" s="31">
        <f>(INDEX(Option3!W$106:W$117, MATCH($D50, Option3!$G$106:$G$117,0)))*conv_2026*W$7</f>
        <v>-5803487.0105620027</v>
      </c>
      <c r="X50" s="31">
        <f>(INDEX(Option3!X$106:X$117, MATCH($D50, Option3!$G$106:$G$117,0)))*conv_2026*X$7</f>
        <v>-5868464.4919675523</v>
      </c>
      <c r="Y50" s="31">
        <f>(INDEX(Option3!Y$106:Y$117, MATCH($D50, Option3!$G$106:$G$117,0)))*conv_2026*Y$7</f>
        <v>-4707767.0898551522</v>
      </c>
      <c r="Z50" s="31">
        <f>(INDEX(Option3!Z$106:Z$117, MATCH($D50, Option3!$G$106:$G$117,0)))*conv_2026*Z$7</f>
        <v>-3547069.6877427492</v>
      </c>
      <c r="AA50" s="31">
        <f>(INDEX(Option3!AA$106:AA$117, MATCH($D50, Option3!$G$106:$G$117,0)))*conv_2026*AA$7</f>
        <v>-2386372.2856303505</v>
      </c>
      <c r="AB50" s="31">
        <f>(INDEX(Option3!AB$106:AB$117, MATCH($D50, Option3!$G$106:$G$117,0)))*conv_2026*AB$7</f>
        <v>-1225674.8835179487</v>
      </c>
      <c r="AC50" s="31">
        <f>(INDEX(Option3!AC$106:AC$117, MATCH($D50, Option3!$G$106:$G$117,0)))*conv_2026*AC$7</f>
        <v>0</v>
      </c>
      <c r="AD50" s="31">
        <f>(INDEX(Option3!AD$106:AD$117, MATCH($D50, Option3!$G$106:$G$117,0)))*conv_2026*AD$7</f>
        <v>0</v>
      </c>
      <c r="AE50" s="31">
        <f>(INDEX(Option3!AE$106:AE$117, MATCH($D50, Option3!$G$106:$G$117,0)))*conv_2026*AE$7</f>
        <v>0</v>
      </c>
      <c r="AF50" s="31">
        <f>(INDEX(Option3!AF$106:AF$117, MATCH($D50, Option3!$G$106:$G$117,0)))*conv_2026*AF$7</f>
        <v>0</v>
      </c>
      <c r="AG50" s="31">
        <f>(INDEX(Option3!AG$106:AG$117, MATCH($D50, Option3!$G$106:$G$117,0)))*conv_2026*AG$7</f>
        <v>0</v>
      </c>
    </row>
    <row r="51" spans="1:35" s="8" customFormat="1" x14ac:dyDescent="0.2">
      <c r="A51" s="253" t="s">
        <v>132</v>
      </c>
      <c r="B51" s="253" t="str">
        <f>Option3!A117</f>
        <v>sens</v>
      </c>
      <c r="C51" s="253">
        <f>Option3!C117</f>
        <v>0</v>
      </c>
      <c r="D51" s="253" t="str">
        <f t="shared" si="5"/>
        <v>Option 3sens</v>
      </c>
      <c r="E51" s="254"/>
      <c r="F51" s="31">
        <f t="shared" si="4"/>
        <v>-52266044.189016894</v>
      </c>
      <c r="H51" s="31">
        <f>(INDEX(Option3!H$106:H$117, MATCH($D51, Option3!$G$106:$G$117,0)))*conv_2026*H$7</f>
        <v>0</v>
      </c>
      <c r="I51" s="31">
        <f>(INDEX(Option3!I$106:I$117, MATCH($D51, Option3!$G$106:$G$117,0)))*conv_2026*I$7</f>
        <v>905781.30581448635</v>
      </c>
      <c r="J51" s="31">
        <f>(INDEX(Option3!J$106:J$117, MATCH($D51, Option3!$G$106:$G$117,0)))*conv_2026*J$7</f>
        <v>828743.25384712056</v>
      </c>
      <c r="K51" s="31">
        <f>(INDEX(Option3!K$106:K$117, MATCH($D51, Option3!$G$106:$G$117,0)))*conv_2026*K$7</f>
        <v>751705.20187975268</v>
      </c>
      <c r="L51" s="31">
        <f>(INDEX(Option3!L$106:L$117, MATCH($D51, Option3!$G$106:$G$117,0)))*conv_2026*L$7</f>
        <v>674667.1499123855</v>
      </c>
      <c r="M51" s="31">
        <f>(INDEX(Option3!M$106:M$117, MATCH($D51, Option3!$G$106:$G$117,0)))*conv_2026*M$7</f>
        <v>597629.09794501972</v>
      </c>
      <c r="N51" s="31">
        <f>(INDEX(Option3!N$106:N$117, MATCH($D51, Option3!$G$106:$G$117,0)))*conv_2026*N$7</f>
        <v>-5803487.0105620027</v>
      </c>
      <c r="O51" s="31">
        <f>(INDEX(Option3!O$106:O$117, MATCH($D51, Option3!$G$106:$G$117,0)))*conv_2026*O$7</f>
        <v>-5803487.0105620027</v>
      </c>
      <c r="P51" s="31">
        <f>(INDEX(Option3!P$106:P$117, MATCH($D51, Option3!$G$106:$G$117,0)))*conv_2026*P$7</f>
        <v>-5803487.0105620027</v>
      </c>
      <c r="Q51" s="31">
        <f>(INDEX(Option3!Q$106:Q$117, MATCH($D51, Option3!$G$106:$G$117,0)))*conv_2026*Q$7</f>
        <v>-7080935.6164774708</v>
      </c>
      <c r="R51" s="31">
        <f>(INDEX(Option3!R$106:R$117, MATCH($D51, Option3!$G$106:$G$117,0)))*conv_2026*R$7</f>
        <v>-7080935.6164774708</v>
      </c>
      <c r="S51" s="31">
        <f>(INDEX(Option3!S$106:S$117, MATCH($D51, Option3!$G$106:$G$117,0)))*conv_2026*S$7</f>
        <v>-7080935.6164774708</v>
      </c>
      <c r="T51" s="31">
        <f>(INDEX(Option3!T$106:T$117, MATCH($D51, Option3!$G$106:$G$117,0)))*conv_2026*T$7</f>
        <v>-7080935.6164774708</v>
      </c>
      <c r="U51" s="31">
        <f>(INDEX(Option3!U$106:U$117, MATCH($D51, Option3!$G$106:$G$117,0)))*conv_2026*U$7</f>
        <v>-7080935.6164774708</v>
      </c>
      <c r="V51" s="31">
        <f>(INDEX(Option3!V$106:V$117, MATCH($D51, Option3!$G$106:$G$117,0)))*conv_2026*V$7</f>
        <v>-5803487.0105620027</v>
      </c>
      <c r="W51" s="31">
        <f>(INDEX(Option3!W$106:W$117, MATCH($D51, Option3!$G$106:$G$117,0)))*conv_2026*W$7</f>
        <v>-5803487.0105620027</v>
      </c>
      <c r="X51" s="31">
        <f>(INDEX(Option3!X$106:X$117, MATCH($D51, Option3!$G$106:$G$117,0)))*conv_2026*X$7</f>
        <v>-5868464.4919675523</v>
      </c>
      <c r="Y51" s="31">
        <f>(INDEX(Option3!Y$106:Y$117, MATCH($D51, Option3!$G$106:$G$117,0)))*conv_2026*Y$7</f>
        <v>-4707767.0898551522</v>
      </c>
      <c r="Z51" s="31">
        <f>(INDEX(Option3!Z$106:Z$117, MATCH($D51, Option3!$G$106:$G$117,0)))*conv_2026*Z$7</f>
        <v>-3547069.6877427492</v>
      </c>
      <c r="AA51" s="31">
        <f>(INDEX(Option3!AA$106:AA$117, MATCH($D51, Option3!$G$106:$G$117,0)))*conv_2026*AA$7</f>
        <v>-2386372.2856303505</v>
      </c>
      <c r="AB51" s="31">
        <f>(INDEX(Option3!AB$106:AB$117, MATCH($D51, Option3!$G$106:$G$117,0)))*conv_2026*AB$7</f>
        <v>-1225674.8835179487</v>
      </c>
      <c r="AC51" s="31">
        <f>(INDEX(Option3!AC$106:AC$117, MATCH($D51, Option3!$G$106:$G$117,0)))*conv_2026*AC$7</f>
        <v>0</v>
      </c>
      <c r="AD51" s="31">
        <f>(INDEX(Option3!AD$106:AD$117, MATCH($D51, Option3!$G$106:$G$117,0)))*conv_2026*AD$7</f>
        <v>0</v>
      </c>
      <c r="AE51" s="31">
        <f>(INDEX(Option3!AE$106:AE$117, MATCH($D51, Option3!$G$106:$G$117,0)))*conv_2026*AE$7</f>
        <v>0</v>
      </c>
      <c r="AF51" s="31">
        <f>(INDEX(Option3!AF$106:AF$117, MATCH($D51, Option3!$G$106:$G$117,0)))*conv_2026*AF$7</f>
        <v>0</v>
      </c>
      <c r="AG51" s="31">
        <f>(INDEX(Option3!AG$106:AG$117, MATCH($D51, Option3!$G$106:$G$117,0)))*conv_2026*AG$7</f>
        <v>0</v>
      </c>
    </row>
    <row r="52" spans="1:35" s="8" customFormat="1" x14ac:dyDescent="0.2">
      <c r="A52" s="253"/>
      <c r="B52" s="253"/>
      <c r="C52" s="253"/>
      <c r="D52" s="253"/>
      <c r="E52" s="253"/>
      <c r="F52" s="31"/>
      <c r="H52" s="253"/>
      <c r="I52" s="253"/>
      <c r="J52" s="253"/>
      <c r="K52" s="253"/>
      <c r="L52" s="253"/>
      <c r="M52" s="253"/>
      <c r="N52" s="253"/>
      <c r="O52" s="253"/>
      <c r="P52" s="253"/>
      <c r="Q52" s="253"/>
      <c r="R52" s="253"/>
      <c r="S52" s="253"/>
      <c r="T52" s="253"/>
      <c r="U52" s="253"/>
      <c r="V52" s="253"/>
      <c r="W52" s="253"/>
      <c r="X52" s="253"/>
      <c r="Y52" s="253"/>
      <c r="Z52" s="253"/>
      <c r="AA52" s="253"/>
      <c r="AB52" s="253"/>
      <c r="AC52" s="253"/>
      <c r="AD52" s="253"/>
      <c r="AE52" s="253"/>
      <c r="AF52" s="253"/>
      <c r="AG52" s="253"/>
    </row>
    <row r="53" spans="1:35" s="8" customFormat="1" x14ac:dyDescent="0.2">
      <c r="A53" s="253"/>
      <c r="B53" s="253"/>
      <c r="C53" s="253"/>
      <c r="D53" s="253"/>
      <c r="E53" s="253"/>
      <c r="F53" s="31"/>
      <c r="H53" s="253"/>
      <c r="I53" s="253"/>
      <c r="J53" s="253"/>
      <c r="K53" s="253"/>
      <c r="L53" s="253"/>
      <c r="M53" s="253"/>
      <c r="N53" s="253"/>
      <c r="O53" s="253"/>
      <c r="P53" s="253"/>
      <c r="Q53" s="253"/>
      <c r="R53" s="253"/>
      <c r="S53" s="253"/>
      <c r="T53" s="253"/>
      <c r="U53" s="253"/>
      <c r="V53" s="253"/>
      <c r="W53" s="253"/>
      <c r="X53" s="253"/>
      <c r="Y53" s="253"/>
      <c r="Z53" s="253"/>
      <c r="AA53" s="253"/>
      <c r="AB53" s="253"/>
      <c r="AC53" s="253"/>
      <c r="AD53" s="253"/>
      <c r="AE53" s="253"/>
      <c r="AF53" s="253"/>
      <c r="AG53" s="253"/>
    </row>
    <row r="54" spans="1:35" s="8" customFormat="1" x14ac:dyDescent="0.2">
      <c r="A54" s="253"/>
      <c r="B54" s="253"/>
      <c r="C54" s="253"/>
      <c r="D54" s="253"/>
      <c r="E54" s="253"/>
      <c r="F54" s="31"/>
      <c r="H54" s="253"/>
      <c r="I54" s="253"/>
      <c r="J54" s="253"/>
      <c r="K54" s="253"/>
      <c r="L54" s="253"/>
      <c r="M54" s="253"/>
      <c r="N54" s="253"/>
      <c r="O54" s="253"/>
      <c r="P54" s="253"/>
      <c r="Q54" s="253"/>
      <c r="R54" s="253"/>
      <c r="S54" s="253"/>
      <c r="T54" s="253"/>
      <c r="U54" s="253"/>
      <c r="V54" s="253"/>
      <c r="W54" s="253"/>
      <c r="X54" s="253"/>
      <c r="Y54" s="253"/>
      <c r="Z54" s="253"/>
      <c r="AA54" s="253"/>
      <c r="AB54" s="253"/>
      <c r="AC54" s="253"/>
      <c r="AD54" s="253"/>
      <c r="AE54" s="253"/>
      <c r="AF54" s="253"/>
      <c r="AG54" s="253"/>
    </row>
    <row r="55" spans="1:35" s="8" customFormat="1" x14ac:dyDescent="0.2">
      <c r="A55" s="253"/>
      <c r="B55" s="253"/>
      <c r="C55" s="253"/>
      <c r="D55" s="253"/>
      <c r="E55" s="253"/>
      <c r="F55" s="31"/>
      <c r="H55" s="253"/>
      <c r="I55" s="253"/>
      <c r="J55" s="253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3"/>
      <c r="V55" s="253"/>
      <c r="W55" s="253"/>
      <c r="X55" s="253"/>
      <c r="Y55" s="253"/>
      <c r="Z55" s="253"/>
      <c r="AA55" s="253"/>
      <c r="AB55" s="253"/>
      <c r="AC55" s="253"/>
      <c r="AD55" s="253"/>
      <c r="AE55" s="253"/>
      <c r="AF55" s="253"/>
      <c r="AG55" s="253"/>
    </row>
    <row r="56" spans="1:35" s="8" customFormat="1" x14ac:dyDescent="0.2">
      <c r="A56" s="253" t="s">
        <v>133</v>
      </c>
      <c r="B56" s="253" t="s">
        <v>119</v>
      </c>
      <c r="C56" s="253" t="s">
        <v>186</v>
      </c>
      <c r="D56" s="253" t="str">
        <f>A56&amp;B56</f>
        <v>Option 4NPV</v>
      </c>
      <c r="E56" s="254"/>
      <c r="F56" s="31">
        <f t="shared" ref="F56:F65" si="6">SUMPRODUCT($H56:$AG56, $H$5:$AG$5)</f>
        <v>592013.36535489548</v>
      </c>
      <c r="G56" s="246"/>
      <c r="H56" s="31">
        <f>(INDEX(Option4!H$106:H$117, MATCH($D56, Option4!$G$106:$G$117,0)))*conv_2026*H$7</f>
        <v>0</v>
      </c>
      <c r="I56" s="31">
        <f>(INDEX(Option4!I$106:I$117, MATCH($D56, Option4!$G$106:$G$117,0)))*conv_2026*I$7</f>
        <v>495826.88711068436</v>
      </c>
      <c r="J56" s="31">
        <f>(INDEX(Option4!J$106:J$117, MATCH($D56, Option4!$G$106:$G$117,0)))*conv_2026*J$7</f>
        <v>710281.79257679801</v>
      </c>
      <c r="K56" s="31">
        <f>(INDEX(Option4!K$106:K$117, MATCH($D56, Option4!$G$106:$G$117,0)))*conv_2026*K$7</f>
        <v>404689.78003688261</v>
      </c>
      <c r="L56" s="31">
        <f>(INDEX(Option4!L$106:L$117, MATCH($D56, Option4!$G$106:$G$117,0)))*conv_2026*L$7</f>
        <v>404689.78003688261</v>
      </c>
      <c r="M56" s="31">
        <f>(INDEX(Option4!M$106:M$117, MATCH($D56, Option4!$G$106:$G$117,0)))*conv_2026*M$7</f>
        <v>404689.78003688261</v>
      </c>
      <c r="N56" s="31">
        <f>(INDEX(Option4!N$106:N$117, MATCH($D56, Option4!$G$106:$G$117,0)))*conv_2026*N$7</f>
        <v>-111458.02424446288</v>
      </c>
      <c r="O56" s="31">
        <f>(INDEX(Option4!O$106:O$117, MATCH($D56, Option4!$G$106:$G$117,0)))*conv_2026*O$7</f>
        <v>-111458.02424446288</v>
      </c>
      <c r="P56" s="31">
        <f>(INDEX(Option4!P$106:P$117, MATCH($D56, Option4!$G$106:$G$117,0)))*conv_2026*P$7</f>
        <v>-111458.02424446288</v>
      </c>
      <c r="Q56" s="31">
        <f>(INDEX(Option4!Q$106:Q$117, MATCH($D56, Option4!$G$106:$G$117,0)))*conv_2026*Q$7</f>
        <v>-429958.54640377191</v>
      </c>
      <c r="R56" s="31">
        <f>(INDEX(Option4!R$106:R$117, MATCH($D56, Option4!$G$106:$G$117,0)))*conv_2026*R$7</f>
        <v>-429958.54640377191</v>
      </c>
      <c r="S56" s="31">
        <f>(INDEX(Option4!S$106:S$117, MATCH($D56, Option4!$G$106:$G$117,0)))*conv_2026*S$7</f>
        <v>-111458.02424446288</v>
      </c>
      <c r="T56" s="31">
        <f>(INDEX(Option4!T$106:T$117, MATCH($D56, Option4!$G$106:$G$117,0)))*conv_2026*T$7</f>
        <v>-111458.02424446288</v>
      </c>
      <c r="U56" s="31">
        <f>(INDEX(Option4!U$106:U$117, MATCH($D56, Option4!$G$106:$G$117,0)))*conv_2026*U$7</f>
        <v>-111458.02424446288</v>
      </c>
      <c r="V56" s="31">
        <f>(INDEX(Option4!V$106:V$117, MATCH($D56, Option4!$G$106:$G$117,0)))*conv_2026*V$7</f>
        <v>-111458.02424446288</v>
      </c>
      <c r="W56" s="31">
        <f>(INDEX(Option4!W$106:W$117, MATCH($D56, Option4!$G$106:$G$117,0)))*conv_2026*W$7</f>
        <v>-111458.02424446288</v>
      </c>
      <c r="X56" s="31">
        <f>(INDEX(Option4!X$106:X$117, MATCH($D56, Option4!$G$106:$G$117,0)))*conv_2026*X$7</f>
        <v>-361321.02466214693</v>
      </c>
      <c r="Y56" s="31">
        <f>(INDEX(Option4!Y$106:Y$117, MATCH($D56, Option4!$G$106:$G$117,0)))*conv_2026*Y$7</f>
        <v>-305592.01253991551</v>
      </c>
      <c r="Z56" s="31">
        <f>(INDEX(Option4!Z$106:Z$117, MATCH($D56, Option4!$G$106:$G$117,0)))*conv_2026*Z$7</f>
        <v>0</v>
      </c>
      <c r="AA56" s="31">
        <f>(INDEX(Option4!AA$106:AA$117, MATCH($D56, Option4!$G$106:$G$117,0)))*conv_2026*AA$7</f>
        <v>0</v>
      </c>
      <c r="AB56" s="31">
        <f>(INDEX(Option4!AB$106:AB$117, MATCH($D56, Option4!$G$106:$G$117,0)))*conv_2026*AB$7</f>
        <v>0</v>
      </c>
      <c r="AC56" s="31">
        <f>(INDEX(Option4!AC$106:AC$117, MATCH($D56, Option4!$G$106:$G$117,0)))*conv_2026*AC$7</f>
        <v>0</v>
      </c>
      <c r="AD56" s="31">
        <f>(INDEX(Option4!AD$106:AD$117, MATCH($D56, Option4!$G$106:$G$117,0)))*conv_2026*AD$7</f>
        <v>0</v>
      </c>
      <c r="AE56" s="31">
        <f>(INDEX(Option4!AE$106:AE$117, MATCH($D56, Option4!$G$106:$G$117,0)))*conv_2026*AE$7</f>
        <v>0</v>
      </c>
      <c r="AF56" s="31">
        <f>(INDEX(Option4!AF$106:AF$117, MATCH($D56, Option4!$G$106:$G$117,0)))*conv_2026*AF$7</f>
        <v>0</v>
      </c>
      <c r="AG56" s="31">
        <f>(INDEX(Option4!AG$106:AG$117, MATCH($D56, Option4!$G$106:$G$117,0)))*conv_2026*AG$7</f>
        <v>0</v>
      </c>
      <c r="AH56" s="7"/>
      <c r="AI56" s="7"/>
    </row>
    <row r="57" spans="1:35" s="8" customFormat="1" x14ac:dyDescent="0.2">
      <c r="A57" s="245"/>
      <c r="B57" s="245"/>
      <c r="C57" s="245"/>
      <c r="D57" s="245"/>
      <c r="E57" s="245"/>
      <c r="F57" s="245"/>
      <c r="G57" s="246"/>
      <c r="H57" s="246"/>
      <c r="I57" s="246"/>
      <c r="J57" s="246"/>
      <c r="K57" s="246"/>
      <c r="L57" s="246"/>
      <c r="M57" s="246"/>
      <c r="N57" s="246"/>
      <c r="O57" s="246"/>
      <c r="P57" s="246"/>
      <c r="Q57" s="246"/>
      <c r="R57" s="246"/>
      <c r="S57" s="246"/>
      <c r="T57" s="246"/>
      <c r="U57" s="246"/>
      <c r="V57" s="246"/>
      <c r="W57" s="246"/>
      <c r="X57" s="246"/>
      <c r="Y57" s="246"/>
      <c r="Z57" s="246"/>
      <c r="AA57" s="246"/>
      <c r="AB57" s="246"/>
      <c r="AC57" s="246"/>
      <c r="AD57" s="246"/>
      <c r="AE57" s="246"/>
      <c r="AF57" s="246"/>
      <c r="AG57" s="246"/>
      <c r="AH57" s="7"/>
      <c r="AI57" s="7"/>
    </row>
    <row r="58" spans="1:35" s="8" customFormat="1" x14ac:dyDescent="0.2">
      <c r="A58" s="253" t="s">
        <v>133</v>
      </c>
      <c r="B58" s="253" t="str">
        <f>Option4!A110</f>
        <v>sens1</v>
      </c>
      <c r="C58" s="253" t="str">
        <f>Option4!C110</f>
        <v>Capex 10% higher</v>
      </c>
      <c r="D58" s="253" t="str">
        <f t="shared" ref="D58:D65" si="7">A58&amp;B58</f>
        <v>Option 4sens1</v>
      </c>
      <c r="E58" s="254"/>
      <c r="F58" s="31">
        <f t="shared" si="6"/>
        <v>-88208.751476442383</v>
      </c>
      <c r="G58" s="246"/>
      <c r="H58" s="31">
        <f>(INDEX(Option4!H$106:H$117, MATCH($D58, Option4!$G$106:$G$117,0)))*conv_2026*H$7</f>
        <v>0</v>
      </c>
      <c r="I58" s="31">
        <f>(INDEX(Option4!I$106:I$117, MATCH($D58, Option4!$G$106:$G$117,0)))*conv_2026*I$7</f>
        <v>495826.88711068436</v>
      </c>
      <c r="J58" s="31">
        <f>(INDEX(Option4!J$106:J$117, MATCH($D58, Option4!$G$106:$G$117,0)))*conv_2026*J$7</f>
        <v>679722.59132280643</v>
      </c>
      <c r="K58" s="31">
        <f>(INDEX(Option4!K$106:K$117, MATCH($D58, Option4!$G$106:$G$117,0)))*conv_2026*K$7</f>
        <v>343571.37752889952</v>
      </c>
      <c r="L58" s="31">
        <f>(INDEX(Option4!L$106:L$117, MATCH($D58, Option4!$G$106:$G$117,0)))*conv_2026*L$7</f>
        <v>343571.37752889952</v>
      </c>
      <c r="M58" s="31">
        <f>(INDEX(Option4!M$106:M$117, MATCH($D58, Option4!$G$106:$G$117,0)))*conv_2026*M$7</f>
        <v>343571.37752889952</v>
      </c>
      <c r="N58" s="31">
        <f>(INDEX(Option4!N$106:N$117, MATCH($D58, Option4!$G$106:$G$117,0)))*conv_2026*N$7</f>
        <v>-172576.42675244599</v>
      </c>
      <c r="O58" s="31">
        <f>(INDEX(Option4!O$106:O$117, MATCH($D58, Option4!$G$106:$G$117,0)))*conv_2026*O$7</f>
        <v>-172576.42675244599</v>
      </c>
      <c r="P58" s="31">
        <f>(INDEX(Option4!P$106:P$117, MATCH($D58, Option4!$G$106:$G$117,0)))*conv_2026*P$7</f>
        <v>-172576.42675244599</v>
      </c>
      <c r="Q58" s="31">
        <f>(INDEX(Option4!Q$106:Q$117, MATCH($D58, Option4!$G$106:$G$117,0)))*conv_2026*Q$7</f>
        <v>-491076.948911755</v>
      </c>
      <c r="R58" s="31">
        <f>(INDEX(Option4!R$106:R$117, MATCH($D58, Option4!$G$106:$G$117,0)))*conv_2026*R$7</f>
        <v>-491076.948911755</v>
      </c>
      <c r="S58" s="31">
        <f>(INDEX(Option4!S$106:S$117, MATCH($D58, Option4!$G$106:$G$117,0)))*conv_2026*S$7</f>
        <v>-172576.42675244599</v>
      </c>
      <c r="T58" s="31">
        <f>(INDEX(Option4!T$106:T$117, MATCH($D58, Option4!$G$106:$G$117,0)))*conv_2026*T$7</f>
        <v>-172576.42675244599</v>
      </c>
      <c r="U58" s="31">
        <f>(INDEX(Option4!U$106:U$117, MATCH($D58, Option4!$G$106:$G$117,0)))*conv_2026*U$7</f>
        <v>-172576.42675244599</v>
      </c>
      <c r="V58" s="31">
        <f>(INDEX(Option4!V$106:V$117, MATCH($D58, Option4!$G$106:$G$117,0)))*conv_2026*V$7</f>
        <v>-172576.42675244599</v>
      </c>
      <c r="W58" s="31">
        <f>(INDEX(Option4!W$106:W$117, MATCH($D58, Option4!$G$106:$G$117,0)))*conv_2026*W$7</f>
        <v>-172576.42675244599</v>
      </c>
      <c r="X58" s="31">
        <f>(INDEX(Option4!X$106:X$117, MATCH($D58, Option4!$G$106:$G$117,0)))*conv_2026*X$7</f>
        <v>-422439.42717013007</v>
      </c>
      <c r="Y58" s="31">
        <f>(INDEX(Option4!Y$106:Y$117, MATCH($D58, Option4!$G$106:$G$117,0)))*conv_2026*Y$7</f>
        <v>-336151.21379390708</v>
      </c>
      <c r="Z58" s="31">
        <f>(INDEX(Option4!Z$106:Z$117, MATCH($D58, Option4!$G$106:$G$117,0)))*conv_2026*Z$7</f>
        <v>0</v>
      </c>
      <c r="AA58" s="31">
        <f>(INDEX(Option4!AA$106:AA$117, MATCH($D58, Option4!$G$106:$G$117,0)))*conv_2026*AA$7</f>
        <v>0</v>
      </c>
      <c r="AB58" s="31">
        <f>(INDEX(Option4!AB$106:AB$117, MATCH($D58, Option4!$G$106:$G$117,0)))*conv_2026*AB$7</f>
        <v>0</v>
      </c>
      <c r="AC58" s="31">
        <f>(INDEX(Option4!AC$106:AC$117, MATCH($D58, Option4!$G$106:$G$117,0)))*conv_2026*AC$7</f>
        <v>0</v>
      </c>
      <c r="AD58" s="31">
        <f>(INDEX(Option4!AD$106:AD$117, MATCH($D58, Option4!$G$106:$G$117,0)))*conv_2026*AD$7</f>
        <v>0</v>
      </c>
      <c r="AE58" s="31">
        <f>(INDEX(Option4!AE$106:AE$117, MATCH($D58, Option4!$G$106:$G$117,0)))*conv_2026*AE$7</f>
        <v>0</v>
      </c>
      <c r="AF58" s="31">
        <f>(INDEX(Option4!AF$106:AF$117, MATCH($D58, Option4!$G$106:$G$117,0)))*conv_2026*AF$7</f>
        <v>0</v>
      </c>
      <c r="AG58" s="31">
        <f>(INDEX(Option4!AG$106:AG$117, MATCH($D58, Option4!$G$106:$G$117,0)))*conv_2026*AG$7</f>
        <v>0</v>
      </c>
      <c r="AH58" s="7"/>
      <c r="AI58" s="7"/>
    </row>
    <row r="59" spans="1:35" s="8" customFormat="1" x14ac:dyDescent="0.2">
      <c r="A59" s="253" t="s">
        <v>133</v>
      </c>
      <c r="B59" s="253" t="str">
        <f>Option4!A111</f>
        <v>sens2</v>
      </c>
      <c r="C59" s="253" t="str">
        <f>Option4!C111</f>
        <v>Capex 10% lower</v>
      </c>
      <c r="D59" s="253" t="str">
        <f t="shared" si="7"/>
        <v>Option 4sens2</v>
      </c>
      <c r="E59" s="254"/>
      <c r="F59" s="31">
        <f t="shared" si="6"/>
        <v>1272235.482186232</v>
      </c>
      <c r="G59" s="253"/>
      <c r="H59" s="31">
        <f>(INDEX(Option4!H$106:H$117, MATCH($D59, Option4!$G$106:$G$117,0)))*conv_2026*H$7</f>
        <v>0</v>
      </c>
      <c r="I59" s="31">
        <f>(INDEX(Option4!I$106:I$117, MATCH($D59, Option4!$G$106:$G$117,0)))*conv_2026*I$7</f>
        <v>495826.88711068436</v>
      </c>
      <c r="J59" s="31">
        <f>(INDEX(Option4!J$106:J$117, MATCH($D59, Option4!$G$106:$G$117,0)))*conv_2026*J$7</f>
        <v>740840.99383078958</v>
      </c>
      <c r="K59" s="31">
        <f>(INDEX(Option4!K$106:K$117, MATCH($D59, Option4!$G$106:$G$117,0)))*conv_2026*K$7</f>
        <v>465808.1825448657</v>
      </c>
      <c r="L59" s="31">
        <f>(INDEX(Option4!L$106:L$117, MATCH($D59, Option4!$G$106:$G$117,0)))*conv_2026*L$7</f>
        <v>465808.1825448657</v>
      </c>
      <c r="M59" s="31">
        <f>(INDEX(Option4!M$106:M$117, MATCH($D59, Option4!$G$106:$G$117,0)))*conv_2026*M$7</f>
        <v>465808.1825448657</v>
      </c>
      <c r="N59" s="31">
        <f>(INDEX(Option4!N$106:N$117, MATCH($D59, Option4!$G$106:$G$117,0)))*conv_2026*N$7</f>
        <v>-50339.621736479785</v>
      </c>
      <c r="O59" s="31">
        <f>(INDEX(Option4!O$106:O$117, MATCH($D59, Option4!$G$106:$G$117,0)))*conv_2026*O$7</f>
        <v>-50339.621736479785</v>
      </c>
      <c r="P59" s="31">
        <f>(INDEX(Option4!P$106:P$117, MATCH($D59, Option4!$G$106:$G$117,0)))*conv_2026*P$7</f>
        <v>-50339.621736479785</v>
      </c>
      <c r="Q59" s="31">
        <f>(INDEX(Option4!Q$106:Q$117, MATCH($D59, Option4!$G$106:$G$117,0)))*conv_2026*Q$7</f>
        <v>-368840.14389578882</v>
      </c>
      <c r="R59" s="31">
        <f>(INDEX(Option4!R$106:R$117, MATCH($D59, Option4!$G$106:$G$117,0)))*conv_2026*R$7</f>
        <v>-368840.14389578882</v>
      </c>
      <c r="S59" s="31">
        <f>(INDEX(Option4!S$106:S$117, MATCH($D59, Option4!$G$106:$G$117,0)))*conv_2026*S$7</f>
        <v>-50339.621736479785</v>
      </c>
      <c r="T59" s="31">
        <f>(INDEX(Option4!T$106:T$117, MATCH($D59, Option4!$G$106:$G$117,0)))*conv_2026*T$7</f>
        <v>-50339.621736479785</v>
      </c>
      <c r="U59" s="31">
        <f>(INDEX(Option4!U$106:U$117, MATCH($D59, Option4!$G$106:$G$117,0)))*conv_2026*U$7</f>
        <v>-50339.621736479785</v>
      </c>
      <c r="V59" s="31">
        <f>(INDEX(Option4!V$106:V$117, MATCH($D59, Option4!$G$106:$G$117,0)))*conv_2026*V$7</f>
        <v>-50339.621736479785</v>
      </c>
      <c r="W59" s="31">
        <f>(INDEX(Option4!W$106:W$117, MATCH($D59, Option4!$G$106:$G$117,0)))*conv_2026*W$7</f>
        <v>-50339.621736479785</v>
      </c>
      <c r="X59" s="31">
        <f>(INDEX(Option4!X$106:X$117, MATCH($D59, Option4!$G$106:$G$117,0)))*conv_2026*X$7</f>
        <v>-300202.62215416384</v>
      </c>
      <c r="Y59" s="31">
        <f>(INDEX(Option4!Y$106:Y$117, MATCH($D59, Option4!$G$106:$G$117,0)))*conv_2026*Y$7</f>
        <v>-275032.81128592393</v>
      </c>
      <c r="Z59" s="31">
        <f>(INDEX(Option4!Z$106:Z$117, MATCH($D59, Option4!$G$106:$G$117,0)))*conv_2026*Z$7</f>
        <v>0</v>
      </c>
      <c r="AA59" s="31">
        <f>(INDEX(Option4!AA$106:AA$117, MATCH($D59, Option4!$G$106:$G$117,0)))*conv_2026*AA$7</f>
        <v>0</v>
      </c>
      <c r="AB59" s="31">
        <f>(INDEX(Option4!AB$106:AB$117, MATCH($D59, Option4!$G$106:$G$117,0)))*conv_2026*AB$7</f>
        <v>0</v>
      </c>
      <c r="AC59" s="31">
        <f>(INDEX(Option4!AC$106:AC$117, MATCH($D59, Option4!$G$106:$G$117,0)))*conv_2026*AC$7</f>
        <v>0</v>
      </c>
      <c r="AD59" s="31">
        <f>(INDEX(Option4!AD$106:AD$117, MATCH($D59, Option4!$G$106:$G$117,0)))*conv_2026*AD$7</f>
        <v>0</v>
      </c>
      <c r="AE59" s="31">
        <f>(INDEX(Option4!AE$106:AE$117, MATCH($D59, Option4!$G$106:$G$117,0)))*conv_2026*AE$7</f>
        <v>0</v>
      </c>
      <c r="AF59" s="31">
        <f>(INDEX(Option4!AF$106:AF$117, MATCH($D59, Option4!$G$106:$G$117,0)))*conv_2026*AF$7</f>
        <v>0</v>
      </c>
      <c r="AG59" s="31">
        <f>(INDEX(Option4!AG$106:AG$117, MATCH($D59, Option4!$G$106:$G$117,0)))*conv_2026*AG$7</f>
        <v>0</v>
      </c>
    </row>
    <row r="60" spans="1:35" s="8" customFormat="1" x14ac:dyDescent="0.2">
      <c r="A60" s="253" t="s">
        <v>133</v>
      </c>
      <c r="B60" s="253" t="str">
        <f>Option4!A112</f>
        <v>sens3</v>
      </c>
      <c r="C60" s="253" t="str">
        <f>Option4!C112</f>
        <v>Total benefits 10% higher</v>
      </c>
      <c r="D60" s="253" t="str">
        <f t="shared" si="7"/>
        <v>Option 4sens3</v>
      </c>
      <c r="E60" s="254"/>
      <c r="F60" s="31">
        <f t="shared" si="6"/>
        <v>1790109.388592643</v>
      </c>
      <c r="H60" s="31">
        <f>(INDEX(Option4!H$106:H$117, MATCH($D60, Option4!$G$106:$G$117,0)))*conv_2026*H$7</f>
        <v>0</v>
      </c>
      <c r="I60" s="31">
        <f>(INDEX(Option4!I$106:I$117, MATCH($D60, Option4!$G$106:$G$117,0)))*conv_2026*I$7</f>
        <v>547831.57891128724</v>
      </c>
      <c r="J60" s="31">
        <f>(INDEX(Option4!J$106:J$117, MATCH($D60, Option4!$G$106:$G$117,0)))*conv_2026*J$7</f>
        <v>814291.17617800378</v>
      </c>
      <c r="K60" s="31">
        <f>(INDEX(Option4!K$106:K$117, MATCH($D60, Option4!$G$106:$G$117,0)))*conv_2026*K$7</f>
        <v>508699.16363808844</v>
      </c>
      <c r="L60" s="31">
        <f>(INDEX(Option4!L$106:L$117, MATCH($D60, Option4!$G$106:$G$117,0)))*conv_2026*L$7</f>
        <v>508699.16363808844</v>
      </c>
      <c r="M60" s="31">
        <f>(INDEX(Option4!M$106:M$117, MATCH($D60, Option4!$G$106:$G$117,0)))*conv_2026*M$7</f>
        <v>508699.16363808844</v>
      </c>
      <c r="N60" s="31">
        <f>(INDEX(Option4!N$106:N$117, MATCH($D60, Option4!$G$106:$G$117,0)))*conv_2026*N$7</f>
        <v>-7448.6406432570275</v>
      </c>
      <c r="O60" s="31">
        <f>(INDEX(Option4!O$106:O$117, MATCH($D60, Option4!$G$106:$G$117,0)))*conv_2026*O$7</f>
        <v>-7448.6406432570275</v>
      </c>
      <c r="P60" s="31">
        <f>(INDEX(Option4!P$106:P$117, MATCH($D60, Option4!$G$106:$G$117,0)))*conv_2026*P$7</f>
        <v>-7448.6406432570275</v>
      </c>
      <c r="Q60" s="31">
        <f>(INDEX(Option4!Q$106:Q$117, MATCH($D60, Option4!$G$106:$G$117,0)))*conv_2026*Q$7</f>
        <v>-325949.16280256608</v>
      </c>
      <c r="R60" s="31">
        <f>(INDEX(Option4!R$106:R$117, MATCH($D60, Option4!$G$106:$G$117,0)))*conv_2026*R$7</f>
        <v>-325949.16280256608</v>
      </c>
      <c r="S60" s="31">
        <f>(INDEX(Option4!S$106:S$117, MATCH($D60, Option4!$G$106:$G$117,0)))*conv_2026*S$7</f>
        <v>-7448.6406432570275</v>
      </c>
      <c r="T60" s="31">
        <f>(INDEX(Option4!T$106:T$117, MATCH($D60, Option4!$G$106:$G$117,0)))*conv_2026*T$7</f>
        <v>-7448.6406432570275</v>
      </c>
      <c r="U60" s="31">
        <f>(INDEX(Option4!U$106:U$117, MATCH($D60, Option4!$G$106:$G$117,0)))*conv_2026*U$7</f>
        <v>-7448.6406432570275</v>
      </c>
      <c r="V60" s="31">
        <f>(INDEX(Option4!V$106:V$117, MATCH($D60, Option4!$G$106:$G$117,0)))*conv_2026*V$7</f>
        <v>-7448.6406432570275</v>
      </c>
      <c r="W60" s="31">
        <f>(INDEX(Option4!W$106:W$117, MATCH($D60, Option4!$G$106:$G$117,0)))*conv_2026*W$7</f>
        <v>-7448.6406432570275</v>
      </c>
      <c r="X60" s="31">
        <f>(INDEX(Option4!X$106:X$117, MATCH($D60, Option4!$G$106:$G$117,0)))*conv_2026*X$7</f>
        <v>-309316.33286154404</v>
      </c>
      <c r="Y60" s="31">
        <f>(INDEX(Option4!Y$106:Y$117, MATCH($D60, Option4!$G$106:$G$117,0)))*conv_2026*Y$7</f>
        <v>-305592.01253991551</v>
      </c>
      <c r="Z60" s="31">
        <f>(INDEX(Option4!Z$106:Z$117, MATCH($D60, Option4!$G$106:$G$117,0)))*conv_2026*Z$7</f>
        <v>0</v>
      </c>
      <c r="AA60" s="31">
        <f>(INDEX(Option4!AA$106:AA$117, MATCH($D60, Option4!$G$106:$G$117,0)))*conv_2026*AA$7</f>
        <v>0</v>
      </c>
      <c r="AB60" s="31">
        <f>(INDEX(Option4!AB$106:AB$117, MATCH($D60, Option4!$G$106:$G$117,0)))*conv_2026*AB$7</f>
        <v>0</v>
      </c>
      <c r="AC60" s="31">
        <f>(INDEX(Option4!AC$106:AC$117, MATCH($D60, Option4!$G$106:$G$117,0)))*conv_2026*AC$7</f>
        <v>0</v>
      </c>
      <c r="AD60" s="31">
        <f>(INDEX(Option4!AD$106:AD$117, MATCH($D60, Option4!$G$106:$G$117,0)))*conv_2026*AD$7</f>
        <v>0</v>
      </c>
      <c r="AE60" s="31">
        <f>(INDEX(Option4!AE$106:AE$117, MATCH($D60, Option4!$G$106:$G$117,0)))*conv_2026*AE$7</f>
        <v>0</v>
      </c>
      <c r="AF60" s="31">
        <f>(INDEX(Option4!AF$106:AF$117, MATCH($D60, Option4!$G$106:$G$117,0)))*conv_2026*AF$7</f>
        <v>0</v>
      </c>
      <c r="AG60" s="31">
        <f>(INDEX(Option4!AG$106:AG$117, MATCH($D60, Option4!$G$106:$G$117,0)))*conv_2026*AG$7</f>
        <v>0</v>
      </c>
    </row>
    <row r="61" spans="1:35" s="8" customFormat="1" x14ac:dyDescent="0.2">
      <c r="A61" s="253" t="s">
        <v>133</v>
      </c>
      <c r="B61" s="253" t="str">
        <f>Option4!A113</f>
        <v>sens4</v>
      </c>
      <c r="C61" s="253" t="str">
        <f>Option4!C113</f>
        <v>Total benefits 10% lower</v>
      </c>
      <c r="D61" s="253" t="str">
        <f t="shared" si="7"/>
        <v>Option 4sens4</v>
      </c>
      <c r="E61" s="254"/>
      <c r="F61" s="31">
        <f t="shared" si="6"/>
        <v>-606082.65788285248</v>
      </c>
      <c r="H61" s="31">
        <f>(INDEX(Option4!H$106:H$117, MATCH($D61, Option4!$G$106:$G$117,0)))*conv_2026*H$7</f>
        <v>0</v>
      </c>
      <c r="I61" s="31">
        <f>(INDEX(Option4!I$106:I$117, MATCH($D61, Option4!$G$106:$G$117,0)))*conv_2026*I$7</f>
        <v>443822.19531008136</v>
      </c>
      <c r="J61" s="31">
        <f>(INDEX(Option4!J$106:J$117, MATCH($D61, Option4!$G$106:$G$117,0)))*conv_2026*J$7</f>
        <v>606272.40897559223</v>
      </c>
      <c r="K61" s="31">
        <f>(INDEX(Option4!K$106:K$117, MATCH($D61, Option4!$G$106:$G$117,0)))*conv_2026*K$7</f>
        <v>300680.39643567672</v>
      </c>
      <c r="L61" s="31">
        <f>(INDEX(Option4!L$106:L$117, MATCH($D61, Option4!$G$106:$G$117,0)))*conv_2026*L$7</f>
        <v>300680.39643567672</v>
      </c>
      <c r="M61" s="31">
        <f>(INDEX(Option4!M$106:M$117, MATCH($D61, Option4!$G$106:$G$117,0)))*conv_2026*M$7</f>
        <v>300680.39643567672</v>
      </c>
      <c r="N61" s="31">
        <f>(INDEX(Option4!N$106:N$117, MATCH($D61, Option4!$G$106:$G$117,0)))*conv_2026*N$7</f>
        <v>-215467.40784566873</v>
      </c>
      <c r="O61" s="31">
        <f>(INDEX(Option4!O$106:O$117, MATCH($D61, Option4!$G$106:$G$117,0)))*conv_2026*O$7</f>
        <v>-215467.40784566873</v>
      </c>
      <c r="P61" s="31">
        <f>(INDEX(Option4!P$106:P$117, MATCH($D61, Option4!$G$106:$G$117,0)))*conv_2026*P$7</f>
        <v>-215467.40784566873</v>
      </c>
      <c r="Q61" s="31">
        <f>(INDEX(Option4!Q$106:Q$117, MATCH($D61, Option4!$G$106:$G$117,0)))*conv_2026*Q$7</f>
        <v>-533967.93000497774</v>
      </c>
      <c r="R61" s="31">
        <f>(INDEX(Option4!R$106:R$117, MATCH($D61, Option4!$G$106:$G$117,0)))*conv_2026*R$7</f>
        <v>-533967.93000497774</v>
      </c>
      <c r="S61" s="31">
        <f>(INDEX(Option4!S$106:S$117, MATCH($D61, Option4!$G$106:$G$117,0)))*conv_2026*S$7</f>
        <v>-215467.40784566873</v>
      </c>
      <c r="T61" s="31">
        <f>(INDEX(Option4!T$106:T$117, MATCH($D61, Option4!$G$106:$G$117,0)))*conv_2026*T$7</f>
        <v>-215467.40784566873</v>
      </c>
      <c r="U61" s="31">
        <f>(INDEX(Option4!U$106:U$117, MATCH($D61, Option4!$G$106:$G$117,0)))*conv_2026*U$7</f>
        <v>-215467.40784566873</v>
      </c>
      <c r="V61" s="31">
        <f>(INDEX(Option4!V$106:V$117, MATCH($D61, Option4!$G$106:$G$117,0)))*conv_2026*V$7</f>
        <v>-215467.40784566873</v>
      </c>
      <c r="W61" s="31">
        <f>(INDEX(Option4!W$106:W$117, MATCH($D61, Option4!$G$106:$G$117,0)))*conv_2026*W$7</f>
        <v>-215467.40784566873</v>
      </c>
      <c r="X61" s="31">
        <f>(INDEX(Option4!X$106:X$117, MATCH($D61, Option4!$G$106:$G$117,0)))*conv_2026*X$7</f>
        <v>-413325.71646274987</v>
      </c>
      <c r="Y61" s="31">
        <f>(INDEX(Option4!Y$106:Y$117, MATCH($D61, Option4!$G$106:$G$117,0)))*conv_2026*Y$7</f>
        <v>-305592.01253991551</v>
      </c>
      <c r="Z61" s="31">
        <f>(INDEX(Option4!Z$106:Z$117, MATCH($D61, Option4!$G$106:$G$117,0)))*conv_2026*Z$7</f>
        <v>0</v>
      </c>
      <c r="AA61" s="31">
        <f>(INDEX(Option4!AA$106:AA$117, MATCH($D61, Option4!$G$106:$G$117,0)))*conv_2026*AA$7</f>
        <v>0</v>
      </c>
      <c r="AB61" s="31">
        <f>(INDEX(Option4!AB$106:AB$117, MATCH($D61, Option4!$G$106:$G$117,0)))*conv_2026*AB$7</f>
        <v>0</v>
      </c>
      <c r="AC61" s="31">
        <f>(INDEX(Option4!AC$106:AC$117, MATCH($D61, Option4!$G$106:$G$117,0)))*conv_2026*AC$7</f>
        <v>0</v>
      </c>
      <c r="AD61" s="31">
        <f>(INDEX(Option4!AD$106:AD$117, MATCH($D61, Option4!$G$106:$G$117,0)))*conv_2026*AD$7</f>
        <v>0</v>
      </c>
      <c r="AE61" s="31">
        <f>(INDEX(Option4!AE$106:AE$117, MATCH($D61, Option4!$G$106:$G$117,0)))*conv_2026*AE$7</f>
        <v>0</v>
      </c>
      <c r="AF61" s="31">
        <f>(INDEX(Option4!AF$106:AF$117, MATCH($D61, Option4!$G$106:$G$117,0)))*conv_2026*AF$7</f>
        <v>0</v>
      </c>
      <c r="AG61" s="31">
        <f>(INDEX(Option4!AG$106:AG$117, MATCH($D61, Option4!$G$106:$G$117,0)))*conv_2026*AG$7</f>
        <v>0</v>
      </c>
    </row>
    <row r="62" spans="1:35" s="8" customFormat="1" x14ac:dyDescent="0.2">
      <c r="A62" s="253" t="s">
        <v>133</v>
      </c>
      <c r="B62" s="253" t="str">
        <f>Option4!A114</f>
        <v>sens5</v>
      </c>
      <c r="C62" s="253" t="str">
        <f>Option4!C114</f>
        <v>Capex 10% higher &amp; Total benefits 10% lower</v>
      </c>
      <c r="D62" s="253" t="str">
        <f t="shared" si="7"/>
        <v>Option 4sens5</v>
      </c>
      <c r="E62" s="254"/>
      <c r="F62" s="31">
        <f t="shared" si="6"/>
        <v>-1286304.7747141896</v>
      </c>
      <c r="H62" s="31">
        <f>(INDEX(Option4!H$106:H$117, MATCH($D62, Option4!$G$106:$G$117,0)))*conv_2026*H$7</f>
        <v>0</v>
      </c>
      <c r="I62" s="31">
        <f>(INDEX(Option4!I$106:I$117, MATCH($D62, Option4!$G$106:$G$117,0)))*conv_2026*I$7</f>
        <v>443822.19531008136</v>
      </c>
      <c r="J62" s="31">
        <f>(INDEX(Option4!J$106:J$117, MATCH($D62, Option4!$G$106:$G$117,0)))*conv_2026*J$7</f>
        <v>575713.20772160054</v>
      </c>
      <c r="K62" s="31">
        <f>(INDEX(Option4!K$106:K$117, MATCH($D62, Option4!$G$106:$G$117,0)))*conv_2026*K$7</f>
        <v>239561.99392769363</v>
      </c>
      <c r="L62" s="31">
        <f>(INDEX(Option4!L$106:L$117, MATCH($D62, Option4!$G$106:$G$117,0)))*conv_2026*L$7</f>
        <v>239561.99392769363</v>
      </c>
      <c r="M62" s="31">
        <f>(INDEX(Option4!M$106:M$117, MATCH($D62, Option4!$G$106:$G$117,0)))*conv_2026*M$7</f>
        <v>239561.99392769363</v>
      </c>
      <c r="N62" s="31">
        <f>(INDEX(Option4!N$106:N$117, MATCH($D62, Option4!$G$106:$G$117,0)))*conv_2026*N$7</f>
        <v>-276585.81035365182</v>
      </c>
      <c r="O62" s="31">
        <f>(INDEX(Option4!O$106:O$117, MATCH($D62, Option4!$G$106:$G$117,0)))*conv_2026*O$7</f>
        <v>-276585.81035365182</v>
      </c>
      <c r="P62" s="31">
        <f>(INDEX(Option4!P$106:P$117, MATCH($D62, Option4!$G$106:$G$117,0)))*conv_2026*P$7</f>
        <v>-276585.81035365182</v>
      </c>
      <c r="Q62" s="31">
        <f>(INDEX(Option4!Q$106:Q$117, MATCH($D62, Option4!$G$106:$G$117,0)))*conv_2026*Q$7</f>
        <v>-595086.33251296077</v>
      </c>
      <c r="R62" s="31">
        <f>(INDEX(Option4!R$106:R$117, MATCH($D62, Option4!$G$106:$G$117,0)))*conv_2026*R$7</f>
        <v>-595086.33251296077</v>
      </c>
      <c r="S62" s="31">
        <f>(INDEX(Option4!S$106:S$117, MATCH($D62, Option4!$G$106:$G$117,0)))*conv_2026*S$7</f>
        <v>-276585.81035365182</v>
      </c>
      <c r="T62" s="31">
        <f>(INDEX(Option4!T$106:T$117, MATCH($D62, Option4!$G$106:$G$117,0)))*conv_2026*T$7</f>
        <v>-276585.81035365182</v>
      </c>
      <c r="U62" s="31">
        <f>(INDEX(Option4!U$106:U$117, MATCH($D62, Option4!$G$106:$G$117,0)))*conv_2026*U$7</f>
        <v>-276585.81035365182</v>
      </c>
      <c r="V62" s="31">
        <f>(INDEX(Option4!V$106:V$117, MATCH($D62, Option4!$G$106:$G$117,0)))*conv_2026*V$7</f>
        <v>-276585.81035365182</v>
      </c>
      <c r="W62" s="31">
        <f>(INDEX(Option4!W$106:W$117, MATCH($D62, Option4!$G$106:$G$117,0)))*conv_2026*W$7</f>
        <v>-276585.81035365182</v>
      </c>
      <c r="X62" s="31">
        <f>(INDEX(Option4!X$106:X$117, MATCH($D62, Option4!$G$106:$G$117,0)))*conv_2026*X$7</f>
        <v>-474444.11897073296</v>
      </c>
      <c r="Y62" s="31">
        <f>(INDEX(Option4!Y$106:Y$117, MATCH($D62, Option4!$G$106:$G$117,0)))*conv_2026*Y$7</f>
        <v>-336151.21379390708</v>
      </c>
      <c r="Z62" s="31">
        <f>(INDEX(Option4!Z$106:Z$117, MATCH($D62, Option4!$G$106:$G$117,0)))*conv_2026*Z$7</f>
        <v>0</v>
      </c>
      <c r="AA62" s="31">
        <f>(INDEX(Option4!AA$106:AA$117, MATCH($D62, Option4!$G$106:$G$117,0)))*conv_2026*AA$7</f>
        <v>0</v>
      </c>
      <c r="AB62" s="31">
        <f>(INDEX(Option4!AB$106:AB$117, MATCH($D62, Option4!$G$106:$G$117,0)))*conv_2026*AB$7</f>
        <v>0</v>
      </c>
      <c r="AC62" s="31">
        <f>(INDEX(Option4!AC$106:AC$117, MATCH($D62, Option4!$G$106:$G$117,0)))*conv_2026*AC$7</f>
        <v>0</v>
      </c>
      <c r="AD62" s="31">
        <f>(INDEX(Option4!AD$106:AD$117, MATCH($D62, Option4!$G$106:$G$117,0)))*conv_2026*AD$7</f>
        <v>0</v>
      </c>
      <c r="AE62" s="31">
        <f>(INDEX(Option4!AE$106:AE$117, MATCH($D62, Option4!$G$106:$G$117,0)))*conv_2026*AE$7</f>
        <v>0</v>
      </c>
      <c r="AF62" s="31">
        <f>(INDEX(Option4!AF$106:AF$117, MATCH($D62, Option4!$G$106:$G$117,0)))*conv_2026*AF$7</f>
        <v>0</v>
      </c>
      <c r="AG62" s="31">
        <f>(INDEX(Option4!AG$106:AG$117, MATCH($D62, Option4!$G$106:$G$117,0)))*conv_2026*AG$7</f>
        <v>0</v>
      </c>
    </row>
    <row r="63" spans="1:35" s="8" customFormat="1" x14ac:dyDescent="0.2">
      <c r="A63" s="253" t="s">
        <v>133</v>
      </c>
      <c r="B63" s="253" t="str">
        <f>Option4!A115</f>
        <v>sens</v>
      </c>
      <c r="C63" s="253">
        <f>Option4!C115</f>
        <v>0</v>
      </c>
      <c r="D63" s="253" t="str">
        <f t="shared" si="7"/>
        <v>Option 4sens</v>
      </c>
      <c r="E63" s="254"/>
      <c r="F63" s="31">
        <f t="shared" si="6"/>
        <v>592013.36535489548</v>
      </c>
      <c r="H63" s="31">
        <f>(INDEX(Option4!H$106:H$117, MATCH($D63, Option4!$G$106:$G$117,0)))*conv_2026*H$7</f>
        <v>0</v>
      </c>
      <c r="I63" s="31">
        <f>(INDEX(Option4!I$106:I$117, MATCH($D63, Option4!$G$106:$G$117,0)))*conv_2026*I$7</f>
        <v>495826.88711068436</v>
      </c>
      <c r="J63" s="31">
        <f>(INDEX(Option4!J$106:J$117, MATCH($D63, Option4!$G$106:$G$117,0)))*conv_2026*J$7</f>
        <v>710281.79257679801</v>
      </c>
      <c r="K63" s="31">
        <f>(INDEX(Option4!K$106:K$117, MATCH($D63, Option4!$G$106:$G$117,0)))*conv_2026*K$7</f>
        <v>404689.78003688261</v>
      </c>
      <c r="L63" s="31">
        <f>(INDEX(Option4!L$106:L$117, MATCH($D63, Option4!$G$106:$G$117,0)))*conv_2026*L$7</f>
        <v>404689.78003688261</v>
      </c>
      <c r="M63" s="31">
        <f>(INDEX(Option4!M$106:M$117, MATCH($D63, Option4!$G$106:$G$117,0)))*conv_2026*M$7</f>
        <v>404689.78003688261</v>
      </c>
      <c r="N63" s="31">
        <f>(INDEX(Option4!N$106:N$117, MATCH($D63, Option4!$G$106:$G$117,0)))*conv_2026*N$7</f>
        <v>-111458.02424446288</v>
      </c>
      <c r="O63" s="31">
        <f>(INDEX(Option4!O$106:O$117, MATCH($D63, Option4!$G$106:$G$117,0)))*conv_2026*O$7</f>
        <v>-111458.02424446288</v>
      </c>
      <c r="P63" s="31">
        <f>(INDEX(Option4!P$106:P$117, MATCH($D63, Option4!$G$106:$G$117,0)))*conv_2026*P$7</f>
        <v>-111458.02424446288</v>
      </c>
      <c r="Q63" s="31">
        <f>(INDEX(Option4!Q$106:Q$117, MATCH($D63, Option4!$G$106:$G$117,0)))*conv_2026*Q$7</f>
        <v>-429958.54640377191</v>
      </c>
      <c r="R63" s="31">
        <f>(INDEX(Option4!R$106:R$117, MATCH($D63, Option4!$G$106:$G$117,0)))*conv_2026*R$7</f>
        <v>-429958.54640377191</v>
      </c>
      <c r="S63" s="31">
        <f>(INDEX(Option4!S$106:S$117, MATCH($D63, Option4!$G$106:$G$117,0)))*conv_2026*S$7</f>
        <v>-111458.02424446288</v>
      </c>
      <c r="T63" s="31">
        <f>(INDEX(Option4!T$106:T$117, MATCH($D63, Option4!$G$106:$G$117,0)))*conv_2026*T$7</f>
        <v>-111458.02424446288</v>
      </c>
      <c r="U63" s="31">
        <f>(INDEX(Option4!U$106:U$117, MATCH($D63, Option4!$G$106:$G$117,0)))*conv_2026*U$7</f>
        <v>-111458.02424446288</v>
      </c>
      <c r="V63" s="31">
        <f>(INDEX(Option4!V$106:V$117, MATCH($D63, Option4!$G$106:$G$117,0)))*conv_2026*V$7</f>
        <v>-111458.02424446288</v>
      </c>
      <c r="W63" s="31">
        <f>(INDEX(Option4!W$106:W$117, MATCH($D63, Option4!$G$106:$G$117,0)))*conv_2026*W$7</f>
        <v>-111458.02424446288</v>
      </c>
      <c r="X63" s="31">
        <f>(INDEX(Option4!X$106:X$117, MATCH($D63, Option4!$G$106:$G$117,0)))*conv_2026*X$7</f>
        <v>-361321.02466214693</v>
      </c>
      <c r="Y63" s="31">
        <f>(INDEX(Option4!Y$106:Y$117, MATCH($D63, Option4!$G$106:$G$117,0)))*conv_2026*Y$7</f>
        <v>-305592.01253991551</v>
      </c>
      <c r="Z63" s="31">
        <f>(INDEX(Option4!Z$106:Z$117, MATCH($D63, Option4!$G$106:$G$117,0)))*conv_2026*Z$7</f>
        <v>0</v>
      </c>
      <c r="AA63" s="31">
        <f>(INDEX(Option4!AA$106:AA$117, MATCH($D63, Option4!$G$106:$G$117,0)))*conv_2026*AA$7</f>
        <v>0</v>
      </c>
      <c r="AB63" s="31">
        <f>(INDEX(Option4!AB$106:AB$117, MATCH($D63, Option4!$G$106:$G$117,0)))*conv_2026*AB$7</f>
        <v>0</v>
      </c>
      <c r="AC63" s="31">
        <f>(INDEX(Option4!AC$106:AC$117, MATCH($D63, Option4!$G$106:$G$117,0)))*conv_2026*AC$7</f>
        <v>0</v>
      </c>
      <c r="AD63" s="31">
        <f>(INDEX(Option4!AD$106:AD$117, MATCH($D63, Option4!$G$106:$G$117,0)))*conv_2026*AD$7</f>
        <v>0</v>
      </c>
      <c r="AE63" s="31">
        <f>(INDEX(Option4!AE$106:AE$117, MATCH($D63, Option4!$G$106:$G$117,0)))*conv_2026*AE$7</f>
        <v>0</v>
      </c>
      <c r="AF63" s="31">
        <f>(INDEX(Option4!AF$106:AF$117, MATCH($D63, Option4!$G$106:$G$117,0)))*conv_2026*AF$7</f>
        <v>0</v>
      </c>
      <c r="AG63" s="31">
        <f>(INDEX(Option4!AG$106:AG$117, MATCH($D63, Option4!$G$106:$G$117,0)))*conv_2026*AG$7</f>
        <v>0</v>
      </c>
    </row>
    <row r="64" spans="1:35" s="8" customFormat="1" x14ac:dyDescent="0.2">
      <c r="A64" s="253" t="s">
        <v>133</v>
      </c>
      <c r="B64" s="253" t="str">
        <f>Option4!A116</f>
        <v>sens</v>
      </c>
      <c r="C64" s="253">
        <f>Option4!C116</f>
        <v>0</v>
      </c>
      <c r="D64" s="253" t="str">
        <f t="shared" si="7"/>
        <v>Option 4sens</v>
      </c>
      <c r="E64" s="254"/>
      <c r="F64" s="31">
        <f t="shared" si="6"/>
        <v>592013.36535489548</v>
      </c>
      <c r="H64" s="31">
        <f>(INDEX(Option4!H$106:H$117, MATCH($D64, Option4!$G$106:$G$117,0)))*conv_2026*H$7</f>
        <v>0</v>
      </c>
      <c r="I64" s="31">
        <f>(INDEX(Option4!I$106:I$117, MATCH($D64, Option4!$G$106:$G$117,0)))*conv_2026*I$7</f>
        <v>495826.88711068436</v>
      </c>
      <c r="J64" s="31">
        <f>(INDEX(Option4!J$106:J$117, MATCH($D64, Option4!$G$106:$G$117,0)))*conv_2026*J$7</f>
        <v>710281.79257679801</v>
      </c>
      <c r="K64" s="31">
        <f>(INDEX(Option4!K$106:K$117, MATCH($D64, Option4!$G$106:$G$117,0)))*conv_2026*K$7</f>
        <v>404689.78003688261</v>
      </c>
      <c r="L64" s="31">
        <f>(INDEX(Option4!L$106:L$117, MATCH($D64, Option4!$G$106:$G$117,0)))*conv_2026*L$7</f>
        <v>404689.78003688261</v>
      </c>
      <c r="M64" s="31">
        <f>(INDEX(Option4!M$106:M$117, MATCH($D64, Option4!$G$106:$G$117,0)))*conv_2026*M$7</f>
        <v>404689.78003688261</v>
      </c>
      <c r="N64" s="31">
        <f>(INDEX(Option4!N$106:N$117, MATCH($D64, Option4!$G$106:$G$117,0)))*conv_2026*N$7</f>
        <v>-111458.02424446288</v>
      </c>
      <c r="O64" s="31">
        <f>(INDEX(Option4!O$106:O$117, MATCH($D64, Option4!$G$106:$G$117,0)))*conv_2026*O$7</f>
        <v>-111458.02424446288</v>
      </c>
      <c r="P64" s="31">
        <f>(INDEX(Option4!P$106:P$117, MATCH($D64, Option4!$G$106:$G$117,0)))*conv_2026*P$7</f>
        <v>-111458.02424446288</v>
      </c>
      <c r="Q64" s="31">
        <f>(INDEX(Option4!Q$106:Q$117, MATCH($D64, Option4!$G$106:$G$117,0)))*conv_2026*Q$7</f>
        <v>-429958.54640377191</v>
      </c>
      <c r="R64" s="31">
        <f>(INDEX(Option4!R$106:R$117, MATCH($D64, Option4!$G$106:$G$117,0)))*conv_2026*R$7</f>
        <v>-429958.54640377191</v>
      </c>
      <c r="S64" s="31">
        <f>(INDEX(Option4!S$106:S$117, MATCH($D64, Option4!$G$106:$G$117,0)))*conv_2026*S$7</f>
        <v>-111458.02424446288</v>
      </c>
      <c r="T64" s="31">
        <f>(INDEX(Option4!T$106:T$117, MATCH($D64, Option4!$G$106:$G$117,0)))*conv_2026*T$7</f>
        <v>-111458.02424446288</v>
      </c>
      <c r="U64" s="31">
        <f>(INDEX(Option4!U$106:U$117, MATCH($D64, Option4!$G$106:$G$117,0)))*conv_2026*U$7</f>
        <v>-111458.02424446288</v>
      </c>
      <c r="V64" s="31">
        <f>(INDEX(Option4!V$106:V$117, MATCH($D64, Option4!$G$106:$G$117,0)))*conv_2026*V$7</f>
        <v>-111458.02424446288</v>
      </c>
      <c r="W64" s="31">
        <f>(INDEX(Option4!W$106:W$117, MATCH($D64, Option4!$G$106:$G$117,0)))*conv_2026*W$7</f>
        <v>-111458.02424446288</v>
      </c>
      <c r="X64" s="31">
        <f>(INDEX(Option4!X$106:X$117, MATCH($D64, Option4!$G$106:$G$117,0)))*conv_2026*X$7</f>
        <v>-361321.02466214693</v>
      </c>
      <c r="Y64" s="31">
        <f>(INDEX(Option4!Y$106:Y$117, MATCH($D64, Option4!$G$106:$G$117,0)))*conv_2026*Y$7</f>
        <v>-305592.01253991551</v>
      </c>
      <c r="Z64" s="31">
        <f>(INDEX(Option4!Z$106:Z$117, MATCH($D64, Option4!$G$106:$G$117,0)))*conv_2026*Z$7</f>
        <v>0</v>
      </c>
      <c r="AA64" s="31">
        <f>(INDEX(Option4!AA$106:AA$117, MATCH($D64, Option4!$G$106:$G$117,0)))*conv_2026*AA$7</f>
        <v>0</v>
      </c>
      <c r="AB64" s="31">
        <f>(INDEX(Option4!AB$106:AB$117, MATCH($D64, Option4!$G$106:$G$117,0)))*conv_2026*AB$7</f>
        <v>0</v>
      </c>
      <c r="AC64" s="31">
        <f>(INDEX(Option4!AC$106:AC$117, MATCH($D64, Option4!$G$106:$G$117,0)))*conv_2026*AC$7</f>
        <v>0</v>
      </c>
      <c r="AD64" s="31">
        <f>(INDEX(Option4!AD$106:AD$117, MATCH($D64, Option4!$G$106:$G$117,0)))*conv_2026*AD$7</f>
        <v>0</v>
      </c>
      <c r="AE64" s="31">
        <f>(INDEX(Option4!AE$106:AE$117, MATCH($D64, Option4!$G$106:$G$117,0)))*conv_2026*AE$7</f>
        <v>0</v>
      </c>
      <c r="AF64" s="31">
        <f>(INDEX(Option4!AF$106:AF$117, MATCH($D64, Option4!$G$106:$G$117,0)))*conv_2026*AF$7</f>
        <v>0</v>
      </c>
      <c r="AG64" s="31">
        <f>(INDEX(Option4!AG$106:AG$117, MATCH($D64, Option4!$G$106:$G$117,0)))*conv_2026*AG$7</f>
        <v>0</v>
      </c>
    </row>
    <row r="65" spans="1:35" s="8" customFormat="1" x14ac:dyDescent="0.2">
      <c r="A65" s="253" t="s">
        <v>133</v>
      </c>
      <c r="B65" s="253" t="str">
        <f>Option4!A117</f>
        <v>sens</v>
      </c>
      <c r="C65" s="253">
        <f>Option4!C117</f>
        <v>0</v>
      </c>
      <c r="D65" s="253" t="str">
        <f t="shared" si="7"/>
        <v>Option 4sens</v>
      </c>
      <c r="E65" s="254"/>
      <c r="F65" s="31">
        <f t="shared" si="6"/>
        <v>592013.36535489548</v>
      </c>
      <c r="H65" s="31">
        <f>(INDEX(Option4!H$106:H$117, MATCH($D65, Option4!$G$106:$G$117,0)))*conv_2026*H$7</f>
        <v>0</v>
      </c>
      <c r="I65" s="31">
        <f>(INDEX(Option4!I$106:I$117, MATCH($D65, Option4!$G$106:$G$117,0)))*conv_2026*I$7</f>
        <v>495826.88711068436</v>
      </c>
      <c r="J65" s="31">
        <f>(INDEX(Option4!J$106:J$117, MATCH($D65, Option4!$G$106:$G$117,0)))*conv_2026*J$7</f>
        <v>710281.79257679801</v>
      </c>
      <c r="K65" s="31">
        <f>(INDEX(Option4!K$106:K$117, MATCH($D65, Option4!$G$106:$G$117,0)))*conv_2026*K$7</f>
        <v>404689.78003688261</v>
      </c>
      <c r="L65" s="31">
        <f>(INDEX(Option4!L$106:L$117, MATCH($D65, Option4!$G$106:$G$117,0)))*conv_2026*L$7</f>
        <v>404689.78003688261</v>
      </c>
      <c r="M65" s="31">
        <f>(INDEX(Option4!M$106:M$117, MATCH($D65, Option4!$G$106:$G$117,0)))*conv_2026*M$7</f>
        <v>404689.78003688261</v>
      </c>
      <c r="N65" s="31">
        <f>(INDEX(Option4!N$106:N$117, MATCH($D65, Option4!$G$106:$G$117,0)))*conv_2026*N$7</f>
        <v>-111458.02424446288</v>
      </c>
      <c r="O65" s="31">
        <f>(INDEX(Option4!O$106:O$117, MATCH($D65, Option4!$G$106:$G$117,0)))*conv_2026*O$7</f>
        <v>-111458.02424446288</v>
      </c>
      <c r="P65" s="31">
        <f>(INDEX(Option4!P$106:P$117, MATCH($D65, Option4!$G$106:$G$117,0)))*conv_2026*P$7</f>
        <v>-111458.02424446288</v>
      </c>
      <c r="Q65" s="31">
        <f>(INDEX(Option4!Q$106:Q$117, MATCH($D65, Option4!$G$106:$G$117,0)))*conv_2026*Q$7</f>
        <v>-429958.54640377191</v>
      </c>
      <c r="R65" s="31">
        <f>(INDEX(Option4!R$106:R$117, MATCH($D65, Option4!$G$106:$G$117,0)))*conv_2026*R$7</f>
        <v>-429958.54640377191</v>
      </c>
      <c r="S65" s="31">
        <f>(INDEX(Option4!S$106:S$117, MATCH($D65, Option4!$G$106:$G$117,0)))*conv_2026*S$7</f>
        <v>-111458.02424446288</v>
      </c>
      <c r="T65" s="31">
        <f>(INDEX(Option4!T$106:T$117, MATCH($D65, Option4!$G$106:$G$117,0)))*conv_2026*T$7</f>
        <v>-111458.02424446288</v>
      </c>
      <c r="U65" s="31">
        <f>(INDEX(Option4!U$106:U$117, MATCH($D65, Option4!$G$106:$G$117,0)))*conv_2026*U$7</f>
        <v>-111458.02424446288</v>
      </c>
      <c r="V65" s="31">
        <f>(INDEX(Option4!V$106:V$117, MATCH($D65, Option4!$G$106:$G$117,0)))*conv_2026*V$7</f>
        <v>-111458.02424446288</v>
      </c>
      <c r="W65" s="31">
        <f>(INDEX(Option4!W$106:W$117, MATCH($D65, Option4!$G$106:$G$117,0)))*conv_2026*W$7</f>
        <v>-111458.02424446288</v>
      </c>
      <c r="X65" s="31">
        <f>(INDEX(Option4!X$106:X$117, MATCH($D65, Option4!$G$106:$G$117,0)))*conv_2026*X$7</f>
        <v>-361321.02466214693</v>
      </c>
      <c r="Y65" s="31">
        <f>(INDEX(Option4!Y$106:Y$117, MATCH($D65, Option4!$G$106:$G$117,0)))*conv_2026*Y$7</f>
        <v>-305592.01253991551</v>
      </c>
      <c r="Z65" s="31">
        <f>(INDEX(Option4!Z$106:Z$117, MATCH($D65, Option4!$G$106:$G$117,0)))*conv_2026*Z$7</f>
        <v>0</v>
      </c>
      <c r="AA65" s="31">
        <f>(INDEX(Option4!AA$106:AA$117, MATCH($D65, Option4!$G$106:$G$117,0)))*conv_2026*AA$7</f>
        <v>0</v>
      </c>
      <c r="AB65" s="31">
        <f>(INDEX(Option4!AB$106:AB$117, MATCH($D65, Option4!$G$106:$G$117,0)))*conv_2026*AB$7</f>
        <v>0</v>
      </c>
      <c r="AC65" s="31">
        <f>(INDEX(Option4!AC$106:AC$117, MATCH($D65, Option4!$G$106:$G$117,0)))*conv_2026*AC$7</f>
        <v>0</v>
      </c>
      <c r="AD65" s="31">
        <f>(INDEX(Option4!AD$106:AD$117, MATCH($D65, Option4!$G$106:$G$117,0)))*conv_2026*AD$7</f>
        <v>0</v>
      </c>
      <c r="AE65" s="31">
        <f>(INDEX(Option4!AE$106:AE$117, MATCH($D65, Option4!$G$106:$G$117,0)))*conv_2026*AE$7</f>
        <v>0</v>
      </c>
      <c r="AF65" s="31">
        <f>(INDEX(Option4!AF$106:AF$117, MATCH($D65, Option4!$G$106:$G$117,0)))*conv_2026*AF$7</f>
        <v>0</v>
      </c>
      <c r="AG65" s="31">
        <f>(INDEX(Option4!AG$106:AG$117, MATCH($D65, Option4!$G$106:$G$117,0)))*conv_2026*AG$7</f>
        <v>0</v>
      </c>
    </row>
    <row r="66" spans="1:35" s="8" customFormat="1" x14ac:dyDescent="0.2">
      <c r="A66" s="253"/>
      <c r="B66" s="253"/>
      <c r="C66" s="253"/>
      <c r="D66" s="253"/>
      <c r="E66" s="253"/>
      <c r="F66" s="31"/>
      <c r="H66" s="253"/>
      <c r="I66" s="253"/>
      <c r="J66" s="253"/>
      <c r="K66" s="253"/>
      <c r="L66" s="253"/>
      <c r="M66" s="253"/>
      <c r="N66" s="253"/>
      <c r="O66" s="253"/>
      <c r="P66" s="253"/>
      <c r="Q66" s="253"/>
      <c r="R66" s="253"/>
      <c r="S66" s="253"/>
      <c r="T66" s="253"/>
      <c r="U66" s="253"/>
      <c r="V66" s="253"/>
      <c r="W66" s="253"/>
      <c r="X66" s="253"/>
      <c r="Y66" s="253"/>
      <c r="Z66" s="253"/>
      <c r="AA66" s="253"/>
      <c r="AB66" s="253"/>
      <c r="AC66" s="253"/>
      <c r="AD66" s="253"/>
      <c r="AE66" s="253"/>
      <c r="AF66" s="253"/>
      <c r="AG66" s="253"/>
    </row>
    <row r="67" spans="1:35" s="8" customFormat="1" x14ac:dyDescent="0.2">
      <c r="A67" s="253"/>
      <c r="B67" s="253"/>
      <c r="C67" s="253"/>
      <c r="D67" s="253"/>
      <c r="E67" s="253"/>
      <c r="F67" s="31"/>
      <c r="H67" s="253"/>
      <c r="I67" s="253"/>
      <c r="J67" s="253"/>
      <c r="K67" s="253"/>
      <c r="L67" s="253"/>
      <c r="M67" s="253"/>
      <c r="N67" s="253"/>
      <c r="O67" s="253"/>
      <c r="P67" s="253"/>
      <c r="Q67" s="253"/>
      <c r="R67" s="253"/>
      <c r="S67" s="253"/>
      <c r="T67" s="253"/>
      <c r="U67" s="253"/>
      <c r="V67" s="253"/>
      <c r="W67" s="253"/>
      <c r="X67" s="253"/>
      <c r="Y67" s="253"/>
      <c r="Z67" s="253"/>
      <c r="AA67" s="253"/>
      <c r="AB67" s="253"/>
      <c r="AC67" s="253"/>
      <c r="AD67" s="253"/>
      <c r="AE67" s="253"/>
      <c r="AF67" s="253"/>
      <c r="AG67" s="253"/>
    </row>
    <row r="68" spans="1:35" s="8" customFormat="1" x14ac:dyDescent="0.2">
      <c r="A68" s="253"/>
      <c r="B68" s="253"/>
      <c r="C68" s="253"/>
      <c r="D68" s="253"/>
      <c r="E68" s="253"/>
      <c r="F68" s="31"/>
      <c r="H68" s="253"/>
      <c r="I68" s="253"/>
      <c r="J68" s="253"/>
      <c r="K68" s="253"/>
      <c r="L68" s="253"/>
      <c r="M68" s="253"/>
      <c r="N68" s="253"/>
      <c r="O68" s="253"/>
      <c r="P68" s="253"/>
      <c r="Q68" s="253"/>
      <c r="R68" s="253"/>
      <c r="S68" s="253"/>
      <c r="T68" s="253"/>
      <c r="U68" s="253"/>
      <c r="V68" s="253"/>
      <c r="W68" s="253"/>
      <c r="X68" s="253"/>
      <c r="Y68" s="253"/>
      <c r="Z68" s="253"/>
      <c r="AA68" s="253"/>
      <c r="AB68" s="253"/>
      <c r="AC68" s="253"/>
      <c r="AD68" s="253"/>
      <c r="AE68" s="253"/>
      <c r="AF68" s="253"/>
      <c r="AG68" s="253"/>
    </row>
    <row r="69" spans="1:35" s="8" customFormat="1" x14ac:dyDescent="0.2">
      <c r="A69" s="253"/>
      <c r="B69" s="253"/>
      <c r="C69" s="253"/>
      <c r="D69" s="253"/>
      <c r="E69" s="253"/>
      <c r="F69" s="31"/>
      <c r="H69" s="253"/>
      <c r="I69" s="253"/>
      <c r="J69" s="253"/>
      <c r="K69" s="253"/>
      <c r="L69" s="253"/>
      <c r="M69" s="253"/>
      <c r="N69" s="253"/>
      <c r="O69" s="253"/>
      <c r="P69" s="253"/>
      <c r="Q69" s="253"/>
      <c r="R69" s="253"/>
      <c r="S69" s="253"/>
      <c r="T69" s="253"/>
      <c r="U69" s="253"/>
      <c r="V69" s="253"/>
      <c r="W69" s="253"/>
      <c r="X69" s="253"/>
      <c r="Y69" s="253"/>
      <c r="Z69" s="253"/>
      <c r="AA69" s="253"/>
      <c r="AB69" s="253"/>
      <c r="AC69" s="253"/>
      <c r="AD69" s="253"/>
      <c r="AE69" s="253"/>
      <c r="AF69" s="253"/>
      <c r="AG69" s="253"/>
    </row>
    <row r="70" spans="1:35" s="8" customFormat="1" x14ac:dyDescent="0.2">
      <c r="A70" s="253" t="s">
        <v>153</v>
      </c>
      <c r="B70" s="253" t="s">
        <v>119</v>
      </c>
      <c r="C70" s="253" t="s">
        <v>186</v>
      </c>
      <c r="D70" s="253" t="str">
        <f>A70&amp;B70</f>
        <v>Option 5NPV</v>
      </c>
      <c r="E70" s="254"/>
      <c r="F70" s="31">
        <f t="shared" ref="F70:F79" si="8">SUMPRODUCT($H70:$AG70, $H$5:$AG$5)</f>
        <v>1721548.1311967603</v>
      </c>
      <c r="G70" s="246"/>
      <c r="H70" s="31">
        <f>(INDEX(Option5!H$106:H$117, MATCH($D70, Option5!$G$106:$G$117,0)))*conv_2026*H$7</f>
        <v>0</v>
      </c>
      <c r="I70" s="31">
        <f>(INDEX(Option5!I$106:I$117, MATCH($D70, Option5!$G$106:$G$117,0)))*conv_2026*I$7</f>
        <v>686083.59645974624</v>
      </c>
      <c r="J70" s="31">
        <f>(INDEX(Option5!J$106:J$117, MATCH($D70, Option5!$G$106:$G$117,0)))*conv_2026*J$7</f>
        <v>929837.1680961455</v>
      </c>
      <c r="K70" s="31">
        <f>(INDEX(Option5!K$106:K$117, MATCH($D70, Option5!$G$106:$G$117,0)))*conv_2026*K$7</f>
        <v>463287.11237745394</v>
      </c>
      <c r="L70" s="31">
        <f>(INDEX(Option5!L$106:L$117, MATCH($D70, Option5!$G$106:$G$117,0)))*conv_2026*L$7</f>
        <v>463287.11237745394</v>
      </c>
      <c r="M70" s="31">
        <f>(INDEX(Option5!M$106:M$117, MATCH($D70, Option5!$G$106:$G$117,0)))*conv_2026*M$7</f>
        <v>463287.11237745394</v>
      </c>
      <c r="N70" s="31">
        <f>(INDEX(Option5!N$106:N$117, MATCH($D70, Option5!$G$106:$G$117,0)))*conv_2026*N$7</f>
        <v>-52860.691903891544</v>
      </c>
      <c r="O70" s="31">
        <f>(INDEX(Option5!O$106:O$117, MATCH($D70, Option5!$G$106:$G$117,0)))*conv_2026*O$7</f>
        <v>-52860.691903891544</v>
      </c>
      <c r="P70" s="31">
        <f>(INDEX(Option5!P$106:P$117, MATCH($D70, Option5!$G$106:$G$117,0)))*conv_2026*P$7</f>
        <v>-52860.691903891544</v>
      </c>
      <c r="Q70" s="31">
        <f>(INDEX(Option5!Q$106:Q$117, MATCH($D70, Option5!$G$106:$G$117,0)))*conv_2026*Q$7</f>
        <v>-371361.21406320058</v>
      </c>
      <c r="R70" s="31">
        <f>(INDEX(Option5!R$106:R$117, MATCH($D70, Option5!$G$106:$G$117,0)))*conv_2026*R$7</f>
        <v>-371361.21406320058</v>
      </c>
      <c r="S70" s="31">
        <f>(INDEX(Option5!S$106:S$117, MATCH($D70, Option5!$G$106:$G$117,0)))*conv_2026*S$7</f>
        <v>-52860.691903891544</v>
      </c>
      <c r="T70" s="31">
        <f>(INDEX(Option5!T$106:T$117, MATCH($D70, Option5!$G$106:$G$117,0)))*conv_2026*T$7</f>
        <v>-52860.691903891544</v>
      </c>
      <c r="U70" s="31">
        <f>(INDEX(Option5!U$106:U$117, MATCH($D70, Option5!$G$106:$G$117,0)))*conv_2026*U$7</f>
        <v>-52860.691903891544</v>
      </c>
      <c r="V70" s="31">
        <f>(INDEX(Option5!V$106:V$117, MATCH($D70, Option5!$G$106:$G$117,0)))*conv_2026*V$7</f>
        <v>-52860.691903891544</v>
      </c>
      <c r="W70" s="31">
        <f>(INDEX(Option5!W$106:W$117, MATCH($D70, Option5!$G$106:$G$117,0)))*conv_2026*W$7</f>
        <v>-52860.691903891544</v>
      </c>
      <c r="X70" s="31">
        <f>(INDEX(Option5!X$106:X$117, MATCH($D70, Option5!$G$106:$G$117,0)))*conv_2026*X$7</f>
        <v>-302723.69232157548</v>
      </c>
      <c r="Y70" s="31">
        <f>(INDEX(Option5!Y$106:Y$117, MATCH($D70, Option5!$G$106:$G$117,0)))*conv_2026*Y$7</f>
        <v>-246994.68019934624</v>
      </c>
      <c r="Z70" s="31">
        <f>(INDEX(Option5!Z$106:Z$117, MATCH($D70, Option5!$G$106:$G$117,0)))*conv_2026*Z$7</f>
        <v>58597.332340569264</v>
      </c>
      <c r="AA70" s="31">
        <f>(INDEX(Option5!AA$106:AA$117, MATCH($D70, Option5!$G$106:$G$117,0)))*conv_2026*AA$7</f>
        <v>58597.332340569264</v>
      </c>
      <c r="AB70" s="31">
        <f>(INDEX(Option5!AB$106:AB$117, MATCH($D70, Option5!$G$106:$G$117,0)))*conv_2026*AB$7</f>
        <v>58597.332340569264</v>
      </c>
      <c r="AC70" s="31">
        <f>(INDEX(Option5!AC$106:AC$117, MATCH($D70, Option5!$G$106:$G$117,0)))*conv_2026*AC$7</f>
        <v>0</v>
      </c>
      <c r="AD70" s="31">
        <f>(INDEX(Option5!AD$106:AD$117, MATCH($D70, Option5!$G$106:$G$117,0)))*conv_2026*AD$7</f>
        <v>0</v>
      </c>
      <c r="AE70" s="31">
        <f>(INDEX(Option5!AE$106:AE$117, MATCH($D70, Option5!$G$106:$G$117,0)))*conv_2026*AE$7</f>
        <v>0</v>
      </c>
      <c r="AF70" s="31">
        <f>(INDEX(Option5!AF$106:AF$117, MATCH($D70, Option5!$G$106:$G$117,0)))*conv_2026*AF$7</f>
        <v>0</v>
      </c>
      <c r="AG70" s="31">
        <f>(INDEX(Option5!AG$106:AG$117, MATCH($D70, Option5!$G$106:$G$117,0)))*conv_2026*AG$7</f>
        <v>0</v>
      </c>
      <c r="AH70" s="7"/>
      <c r="AI70" s="7"/>
    </row>
    <row r="71" spans="1:35" s="8" customFormat="1" x14ac:dyDescent="0.2">
      <c r="A71" s="245"/>
      <c r="B71" s="245"/>
      <c r="C71" s="245"/>
      <c r="D71" s="245"/>
      <c r="E71" s="245"/>
      <c r="F71" s="245"/>
      <c r="G71" s="246"/>
      <c r="H71" s="246"/>
      <c r="I71" s="246"/>
      <c r="J71" s="246"/>
      <c r="K71" s="246"/>
      <c r="L71" s="246"/>
      <c r="M71" s="246"/>
      <c r="N71" s="246"/>
      <c r="O71" s="246"/>
      <c r="P71" s="246"/>
      <c r="Q71" s="246"/>
      <c r="R71" s="246"/>
      <c r="S71" s="246"/>
      <c r="T71" s="246"/>
      <c r="U71" s="246"/>
      <c r="V71" s="246"/>
      <c r="W71" s="246"/>
      <c r="X71" s="246"/>
      <c r="Y71" s="246"/>
      <c r="Z71" s="246"/>
      <c r="AA71" s="246"/>
      <c r="AB71" s="246"/>
      <c r="AC71" s="246"/>
      <c r="AD71" s="246"/>
      <c r="AE71" s="246"/>
      <c r="AF71" s="246"/>
      <c r="AG71" s="246"/>
      <c r="AH71" s="7"/>
      <c r="AI71" s="7"/>
    </row>
    <row r="72" spans="1:35" s="8" customFormat="1" x14ac:dyDescent="0.2">
      <c r="A72" s="253" t="s">
        <v>153</v>
      </c>
      <c r="B72" s="253" t="str">
        <f>Option5!A110</f>
        <v>sens1</v>
      </c>
      <c r="C72" s="253" t="str">
        <f>Option5!C110</f>
        <v>Capex 10% higher</v>
      </c>
      <c r="D72" s="253" t="str">
        <f t="shared" ref="D72:D79" si="9">A72&amp;B72</f>
        <v>Option 5sens1</v>
      </c>
      <c r="E72" s="254"/>
      <c r="F72" s="31">
        <f t="shared" si="8"/>
        <v>622797.0625080337</v>
      </c>
      <c r="G72" s="246"/>
      <c r="H72" s="31">
        <f>(INDEX(Option5!H$106:H$117, MATCH($D72, Option5!$G$106:$G$117,0)))*conv_2026*H$7</f>
        <v>0</v>
      </c>
      <c r="I72" s="31">
        <f>(INDEX(Option5!I$106:I$117, MATCH($D72, Option5!$G$106:$G$117,0)))*conv_2026*I$7</f>
        <v>686083.59645974624</v>
      </c>
      <c r="J72" s="31">
        <f>(INDEX(Option5!J$106:J$117, MATCH($D72, Option5!$G$106:$G$117,0)))*conv_2026*J$7</f>
        <v>883182.1625242763</v>
      </c>
      <c r="K72" s="31">
        <f>(INDEX(Option5!K$106:K$117, MATCH($D72, Option5!$G$106:$G$117,0)))*conv_2026*K$7</f>
        <v>369977.1012337156</v>
      </c>
      <c r="L72" s="31">
        <f>(INDEX(Option5!L$106:L$117, MATCH($D72, Option5!$G$106:$G$117,0)))*conv_2026*L$7</f>
        <v>369977.1012337156</v>
      </c>
      <c r="M72" s="31">
        <f>(INDEX(Option5!M$106:M$117, MATCH($D72, Option5!$G$106:$G$117,0)))*conv_2026*M$7</f>
        <v>369977.1012337156</v>
      </c>
      <c r="N72" s="31">
        <f>(INDEX(Option5!N$106:N$117, MATCH($D72, Option5!$G$106:$G$117,0)))*conv_2026*N$7</f>
        <v>-146170.70304762988</v>
      </c>
      <c r="O72" s="31">
        <f>(INDEX(Option5!O$106:O$117, MATCH($D72, Option5!$G$106:$G$117,0)))*conv_2026*O$7</f>
        <v>-146170.70304762988</v>
      </c>
      <c r="P72" s="31">
        <f>(INDEX(Option5!P$106:P$117, MATCH($D72, Option5!$G$106:$G$117,0)))*conv_2026*P$7</f>
        <v>-146170.70304762988</v>
      </c>
      <c r="Q72" s="31">
        <f>(INDEX(Option5!Q$106:Q$117, MATCH($D72, Option5!$G$106:$G$117,0)))*conv_2026*Q$7</f>
        <v>-464671.22520693892</v>
      </c>
      <c r="R72" s="31">
        <f>(INDEX(Option5!R$106:R$117, MATCH($D72, Option5!$G$106:$G$117,0)))*conv_2026*R$7</f>
        <v>-464671.22520693892</v>
      </c>
      <c r="S72" s="31">
        <f>(INDEX(Option5!S$106:S$117, MATCH($D72, Option5!$G$106:$G$117,0)))*conv_2026*S$7</f>
        <v>-146170.70304762988</v>
      </c>
      <c r="T72" s="31">
        <f>(INDEX(Option5!T$106:T$117, MATCH($D72, Option5!$G$106:$G$117,0)))*conv_2026*T$7</f>
        <v>-146170.70304762988</v>
      </c>
      <c r="U72" s="31">
        <f>(INDEX(Option5!U$106:U$117, MATCH($D72, Option5!$G$106:$G$117,0)))*conv_2026*U$7</f>
        <v>-146170.70304762988</v>
      </c>
      <c r="V72" s="31">
        <f>(INDEX(Option5!V$106:V$117, MATCH($D72, Option5!$G$106:$G$117,0)))*conv_2026*V$7</f>
        <v>-146170.70304762988</v>
      </c>
      <c r="W72" s="31">
        <f>(INDEX(Option5!W$106:W$117, MATCH($D72, Option5!$G$106:$G$117,0)))*conv_2026*W$7</f>
        <v>-146170.70304762988</v>
      </c>
      <c r="X72" s="31">
        <f>(INDEX(Option5!X$106:X$117, MATCH($D72, Option5!$G$106:$G$117,0)))*conv_2026*X$7</f>
        <v>-396033.70346531383</v>
      </c>
      <c r="Y72" s="31">
        <f>(INDEX(Option5!Y$106:Y$117, MATCH($D72, Option5!$G$106:$G$117,0)))*conv_2026*Y$7</f>
        <v>-309745.49008909304</v>
      </c>
      <c r="Z72" s="31">
        <f>(INDEX(Option5!Z$106:Z$117, MATCH($D72, Option5!$G$106:$G$117,0)))*conv_2026*Z$7</f>
        <v>26405.723704814027</v>
      </c>
      <c r="AA72" s="31">
        <f>(INDEX(Option5!AA$106:AA$117, MATCH($D72, Option5!$G$106:$G$117,0)))*conv_2026*AA$7</f>
        <v>26405.723704814027</v>
      </c>
      <c r="AB72" s="31">
        <f>(INDEX(Option5!AB$106:AB$117, MATCH($D72, Option5!$G$106:$G$117,0)))*conv_2026*AB$7</f>
        <v>26405.723704814027</v>
      </c>
      <c r="AC72" s="31">
        <f>(INDEX(Option5!AC$106:AC$117, MATCH($D72, Option5!$G$106:$G$117,0)))*conv_2026*AC$7</f>
        <v>0</v>
      </c>
      <c r="AD72" s="31">
        <f>(INDEX(Option5!AD$106:AD$117, MATCH($D72, Option5!$G$106:$G$117,0)))*conv_2026*AD$7</f>
        <v>0</v>
      </c>
      <c r="AE72" s="31">
        <f>(INDEX(Option5!AE$106:AE$117, MATCH($D72, Option5!$G$106:$G$117,0)))*conv_2026*AE$7</f>
        <v>0</v>
      </c>
      <c r="AF72" s="31">
        <f>(INDEX(Option5!AF$106:AF$117, MATCH($D72, Option5!$G$106:$G$117,0)))*conv_2026*AF$7</f>
        <v>0</v>
      </c>
      <c r="AG72" s="31">
        <f>(INDEX(Option5!AG$106:AG$117, MATCH($D72, Option5!$G$106:$G$117,0)))*conv_2026*AG$7</f>
        <v>0</v>
      </c>
      <c r="AH72" s="7"/>
      <c r="AI72" s="7"/>
    </row>
    <row r="73" spans="1:35" s="8" customFormat="1" x14ac:dyDescent="0.2">
      <c r="A73" s="253" t="s">
        <v>153</v>
      </c>
      <c r="B73" s="253" t="str">
        <f>Option5!A111</f>
        <v>sens2</v>
      </c>
      <c r="C73" s="253" t="str">
        <f>Option5!C111</f>
        <v>Capex 10% lower</v>
      </c>
      <c r="D73" s="253" t="str">
        <f t="shared" si="9"/>
        <v>Option 5sens2</v>
      </c>
      <c r="E73" s="254"/>
      <c r="F73" s="31">
        <f t="shared" si="8"/>
        <v>2820299.1998854857</v>
      </c>
      <c r="G73" s="253"/>
      <c r="H73" s="31">
        <f>(INDEX(Option5!H$106:H$117, MATCH($D73, Option5!$G$106:$G$117,0)))*conv_2026*H$7</f>
        <v>0</v>
      </c>
      <c r="I73" s="31">
        <f>(INDEX(Option5!I$106:I$117, MATCH($D73, Option5!$G$106:$G$117,0)))*conv_2026*I$7</f>
        <v>686083.59645974624</v>
      </c>
      <c r="J73" s="31">
        <f>(INDEX(Option5!J$106:J$117, MATCH($D73, Option5!$G$106:$G$117,0)))*conv_2026*J$7</f>
        <v>976492.1736680147</v>
      </c>
      <c r="K73" s="31">
        <f>(INDEX(Option5!K$106:K$117, MATCH($D73, Option5!$G$106:$G$117,0)))*conv_2026*K$7</f>
        <v>556597.12352119223</v>
      </c>
      <c r="L73" s="31">
        <f>(INDEX(Option5!L$106:L$117, MATCH($D73, Option5!$G$106:$G$117,0)))*conv_2026*L$7</f>
        <v>556597.12352119223</v>
      </c>
      <c r="M73" s="31">
        <f>(INDEX(Option5!M$106:M$117, MATCH($D73, Option5!$G$106:$G$117,0)))*conv_2026*M$7</f>
        <v>556597.12352119223</v>
      </c>
      <c r="N73" s="31">
        <f>(INDEX(Option5!N$106:N$117, MATCH($D73, Option5!$G$106:$G$117,0)))*conv_2026*N$7</f>
        <v>40449.319239846795</v>
      </c>
      <c r="O73" s="31">
        <f>(INDEX(Option5!O$106:O$117, MATCH($D73, Option5!$G$106:$G$117,0)))*conv_2026*O$7</f>
        <v>40449.319239846795</v>
      </c>
      <c r="P73" s="31">
        <f>(INDEX(Option5!P$106:P$117, MATCH($D73, Option5!$G$106:$G$117,0)))*conv_2026*P$7</f>
        <v>40449.319239846795</v>
      </c>
      <c r="Q73" s="31">
        <f>(INDEX(Option5!Q$106:Q$117, MATCH($D73, Option5!$G$106:$G$117,0)))*conv_2026*Q$7</f>
        <v>-278051.20291946223</v>
      </c>
      <c r="R73" s="31">
        <f>(INDEX(Option5!R$106:R$117, MATCH($D73, Option5!$G$106:$G$117,0)))*conv_2026*R$7</f>
        <v>-278051.20291946223</v>
      </c>
      <c r="S73" s="31">
        <f>(INDEX(Option5!S$106:S$117, MATCH($D73, Option5!$G$106:$G$117,0)))*conv_2026*S$7</f>
        <v>40449.319239846795</v>
      </c>
      <c r="T73" s="31">
        <f>(INDEX(Option5!T$106:T$117, MATCH($D73, Option5!$G$106:$G$117,0)))*conv_2026*T$7</f>
        <v>40449.319239846795</v>
      </c>
      <c r="U73" s="31">
        <f>(INDEX(Option5!U$106:U$117, MATCH($D73, Option5!$G$106:$G$117,0)))*conv_2026*U$7</f>
        <v>40449.319239846795</v>
      </c>
      <c r="V73" s="31">
        <f>(INDEX(Option5!V$106:V$117, MATCH($D73, Option5!$G$106:$G$117,0)))*conv_2026*V$7</f>
        <v>40449.319239846795</v>
      </c>
      <c r="W73" s="31">
        <f>(INDEX(Option5!W$106:W$117, MATCH($D73, Option5!$G$106:$G$117,0)))*conv_2026*W$7</f>
        <v>40449.319239846795</v>
      </c>
      <c r="X73" s="31">
        <f>(INDEX(Option5!X$106:X$117, MATCH($D73, Option5!$G$106:$G$117,0)))*conv_2026*X$7</f>
        <v>-209413.68117783713</v>
      </c>
      <c r="Y73" s="31">
        <f>(INDEX(Option5!Y$106:Y$117, MATCH($D73, Option5!$G$106:$G$117,0)))*conv_2026*Y$7</f>
        <v>-184243.87030959944</v>
      </c>
      <c r="Z73" s="31">
        <f>(INDEX(Option5!Z$106:Z$117, MATCH($D73, Option5!$G$106:$G$117,0)))*conv_2026*Z$7</f>
        <v>90788.940976324506</v>
      </c>
      <c r="AA73" s="31">
        <f>(INDEX(Option5!AA$106:AA$117, MATCH($D73, Option5!$G$106:$G$117,0)))*conv_2026*AA$7</f>
        <v>90788.940976324506</v>
      </c>
      <c r="AB73" s="31">
        <f>(INDEX(Option5!AB$106:AB$117, MATCH($D73, Option5!$G$106:$G$117,0)))*conv_2026*AB$7</f>
        <v>90788.940976324506</v>
      </c>
      <c r="AC73" s="31">
        <f>(INDEX(Option5!AC$106:AC$117, MATCH($D73, Option5!$G$106:$G$117,0)))*conv_2026*AC$7</f>
        <v>0</v>
      </c>
      <c r="AD73" s="31">
        <f>(INDEX(Option5!AD$106:AD$117, MATCH($D73, Option5!$G$106:$G$117,0)))*conv_2026*AD$7</f>
        <v>0</v>
      </c>
      <c r="AE73" s="31">
        <f>(INDEX(Option5!AE$106:AE$117, MATCH($D73, Option5!$G$106:$G$117,0)))*conv_2026*AE$7</f>
        <v>0</v>
      </c>
      <c r="AF73" s="31">
        <f>(INDEX(Option5!AF$106:AF$117, MATCH($D73, Option5!$G$106:$G$117,0)))*conv_2026*AF$7</f>
        <v>0</v>
      </c>
      <c r="AG73" s="31">
        <f>(INDEX(Option5!AG$106:AG$117, MATCH($D73, Option5!$G$106:$G$117,0)))*conv_2026*AG$7</f>
        <v>0</v>
      </c>
    </row>
    <row r="74" spans="1:35" s="8" customFormat="1" x14ac:dyDescent="0.2">
      <c r="A74" s="253" t="s">
        <v>153</v>
      </c>
      <c r="B74" s="253" t="str">
        <f>Option5!A112</f>
        <v>sens3</v>
      </c>
      <c r="C74" s="253" t="str">
        <f>Option5!C112</f>
        <v>Total benefits 10% higher</v>
      </c>
      <c r="D74" s="253" t="str">
        <f t="shared" si="9"/>
        <v>Option 5sens3</v>
      </c>
      <c r="E74" s="254"/>
      <c r="F74" s="31">
        <f t="shared" si="8"/>
        <v>3451126.582876082</v>
      </c>
      <c r="H74" s="31">
        <f>(INDEX(Option5!H$106:H$117, MATCH($D74, Option5!$G$106:$G$117,0)))*conv_2026*H$7</f>
        <v>0</v>
      </c>
      <c r="I74" s="31">
        <f>(INDEX(Option5!I$106:I$117, MATCH($D74, Option5!$G$106:$G$117,0)))*conv_2026*I$7</f>
        <v>757113.95919525542</v>
      </c>
      <c r="J74" s="31">
        <f>(INDEX(Option5!J$106:J$117, MATCH($D74, Option5!$G$106:$G$117,0)))*conv_2026*J$7</f>
        <v>1071897.8935671637</v>
      </c>
      <c r="K74" s="31">
        <f>(INDEX(Option5!K$106:K$117, MATCH($D74, Option5!$G$106:$G$117,0)))*conv_2026*K$7</f>
        <v>605347.83784847218</v>
      </c>
      <c r="L74" s="31">
        <f>(INDEX(Option5!L$106:L$117, MATCH($D74, Option5!$G$106:$G$117,0)))*conv_2026*L$7</f>
        <v>605347.83784847218</v>
      </c>
      <c r="M74" s="31">
        <f>(INDEX(Option5!M$106:M$117, MATCH($D74, Option5!$G$106:$G$117,0)))*conv_2026*M$7</f>
        <v>605347.83784847218</v>
      </c>
      <c r="N74" s="31">
        <f>(INDEX(Option5!N$106:N$117, MATCH($D74, Option5!$G$106:$G$117,0)))*conv_2026*N$7</f>
        <v>89200.03356712668</v>
      </c>
      <c r="O74" s="31">
        <f>(INDEX(Option5!O$106:O$117, MATCH($D74, Option5!$G$106:$G$117,0)))*conv_2026*O$7</f>
        <v>89200.03356712668</v>
      </c>
      <c r="P74" s="31">
        <f>(INDEX(Option5!P$106:P$117, MATCH($D74, Option5!$G$106:$G$117,0)))*conv_2026*P$7</f>
        <v>89200.03356712668</v>
      </c>
      <c r="Q74" s="31">
        <f>(INDEX(Option5!Q$106:Q$117, MATCH($D74, Option5!$G$106:$G$117,0)))*conv_2026*Q$7</f>
        <v>-229300.48859218237</v>
      </c>
      <c r="R74" s="31">
        <f>(INDEX(Option5!R$106:R$117, MATCH($D74, Option5!$G$106:$G$117,0)))*conv_2026*R$7</f>
        <v>-229300.48859218237</v>
      </c>
      <c r="S74" s="31">
        <f>(INDEX(Option5!S$106:S$117, MATCH($D74, Option5!$G$106:$G$117,0)))*conv_2026*S$7</f>
        <v>89200.03356712668</v>
      </c>
      <c r="T74" s="31">
        <f>(INDEX(Option5!T$106:T$117, MATCH($D74, Option5!$G$106:$G$117,0)))*conv_2026*T$7</f>
        <v>89200.03356712668</v>
      </c>
      <c r="U74" s="31">
        <f>(INDEX(Option5!U$106:U$117, MATCH($D74, Option5!$G$106:$G$117,0)))*conv_2026*U$7</f>
        <v>89200.03356712668</v>
      </c>
      <c r="V74" s="31">
        <f>(INDEX(Option5!V$106:V$117, MATCH($D74, Option5!$G$106:$G$117,0)))*conv_2026*V$7</f>
        <v>89200.03356712668</v>
      </c>
      <c r="W74" s="31">
        <f>(INDEX(Option5!W$106:W$117, MATCH($D74, Option5!$G$106:$G$117,0)))*conv_2026*W$7</f>
        <v>89200.03356712668</v>
      </c>
      <c r="X74" s="31">
        <f>(INDEX(Option5!X$106:X$117, MATCH($D74, Option5!$G$106:$G$117,0)))*conv_2026*X$7</f>
        <v>-212667.65865116016</v>
      </c>
      <c r="Y74" s="31">
        <f>(INDEX(Option5!Y$106:Y$117, MATCH($D74, Option5!$G$106:$G$117,0)))*conv_2026*Y$7</f>
        <v>-208943.33832953408</v>
      </c>
      <c r="Z74" s="31">
        <f>(INDEX(Option5!Z$106:Z$117, MATCH($D74, Option5!$G$106:$G$117,0)))*conv_2026*Z$7</f>
        <v>96648.674210381432</v>
      </c>
      <c r="AA74" s="31">
        <f>(INDEX(Option5!AA$106:AA$117, MATCH($D74, Option5!$G$106:$G$117,0)))*conv_2026*AA$7</f>
        <v>96648.674210381432</v>
      </c>
      <c r="AB74" s="31">
        <f>(INDEX(Option5!AB$106:AB$117, MATCH($D74, Option5!$G$106:$G$117,0)))*conv_2026*AB$7</f>
        <v>96648.674210381432</v>
      </c>
      <c r="AC74" s="31">
        <f>(INDEX(Option5!AC$106:AC$117, MATCH($D74, Option5!$G$106:$G$117,0)))*conv_2026*AC$7</f>
        <v>0</v>
      </c>
      <c r="AD74" s="31">
        <f>(INDEX(Option5!AD$106:AD$117, MATCH($D74, Option5!$G$106:$G$117,0)))*conv_2026*AD$7</f>
        <v>0</v>
      </c>
      <c r="AE74" s="31">
        <f>(INDEX(Option5!AE$106:AE$117, MATCH($D74, Option5!$G$106:$G$117,0)))*conv_2026*AE$7</f>
        <v>0</v>
      </c>
      <c r="AF74" s="31">
        <f>(INDEX(Option5!AF$106:AF$117, MATCH($D74, Option5!$G$106:$G$117,0)))*conv_2026*AF$7</f>
        <v>0</v>
      </c>
      <c r="AG74" s="31">
        <f>(INDEX(Option5!AG$106:AG$117, MATCH($D74, Option5!$G$106:$G$117,0)))*conv_2026*AG$7</f>
        <v>0</v>
      </c>
    </row>
    <row r="75" spans="1:35" s="8" customFormat="1" x14ac:dyDescent="0.2">
      <c r="A75" s="253" t="s">
        <v>153</v>
      </c>
      <c r="B75" s="253" t="str">
        <f>Option5!A113</f>
        <v>sens4</v>
      </c>
      <c r="C75" s="253" t="str">
        <f>Option5!C113</f>
        <v>Total benefits 10% lower</v>
      </c>
      <c r="D75" s="253" t="str">
        <f t="shared" si="9"/>
        <v>Option 5sens4</v>
      </c>
      <c r="E75" s="254"/>
      <c r="F75" s="31">
        <f t="shared" si="8"/>
        <v>-8030.3204825629673</v>
      </c>
      <c r="H75" s="31">
        <f>(INDEX(Option5!H$106:H$117, MATCH($D75, Option5!$G$106:$G$117,0)))*conv_2026*H$7</f>
        <v>0</v>
      </c>
      <c r="I75" s="31">
        <f>(INDEX(Option5!I$106:I$117, MATCH($D75, Option5!$G$106:$G$117,0)))*conv_2026*I$7</f>
        <v>615053.23372423707</v>
      </c>
      <c r="J75" s="31">
        <f>(INDEX(Option5!J$106:J$117, MATCH($D75, Option5!$G$106:$G$117,0)))*conv_2026*J$7</f>
        <v>787776.44262512727</v>
      </c>
      <c r="K75" s="31">
        <f>(INDEX(Option5!K$106:K$117, MATCH($D75, Option5!$G$106:$G$117,0)))*conv_2026*K$7</f>
        <v>321226.38690643571</v>
      </c>
      <c r="L75" s="31">
        <f>(INDEX(Option5!L$106:L$117, MATCH($D75, Option5!$G$106:$G$117,0)))*conv_2026*L$7</f>
        <v>321226.38690643571</v>
      </c>
      <c r="M75" s="31">
        <f>(INDEX(Option5!M$106:M$117, MATCH($D75, Option5!$G$106:$G$117,0)))*conv_2026*M$7</f>
        <v>321226.38690643571</v>
      </c>
      <c r="N75" s="31">
        <f>(INDEX(Option5!N$106:N$117, MATCH($D75, Option5!$G$106:$G$117,0)))*conv_2026*N$7</f>
        <v>-194921.41737490974</v>
      </c>
      <c r="O75" s="31">
        <f>(INDEX(Option5!O$106:O$117, MATCH($D75, Option5!$G$106:$G$117,0)))*conv_2026*O$7</f>
        <v>-194921.41737490974</v>
      </c>
      <c r="P75" s="31">
        <f>(INDEX(Option5!P$106:P$117, MATCH($D75, Option5!$G$106:$G$117,0)))*conv_2026*P$7</f>
        <v>-194921.41737490974</v>
      </c>
      <c r="Q75" s="31">
        <f>(INDEX(Option5!Q$106:Q$117, MATCH($D75, Option5!$G$106:$G$117,0)))*conv_2026*Q$7</f>
        <v>-513421.93953421881</v>
      </c>
      <c r="R75" s="31">
        <f>(INDEX(Option5!R$106:R$117, MATCH($D75, Option5!$G$106:$G$117,0)))*conv_2026*R$7</f>
        <v>-513421.93953421881</v>
      </c>
      <c r="S75" s="31">
        <f>(INDEX(Option5!S$106:S$117, MATCH($D75, Option5!$G$106:$G$117,0)))*conv_2026*S$7</f>
        <v>-194921.41737490974</v>
      </c>
      <c r="T75" s="31">
        <f>(INDEX(Option5!T$106:T$117, MATCH($D75, Option5!$G$106:$G$117,0)))*conv_2026*T$7</f>
        <v>-194921.41737490974</v>
      </c>
      <c r="U75" s="31">
        <f>(INDEX(Option5!U$106:U$117, MATCH($D75, Option5!$G$106:$G$117,0)))*conv_2026*U$7</f>
        <v>-194921.41737490974</v>
      </c>
      <c r="V75" s="31">
        <f>(INDEX(Option5!V$106:V$117, MATCH($D75, Option5!$G$106:$G$117,0)))*conv_2026*V$7</f>
        <v>-194921.41737490974</v>
      </c>
      <c r="W75" s="31">
        <f>(INDEX(Option5!W$106:W$117, MATCH($D75, Option5!$G$106:$G$117,0)))*conv_2026*W$7</f>
        <v>-194921.41737490974</v>
      </c>
      <c r="X75" s="31">
        <f>(INDEX(Option5!X$106:X$117, MATCH($D75, Option5!$G$106:$G$117,0)))*conv_2026*X$7</f>
        <v>-392779.72599199077</v>
      </c>
      <c r="Y75" s="31">
        <f>(INDEX(Option5!Y$106:Y$117, MATCH($D75, Option5!$G$106:$G$117,0)))*conv_2026*Y$7</f>
        <v>-285046.02206915838</v>
      </c>
      <c r="Z75" s="31">
        <f>(INDEX(Option5!Z$106:Z$117, MATCH($D75, Option5!$G$106:$G$117,0)))*conv_2026*Z$7</f>
        <v>20545.990470757097</v>
      </c>
      <c r="AA75" s="31">
        <f>(INDEX(Option5!AA$106:AA$117, MATCH($D75, Option5!$G$106:$G$117,0)))*conv_2026*AA$7</f>
        <v>20545.990470757097</v>
      </c>
      <c r="AB75" s="31">
        <f>(INDEX(Option5!AB$106:AB$117, MATCH($D75, Option5!$G$106:$G$117,0)))*conv_2026*AB$7</f>
        <v>20545.990470757097</v>
      </c>
      <c r="AC75" s="31">
        <f>(INDEX(Option5!AC$106:AC$117, MATCH($D75, Option5!$G$106:$G$117,0)))*conv_2026*AC$7</f>
        <v>0</v>
      </c>
      <c r="AD75" s="31">
        <f>(INDEX(Option5!AD$106:AD$117, MATCH($D75, Option5!$G$106:$G$117,0)))*conv_2026*AD$7</f>
        <v>0</v>
      </c>
      <c r="AE75" s="31">
        <f>(INDEX(Option5!AE$106:AE$117, MATCH($D75, Option5!$G$106:$G$117,0)))*conv_2026*AE$7</f>
        <v>0</v>
      </c>
      <c r="AF75" s="31">
        <f>(INDEX(Option5!AF$106:AF$117, MATCH($D75, Option5!$G$106:$G$117,0)))*conv_2026*AF$7</f>
        <v>0</v>
      </c>
      <c r="AG75" s="31">
        <f>(INDEX(Option5!AG$106:AG$117, MATCH($D75, Option5!$G$106:$G$117,0)))*conv_2026*AG$7</f>
        <v>0</v>
      </c>
    </row>
    <row r="76" spans="1:35" s="8" customFormat="1" x14ac:dyDescent="0.2">
      <c r="A76" s="253" t="s">
        <v>153</v>
      </c>
      <c r="B76" s="253" t="str">
        <f>Option5!A114</f>
        <v>sens5</v>
      </c>
      <c r="C76" s="253" t="str">
        <f>Option5!C114</f>
        <v>Capex 10% higher &amp; Total benefits 10% lower</v>
      </c>
      <c r="D76" s="253" t="str">
        <f t="shared" si="9"/>
        <v>Option 5sens5</v>
      </c>
      <c r="E76" s="254"/>
      <c r="F76" s="31">
        <f t="shared" si="8"/>
        <v>-1106781.3891712886</v>
      </c>
      <c r="H76" s="31">
        <f>(INDEX(Option5!H$106:H$117, MATCH($D76, Option5!$G$106:$G$117,0)))*conv_2026*H$7</f>
        <v>0</v>
      </c>
      <c r="I76" s="31">
        <f>(INDEX(Option5!I$106:I$117, MATCH($D76, Option5!$G$106:$G$117,0)))*conv_2026*I$7</f>
        <v>615053.23372423707</v>
      </c>
      <c r="J76" s="31">
        <f>(INDEX(Option5!J$106:J$117, MATCH($D76, Option5!$G$106:$G$117,0)))*conv_2026*J$7</f>
        <v>741121.43705325818</v>
      </c>
      <c r="K76" s="31">
        <f>(INDEX(Option5!K$106:K$117, MATCH($D76, Option5!$G$106:$G$117,0)))*conv_2026*K$7</f>
        <v>227916.3757626974</v>
      </c>
      <c r="L76" s="31">
        <f>(INDEX(Option5!L$106:L$117, MATCH($D76, Option5!$G$106:$G$117,0)))*conv_2026*L$7</f>
        <v>227916.3757626974</v>
      </c>
      <c r="M76" s="31">
        <f>(INDEX(Option5!M$106:M$117, MATCH($D76, Option5!$G$106:$G$117,0)))*conv_2026*M$7</f>
        <v>227916.3757626974</v>
      </c>
      <c r="N76" s="31">
        <f>(INDEX(Option5!N$106:N$117, MATCH($D76, Option5!$G$106:$G$117,0)))*conv_2026*N$7</f>
        <v>-288231.42851864808</v>
      </c>
      <c r="O76" s="31">
        <f>(INDEX(Option5!O$106:O$117, MATCH($D76, Option5!$G$106:$G$117,0)))*conv_2026*O$7</f>
        <v>-288231.42851864808</v>
      </c>
      <c r="P76" s="31">
        <f>(INDEX(Option5!P$106:P$117, MATCH($D76, Option5!$G$106:$G$117,0)))*conv_2026*P$7</f>
        <v>-288231.42851864808</v>
      </c>
      <c r="Q76" s="31">
        <f>(INDEX(Option5!Q$106:Q$117, MATCH($D76, Option5!$G$106:$G$117,0)))*conv_2026*Q$7</f>
        <v>-606731.95067795715</v>
      </c>
      <c r="R76" s="31">
        <f>(INDEX(Option5!R$106:R$117, MATCH($D76, Option5!$G$106:$G$117,0)))*conv_2026*R$7</f>
        <v>-606731.95067795715</v>
      </c>
      <c r="S76" s="31">
        <f>(INDEX(Option5!S$106:S$117, MATCH($D76, Option5!$G$106:$G$117,0)))*conv_2026*S$7</f>
        <v>-288231.42851864808</v>
      </c>
      <c r="T76" s="31">
        <f>(INDEX(Option5!T$106:T$117, MATCH($D76, Option5!$G$106:$G$117,0)))*conv_2026*T$7</f>
        <v>-288231.42851864808</v>
      </c>
      <c r="U76" s="31">
        <f>(INDEX(Option5!U$106:U$117, MATCH($D76, Option5!$G$106:$G$117,0)))*conv_2026*U$7</f>
        <v>-288231.42851864808</v>
      </c>
      <c r="V76" s="31">
        <f>(INDEX(Option5!V$106:V$117, MATCH($D76, Option5!$G$106:$G$117,0)))*conv_2026*V$7</f>
        <v>-288231.42851864808</v>
      </c>
      <c r="W76" s="31">
        <f>(INDEX(Option5!W$106:W$117, MATCH($D76, Option5!$G$106:$G$117,0)))*conv_2026*W$7</f>
        <v>-288231.42851864808</v>
      </c>
      <c r="X76" s="31">
        <f>(INDEX(Option5!X$106:X$117, MATCH($D76, Option5!$G$106:$G$117,0)))*conv_2026*X$7</f>
        <v>-486089.73713572911</v>
      </c>
      <c r="Y76" s="31">
        <f>(INDEX(Option5!Y$106:Y$117, MATCH($D76, Option5!$G$106:$G$117,0)))*conv_2026*Y$7</f>
        <v>-347796.83195890515</v>
      </c>
      <c r="Z76" s="31">
        <f>(INDEX(Option5!Z$106:Z$117, MATCH($D76, Option5!$G$106:$G$117,0)))*conv_2026*Z$7</f>
        <v>-11645.618164998139</v>
      </c>
      <c r="AA76" s="31">
        <f>(INDEX(Option5!AA$106:AA$117, MATCH($D76, Option5!$G$106:$G$117,0)))*conv_2026*AA$7</f>
        <v>-11645.618164998139</v>
      </c>
      <c r="AB76" s="31">
        <f>(INDEX(Option5!AB$106:AB$117, MATCH($D76, Option5!$G$106:$G$117,0)))*conv_2026*AB$7</f>
        <v>-11645.618164998139</v>
      </c>
      <c r="AC76" s="31">
        <f>(INDEX(Option5!AC$106:AC$117, MATCH($D76, Option5!$G$106:$G$117,0)))*conv_2026*AC$7</f>
        <v>0</v>
      </c>
      <c r="AD76" s="31">
        <f>(INDEX(Option5!AD$106:AD$117, MATCH($D76, Option5!$G$106:$G$117,0)))*conv_2026*AD$7</f>
        <v>0</v>
      </c>
      <c r="AE76" s="31">
        <f>(INDEX(Option5!AE$106:AE$117, MATCH($D76, Option5!$G$106:$G$117,0)))*conv_2026*AE$7</f>
        <v>0</v>
      </c>
      <c r="AF76" s="31">
        <f>(INDEX(Option5!AF$106:AF$117, MATCH($D76, Option5!$G$106:$G$117,0)))*conv_2026*AF$7</f>
        <v>0</v>
      </c>
      <c r="AG76" s="31">
        <f>(INDEX(Option5!AG$106:AG$117, MATCH($D76, Option5!$G$106:$G$117,0)))*conv_2026*AG$7</f>
        <v>0</v>
      </c>
    </row>
    <row r="77" spans="1:35" s="8" customFormat="1" x14ac:dyDescent="0.2">
      <c r="A77" s="253" t="s">
        <v>153</v>
      </c>
      <c r="B77" s="253" t="str">
        <f>Option5!A115</f>
        <v>sens</v>
      </c>
      <c r="C77" s="253">
        <f>Option5!C115</f>
        <v>0</v>
      </c>
      <c r="D77" s="253" t="str">
        <f t="shared" si="9"/>
        <v>Option 5sens</v>
      </c>
      <c r="E77" s="254"/>
      <c r="F77" s="31">
        <f t="shared" si="8"/>
        <v>1721548.1311967603</v>
      </c>
      <c r="H77" s="31">
        <f>(INDEX(Option5!H$106:H$117, MATCH($D77, Option5!$G$106:$G$117,0)))*conv_2026*H$7</f>
        <v>0</v>
      </c>
      <c r="I77" s="31">
        <f>(INDEX(Option5!I$106:I$117, MATCH($D77, Option5!$G$106:$G$117,0)))*conv_2026*I$7</f>
        <v>686083.59645974624</v>
      </c>
      <c r="J77" s="31">
        <f>(INDEX(Option5!J$106:J$117, MATCH($D77, Option5!$G$106:$G$117,0)))*conv_2026*J$7</f>
        <v>929837.1680961455</v>
      </c>
      <c r="K77" s="31">
        <f>(INDEX(Option5!K$106:K$117, MATCH($D77, Option5!$G$106:$G$117,0)))*conv_2026*K$7</f>
        <v>463287.11237745394</v>
      </c>
      <c r="L77" s="31">
        <f>(INDEX(Option5!L$106:L$117, MATCH($D77, Option5!$G$106:$G$117,0)))*conv_2026*L$7</f>
        <v>463287.11237745394</v>
      </c>
      <c r="M77" s="31">
        <f>(INDEX(Option5!M$106:M$117, MATCH($D77, Option5!$G$106:$G$117,0)))*conv_2026*M$7</f>
        <v>463287.11237745394</v>
      </c>
      <c r="N77" s="31">
        <f>(INDEX(Option5!N$106:N$117, MATCH($D77, Option5!$G$106:$G$117,0)))*conv_2026*N$7</f>
        <v>-52860.691903891544</v>
      </c>
      <c r="O77" s="31">
        <f>(INDEX(Option5!O$106:O$117, MATCH($D77, Option5!$G$106:$G$117,0)))*conv_2026*O$7</f>
        <v>-52860.691903891544</v>
      </c>
      <c r="P77" s="31">
        <f>(INDEX(Option5!P$106:P$117, MATCH($D77, Option5!$G$106:$G$117,0)))*conv_2026*P$7</f>
        <v>-52860.691903891544</v>
      </c>
      <c r="Q77" s="31">
        <f>(INDEX(Option5!Q$106:Q$117, MATCH($D77, Option5!$G$106:$G$117,0)))*conv_2026*Q$7</f>
        <v>-371361.21406320058</v>
      </c>
      <c r="R77" s="31">
        <f>(INDEX(Option5!R$106:R$117, MATCH($D77, Option5!$G$106:$G$117,0)))*conv_2026*R$7</f>
        <v>-371361.21406320058</v>
      </c>
      <c r="S77" s="31">
        <f>(INDEX(Option5!S$106:S$117, MATCH($D77, Option5!$G$106:$G$117,0)))*conv_2026*S$7</f>
        <v>-52860.691903891544</v>
      </c>
      <c r="T77" s="31">
        <f>(INDEX(Option5!T$106:T$117, MATCH($D77, Option5!$G$106:$G$117,0)))*conv_2026*T$7</f>
        <v>-52860.691903891544</v>
      </c>
      <c r="U77" s="31">
        <f>(INDEX(Option5!U$106:U$117, MATCH($D77, Option5!$G$106:$G$117,0)))*conv_2026*U$7</f>
        <v>-52860.691903891544</v>
      </c>
      <c r="V77" s="31">
        <f>(INDEX(Option5!V$106:V$117, MATCH($D77, Option5!$G$106:$G$117,0)))*conv_2026*V$7</f>
        <v>-52860.691903891544</v>
      </c>
      <c r="W77" s="31">
        <f>(INDEX(Option5!W$106:W$117, MATCH($D77, Option5!$G$106:$G$117,0)))*conv_2026*W$7</f>
        <v>-52860.691903891544</v>
      </c>
      <c r="X77" s="31">
        <f>(INDEX(Option5!X$106:X$117, MATCH($D77, Option5!$G$106:$G$117,0)))*conv_2026*X$7</f>
        <v>-302723.69232157548</v>
      </c>
      <c r="Y77" s="31">
        <f>(INDEX(Option5!Y$106:Y$117, MATCH($D77, Option5!$G$106:$G$117,0)))*conv_2026*Y$7</f>
        <v>-246994.68019934624</v>
      </c>
      <c r="Z77" s="31">
        <f>(INDEX(Option5!Z$106:Z$117, MATCH($D77, Option5!$G$106:$G$117,0)))*conv_2026*Z$7</f>
        <v>58597.332340569264</v>
      </c>
      <c r="AA77" s="31">
        <f>(INDEX(Option5!AA$106:AA$117, MATCH($D77, Option5!$G$106:$G$117,0)))*conv_2026*AA$7</f>
        <v>58597.332340569264</v>
      </c>
      <c r="AB77" s="31">
        <f>(INDEX(Option5!AB$106:AB$117, MATCH($D77, Option5!$G$106:$G$117,0)))*conv_2026*AB$7</f>
        <v>58597.332340569264</v>
      </c>
      <c r="AC77" s="31">
        <f>(INDEX(Option5!AC$106:AC$117, MATCH($D77, Option5!$G$106:$G$117,0)))*conv_2026*AC$7</f>
        <v>0</v>
      </c>
      <c r="AD77" s="31">
        <f>(INDEX(Option5!AD$106:AD$117, MATCH($D77, Option5!$G$106:$G$117,0)))*conv_2026*AD$7</f>
        <v>0</v>
      </c>
      <c r="AE77" s="31">
        <f>(INDEX(Option5!AE$106:AE$117, MATCH($D77, Option5!$G$106:$G$117,0)))*conv_2026*AE$7</f>
        <v>0</v>
      </c>
      <c r="AF77" s="31">
        <f>(INDEX(Option5!AF$106:AF$117, MATCH($D77, Option5!$G$106:$G$117,0)))*conv_2026*AF$7</f>
        <v>0</v>
      </c>
      <c r="AG77" s="31">
        <f>(INDEX(Option5!AG$106:AG$117, MATCH($D77, Option5!$G$106:$G$117,0)))*conv_2026*AG$7</f>
        <v>0</v>
      </c>
    </row>
    <row r="78" spans="1:35" s="8" customFormat="1" x14ac:dyDescent="0.2">
      <c r="A78" s="253" t="s">
        <v>153</v>
      </c>
      <c r="B78" s="253" t="str">
        <f>Option5!A116</f>
        <v>sens</v>
      </c>
      <c r="C78" s="253">
        <f>Option5!C116</f>
        <v>0</v>
      </c>
      <c r="D78" s="253" t="str">
        <f t="shared" si="9"/>
        <v>Option 5sens</v>
      </c>
      <c r="E78" s="254"/>
      <c r="F78" s="31">
        <f t="shared" si="8"/>
        <v>1721548.1311967603</v>
      </c>
      <c r="H78" s="31">
        <f>(INDEX(Option5!H$106:H$117, MATCH($D78, Option5!$G$106:$G$117,0)))*conv_2026*H$7</f>
        <v>0</v>
      </c>
      <c r="I78" s="31">
        <f>(INDEX(Option5!I$106:I$117, MATCH($D78, Option5!$G$106:$G$117,0)))*conv_2026*I$7</f>
        <v>686083.59645974624</v>
      </c>
      <c r="J78" s="31">
        <f>(INDEX(Option5!J$106:J$117, MATCH($D78, Option5!$G$106:$G$117,0)))*conv_2026*J$7</f>
        <v>929837.1680961455</v>
      </c>
      <c r="K78" s="31">
        <f>(INDEX(Option5!K$106:K$117, MATCH($D78, Option5!$G$106:$G$117,0)))*conv_2026*K$7</f>
        <v>463287.11237745394</v>
      </c>
      <c r="L78" s="31">
        <f>(INDEX(Option5!L$106:L$117, MATCH($D78, Option5!$G$106:$G$117,0)))*conv_2026*L$7</f>
        <v>463287.11237745394</v>
      </c>
      <c r="M78" s="31">
        <f>(INDEX(Option5!M$106:M$117, MATCH($D78, Option5!$G$106:$G$117,0)))*conv_2026*M$7</f>
        <v>463287.11237745394</v>
      </c>
      <c r="N78" s="31">
        <f>(INDEX(Option5!N$106:N$117, MATCH($D78, Option5!$G$106:$G$117,0)))*conv_2026*N$7</f>
        <v>-52860.691903891544</v>
      </c>
      <c r="O78" s="31">
        <f>(INDEX(Option5!O$106:O$117, MATCH($D78, Option5!$G$106:$G$117,0)))*conv_2026*O$7</f>
        <v>-52860.691903891544</v>
      </c>
      <c r="P78" s="31">
        <f>(INDEX(Option5!P$106:P$117, MATCH($D78, Option5!$G$106:$G$117,0)))*conv_2026*P$7</f>
        <v>-52860.691903891544</v>
      </c>
      <c r="Q78" s="31">
        <f>(INDEX(Option5!Q$106:Q$117, MATCH($D78, Option5!$G$106:$G$117,0)))*conv_2026*Q$7</f>
        <v>-371361.21406320058</v>
      </c>
      <c r="R78" s="31">
        <f>(INDEX(Option5!R$106:R$117, MATCH($D78, Option5!$G$106:$G$117,0)))*conv_2026*R$7</f>
        <v>-371361.21406320058</v>
      </c>
      <c r="S78" s="31">
        <f>(INDEX(Option5!S$106:S$117, MATCH($D78, Option5!$G$106:$G$117,0)))*conv_2026*S$7</f>
        <v>-52860.691903891544</v>
      </c>
      <c r="T78" s="31">
        <f>(INDEX(Option5!T$106:T$117, MATCH($D78, Option5!$G$106:$G$117,0)))*conv_2026*T$7</f>
        <v>-52860.691903891544</v>
      </c>
      <c r="U78" s="31">
        <f>(INDEX(Option5!U$106:U$117, MATCH($D78, Option5!$G$106:$G$117,0)))*conv_2026*U$7</f>
        <v>-52860.691903891544</v>
      </c>
      <c r="V78" s="31">
        <f>(INDEX(Option5!V$106:V$117, MATCH($D78, Option5!$G$106:$G$117,0)))*conv_2026*V$7</f>
        <v>-52860.691903891544</v>
      </c>
      <c r="W78" s="31">
        <f>(INDEX(Option5!W$106:W$117, MATCH($D78, Option5!$G$106:$G$117,0)))*conv_2026*W$7</f>
        <v>-52860.691903891544</v>
      </c>
      <c r="X78" s="31">
        <f>(INDEX(Option5!X$106:X$117, MATCH($D78, Option5!$G$106:$G$117,0)))*conv_2026*X$7</f>
        <v>-302723.69232157548</v>
      </c>
      <c r="Y78" s="31">
        <f>(INDEX(Option5!Y$106:Y$117, MATCH($D78, Option5!$G$106:$G$117,0)))*conv_2026*Y$7</f>
        <v>-246994.68019934624</v>
      </c>
      <c r="Z78" s="31">
        <f>(INDEX(Option5!Z$106:Z$117, MATCH($D78, Option5!$G$106:$G$117,0)))*conv_2026*Z$7</f>
        <v>58597.332340569264</v>
      </c>
      <c r="AA78" s="31">
        <f>(INDEX(Option5!AA$106:AA$117, MATCH($D78, Option5!$G$106:$G$117,0)))*conv_2026*AA$7</f>
        <v>58597.332340569264</v>
      </c>
      <c r="AB78" s="31">
        <f>(INDEX(Option5!AB$106:AB$117, MATCH($D78, Option5!$G$106:$G$117,0)))*conv_2026*AB$7</f>
        <v>58597.332340569264</v>
      </c>
      <c r="AC78" s="31">
        <f>(INDEX(Option5!AC$106:AC$117, MATCH($D78, Option5!$G$106:$G$117,0)))*conv_2026*AC$7</f>
        <v>0</v>
      </c>
      <c r="AD78" s="31">
        <f>(INDEX(Option5!AD$106:AD$117, MATCH($D78, Option5!$G$106:$G$117,0)))*conv_2026*AD$7</f>
        <v>0</v>
      </c>
      <c r="AE78" s="31">
        <f>(INDEX(Option5!AE$106:AE$117, MATCH($D78, Option5!$G$106:$G$117,0)))*conv_2026*AE$7</f>
        <v>0</v>
      </c>
      <c r="AF78" s="31">
        <f>(INDEX(Option5!AF$106:AF$117, MATCH($D78, Option5!$G$106:$G$117,0)))*conv_2026*AF$7</f>
        <v>0</v>
      </c>
      <c r="AG78" s="31">
        <f>(INDEX(Option5!AG$106:AG$117, MATCH($D78, Option5!$G$106:$G$117,0)))*conv_2026*AG$7</f>
        <v>0</v>
      </c>
    </row>
    <row r="79" spans="1:35" s="8" customFormat="1" x14ac:dyDescent="0.2">
      <c r="A79" s="253" t="s">
        <v>153</v>
      </c>
      <c r="B79" s="253" t="str">
        <f>Option5!A117</f>
        <v>sens</v>
      </c>
      <c r="C79" s="253">
        <f>Option5!C117</f>
        <v>0</v>
      </c>
      <c r="D79" s="253" t="str">
        <f t="shared" si="9"/>
        <v>Option 5sens</v>
      </c>
      <c r="E79" s="254"/>
      <c r="F79" s="31">
        <f t="shared" si="8"/>
        <v>1721548.1311967603</v>
      </c>
      <c r="H79" s="31">
        <f>(INDEX(Option5!H$106:H$117, MATCH($D79, Option5!$G$106:$G$117,0)))*conv_2026*H$7</f>
        <v>0</v>
      </c>
      <c r="I79" s="31">
        <f>(INDEX(Option5!I$106:I$117, MATCH($D79, Option5!$G$106:$G$117,0)))*conv_2026*I$7</f>
        <v>686083.59645974624</v>
      </c>
      <c r="J79" s="31">
        <f>(INDEX(Option5!J$106:J$117, MATCH($D79, Option5!$G$106:$G$117,0)))*conv_2026*J$7</f>
        <v>929837.1680961455</v>
      </c>
      <c r="K79" s="31">
        <f>(INDEX(Option5!K$106:K$117, MATCH($D79, Option5!$G$106:$G$117,0)))*conv_2026*K$7</f>
        <v>463287.11237745394</v>
      </c>
      <c r="L79" s="31">
        <f>(INDEX(Option5!L$106:L$117, MATCH($D79, Option5!$G$106:$G$117,0)))*conv_2026*L$7</f>
        <v>463287.11237745394</v>
      </c>
      <c r="M79" s="31">
        <f>(INDEX(Option5!M$106:M$117, MATCH($D79, Option5!$G$106:$G$117,0)))*conv_2026*M$7</f>
        <v>463287.11237745394</v>
      </c>
      <c r="N79" s="31">
        <f>(INDEX(Option5!N$106:N$117, MATCH($D79, Option5!$G$106:$G$117,0)))*conv_2026*N$7</f>
        <v>-52860.691903891544</v>
      </c>
      <c r="O79" s="31">
        <f>(INDEX(Option5!O$106:O$117, MATCH($D79, Option5!$G$106:$G$117,0)))*conv_2026*O$7</f>
        <v>-52860.691903891544</v>
      </c>
      <c r="P79" s="31">
        <f>(INDEX(Option5!P$106:P$117, MATCH($D79, Option5!$G$106:$G$117,0)))*conv_2026*P$7</f>
        <v>-52860.691903891544</v>
      </c>
      <c r="Q79" s="31">
        <f>(INDEX(Option5!Q$106:Q$117, MATCH($D79, Option5!$G$106:$G$117,0)))*conv_2026*Q$7</f>
        <v>-371361.21406320058</v>
      </c>
      <c r="R79" s="31">
        <f>(INDEX(Option5!R$106:R$117, MATCH($D79, Option5!$G$106:$G$117,0)))*conv_2026*R$7</f>
        <v>-371361.21406320058</v>
      </c>
      <c r="S79" s="31">
        <f>(INDEX(Option5!S$106:S$117, MATCH($D79, Option5!$G$106:$G$117,0)))*conv_2026*S$7</f>
        <v>-52860.691903891544</v>
      </c>
      <c r="T79" s="31">
        <f>(INDEX(Option5!T$106:T$117, MATCH($D79, Option5!$G$106:$G$117,0)))*conv_2026*T$7</f>
        <v>-52860.691903891544</v>
      </c>
      <c r="U79" s="31">
        <f>(INDEX(Option5!U$106:U$117, MATCH($D79, Option5!$G$106:$G$117,0)))*conv_2026*U$7</f>
        <v>-52860.691903891544</v>
      </c>
      <c r="V79" s="31">
        <f>(INDEX(Option5!V$106:V$117, MATCH($D79, Option5!$G$106:$G$117,0)))*conv_2026*V$7</f>
        <v>-52860.691903891544</v>
      </c>
      <c r="W79" s="31">
        <f>(INDEX(Option5!W$106:W$117, MATCH($D79, Option5!$G$106:$G$117,0)))*conv_2026*W$7</f>
        <v>-52860.691903891544</v>
      </c>
      <c r="X79" s="31">
        <f>(INDEX(Option5!X$106:X$117, MATCH($D79, Option5!$G$106:$G$117,0)))*conv_2026*X$7</f>
        <v>-302723.69232157548</v>
      </c>
      <c r="Y79" s="31">
        <f>(INDEX(Option5!Y$106:Y$117, MATCH($D79, Option5!$G$106:$G$117,0)))*conv_2026*Y$7</f>
        <v>-246994.68019934624</v>
      </c>
      <c r="Z79" s="31">
        <f>(INDEX(Option5!Z$106:Z$117, MATCH($D79, Option5!$G$106:$G$117,0)))*conv_2026*Z$7</f>
        <v>58597.332340569264</v>
      </c>
      <c r="AA79" s="31">
        <f>(INDEX(Option5!AA$106:AA$117, MATCH($D79, Option5!$G$106:$G$117,0)))*conv_2026*AA$7</f>
        <v>58597.332340569264</v>
      </c>
      <c r="AB79" s="31">
        <f>(INDEX(Option5!AB$106:AB$117, MATCH($D79, Option5!$G$106:$G$117,0)))*conv_2026*AB$7</f>
        <v>58597.332340569264</v>
      </c>
      <c r="AC79" s="31">
        <f>(INDEX(Option5!AC$106:AC$117, MATCH($D79, Option5!$G$106:$G$117,0)))*conv_2026*AC$7</f>
        <v>0</v>
      </c>
      <c r="AD79" s="31">
        <f>(INDEX(Option5!AD$106:AD$117, MATCH($D79, Option5!$G$106:$G$117,0)))*conv_2026*AD$7</f>
        <v>0</v>
      </c>
      <c r="AE79" s="31">
        <f>(INDEX(Option5!AE$106:AE$117, MATCH($D79, Option5!$G$106:$G$117,0)))*conv_2026*AE$7</f>
        <v>0</v>
      </c>
      <c r="AF79" s="31">
        <f>(INDEX(Option5!AF$106:AF$117, MATCH($D79, Option5!$G$106:$G$117,0)))*conv_2026*AF$7</f>
        <v>0</v>
      </c>
      <c r="AG79" s="31">
        <f>(INDEX(Option5!AG$106:AG$117, MATCH($D79, Option5!$G$106:$G$117,0)))*conv_2026*AG$7</f>
        <v>0</v>
      </c>
    </row>
    <row r="80" spans="1:35" s="8" customFormat="1" x14ac:dyDescent="0.2">
      <c r="F80" s="249"/>
    </row>
    <row r="81" spans="1:34" s="8" customFormat="1" x14ac:dyDescent="0.2">
      <c r="F81" s="249"/>
    </row>
    <row r="82" spans="1:34" s="8" customFormat="1" x14ac:dyDescent="0.2">
      <c r="F82" s="249"/>
    </row>
    <row r="83" spans="1:34" s="8" customFormat="1" x14ac:dyDescent="0.2">
      <c r="F83" s="249"/>
    </row>
    <row r="84" spans="1:34" s="8" customFormat="1" ht="15" x14ac:dyDescent="0.25">
      <c r="A84" s="202" t="s">
        <v>157</v>
      </c>
      <c r="B84" s="54"/>
      <c r="C84" s="19"/>
      <c r="D84" s="19"/>
      <c r="E84" s="83"/>
      <c r="F84" s="19"/>
      <c r="G84" s="223"/>
      <c r="H84" s="199"/>
      <c r="I84" s="199"/>
      <c r="J84" s="199"/>
      <c r="K84" s="199"/>
      <c r="L84" s="199"/>
      <c r="M84" s="199"/>
      <c r="N84" s="199"/>
      <c r="O84" s="199"/>
      <c r="P84" s="199"/>
      <c r="Q84" s="199"/>
      <c r="R84" s="199"/>
      <c r="S84" s="199"/>
      <c r="T84" s="199"/>
      <c r="U84" s="199"/>
      <c r="V84" s="199"/>
      <c r="W84" s="199"/>
      <c r="X84" s="199"/>
      <c r="Y84" s="199"/>
      <c r="Z84" s="199"/>
      <c r="AA84" s="199"/>
      <c r="AB84" s="199"/>
      <c r="AC84" s="199"/>
      <c r="AD84" s="199"/>
      <c r="AE84" s="199"/>
      <c r="AF84" s="199"/>
      <c r="AG84" s="10"/>
      <c r="AH84" s="10"/>
    </row>
    <row r="85" spans="1:34" s="8" customFormat="1" x14ac:dyDescent="0.2">
      <c r="F85" s="249"/>
    </row>
    <row r="86" spans="1:34" s="8" customFormat="1" x14ac:dyDescent="0.2">
      <c r="F86" s="249"/>
    </row>
    <row r="87" spans="1:34" s="8" customFormat="1" x14ac:dyDescent="0.2">
      <c r="E87" s="249"/>
    </row>
    <row r="88" spans="1:34" s="8" customFormat="1" x14ac:dyDescent="0.2">
      <c r="C88" s="275" t="b" cm="1">
        <f t="array" ref="C88:G88">TRANSPOSE(Data!F9:F13)</f>
        <v>0</v>
      </c>
      <c r="D88" s="275" t="b">
        <v>0</v>
      </c>
      <c r="E88" s="276" t="b">
        <v>0</v>
      </c>
      <c r="F88" s="275" t="b">
        <v>0</v>
      </c>
      <c r="G88" s="275" t="b">
        <v>0</v>
      </c>
      <c r="K88" s="8" t="b">
        <f>AND(_xlfn.ANCHORARRAY(C88))</f>
        <v>0</v>
      </c>
    </row>
    <row r="89" spans="1:34" s="8" customFormat="1" x14ac:dyDescent="0.2">
      <c r="A89" s="59"/>
      <c r="B89" s="59"/>
      <c r="C89" s="277" t="str" cm="1">
        <f t="array" ref="C89:G89">TRANSPOSE(options)</f>
        <v>Option 1 (base case)</v>
      </c>
      <c r="D89" s="277" t="str">
        <v>Option 2</v>
      </c>
      <c r="E89" s="277" t="str">
        <v>Option 3</v>
      </c>
      <c r="F89" s="277" t="str">
        <v>Option 4</v>
      </c>
      <c r="G89" s="277" t="str">
        <v>Option 5</v>
      </c>
      <c r="I89" s="277" t="s">
        <v>228</v>
      </c>
      <c r="K89" s="283" t="s">
        <v>229</v>
      </c>
    </row>
    <row r="90" spans="1:34" s="8" customFormat="1" x14ac:dyDescent="0.2">
      <c r="A90" s="261" t="s">
        <v>119</v>
      </c>
      <c r="B90" s="261" t="s">
        <v>219</v>
      </c>
      <c r="C90" s="105">
        <f t="shared" ref="C90:G98" si="10">IF(OR($B90=0,C$88),"", INDEX($F$14:$F$81, MATCH(C$89&amp;$A90,$D$14:$D$81,0))/10^6)</f>
        <v>0</v>
      </c>
      <c r="D90" s="105">
        <f t="shared" si="10"/>
        <v>1.1295347658417836</v>
      </c>
      <c r="E90" s="105">
        <f t="shared" si="10"/>
        <v>-52.266044189016895</v>
      </c>
      <c r="F90" s="105">
        <f t="shared" si="10"/>
        <v>0.59201336535489546</v>
      </c>
      <c r="G90" s="105">
        <f t="shared" si="10"/>
        <v>1.7215481311967604</v>
      </c>
      <c r="H90" s="186"/>
      <c r="I90" s="105">
        <f t="shared" ref="I90:I98" si="11">_xlfn.MAXIFS(C90:G90,_xlfn.ANCHORARRAY( C$88),FALSE)</f>
        <v>1.7215481311967604</v>
      </c>
      <c r="K90" s="8" t="str">
        <f t="shared" ref="K90:K98" si="12">IF(OR(B90=0,$K$88),"", INDEX(_xlfn.ANCHORARRAY($C$89), MATCH(I90, $C90:$G90,0)))</f>
        <v>Option 5</v>
      </c>
    </row>
    <row r="91" spans="1:34" s="8" customFormat="1" x14ac:dyDescent="0.2">
      <c r="A91" s="261" t="str">
        <f>"sens"&amp;Assumptions!B111</f>
        <v>sens1</v>
      </c>
      <c r="B91" s="261" t="str">
        <f>Assumptions!C111</f>
        <v>Capex 10% higher</v>
      </c>
      <c r="C91" s="105">
        <f t="shared" si="10"/>
        <v>0</v>
      </c>
      <c r="D91" s="105">
        <f t="shared" si="10"/>
        <v>0.711005813984395</v>
      </c>
      <c r="E91" s="105">
        <f t="shared" si="10"/>
        <v>-58.750344422460515</v>
      </c>
      <c r="F91" s="105">
        <f t="shared" si="10"/>
        <v>-8.8208751476442387E-2</v>
      </c>
      <c r="G91" s="105">
        <f t="shared" si="10"/>
        <v>0.62279706250803368</v>
      </c>
      <c r="H91" s="186"/>
      <c r="I91" s="105">
        <f t="shared" si="11"/>
        <v>0.711005813984395</v>
      </c>
      <c r="K91" s="8" t="str">
        <f t="shared" si="12"/>
        <v>Option 2</v>
      </c>
    </row>
    <row r="92" spans="1:34" s="8" customFormat="1" x14ac:dyDescent="0.2">
      <c r="A92" s="261" t="str">
        <f>"sens"&amp;Assumptions!B112</f>
        <v>sens2</v>
      </c>
      <c r="B92" s="261" t="str">
        <f>Assumptions!C112</f>
        <v>Capex 10% lower</v>
      </c>
      <c r="C92" s="105">
        <f t="shared" si="10"/>
        <v>0</v>
      </c>
      <c r="D92" s="105">
        <f t="shared" si="10"/>
        <v>1.5480637176991723</v>
      </c>
      <c r="E92" s="105">
        <f t="shared" si="10"/>
        <v>-45.781743955573269</v>
      </c>
      <c r="F92" s="105">
        <f t="shared" si="10"/>
        <v>1.2722354821862321</v>
      </c>
      <c r="G92" s="105">
        <f t="shared" si="10"/>
        <v>2.8202991998854858</v>
      </c>
      <c r="H92" s="186"/>
      <c r="I92" s="105">
        <f t="shared" si="11"/>
        <v>2.8202991998854858</v>
      </c>
      <c r="K92" s="8" t="str">
        <f t="shared" si="12"/>
        <v>Option 5</v>
      </c>
    </row>
    <row r="93" spans="1:34" s="8" customFormat="1" x14ac:dyDescent="0.2">
      <c r="A93" s="261" t="str">
        <f>"sens"&amp;Assumptions!B113</f>
        <v>sens3</v>
      </c>
      <c r="B93" s="261" t="str">
        <f>Assumptions!C113</f>
        <v>Total benefits 10% higher</v>
      </c>
      <c r="C93" s="105">
        <f t="shared" si="10"/>
        <v>0</v>
      </c>
      <c r="D93" s="105">
        <f t="shared" si="10"/>
        <v>1.6610171942833512</v>
      </c>
      <c r="E93" s="105">
        <f t="shared" si="10"/>
        <v>-45.976619569770982</v>
      </c>
      <c r="F93" s="105">
        <f t="shared" si="10"/>
        <v>1.7901093885926429</v>
      </c>
      <c r="G93" s="105">
        <f t="shared" si="10"/>
        <v>3.451126582876082</v>
      </c>
      <c r="H93" s="186"/>
      <c r="I93" s="105">
        <f t="shared" si="11"/>
        <v>3.451126582876082</v>
      </c>
      <c r="K93" s="8" t="str">
        <f t="shared" si="12"/>
        <v>Option 5</v>
      </c>
    </row>
    <row r="94" spans="1:34" s="8" customFormat="1" x14ac:dyDescent="0.2">
      <c r="A94" s="261" t="str">
        <f>"sens"&amp;Assumptions!B114</f>
        <v>sens4</v>
      </c>
      <c r="B94" s="261" t="str">
        <f>Assumptions!C114</f>
        <v>Total benefits 10% lower</v>
      </c>
      <c r="C94" s="105">
        <f t="shared" si="10"/>
        <v>0</v>
      </c>
      <c r="D94" s="105">
        <f t="shared" si="10"/>
        <v>0.59805233740021635</v>
      </c>
      <c r="E94" s="105">
        <f t="shared" si="10"/>
        <v>-58.555468808262823</v>
      </c>
      <c r="F94" s="105">
        <f t="shared" si="10"/>
        <v>-0.60608265788285243</v>
      </c>
      <c r="G94" s="105">
        <f t="shared" si="10"/>
        <v>-8.0303204825629675E-3</v>
      </c>
      <c r="H94" s="186"/>
      <c r="I94" s="105">
        <f t="shared" si="11"/>
        <v>0.59805233740021635</v>
      </c>
      <c r="K94" s="8" t="str">
        <f t="shared" si="12"/>
        <v>Option 2</v>
      </c>
    </row>
    <row r="95" spans="1:34" s="8" customFormat="1" x14ac:dyDescent="0.2">
      <c r="A95" s="261" t="str">
        <f>"sens"&amp;Assumptions!B115</f>
        <v>sens5</v>
      </c>
      <c r="B95" s="261" t="str">
        <f>Assumptions!C115</f>
        <v>Capex 10% higher &amp; Total benefits 10% lower</v>
      </c>
      <c r="C95" s="105">
        <f t="shared" si="10"/>
        <v>0</v>
      </c>
      <c r="D95" s="105">
        <f t="shared" si="10"/>
        <v>0.17952338554282754</v>
      </c>
      <c r="E95" s="105">
        <f t="shared" si="10"/>
        <v>-65.039769041706435</v>
      </c>
      <c r="F95" s="105">
        <f t="shared" si="10"/>
        <v>-1.2863047747141896</v>
      </c>
      <c r="G95" s="105">
        <f t="shared" si="10"/>
        <v>-1.1067813891712885</v>
      </c>
      <c r="H95" s="186"/>
      <c r="I95" s="105">
        <f t="shared" si="11"/>
        <v>0.17952338554282754</v>
      </c>
      <c r="K95" s="8" t="str">
        <f t="shared" si="12"/>
        <v>Option 2</v>
      </c>
    </row>
    <row r="96" spans="1:34" s="8" customFormat="1" x14ac:dyDescent="0.2">
      <c r="A96" s="261" t="str">
        <f>"sens"&amp;Assumptions!B116</f>
        <v>sens</v>
      </c>
      <c r="B96" s="261">
        <f>Assumptions!C116</f>
        <v>0</v>
      </c>
      <c r="C96" s="105" t="str">
        <f t="shared" si="10"/>
        <v/>
      </c>
      <c r="D96" s="105" t="str">
        <f t="shared" si="10"/>
        <v/>
      </c>
      <c r="E96" s="105" t="str">
        <f t="shared" si="10"/>
        <v/>
      </c>
      <c r="F96" s="105" t="str">
        <f t="shared" si="10"/>
        <v/>
      </c>
      <c r="G96" s="105" t="str">
        <f t="shared" si="10"/>
        <v/>
      </c>
      <c r="H96" s="186"/>
      <c r="I96" s="105">
        <f t="shared" si="11"/>
        <v>0</v>
      </c>
      <c r="K96" s="8" t="str">
        <f t="shared" si="12"/>
        <v/>
      </c>
    </row>
    <row r="97" spans="1:11" x14ac:dyDescent="0.2">
      <c r="A97" s="261" t="str">
        <f>"sens"&amp;Assumptions!B117</f>
        <v>sens</v>
      </c>
      <c r="B97" s="261">
        <f>Assumptions!C117</f>
        <v>0</v>
      </c>
      <c r="C97" s="105" t="str">
        <f t="shared" si="10"/>
        <v/>
      </c>
      <c r="D97" s="105" t="str">
        <f t="shared" si="10"/>
        <v/>
      </c>
      <c r="E97" s="105" t="str">
        <f t="shared" si="10"/>
        <v/>
      </c>
      <c r="F97" s="105" t="str">
        <f t="shared" si="10"/>
        <v/>
      </c>
      <c r="G97" s="105" t="str">
        <f t="shared" si="10"/>
        <v/>
      </c>
      <c r="H97" s="282"/>
      <c r="I97" s="105">
        <f t="shared" si="11"/>
        <v>0</v>
      </c>
      <c r="K97" s="8" t="str">
        <f t="shared" si="12"/>
        <v/>
      </c>
    </row>
    <row r="98" spans="1:11" x14ac:dyDescent="0.2">
      <c r="A98" s="261" t="str">
        <f>"sens"&amp;Assumptions!B118</f>
        <v>sens</v>
      </c>
      <c r="B98" s="261">
        <f>Assumptions!C118</f>
        <v>0</v>
      </c>
      <c r="C98" s="105" t="str">
        <f t="shared" si="10"/>
        <v/>
      </c>
      <c r="D98" s="105" t="str">
        <f t="shared" si="10"/>
        <v/>
      </c>
      <c r="E98" s="105" t="str">
        <f t="shared" si="10"/>
        <v/>
      </c>
      <c r="F98" s="105" t="str">
        <f t="shared" si="10"/>
        <v/>
      </c>
      <c r="G98" s="105" t="str">
        <f t="shared" si="10"/>
        <v/>
      </c>
      <c r="H98" s="282"/>
      <c r="I98" s="105">
        <f t="shared" si="11"/>
        <v>0</v>
      </c>
      <c r="K98" s="8" t="str">
        <f t="shared" si="12"/>
        <v/>
      </c>
    </row>
    <row r="99" spans="1:11" x14ac:dyDescent="0.2">
      <c r="C99" s="31"/>
      <c r="E99"/>
      <c r="F99" s="10"/>
    </row>
    <row r="100" spans="1:11" x14ac:dyDescent="0.2">
      <c r="E100"/>
      <c r="F100" s="10"/>
    </row>
    <row r="101" spans="1:11" x14ac:dyDescent="0.2">
      <c r="E101"/>
      <c r="F101" s="10"/>
    </row>
    <row r="102" spans="1:11" x14ac:dyDescent="0.2">
      <c r="E102"/>
      <c r="F102" s="10"/>
    </row>
    <row r="103" spans="1:11" x14ac:dyDescent="0.2">
      <c r="E103"/>
      <c r="F103" s="10"/>
    </row>
    <row r="104" spans="1:11" x14ac:dyDescent="0.2">
      <c r="E104"/>
      <c r="F104" s="10"/>
    </row>
    <row r="105" spans="1:11" x14ac:dyDescent="0.2">
      <c r="E105"/>
      <c r="F105" s="10"/>
    </row>
    <row r="106" spans="1:11" x14ac:dyDescent="0.2"/>
    <row r="107" spans="1:11" x14ac:dyDescent="0.2"/>
    <row r="108" spans="1:11" x14ac:dyDescent="0.2"/>
    <row r="109" spans="1:11" x14ac:dyDescent="0.2"/>
    <row r="110" spans="1:11" x14ac:dyDescent="0.2"/>
    <row r="111" spans="1:11" x14ac:dyDescent="0.2"/>
    <row r="112" spans="1:11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x14ac:dyDescent="0.2"/>
    <row r="250" x14ac:dyDescent="0.2"/>
    <row r="251" x14ac:dyDescent="0.2"/>
    <row r="252" x14ac:dyDescent="0.2"/>
    <row r="253" x14ac:dyDescent="0.2"/>
    <row r="254" x14ac:dyDescent="0.2"/>
    <row r="255" x14ac:dyDescent="0.2"/>
    <row r="256" x14ac:dyDescent="0.2"/>
    <row r="257" x14ac:dyDescent="0.2"/>
    <row r="258" x14ac:dyDescent="0.2"/>
    <row r="259" x14ac:dyDescent="0.2"/>
    <row r="260" x14ac:dyDescent="0.2"/>
    <row r="261" x14ac:dyDescent="0.2"/>
    <row r="262" x14ac:dyDescent="0.2"/>
    <row r="263" x14ac:dyDescent="0.2"/>
    <row r="264" x14ac:dyDescent="0.2"/>
    <row r="265" x14ac:dyDescent="0.2"/>
    <row r="266" x14ac:dyDescent="0.2"/>
    <row r="267" x14ac:dyDescent="0.2"/>
    <row r="268" x14ac:dyDescent="0.2"/>
    <row r="269" x14ac:dyDescent="0.2"/>
    <row r="270" x14ac:dyDescent="0.2"/>
    <row r="271" x14ac:dyDescent="0.2"/>
    <row r="272" x14ac:dyDescent="0.2"/>
    <row r="273" x14ac:dyDescent="0.2"/>
    <row r="274" x14ac:dyDescent="0.2"/>
    <row r="275" x14ac:dyDescent="0.2"/>
    <row r="276" x14ac:dyDescent="0.2"/>
    <row r="277" x14ac:dyDescent="0.2"/>
    <row r="278" x14ac:dyDescent="0.2"/>
    <row r="279" x14ac:dyDescent="0.2"/>
    <row r="280" x14ac:dyDescent="0.2"/>
    <row r="281" x14ac:dyDescent="0.2"/>
    <row r="282" x14ac:dyDescent="0.2"/>
    <row r="283" x14ac:dyDescent="0.2"/>
    <row r="284" x14ac:dyDescent="0.2"/>
    <row r="285" x14ac:dyDescent="0.2"/>
    <row r="286" x14ac:dyDescent="0.2"/>
    <row r="287" x14ac:dyDescent="0.2"/>
    <row r="288" x14ac:dyDescent="0.2"/>
    <row r="289" x14ac:dyDescent="0.2"/>
    <row r="290" x14ac:dyDescent="0.2"/>
    <row r="291" x14ac:dyDescent="0.2"/>
    <row r="292" x14ac:dyDescent="0.2"/>
    <row r="293" x14ac:dyDescent="0.2"/>
    <row r="294" x14ac:dyDescent="0.2"/>
    <row r="295" x14ac:dyDescent="0.2"/>
    <row r="296" x14ac:dyDescent="0.2"/>
    <row r="297" x14ac:dyDescent="0.2"/>
    <row r="298" x14ac:dyDescent="0.2"/>
    <row r="299" x14ac:dyDescent="0.2"/>
    <row r="300" x14ac:dyDescent="0.2"/>
    <row r="301" x14ac:dyDescent="0.2"/>
    <row r="302" x14ac:dyDescent="0.2"/>
    <row r="303" x14ac:dyDescent="0.2"/>
    <row r="304" x14ac:dyDescent="0.2"/>
    <row r="305" x14ac:dyDescent="0.2"/>
    <row r="306" x14ac:dyDescent="0.2"/>
    <row r="307" x14ac:dyDescent="0.2"/>
    <row r="308" x14ac:dyDescent="0.2"/>
    <row r="309" x14ac:dyDescent="0.2"/>
    <row r="310" x14ac:dyDescent="0.2"/>
    <row r="311" x14ac:dyDescent="0.2"/>
    <row r="312" x14ac:dyDescent="0.2"/>
    <row r="313" x14ac:dyDescent="0.2"/>
    <row r="314" x14ac:dyDescent="0.2"/>
    <row r="315" x14ac:dyDescent="0.2"/>
    <row r="316" x14ac:dyDescent="0.2"/>
    <row r="317" x14ac:dyDescent="0.2"/>
    <row r="318" x14ac:dyDescent="0.2"/>
    <row r="319" x14ac:dyDescent="0.2"/>
    <row r="320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  <row r="329" x14ac:dyDescent="0.2"/>
    <row r="330" x14ac:dyDescent="0.2"/>
    <row r="331" x14ac:dyDescent="0.2"/>
    <row r="332" x14ac:dyDescent="0.2"/>
    <row r="333" x14ac:dyDescent="0.2"/>
    <row r="334" x14ac:dyDescent="0.2"/>
    <row r="335" x14ac:dyDescent="0.2"/>
    <row r="336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  <row r="350" x14ac:dyDescent="0.2"/>
    <row r="351" x14ac:dyDescent="0.2"/>
    <row r="352" x14ac:dyDescent="0.2"/>
    <row r="353" x14ac:dyDescent="0.2"/>
    <row r="354" x14ac:dyDescent="0.2"/>
    <row r="355" x14ac:dyDescent="0.2"/>
    <row r="356" x14ac:dyDescent="0.2"/>
    <row r="357" x14ac:dyDescent="0.2"/>
    <row r="358" x14ac:dyDescent="0.2"/>
    <row r="359" x14ac:dyDescent="0.2"/>
    <row r="360" x14ac:dyDescent="0.2"/>
    <row r="361" x14ac:dyDescent="0.2"/>
    <row r="362" x14ac:dyDescent="0.2"/>
    <row r="363" x14ac:dyDescent="0.2"/>
    <row r="364" x14ac:dyDescent="0.2"/>
    <row r="365" x14ac:dyDescent="0.2"/>
    <row r="366" x14ac:dyDescent="0.2"/>
    <row r="367" x14ac:dyDescent="0.2"/>
    <row r="368" x14ac:dyDescent="0.2"/>
    <row r="369" x14ac:dyDescent="0.2"/>
    <row r="370" x14ac:dyDescent="0.2"/>
    <row r="371" x14ac:dyDescent="0.2"/>
    <row r="372" x14ac:dyDescent="0.2"/>
    <row r="373" x14ac:dyDescent="0.2"/>
    <row r="374" x14ac:dyDescent="0.2"/>
    <row r="375" x14ac:dyDescent="0.2"/>
    <row r="376" x14ac:dyDescent="0.2"/>
    <row r="377" x14ac:dyDescent="0.2"/>
    <row r="378" x14ac:dyDescent="0.2"/>
    <row r="379" x14ac:dyDescent="0.2"/>
    <row r="380" x14ac:dyDescent="0.2"/>
    <row r="381" x14ac:dyDescent="0.2"/>
    <row r="382" x14ac:dyDescent="0.2"/>
    <row r="383" x14ac:dyDescent="0.2"/>
    <row r="384" x14ac:dyDescent="0.2"/>
    <row r="385" x14ac:dyDescent="0.2"/>
    <row r="386" x14ac:dyDescent="0.2"/>
    <row r="387" x14ac:dyDescent="0.2"/>
    <row r="388" x14ac:dyDescent="0.2"/>
    <row r="389" x14ac:dyDescent="0.2"/>
    <row r="390" x14ac:dyDescent="0.2"/>
    <row r="391" x14ac:dyDescent="0.2"/>
    <row r="392" x14ac:dyDescent="0.2"/>
    <row r="393" x14ac:dyDescent="0.2"/>
    <row r="394" x14ac:dyDescent="0.2"/>
    <row r="395" x14ac:dyDescent="0.2"/>
    <row r="396" x14ac:dyDescent="0.2"/>
    <row r="397" x14ac:dyDescent="0.2"/>
    <row r="398" x14ac:dyDescent="0.2"/>
    <row r="399" x14ac:dyDescent="0.2"/>
    <row r="400" x14ac:dyDescent="0.2"/>
    <row r="401" x14ac:dyDescent="0.2"/>
    <row r="402" x14ac:dyDescent="0.2"/>
    <row r="403" x14ac:dyDescent="0.2"/>
    <row r="404" x14ac:dyDescent="0.2"/>
    <row r="405" x14ac:dyDescent="0.2"/>
    <row r="406" x14ac:dyDescent="0.2"/>
    <row r="407" x14ac:dyDescent="0.2"/>
    <row r="408" x14ac:dyDescent="0.2"/>
    <row r="409" x14ac:dyDescent="0.2"/>
    <row r="410" x14ac:dyDescent="0.2"/>
    <row r="411" x14ac:dyDescent="0.2"/>
    <row r="412" x14ac:dyDescent="0.2"/>
    <row r="413" x14ac:dyDescent="0.2"/>
    <row r="414" x14ac:dyDescent="0.2"/>
    <row r="415" x14ac:dyDescent="0.2"/>
    <row r="416" x14ac:dyDescent="0.2"/>
    <row r="417" x14ac:dyDescent="0.2"/>
    <row r="418" x14ac:dyDescent="0.2"/>
    <row r="419" x14ac:dyDescent="0.2"/>
    <row r="420" x14ac:dyDescent="0.2"/>
    <row r="421" x14ac:dyDescent="0.2"/>
    <row r="422" x14ac:dyDescent="0.2"/>
    <row r="423" x14ac:dyDescent="0.2"/>
    <row r="424" x14ac:dyDescent="0.2"/>
    <row r="425" x14ac:dyDescent="0.2"/>
    <row r="426" x14ac:dyDescent="0.2"/>
    <row r="427" x14ac:dyDescent="0.2"/>
    <row r="428" x14ac:dyDescent="0.2"/>
    <row r="429" x14ac:dyDescent="0.2"/>
    <row r="430" x14ac:dyDescent="0.2"/>
    <row r="431" x14ac:dyDescent="0.2"/>
    <row r="432" x14ac:dyDescent="0.2"/>
    <row r="433" x14ac:dyDescent="0.2"/>
    <row r="434" x14ac:dyDescent="0.2"/>
    <row r="435" x14ac:dyDescent="0.2"/>
    <row r="436" x14ac:dyDescent="0.2"/>
    <row r="437" x14ac:dyDescent="0.2"/>
    <row r="438" x14ac:dyDescent="0.2"/>
    <row r="439" x14ac:dyDescent="0.2"/>
    <row r="440" x14ac:dyDescent="0.2"/>
    <row r="441" x14ac:dyDescent="0.2"/>
    <row r="442" x14ac:dyDescent="0.2"/>
    <row r="443" x14ac:dyDescent="0.2"/>
    <row r="444" x14ac:dyDescent="0.2"/>
    <row r="445" x14ac:dyDescent="0.2"/>
    <row r="446" x14ac:dyDescent="0.2"/>
    <row r="447" x14ac:dyDescent="0.2"/>
    <row r="448" x14ac:dyDescent="0.2"/>
    <row r="449" x14ac:dyDescent="0.2"/>
    <row r="450" x14ac:dyDescent="0.2"/>
    <row r="451" x14ac:dyDescent="0.2"/>
    <row r="452" x14ac:dyDescent="0.2"/>
    <row r="453" x14ac:dyDescent="0.2"/>
    <row r="454" x14ac:dyDescent="0.2"/>
    <row r="455" x14ac:dyDescent="0.2"/>
    <row r="456" x14ac:dyDescent="0.2"/>
    <row r="457" x14ac:dyDescent="0.2"/>
    <row r="458" x14ac:dyDescent="0.2"/>
    <row r="459" x14ac:dyDescent="0.2"/>
    <row r="460" x14ac:dyDescent="0.2"/>
    <row r="461" x14ac:dyDescent="0.2"/>
    <row r="462" x14ac:dyDescent="0.2"/>
    <row r="463" x14ac:dyDescent="0.2"/>
    <row r="464" x14ac:dyDescent="0.2"/>
    <row r="465" x14ac:dyDescent="0.2"/>
    <row r="466" x14ac:dyDescent="0.2"/>
    <row r="467" x14ac:dyDescent="0.2"/>
    <row r="468" x14ac:dyDescent="0.2"/>
    <row r="469" x14ac:dyDescent="0.2"/>
    <row r="470" x14ac:dyDescent="0.2"/>
    <row r="471" x14ac:dyDescent="0.2"/>
    <row r="472" x14ac:dyDescent="0.2"/>
    <row r="473" x14ac:dyDescent="0.2"/>
    <row r="474" x14ac:dyDescent="0.2"/>
    <row r="475" x14ac:dyDescent="0.2"/>
    <row r="476" x14ac:dyDescent="0.2"/>
    <row r="477" x14ac:dyDescent="0.2"/>
    <row r="478" x14ac:dyDescent="0.2"/>
    <row r="479" x14ac:dyDescent="0.2"/>
    <row r="480" x14ac:dyDescent="0.2"/>
    <row r="481" x14ac:dyDescent="0.2"/>
    <row r="482" x14ac:dyDescent="0.2"/>
    <row r="483" x14ac:dyDescent="0.2"/>
    <row r="484" x14ac:dyDescent="0.2"/>
    <row r="485" x14ac:dyDescent="0.2"/>
    <row r="486" x14ac:dyDescent="0.2"/>
    <row r="487" x14ac:dyDescent="0.2"/>
    <row r="488" x14ac:dyDescent="0.2"/>
    <row r="489" x14ac:dyDescent="0.2"/>
    <row r="490" x14ac:dyDescent="0.2"/>
    <row r="491" x14ac:dyDescent="0.2"/>
    <row r="492" x14ac:dyDescent="0.2"/>
    <row r="493" x14ac:dyDescent="0.2"/>
    <row r="494" x14ac:dyDescent="0.2"/>
    <row r="495" x14ac:dyDescent="0.2"/>
    <row r="496" x14ac:dyDescent="0.2"/>
    <row r="497" x14ac:dyDescent="0.2"/>
    <row r="498" x14ac:dyDescent="0.2"/>
    <row r="499" x14ac:dyDescent="0.2"/>
    <row r="500" x14ac:dyDescent="0.2"/>
    <row r="501" x14ac:dyDescent="0.2"/>
    <row r="502" x14ac:dyDescent="0.2"/>
    <row r="503" x14ac:dyDescent="0.2"/>
    <row r="504" x14ac:dyDescent="0.2"/>
    <row r="505" x14ac:dyDescent="0.2"/>
    <row r="506" x14ac:dyDescent="0.2"/>
    <row r="507" x14ac:dyDescent="0.2"/>
    <row r="508" x14ac:dyDescent="0.2"/>
    <row r="509" x14ac:dyDescent="0.2"/>
    <row r="510" x14ac:dyDescent="0.2"/>
    <row r="511" x14ac:dyDescent="0.2"/>
    <row r="512" x14ac:dyDescent="0.2"/>
    <row r="513" x14ac:dyDescent="0.2"/>
    <row r="514" x14ac:dyDescent="0.2"/>
    <row r="515" x14ac:dyDescent="0.2"/>
    <row r="516" x14ac:dyDescent="0.2"/>
    <row r="517" x14ac:dyDescent="0.2"/>
    <row r="518" x14ac:dyDescent="0.2"/>
    <row r="519" x14ac:dyDescent="0.2"/>
    <row r="520" x14ac:dyDescent="0.2"/>
    <row r="521" x14ac:dyDescent="0.2"/>
    <row r="522" x14ac:dyDescent="0.2"/>
    <row r="523" x14ac:dyDescent="0.2"/>
    <row r="524" x14ac:dyDescent="0.2"/>
    <row r="525" x14ac:dyDescent="0.2"/>
    <row r="526" x14ac:dyDescent="0.2"/>
    <row r="527" x14ac:dyDescent="0.2"/>
    <row r="528" x14ac:dyDescent="0.2"/>
    <row r="529" x14ac:dyDescent="0.2"/>
    <row r="530" x14ac:dyDescent="0.2"/>
    <row r="531" x14ac:dyDescent="0.2"/>
    <row r="532" x14ac:dyDescent="0.2"/>
    <row r="533" x14ac:dyDescent="0.2"/>
    <row r="534" x14ac:dyDescent="0.2"/>
    <row r="535" x14ac:dyDescent="0.2"/>
    <row r="536" x14ac:dyDescent="0.2"/>
    <row r="537" x14ac:dyDescent="0.2"/>
    <row r="538" x14ac:dyDescent="0.2"/>
    <row r="539" x14ac:dyDescent="0.2"/>
    <row r="540" x14ac:dyDescent="0.2"/>
    <row r="541" x14ac:dyDescent="0.2"/>
    <row r="542" x14ac:dyDescent="0.2"/>
    <row r="543" x14ac:dyDescent="0.2"/>
    <row r="544" x14ac:dyDescent="0.2"/>
    <row r="545" x14ac:dyDescent="0.2"/>
    <row r="546" x14ac:dyDescent="0.2"/>
    <row r="547" x14ac:dyDescent="0.2"/>
    <row r="548" x14ac:dyDescent="0.2"/>
    <row r="549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  <row r="558" x14ac:dyDescent="0.2"/>
    <row r="559" x14ac:dyDescent="0.2"/>
    <row r="560" x14ac:dyDescent="0.2"/>
    <row r="561" x14ac:dyDescent="0.2"/>
    <row r="562" x14ac:dyDescent="0.2"/>
    <row r="563" x14ac:dyDescent="0.2"/>
    <row r="564" x14ac:dyDescent="0.2"/>
    <row r="565" x14ac:dyDescent="0.2"/>
    <row r="566" x14ac:dyDescent="0.2"/>
    <row r="567" x14ac:dyDescent="0.2"/>
    <row r="568" x14ac:dyDescent="0.2"/>
    <row r="569" x14ac:dyDescent="0.2"/>
    <row r="570" x14ac:dyDescent="0.2"/>
    <row r="571" x14ac:dyDescent="0.2"/>
    <row r="572" x14ac:dyDescent="0.2"/>
    <row r="573" x14ac:dyDescent="0.2"/>
    <row r="574" x14ac:dyDescent="0.2"/>
    <row r="575" x14ac:dyDescent="0.2"/>
    <row r="576" x14ac:dyDescent="0.2"/>
    <row r="577" x14ac:dyDescent="0.2"/>
    <row r="578" x14ac:dyDescent="0.2"/>
    <row r="579" x14ac:dyDescent="0.2"/>
    <row r="580" x14ac:dyDescent="0.2"/>
    <row r="581" x14ac:dyDescent="0.2"/>
    <row r="582" x14ac:dyDescent="0.2"/>
    <row r="583" x14ac:dyDescent="0.2"/>
    <row r="584" x14ac:dyDescent="0.2"/>
    <row r="585" x14ac:dyDescent="0.2"/>
    <row r="586" x14ac:dyDescent="0.2"/>
    <row r="587" x14ac:dyDescent="0.2"/>
    <row r="588" x14ac:dyDescent="0.2"/>
    <row r="589" x14ac:dyDescent="0.2"/>
    <row r="590" x14ac:dyDescent="0.2"/>
    <row r="591" x14ac:dyDescent="0.2"/>
    <row r="592" x14ac:dyDescent="0.2"/>
    <row r="593" x14ac:dyDescent="0.2"/>
    <row r="594" x14ac:dyDescent="0.2"/>
    <row r="595" x14ac:dyDescent="0.2"/>
    <row r="596" x14ac:dyDescent="0.2"/>
    <row r="597" x14ac:dyDescent="0.2"/>
    <row r="598" x14ac:dyDescent="0.2"/>
    <row r="599" x14ac:dyDescent="0.2"/>
    <row r="600" x14ac:dyDescent="0.2"/>
    <row r="601" x14ac:dyDescent="0.2"/>
    <row r="602" x14ac:dyDescent="0.2"/>
    <row r="603" x14ac:dyDescent="0.2"/>
    <row r="604" x14ac:dyDescent="0.2"/>
    <row r="605" x14ac:dyDescent="0.2"/>
    <row r="606" x14ac:dyDescent="0.2"/>
    <row r="607" x14ac:dyDescent="0.2"/>
    <row r="608" x14ac:dyDescent="0.2"/>
    <row r="609" x14ac:dyDescent="0.2"/>
    <row r="610" x14ac:dyDescent="0.2"/>
    <row r="611" x14ac:dyDescent="0.2"/>
    <row r="612" x14ac:dyDescent="0.2"/>
    <row r="613" x14ac:dyDescent="0.2"/>
    <row r="614" x14ac:dyDescent="0.2"/>
    <row r="615" x14ac:dyDescent="0.2"/>
    <row r="616" x14ac:dyDescent="0.2"/>
    <row r="617" x14ac:dyDescent="0.2"/>
    <row r="618" x14ac:dyDescent="0.2"/>
    <row r="619" x14ac:dyDescent="0.2"/>
    <row r="620" x14ac:dyDescent="0.2"/>
    <row r="621" x14ac:dyDescent="0.2"/>
    <row r="622" x14ac:dyDescent="0.2"/>
    <row r="623" x14ac:dyDescent="0.2"/>
    <row r="624" x14ac:dyDescent="0.2"/>
    <row r="625" x14ac:dyDescent="0.2"/>
    <row r="626" x14ac:dyDescent="0.2"/>
    <row r="627" x14ac:dyDescent="0.2"/>
    <row r="628" x14ac:dyDescent="0.2"/>
    <row r="629" x14ac:dyDescent="0.2"/>
    <row r="630" x14ac:dyDescent="0.2"/>
    <row r="631" x14ac:dyDescent="0.2"/>
    <row r="632" x14ac:dyDescent="0.2"/>
    <row r="633" x14ac:dyDescent="0.2"/>
    <row r="634" x14ac:dyDescent="0.2"/>
    <row r="635" x14ac:dyDescent="0.2"/>
    <row r="636" x14ac:dyDescent="0.2"/>
    <row r="637" x14ac:dyDescent="0.2"/>
    <row r="638" x14ac:dyDescent="0.2"/>
    <row r="639" x14ac:dyDescent="0.2"/>
    <row r="640" x14ac:dyDescent="0.2"/>
    <row r="641" x14ac:dyDescent="0.2"/>
    <row r="642" x14ac:dyDescent="0.2"/>
    <row r="643" x14ac:dyDescent="0.2"/>
    <row r="644" x14ac:dyDescent="0.2"/>
    <row r="645" x14ac:dyDescent="0.2"/>
    <row r="646" x14ac:dyDescent="0.2"/>
    <row r="647" x14ac:dyDescent="0.2"/>
    <row r="648" x14ac:dyDescent="0.2"/>
    <row r="649" x14ac:dyDescent="0.2"/>
    <row r="650" x14ac:dyDescent="0.2"/>
    <row r="651" x14ac:dyDescent="0.2"/>
    <row r="652" x14ac:dyDescent="0.2"/>
    <row r="653" x14ac:dyDescent="0.2"/>
    <row r="654" x14ac:dyDescent="0.2"/>
    <row r="655" x14ac:dyDescent="0.2"/>
    <row r="656" x14ac:dyDescent="0.2"/>
    <row r="657" x14ac:dyDescent="0.2"/>
    <row r="658" x14ac:dyDescent="0.2"/>
    <row r="659" x14ac:dyDescent="0.2"/>
    <row r="660" x14ac:dyDescent="0.2"/>
    <row r="661" x14ac:dyDescent="0.2"/>
    <row r="662" x14ac:dyDescent="0.2"/>
    <row r="663" x14ac:dyDescent="0.2"/>
    <row r="664" x14ac:dyDescent="0.2"/>
    <row r="665" x14ac:dyDescent="0.2"/>
    <row r="666" x14ac:dyDescent="0.2"/>
    <row r="667" x14ac:dyDescent="0.2"/>
    <row r="668" x14ac:dyDescent="0.2"/>
    <row r="669" x14ac:dyDescent="0.2"/>
    <row r="670" x14ac:dyDescent="0.2"/>
    <row r="671" x14ac:dyDescent="0.2"/>
    <row r="672" x14ac:dyDescent="0.2"/>
    <row r="673" x14ac:dyDescent="0.2"/>
    <row r="674" x14ac:dyDescent="0.2"/>
    <row r="675" x14ac:dyDescent="0.2"/>
    <row r="676" x14ac:dyDescent="0.2"/>
    <row r="677" x14ac:dyDescent="0.2"/>
    <row r="678" x14ac:dyDescent="0.2"/>
    <row r="679" x14ac:dyDescent="0.2"/>
    <row r="680" x14ac:dyDescent="0.2"/>
    <row r="681" x14ac:dyDescent="0.2"/>
    <row r="682" x14ac:dyDescent="0.2"/>
    <row r="683" x14ac:dyDescent="0.2"/>
    <row r="684" x14ac:dyDescent="0.2"/>
    <row r="685" x14ac:dyDescent="0.2"/>
    <row r="686" x14ac:dyDescent="0.2"/>
    <row r="687" x14ac:dyDescent="0.2"/>
    <row r="688" x14ac:dyDescent="0.2"/>
    <row r="689" x14ac:dyDescent="0.2"/>
    <row r="690" x14ac:dyDescent="0.2"/>
    <row r="691" x14ac:dyDescent="0.2"/>
    <row r="692" x14ac:dyDescent="0.2"/>
    <row r="693" x14ac:dyDescent="0.2"/>
    <row r="694" x14ac:dyDescent="0.2"/>
    <row r="695" x14ac:dyDescent="0.2"/>
    <row r="696" x14ac:dyDescent="0.2"/>
    <row r="697" x14ac:dyDescent="0.2"/>
    <row r="698" x14ac:dyDescent="0.2"/>
    <row r="699" x14ac:dyDescent="0.2"/>
    <row r="700" x14ac:dyDescent="0.2"/>
    <row r="701" x14ac:dyDescent="0.2"/>
    <row r="702" x14ac:dyDescent="0.2"/>
    <row r="703" x14ac:dyDescent="0.2"/>
    <row r="704" x14ac:dyDescent="0.2"/>
    <row r="705" x14ac:dyDescent="0.2"/>
    <row r="706" x14ac:dyDescent="0.2"/>
    <row r="707" x14ac:dyDescent="0.2"/>
    <row r="708" x14ac:dyDescent="0.2"/>
    <row r="709" x14ac:dyDescent="0.2"/>
    <row r="710" x14ac:dyDescent="0.2"/>
    <row r="711" x14ac:dyDescent="0.2"/>
    <row r="712" x14ac:dyDescent="0.2"/>
    <row r="713" x14ac:dyDescent="0.2"/>
    <row r="714" x14ac:dyDescent="0.2"/>
    <row r="715" x14ac:dyDescent="0.2"/>
    <row r="716" x14ac:dyDescent="0.2"/>
    <row r="717" x14ac:dyDescent="0.2"/>
    <row r="718" x14ac:dyDescent="0.2"/>
    <row r="719" x14ac:dyDescent="0.2"/>
    <row r="720" x14ac:dyDescent="0.2"/>
    <row r="721" x14ac:dyDescent="0.2"/>
    <row r="722" x14ac:dyDescent="0.2"/>
    <row r="723" x14ac:dyDescent="0.2"/>
    <row r="724" x14ac:dyDescent="0.2"/>
    <row r="725" x14ac:dyDescent="0.2"/>
    <row r="726" x14ac:dyDescent="0.2"/>
    <row r="727" x14ac:dyDescent="0.2"/>
    <row r="728" x14ac:dyDescent="0.2"/>
    <row r="729" x14ac:dyDescent="0.2"/>
    <row r="730" x14ac:dyDescent="0.2"/>
    <row r="731" x14ac:dyDescent="0.2"/>
    <row r="732" x14ac:dyDescent="0.2"/>
    <row r="733" x14ac:dyDescent="0.2"/>
    <row r="734" x14ac:dyDescent="0.2"/>
    <row r="735" x14ac:dyDescent="0.2"/>
    <row r="736" x14ac:dyDescent="0.2"/>
    <row r="737" x14ac:dyDescent="0.2"/>
    <row r="738" x14ac:dyDescent="0.2"/>
    <row r="739" x14ac:dyDescent="0.2"/>
    <row r="740" x14ac:dyDescent="0.2"/>
    <row r="741" x14ac:dyDescent="0.2"/>
    <row r="742" x14ac:dyDescent="0.2"/>
    <row r="743" x14ac:dyDescent="0.2"/>
    <row r="744" x14ac:dyDescent="0.2"/>
    <row r="745" x14ac:dyDescent="0.2"/>
    <row r="746" x14ac:dyDescent="0.2"/>
    <row r="747" x14ac:dyDescent="0.2"/>
    <row r="748" x14ac:dyDescent="0.2"/>
    <row r="749" x14ac:dyDescent="0.2"/>
    <row r="750" x14ac:dyDescent="0.2"/>
    <row r="751" x14ac:dyDescent="0.2"/>
    <row r="752" x14ac:dyDescent="0.2"/>
    <row r="753" x14ac:dyDescent="0.2"/>
    <row r="754" x14ac:dyDescent="0.2"/>
    <row r="755" x14ac:dyDescent="0.2"/>
    <row r="756" x14ac:dyDescent="0.2"/>
    <row r="757" x14ac:dyDescent="0.2"/>
    <row r="758" x14ac:dyDescent="0.2"/>
    <row r="759" x14ac:dyDescent="0.2"/>
    <row r="760" x14ac:dyDescent="0.2"/>
    <row r="761" x14ac:dyDescent="0.2"/>
    <row r="762" x14ac:dyDescent="0.2"/>
    <row r="763" x14ac:dyDescent="0.2"/>
    <row r="764" x14ac:dyDescent="0.2"/>
    <row r="765" x14ac:dyDescent="0.2"/>
    <row r="766" x14ac:dyDescent="0.2"/>
    <row r="767" x14ac:dyDescent="0.2"/>
    <row r="768" x14ac:dyDescent="0.2"/>
    <row r="769" x14ac:dyDescent="0.2"/>
    <row r="770" x14ac:dyDescent="0.2"/>
    <row r="771" x14ac:dyDescent="0.2"/>
    <row r="772" x14ac:dyDescent="0.2"/>
    <row r="773" x14ac:dyDescent="0.2"/>
    <row r="774" x14ac:dyDescent="0.2"/>
    <row r="775" x14ac:dyDescent="0.2"/>
    <row r="776" x14ac:dyDescent="0.2"/>
    <row r="777" x14ac:dyDescent="0.2"/>
    <row r="778" x14ac:dyDescent="0.2"/>
    <row r="779" x14ac:dyDescent="0.2"/>
    <row r="780" x14ac:dyDescent="0.2"/>
    <row r="781" x14ac:dyDescent="0.2"/>
    <row r="782" x14ac:dyDescent="0.2"/>
    <row r="783" x14ac:dyDescent="0.2"/>
    <row r="784" x14ac:dyDescent="0.2"/>
    <row r="785" x14ac:dyDescent="0.2"/>
    <row r="786" x14ac:dyDescent="0.2"/>
    <row r="787" x14ac:dyDescent="0.2"/>
    <row r="788" x14ac:dyDescent="0.2"/>
    <row r="789" x14ac:dyDescent="0.2"/>
    <row r="790" x14ac:dyDescent="0.2"/>
    <row r="791" x14ac:dyDescent="0.2"/>
    <row r="792" x14ac:dyDescent="0.2"/>
    <row r="793" x14ac:dyDescent="0.2"/>
    <row r="794" x14ac:dyDescent="0.2"/>
    <row r="795" x14ac:dyDescent="0.2"/>
    <row r="796" x14ac:dyDescent="0.2"/>
    <row r="797" x14ac:dyDescent="0.2"/>
    <row r="798" x14ac:dyDescent="0.2"/>
    <row r="799" x14ac:dyDescent="0.2"/>
    <row r="800" x14ac:dyDescent="0.2"/>
    <row r="801" x14ac:dyDescent="0.2"/>
    <row r="802" x14ac:dyDescent="0.2"/>
    <row r="803" x14ac:dyDescent="0.2"/>
    <row r="804" x14ac:dyDescent="0.2"/>
    <row r="805" x14ac:dyDescent="0.2"/>
    <row r="806" x14ac:dyDescent="0.2"/>
    <row r="807" x14ac:dyDescent="0.2"/>
    <row r="808" x14ac:dyDescent="0.2"/>
    <row r="809" x14ac:dyDescent="0.2"/>
    <row r="810" x14ac:dyDescent="0.2"/>
    <row r="811" x14ac:dyDescent="0.2"/>
    <row r="812" x14ac:dyDescent="0.2"/>
    <row r="813" x14ac:dyDescent="0.2"/>
    <row r="814" x14ac:dyDescent="0.2"/>
    <row r="815" x14ac:dyDescent="0.2"/>
    <row r="816" x14ac:dyDescent="0.2"/>
    <row r="817" x14ac:dyDescent="0.2"/>
    <row r="818" x14ac:dyDescent="0.2"/>
    <row r="819" x14ac:dyDescent="0.2"/>
    <row r="820" x14ac:dyDescent="0.2"/>
    <row r="821" x14ac:dyDescent="0.2"/>
    <row r="822" x14ac:dyDescent="0.2"/>
    <row r="823" x14ac:dyDescent="0.2"/>
    <row r="824" x14ac:dyDescent="0.2"/>
    <row r="825" x14ac:dyDescent="0.2"/>
    <row r="826" x14ac:dyDescent="0.2"/>
    <row r="827" x14ac:dyDescent="0.2"/>
    <row r="828" x14ac:dyDescent="0.2"/>
    <row r="829" x14ac:dyDescent="0.2"/>
    <row r="830" x14ac:dyDescent="0.2"/>
    <row r="831" x14ac:dyDescent="0.2"/>
    <row r="832" x14ac:dyDescent="0.2"/>
    <row r="833" x14ac:dyDescent="0.2"/>
    <row r="834" x14ac:dyDescent="0.2"/>
    <row r="835" x14ac:dyDescent="0.2"/>
    <row r="836" x14ac:dyDescent="0.2"/>
    <row r="837" x14ac:dyDescent="0.2"/>
    <row r="838" x14ac:dyDescent="0.2"/>
    <row r="839" x14ac:dyDescent="0.2"/>
    <row r="840" x14ac:dyDescent="0.2"/>
    <row r="841" x14ac:dyDescent="0.2"/>
    <row r="842" x14ac:dyDescent="0.2"/>
    <row r="843" x14ac:dyDescent="0.2"/>
    <row r="844" x14ac:dyDescent="0.2"/>
    <row r="845" x14ac:dyDescent="0.2"/>
    <row r="846" x14ac:dyDescent="0.2"/>
    <row r="847" x14ac:dyDescent="0.2"/>
    <row r="848" x14ac:dyDescent="0.2"/>
    <row r="849" x14ac:dyDescent="0.2"/>
    <row r="850" x14ac:dyDescent="0.2"/>
    <row r="851" x14ac:dyDescent="0.2"/>
    <row r="852" x14ac:dyDescent="0.2"/>
    <row r="853" x14ac:dyDescent="0.2"/>
    <row r="854" x14ac:dyDescent="0.2"/>
    <row r="855" x14ac:dyDescent="0.2"/>
    <row r="856" x14ac:dyDescent="0.2"/>
    <row r="857" x14ac:dyDescent="0.2"/>
    <row r="858" x14ac:dyDescent="0.2"/>
    <row r="859" x14ac:dyDescent="0.2"/>
    <row r="860" x14ac:dyDescent="0.2"/>
    <row r="861" x14ac:dyDescent="0.2"/>
    <row r="862" x14ac:dyDescent="0.2"/>
    <row r="863" x14ac:dyDescent="0.2"/>
    <row r="864" x14ac:dyDescent="0.2"/>
    <row r="865" x14ac:dyDescent="0.2"/>
    <row r="866" x14ac:dyDescent="0.2"/>
    <row r="867" x14ac:dyDescent="0.2"/>
    <row r="868" x14ac:dyDescent="0.2"/>
    <row r="869" x14ac:dyDescent="0.2"/>
    <row r="870" x14ac:dyDescent="0.2"/>
    <row r="871" x14ac:dyDescent="0.2"/>
    <row r="872" x14ac:dyDescent="0.2"/>
    <row r="873" x14ac:dyDescent="0.2"/>
    <row r="874" x14ac:dyDescent="0.2"/>
    <row r="875" x14ac:dyDescent="0.2"/>
    <row r="876" x14ac:dyDescent="0.2"/>
    <row r="877" x14ac:dyDescent="0.2"/>
    <row r="878" x14ac:dyDescent="0.2"/>
    <row r="879" x14ac:dyDescent="0.2"/>
    <row r="880" x14ac:dyDescent="0.2"/>
    <row r="881" x14ac:dyDescent="0.2"/>
    <row r="882" x14ac:dyDescent="0.2"/>
    <row r="883" x14ac:dyDescent="0.2"/>
    <row r="884" x14ac:dyDescent="0.2"/>
    <row r="885" x14ac:dyDescent="0.2"/>
    <row r="886" x14ac:dyDescent="0.2"/>
    <row r="887" x14ac:dyDescent="0.2"/>
    <row r="888" x14ac:dyDescent="0.2"/>
    <row r="889" x14ac:dyDescent="0.2"/>
    <row r="890" x14ac:dyDescent="0.2"/>
    <row r="891" x14ac:dyDescent="0.2"/>
    <row r="892" x14ac:dyDescent="0.2"/>
    <row r="893" x14ac:dyDescent="0.2"/>
    <row r="894" x14ac:dyDescent="0.2"/>
    <row r="895" x14ac:dyDescent="0.2"/>
    <row r="896" x14ac:dyDescent="0.2"/>
    <row r="897" x14ac:dyDescent="0.2"/>
    <row r="898" x14ac:dyDescent="0.2"/>
    <row r="899" x14ac:dyDescent="0.2"/>
    <row r="900" x14ac:dyDescent="0.2"/>
    <row r="901" x14ac:dyDescent="0.2"/>
    <row r="902" x14ac:dyDescent="0.2"/>
    <row r="903" x14ac:dyDescent="0.2"/>
    <row r="904" x14ac:dyDescent="0.2"/>
    <row r="905" x14ac:dyDescent="0.2"/>
    <row r="906" x14ac:dyDescent="0.2"/>
    <row r="907" x14ac:dyDescent="0.2"/>
    <row r="908" x14ac:dyDescent="0.2"/>
    <row r="909" x14ac:dyDescent="0.2"/>
    <row r="910" x14ac:dyDescent="0.2"/>
    <row r="911" x14ac:dyDescent="0.2"/>
    <row r="912" x14ac:dyDescent="0.2"/>
    <row r="913" x14ac:dyDescent="0.2"/>
    <row r="914" x14ac:dyDescent="0.2"/>
    <row r="915" x14ac:dyDescent="0.2"/>
    <row r="916" x14ac:dyDescent="0.2"/>
    <row r="917" x14ac:dyDescent="0.2"/>
    <row r="918" x14ac:dyDescent="0.2"/>
    <row r="919" x14ac:dyDescent="0.2"/>
    <row r="920" x14ac:dyDescent="0.2"/>
    <row r="921" x14ac:dyDescent="0.2"/>
    <row r="922" x14ac:dyDescent="0.2"/>
    <row r="923" x14ac:dyDescent="0.2"/>
    <row r="924" x14ac:dyDescent="0.2"/>
    <row r="925" x14ac:dyDescent="0.2"/>
    <row r="926" x14ac:dyDescent="0.2"/>
    <row r="927" x14ac:dyDescent="0.2"/>
    <row r="928" x14ac:dyDescent="0.2"/>
    <row r="929" x14ac:dyDescent="0.2"/>
    <row r="930" x14ac:dyDescent="0.2"/>
    <row r="931" x14ac:dyDescent="0.2"/>
    <row r="932" x14ac:dyDescent="0.2"/>
    <row r="933" x14ac:dyDescent="0.2"/>
    <row r="934" x14ac:dyDescent="0.2"/>
    <row r="935" x14ac:dyDescent="0.2"/>
    <row r="936" x14ac:dyDescent="0.2"/>
    <row r="937" x14ac:dyDescent="0.2"/>
    <row r="938" x14ac:dyDescent="0.2"/>
    <row r="939" x14ac:dyDescent="0.2"/>
    <row r="940" x14ac:dyDescent="0.2"/>
    <row r="941" x14ac:dyDescent="0.2"/>
    <row r="942" x14ac:dyDescent="0.2"/>
    <row r="943" x14ac:dyDescent="0.2"/>
    <row r="944" x14ac:dyDescent="0.2"/>
    <row r="945" x14ac:dyDescent="0.2"/>
    <row r="946" x14ac:dyDescent="0.2"/>
    <row r="947" x14ac:dyDescent="0.2"/>
    <row r="948" x14ac:dyDescent="0.2"/>
    <row r="949" x14ac:dyDescent="0.2"/>
    <row r="950" x14ac:dyDescent="0.2"/>
    <row r="951" x14ac:dyDescent="0.2"/>
    <row r="952" x14ac:dyDescent="0.2"/>
    <row r="953" x14ac:dyDescent="0.2"/>
    <row r="954" x14ac:dyDescent="0.2"/>
    <row r="955" x14ac:dyDescent="0.2"/>
    <row r="956" x14ac:dyDescent="0.2"/>
    <row r="957" x14ac:dyDescent="0.2"/>
    <row r="958" x14ac:dyDescent="0.2"/>
    <row r="959" x14ac:dyDescent="0.2"/>
    <row r="960" x14ac:dyDescent="0.2"/>
    <row r="961" x14ac:dyDescent="0.2"/>
    <row r="962" x14ac:dyDescent="0.2"/>
    <row r="963" x14ac:dyDescent="0.2"/>
    <row r="964" x14ac:dyDescent="0.2"/>
    <row r="965" x14ac:dyDescent="0.2"/>
    <row r="966" x14ac:dyDescent="0.2"/>
    <row r="967" x14ac:dyDescent="0.2"/>
    <row r="968" x14ac:dyDescent="0.2"/>
    <row r="969" x14ac:dyDescent="0.2"/>
    <row r="970" x14ac:dyDescent="0.2"/>
    <row r="971" x14ac:dyDescent="0.2"/>
    <row r="972" x14ac:dyDescent="0.2"/>
    <row r="973" x14ac:dyDescent="0.2"/>
    <row r="974" x14ac:dyDescent="0.2"/>
    <row r="975" x14ac:dyDescent="0.2"/>
    <row r="976" x14ac:dyDescent="0.2"/>
    <row r="977" x14ac:dyDescent="0.2"/>
    <row r="978" x14ac:dyDescent="0.2"/>
    <row r="979" x14ac:dyDescent="0.2"/>
    <row r="980" x14ac:dyDescent="0.2"/>
    <row r="981" x14ac:dyDescent="0.2"/>
    <row r="982" x14ac:dyDescent="0.2"/>
    <row r="983" x14ac:dyDescent="0.2"/>
    <row r="984" x14ac:dyDescent="0.2"/>
    <row r="985" x14ac:dyDescent="0.2"/>
    <row r="986" x14ac:dyDescent="0.2"/>
    <row r="987" x14ac:dyDescent="0.2"/>
    <row r="988" x14ac:dyDescent="0.2"/>
    <row r="989" x14ac:dyDescent="0.2"/>
    <row r="990" x14ac:dyDescent="0.2"/>
    <row r="991" x14ac:dyDescent="0.2"/>
    <row r="992" x14ac:dyDescent="0.2"/>
    <row r="993" x14ac:dyDescent="0.2"/>
    <row r="994" x14ac:dyDescent="0.2"/>
    <row r="995" x14ac:dyDescent="0.2"/>
    <row r="996" x14ac:dyDescent="0.2"/>
    <row r="997" x14ac:dyDescent="0.2"/>
    <row r="998" x14ac:dyDescent="0.2"/>
    <row r="999" x14ac:dyDescent="0.2"/>
    <row r="1000" x14ac:dyDescent="0.2"/>
    <row r="1001" x14ac:dyDescent="0.2"/>
    <row r="1002" x14ac:dyDescent="0.2"/>
    <row r="1003" x14ac:dyDescent="0.2"/>
    <row r="1004" x14ac:dyDescent="0.2"/>
    <row r="1005" x14ac:dyDescent="0.2"/>
    <row r="1006" x14ac:dyDescent="0.2"/>
    <row r="1007" x14ac:dyDescent="0.2"/>
    <row r="1008" x14ac:dyDescent="0.2"/>
    <row r="1009" x14ac:dyDescent="0.2"/>
    <row r="1010" x14ac:dyDescent="0.2"/>
    <row r="1011" x14ac:dyDescent="0.2"/>
    <row r="1012" x14ac:dyDescent="0.2"/>
    <row r="1013" x14ac:dyDescent="0.2"/>
    <row r="1014" x14ac:dyDescent="0.2"/>
    <row r="1015" x14ac:dyDescent="0.2"/>
    <row r="1016" x14ac:dyDescent="0.2"/>
    <row r="1017" x14ac:dyDescent="0.2"/>
    <row r="1018" x14ac:dyDescent="0.2"/>
    <row r="1019" x14ac:dyDescent="0.2"/>
    <row r="1020" x14ac:dyDescent="0.2"/>
    <row r="1021" x14ac:dyDescent="0.2"/>
    <row r="1022" x14ac:dyDescent="0.2"/>
    <row r="1023" x14ac:dyDescent="0.2"/>
    <row r="1024" x14ac:dyDescent="0.2"/>
    <row r="1025" x14ac:dyDescent="0.2"/>
    <row r="1026" x14ac:dyDescent="0.2"/>
    <row r="1027" x14ac:dyDescent="0.2"/>
    <row r="1028" x14ac:dyDescent="0.2"/>
    <row r="1029" x14ac:dyDescent="0.2"/>
    <row r="1030" x14ac:dyDescent="0.2"/>
    <row r="1031" x14ac:dyDescent="0.2"/>
    <row r="1032" x14ac:dyDescent="0.2"/>
    <row r="1033" x14ac:dyDescent="0.2"/>
    <row r="1034" x14ac:dyDescent="0.2"/>
    <row r="1035" x14ac:dyDescent="0.2"/>
    <row r="1036" x14ac:dyDescent="0.2"/>
    <row r="1037" x14ac:dyDescent="0.2"/>
    <row r="1038" x14ac:dyDescent="0.2"/>
    <row r="1039" x14ac:dyDescent="0.2"/>
    <row r="1040" x14ac:dyDescent="0.2"/>
    <row r="1041" x14ac:dyDescent="0.2"/>
    <row r="1042" x14ac:dyDescent="0.2"/>
    <row r="1043" x14ac:dyDescent="0.2"/>
    <row r="1044" x14ac:dyDescent="0.2"/>
    <row r="1045" x14ac:dyDescent="0.2"/>
    <row r="1046" x14ac:dyDescent="0.2"/>
    <row r="1047" x14ac:dyDescent="0.2"/>
    <row r="1048" x14ac:dyDescent="0.2"/>
    <row r="1049" x14ac:dyDescent="0.2"/>
    <row r="1050" x14ac:dyDescent="0.2"/>
    <row r="1051" x14ac:dyDescent="0.2"/>
    <row r="1052" x14ac:dyDescent="0.2"/>
    <row r="1053" x14ac:dyDescent="0.2"/>
    <row r="1054" x14ac:dyDescent="0.2"/>
    <row r="1055" x14ac:dyDescent="0.2"/>
    <row r="1056" x14ac:dyDescent="0.2"/>
    <row r="1057" x14ac:dyDescent="0.2"/>
    <row r="1058" x14ac:dyDescent="0.2"/>
    <row r="1059" x14ac:dyDescent="0.2"/>
    <row r="1060" x14ac:dyDescent="0.2"/>
    <row r="1061" x14ac:dyDescent="0.2"/>
    <row r="1062" x14ac:dyDescent="0.2"/>
    <row r="1063" x14ac:dyDescent="0.2"/>
    <row r="1064" x14ac:dyDescent="0.2"/>
    <row r="1065" x14ac:dyDescent="0.2"/>
    <row r="1066" x14ac:dyDescent="0.2"/>
    <row r="1067" x14ac:dyDescent="0.2"/>
    <row r="1068" x14ac:dyDescent="0.2"/>
    <row r="1069" x14ac:dyDescent="0.2"/>
    <row r="1070" x14ac:dyDescent="0.2"/>
    <row r="1071" x14ac:dyDescent="0.2"/>
    <row r="1072" x14ac:dyDescent="0.2"/>
    <row r="1073" x14ac:dyDescent="0.2"/>
    <row r="1074" x14ac:dyDescent="0.2"/>
    <row r="1075" x14ac:dyDescent="0.2"/>
    <row r="1076" x14ac:dyDescent="0.2"/>
    <row r="1077" x14ac:dyDescent="0.2"/>
    <row r="1078" x14ac:dyDescent="0.2"/>
    <row r="1079" x14ac:dyDescent="0.2"/>
    <row r="1080" x14ac:dyDescent="0.2"/>
    <row r="1081" x14ac:dyDescent="0.2"/>
    <row r="1082" x14ac:dyDescent="0.2"/>
    <row r="1083" x14ac:dyDescent="0.2"/>
    <row r="1084" x14ac:dyDescent="0.2"/>
    <row r="1085" x14ac:dyDescent="0.2"/>
    <row r="1086" x14ac:dyDescent="0.2"/>
    <row r="1087" x14ac:dyDescent="0.2"/>
    <row r="1088" x14ac:dyDescent="0.2"/>
    <row r="1089" x14ac:dyDescent="0.2"/>
    <row r="1090" x14ac:dyDescent="0.2"/>
    <row r="1091" x14ac:dyDescent="0.2"/>
    <row r="1092" x14ac:dyDescent="0.2"/>
    <row r="1093" x14ac:dyDescent="0.2"/>
    <row r="1094" x14ac:dyDescent="0.2"/>
    <row r="1095" x14ac:dyDescent="0.2"/>
    <row r="1096" x14ac:dyDescent="0.2"/>
    <row r="1097" x14ac:dyDescent="0.2"/>
    <row r="1098" x14ac:dyDescent="0.2"/>
    <row r="1099" x14ac:dyDescent="0.2"/>
    <row r="1100" x14ac:dyDescent="0.2"/>
    <row r="1101" x14ac:dyDescent="0.2"/>
    <row r="1102" x14ac:dyDescent="0.2"/>
    <row r="1103" x14ac:dyDescent="0.2"/>
    <row r="1104" x14ac:dyDescent="0.2"/>
    <row r="1105" x14ac:dyDescent="0.2"/>
    <row r="1106" x14ac:dyDescent="0.2"/>
    <row r="1107" x14ac:dyDescent="0.2"/>
    <row r="1108" x14ac:dyDescent="0.2"/>
    <row r="1109" x14ac:dyDescent="0.2"/>
    <row r="1110" x14ac:dyDescent="0.2"/>
    <row r="1111" x14ac:dyDescent="0.2"/>
    <row r="1112" x14ac:dyDescent="0.2"/>
    <row r="1113" x14ac:dyDescent="0.2"/>
    <row r="1114" x14ac:dyDescent="0.2"/>
    <row r="1115" x14ac:dyDescent="0.2"/>
    <row r="1116" x14ac:dyDescent="0.2"/>
    <row r="1117" x14ac:dyDescent="0.2"/>
    <row r="1118" x14ac:dyDescent="0.2"/>
    <row r="1119" x14ac:dyDescent="0.2"/>
    <row r="1120" x14ac:dyDescent="0.2"/>
    <row r="1121" x14ac:dyDescent="0.2"/>
    <row r="1122" x14ac:dyDescent="0.2"/>
    <row r="1123" x14ac:dyDescent="0.2"/>
    <row r="1124" x14ac:dyDescent="0.2"/>
    <row r="1125" x14ac:dyDescent="0.2"/>
    <row r="1126" x14ac:dyDescent="0.2"/>
    <row r="1127" x14ac:dyDescent="0.2"/>
    <row r="1128" x14ac:dyDescent="0.2"/>
    <row r="1129" x14ac:dyDescent="0.2"/>
    <row r="1130" x14ac:dyDescent="0.2"/>
    <row r="1131" x14ac:dyDescent="0.2"/>
    <row r="1132" x14ac:dyDescent="0.2"/>
    <row r="1133" x14ac:dyDescent="0.2"/>
    <row r="1134" x14ac:dyDescent="0.2"/>
    <row r="1135" x14ac:dyDescent="0.2"/>
    <row r="1136" x14ac:dyDescent="0.2"/>
    <row r="1137" x14ac:dyDescent="0.2"/>
    <row r="1138" x14ac:dyDescent="0.2"/>
    <row r="1139" x14ac:dyDescent="0.2"/>
    <row r="1140" x14ac:dyDescent="0.2"/>
    <row r="1141" x14ac:dyDescent="0.2"/>
    <row r="1142" x14ac:dyDescent="0.2"/>
    <row r="1143" x14ac:dyDescent="0.2"/>
    <row r="1144" x14ac:dyDescent="0.2"/>
    <row r="1145" x14ac:dyDescent="0.2"/>
    <row r="1146" x14ac:dyDescent="0.2"/>
    <row r="1147" x14ac:dyDescent="0.2"/>
    <row r="1148" x14ac:dyDescent="0.2"/>
    <row r="1149" x14ac:dyDescent="0.2"/>
    <row r="1150" x14ac:dyDescent="0.2"/>
    <row r="1151" x14ac:dyDescent="0.2"/>
    <row r="1152" x14ac:dyDescent="0.2"/>
    <row r="1153" x14ac:dyDescent="0.2"/>
    <row r="1154" x14ac:dyDescent="0.2"/>
    <row r="1155" x14ac:dyDescent="0.2"/>
    <row r="1156" x14ac:dyDescent="0.2"/>
    <row r="1157" x14ac:dyDescent="0.2"/>
    <row r="1158" x14ac:dyDescent="0.2"/>
    <row r="1159" x14ac:dyDescent="0.2"/>
    <row r="1160" x14ac:dyDescent="0.2"/>
    <row r="1161" x14ac:dyDescent="0.2"/>
    <row r="1162" x14ac:dyDescent="0.2"/>
    <row r="1163" x14ac:dyDescent="0.2"/>
    <row r="1164" x14ac:dyDescent="0.2"/>
    <row r="1165" x14ac:dyDescent="0.2"/>
    <row r="1166" x14ac:dyDescent="0.2"/>
    <row r="1167" x14ac:dyDescent="0.2"/>
    <row r="1168" x14ac:dyDescent="0.2"/>
    <row r="1169" x14ac:dyDescent="0.2"/>
    <row r="1170" x14ac:dyDescent="0.2"/>
    <row r="1171" x14ac:dyDescent="0.2"/>
    <row r="1172" x14ac:dyDescent="0.2"/>
    <row r="1173" x14ac:dyDescent="0.2"/>
    <row r="1174" x14ac:dyDescent="0.2"/>
    <row r="1175" x14ac:dyDescent="0.2"/>
    <row r="1176" x14ac:dyDescent="0.2"/>
    <row r="1177" x14ac:dyDescent="0.2"/>
    <row r="1178" x14ac:dyDescent="0.2"/>
    <row r="1179" x14ac:dyDescent="0.2"/>
    <row r="1180" x14ac:dyDescent="0.2"/>
    <row r="1181" x14ac:dyDescent="0.2"/>
    <row r="1182" x14ac:dyDescent="0.2"/>
    <row r="1183" x14ac:dyDescent="0.2"/>
    <row r="1184" x14ac:dyDescent="0.2"/>
    <row r="1185" x14ac:dyDescent="0.2"/>
    <row r="1186" x14ac:dyDescent="0.2"/>
    <row r="1187" x14ac:dyDescent="0.2"/>
    <row r="1188" x14ac:dyDescent="0.2"/>
    <row r="1189" x14ac:dyDescent="0.2"/>
    <row r="1190" x14ac:dyDescent="0.2"/>
    <row r="1191" x14ac:dyDescent="0.2"/>
    <row r="1192" x14ac:dyDescent="0.2"/>
    <row r="1193" x14ac:dyDescent="0.2"/>
    <row r="1194" x14ac:dyDescent="0.2"/>
    <row r="1195" x14ac:dyDescent="0.2"/>
    <row r="1196" x14ac:dyDescent="0.2"/>
    <row r="1197" x14ac:dyDescent="0.2"/>
    <row r="1198" x14ac:dyDescent="0.2"/>
    <row r="1199" x14ac:dyDescent="0.2"/>
    <row r="1200" x14ac:dyDescent="0.2"/>
    <row r="1201" x14ac:dyDescent="0.2"/>
    <row r="1202" x14ac:dyDescent="0.2"/>
    <row r="1203" x14ac:dyDescent="0.2"/>
    <row r="1204" x14ac:dyDescent="0.2"/>
    <row r="1205" x14ac:dyDescent="0.2"/>
    <row r="1206" x14ac:dyDescent="0.2"/>
    <row r="1207" x14ac:dyDescent="0.2"/>
    <row r="1208" x14ac:dyDescent="0.2"/>
    <row r="1209" x14ac:dyDescent="0.2"/>
    <row r="1210" x14ac:dyDescent="0.2"/>
    <row r="1211" x14ac:dyDescent="0.2"/>
    <row r="1212" x14ac:dyDescent="0.2"/>
    <row r="1213" x14ac:dyDescent="0.2"/>
    <row r="1214" x14ac:dyDescent="0.2"/>
    <row r="1215" x14ac:dyDescent="0.2"/>
    <row r="1216" x14ac:dyDescent="0.2"/>
    <row r="1217" x14ac:dyDescent="0.2"/>
    <row r="1218" x14ac:dyDescent="0.2"/>
    <row r="1219" x14ac:dyDescent="0.2"/>
    <row r="1220" x14ac:dyDescent="0.2"/>
    <row r="1221" x14ac:dyDescent="0.2"/>
    <row r="1222" x14ac:dyDescent="0.2"/>
    <row r="1223" x14ac:dyDescent="0.2"/>
    <row r="1224" x14ac:dyDescent="0.2"/>
    <row r="1225" x14ac:dyDescent="0.2"/>
    <row r="1226" x14ac:dyDescent="0.2"/>
    <row r="1227" x14ac:dyDescent="0.2"/>
    <row r="1228" x14ac:dyDescent="0.2"/>
    <row r="1229" x14ac:dyDescent="0.2"/>
    <row r="1230" x14ac:dyDescent="0.2"/>
    <row r="1231" x14ac:dyDescent="0.2"/>
    <row r="1232" x14ac:dyDescent="0.2"/>
    <row r="1233" x14ac:dyDescent="0.2"/>
    <row r="1234" x14ac:dyDescent="0.2"/>
    <row r="1235" x14ac:dyDescent="0.2"/>
    <row r="1236" x14ac:dyDescent="0.2"/>
    <row r="1237" x14ac:dyDescent="0.2"/>
    <row r="1238" x14ac:dyDescent="0.2"/>
    <row r="1239" x14ac:dyDescent="0.2"/>
    <row r="1240" x14ac:dyDescent="0.2"/>
    <row r="1241" x14ac:dyDescent="0.2"/>
    <row r="1242" x14ac:dyDescent="0.2"/>
    <row r="1243" x14ac:dyDescent="0.2"/>
    <row r="1244" x14ac:dyDescent="0.2"/>
    <row r="1245" x14ac:dyDescent="0.2"/>
    <row r="1246" x14ac:dyDescent="0.2"/>
    <row r="1247" x14ac:dyDescent="0.2"/>
    <row r="1248" x14ac:dyDescent="0.2"/>
    <row r="1249" x14ac:dyDescent="0.2"/>
    <row r="1250" x14ac:dyDescent="0.2"/>
    <row r="1251" x14ac:dyDescent="0.2"/>
    <row r="1252" x14ac:dyDescent="0.2"/>
    <row r="1253" x14ac:dyDescent="0.2"/>
    <row r="1254" x14ac:dyDescent="0.2"/>
    <row r="1255" x14ac:dyDescent="0.2"/>
    <row r="1256" x14ac:dyDescent="0.2"/>
    <row r="1257" x14ac:dyDescent="0.2"/>
    <row r="1258" x14ac:dyDescent="0.2"/>
    <row r="1259" x14ac:dyDescent="0.2"/>
    <row r="1260" x14ac:dyDescent="0.2"/>
    <row r="1261" x14ac:dyDescent="0.2"/>
    <row r="1262" x14ac:dyDescent="0.2"/>
    <row r="1263" x14ac:dyDescent="0.2"/>
    <row r="1264" x14ac:dyDescent="0.2"/>
    <row r="1265" x14ac:dyDescent="0.2"/>
    <row r="1266" x14ac:dyDescent="0.2"/>
    <row r="1267" x14ac:dyDescent="0.2"/>
    <row r="1268" x14ac:dyDescent="0.2"/>
    <row r="1269" x14ac:dyDescent="0.2"/>
    <row r="1270" x14ac:dyDescent="0.2"/>
    <row r="1271" x14ac:dyDescent="0.2"/>
    <row r="1272" x14ac:dyDescent="0.2"/>
    <row r="1273" x14ac:dyDescent="0.2"/>
    <row r="1274" x14ac:dyDescent="0.2"/>
    <row r="1275" x14ac:dyDescent="0.2"/>
    <row r="1276" x14ac:dyDescent="0.2"/>
    <row r="1277" x14ac:dyDescent="0.2"/>
    <row r="1278" x14ac:dyDescent="0.2"/>
    <row r="1279" x14ac:dyDescent="0.2"/>
    <row r="1280" x14ac:dyDescent="0.2"/>
    <row r="1281" x14ac:dyDescent="0.2"/>
    <row r="1282" x14ac:dyDescent="0.2"/>
    <row r="1283" x14ac:dyDescent="0.2"/>
    <row r="1284" x14ac:dyDescent="0.2"/>
    <row r="1285" x14ac:dyDescent="0.2"/>
    <row r="1286" x14ac:dyDescent="0.2"/>
    <row r="1287" x14ac:dyDescent="0.2"/>
    <row r="1288" x14ac:dyDescent="0.2"/>
    <row r="1289" x14ac:dyDescent="0.2"/>
    <row r="1290" x14ac:dyDescent="0.2"/>
    <row r="1291" x14ac:dyDescent="0.2"/>
    <row r="1292" x14ac:dyDescent="0.2"/>
    <row r="1293" x14ac:dyDescent="0.2"/>
    <row r="1294" x14ac:dyDescent="0.2"/>
    <row r="1295" x14ac:dyDescent="0.2"/>
    <row r="1296" x14ac:dyDescent="0.2"/>
    <row r="1297" x14ac:dyDescent="0.2"/>
    <row r="1298" x14ac:dyDescent="0.2"/>
    <row r="1299" x14ac:dyDescent="0.2"/>
    <row r="1300" x14ac:dyDescent="0.2"/>
    <row r="1301" x14ac:dyDescent="0.2"/>
    <row r="1302" x14ac:dyDescent="0.2"/>
    <row r="1303" x14ac:dyDescent="0.2"/>
    <row r="1304" x14ac:dyDescent="0.2"/>
    <row r="1305" x14ac:dyDescent="0.2"/>
    <row r="1306" x14ac:dyDescent="0.2"/>
    <row r="1307" x14ac:dyDescent="0.2"/>
    <row r="1308" x14ac:dyDescent="0.2"/>
    <row r="1309" x14ac:dyDescent="0.2"/>
    <row r="1310" x14ac:dyDescent="0.2"/>
    <row r="1311" x14ac:dyDescent="0.2"/>
    <row r="1312" x14ac:dyDescent="0.2"/>
    <row r="1313" x14ac:dyDescent="0.2"/>
    <row r="1314" x14ac:dyDescent="0.2"/>
    <row r="1315" x14ac:dyDescent="0.2"/>
    <row r="1316" x14ac:dyDescent="0.2"/>
    <row r="1317" x14ac:dyDescent="0.2"/>
    <row r="1318" x14ac:dyDescent="0.2"/>
    <row r="1319" x14ac:dyDescent="0.2"/>
    <row r="1320" x14ac:dyDescent="0.2"/>
    <row r="1321" x14ac:dyDescent="0.2"/>
    <row r="1322" x14ac:dyDescent="0.2"/>
    <row r="1323" x14ac:dyDescent="0.2"/>
    <row r="1324" x14ac:dyDescent="0.2"/>
    <row r="1325" x14ac:dyDescent="0.2"/>
    <row r="1326" x14ac:dyDescent="0.2"/>
    <row r="1327" x14ac:dyDescent="0.2"/>
    <row r="1328" x14ac:dyDescent="0.2"/>
  </sheetData>
  <pageMargins left="0.25" right="0.25" top="0.75" bottom="0.75" header="0.3" footer="0.3"/>
  <pageSetup paperSize="9" scale="3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9C048-0DFA-42D7-BEFA-471B2B9EFD35}">
  <sheetPr codeName="Sheet10">
    <tabColor rgb="FFFFFF00"/>
  </sheetPr>
  <dimension ref="A1:AC90"/>
  <sheetViews>
    <sheetView showGridLines="0" zoomScale="90" zoomScaleNormal="90" workbookViewId="0">
      <pane xSplit="4" ySplit="5" topLeftCell="E6" activePane="bottomRight" state="frozen"/>
      <selection activeCell="E6" sqref="E6"/>
      <selection pane="topRight" activeCell="E6" sqref="E6"/>
      <selection pane="bottomLeft" activeCell="E6" sqref="E6"/>
      <selection pane="bottomRight" activeCell="E6" sqref="E6"/>
    </sheetView>
  </sheetViews>
  <sheetFormatPr defaultColWidth="8" defaultRowHeight="12.75" x14ac:dyDescent="0.2"/>
  <cols>
    <col min="1" max="1" width="2.625" style="1" customWidth="1"/>
    <col min="2" max="2" width="7.125" style="1" customWidth="1"/>
    <col min="3" max="3" width="17" style="1" customWidth="1"/>
    <col min="4" max="4" width="40.875" style="1" customWidth="1"/>
    <col min="5" max="5" width="11.5" style="1" customWidth="1"/>
    <col min="6" max="6" width="11.5" style="333" customWidth="1"/>
    <col min="7" max="9" width="11.5" style="1" customWidth="1"/>
    <col min="10" max="24" width="11.5" style="12" customWidth="1"/>
    <col min="25" max="27" width="8.625" style="12" customWidth="1"/>
    <col min="28" max="28" width="12.125" style="12" customWidth="1"/>
    <col min="29" max="29" width="8.625" style="12" customWidth="1"/>
    <col min="30" max="30" width="9.5" style="1" bestFit="1" customWidth="1"/>
    <col min="31" max="16384" width="8" style="1"/>
  </cols>
  <sheetData>
    <row r="1" spans="1:29" ht="18.75" x14ac:dyDescent="0.3">
      <c r="A1" s="15" t="str">
        <f>bus</f>
        <v>Powercor</v>
      </c>
      <c r="B1" s="11"/>
      <c r="C1" s="11"/>
      <c r="D1" s="11"/>
      <c r="E1" s="11"/>
      <c r="F1" s="330"/>
      <c r="G1" s="11"/>
      <c r="H1" s="11"/>
      <c r="I1" s="11"/>
      <c r="J1" s="331"/>
      <c r="K1" s="331"/>
      <c r="L1" s="331"/>
      <c r="M1" s="331"/>
      <c r="N1" s="331"/>
      <c r="O1" s="331"/>
      <c r="P1" s="331"/>
      <c r="Q1" s="331"/>
      <c r="R1" s="331"/>
      <c r="S1" s="331"/>
      <c r="T1" s="331"/>
      <c r="U1" s="331"/>
      <c r="V1" s="331"/>
      <c r="W1" s="331"/>
      <c r="X1" s="331"/>
      <c r="Y1" s="331"/>
      <c r="Z1" s="331"/>
      <c r="AA1" s="331"/>
      <c r="AB1" s="331"/>
      <c r="AC1" s="331"/>
    </row>
    <row r="2" spans="1:29" ht="18.75" x14ac:dyDescent="0.3">
      <c r="A2" s="56" t="str">
        <f>proj</f>
        <v>Minimise bushfire risk from SWER in ELCA, REFCL and HBRA areas</v>
      </c>
      <c r="B2" s="11"/>
      <c r="C2" s="11"/>
      <c r="D2" s="11"/>
      <c r="E2" s="11"/>
      <c r="F2" s="330"/>
      <c r="G2" s="11"/>
      <c r="H2" s="11"/>
      <c r="I2" s="11"/>
      <c r="J2" s="331"/>
      <c r="K2" s="331"/>
      <c r="L2" s="331"/>
      <c r="M2" s="331"/>
      <c r="N2" s="331"/>
      <c r="O2" s="331"/>
      <c r="P2" s="331"/>
      <c r="Q2" s="331"/>
      <c r="R2" s="331"/>
      <c r="S2" s="331"/>
      <c r="T2" s="331"/>
      <c r="U2" s="331"/>
      <c r="V2" s="331"/>
      <c r="W2" s="331"/>
      <c r="X2" s="331"/>
      <c r="Y2" s="331"/>
      <c r="Z2" s="331"/>
      <c r="AA2" s="331"/>
      <c r="AB2" s="331"/>
      <c r="AC2" s="331"/>
    </row>
    <row r="3" spans="1:29" ht="18.75" x14ac:dyDescent="0.3">
      <c r="A3" s="5" t="s">
        <v>245</v>
      </c>
      <c r="B3" s="332"/>
      <c r="C3" s="5"/>
      <c r="D3" s="5"/>
    </row>
    <row r="5" spans="1:29" ht="15" x14ac:dyDescent="0.2">
      <c r="A5" s="334"/>
      <c r="B5" s="334"/>
      <c r="C5" s="334"/>
      <c r="D5" s="334"/>
      <c r="E5" s="334"/>
      <c r="F5" s="335"/>
      <c r="G5" s="334"/>
      <c r="H5" s="334"/>
      <c r="I5" s="334"/>
      <c r="J5" s="336"/>
      <c r="K5" s="336"/>
      <c r="L5" s="336"/>
      <c r="M5" s="336"/>
      <c r="N5" s="336"/>
      <c r="O5" s="336"/>
      <c r="P5" s="336"/>
      <c r="Q5" s="336"/>
      <c r="R5" s="336"/>
      <c r="S5" s="336"/>
      <c r="T5" s="336"/>
      <c r="U5" s="336"/>
      <c r="V5" s="336"/>
      <c r="W5" s="336"/>
      <c r="X5" s="336"/>
      <c r="Y5" s="336"/>
      <c r="Z5" s="336"/>
      <c r="AA5" s="336"/>
      <c r="AB5" s="336"/>
      <c r="AC5" s="336"/>
    </row>
    <row r="6" spans="1:29" x14ac:dyDescent="0.2">
      <c r="C6" s="3"/>
      <c r="D6" s="3"/>
    </row>
    <row r="7" spans="1:29" x14ac:dyDescent="0.2">
      <c r="F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s="338" customFormat="1" x14ac:dyDescent="0.2">
      <c r="B8" s="339" t="s">
        <v>248</v>
      </c>
      <c r="D8" s="340"/>
    </row>
    <row r="9" spans="1:29" x14ac:dyDescent="0.2">
      <c r="F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2">
      <c r="C10" s="12" t="s">
        <v>249</v>
      </c>
      <c r="E10" s="371">
        <v>0</v>
      </c>
      <c r="F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x14ac:dyDescent="0.2">
      <c r="C11" s="12" t="s">
        <v>250</v>
      </c>
      <c r="E11" s="371">
        <v>0</v>
      </c>
      <c r="F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x14ac:dyDescent="0.2">
      <c r="D12" s="2"/>
      <c r="F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x14ac:dyDescent="0.2">
      <c r="D13" s="2"/>
      <c r="F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s="338" customFormat="1" x14ac:dyDescent="0.2">
      <c r="B14" s="339" t="str">
        <f>Assumptions!C$15&amp;" - "&amp;Assumptions!E$15</f>
        <v>Option 2 - Targeted installation of covered conductor on SWER lines</v>
      </c>
      <c r="D14" s="340"/>
    </row>
    <row r="15" spans="1:29" x14ac:dyDescent="0.2">
      <c r="F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x14ac:dyDescent="0.2">
      <c r="C16" s="12" t="s">
        <v>302</v>
      </c>
      <c r="E16" s="371">
        <v>76</v>
      </c>
      <c r="F16" s="1" t="s">
        <v>251</v>
      </c>
      <c r="G16" s="23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2:29" x14ac:dyDescent="0.2">
      <c r="C17" s="12" t="s">
        <v>271</v>
      </c>
      <c r="E17" s="342">
        <v>70000</v>
      </c>
      <c r="F17" s="1" t="s">
        <v>296</v>
      </c>
      <c r="G17" s="23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2:29" x14ac:dyDescent="0.2">
      <c r="C18" s="12" t="s">
        <v>272</v>
      </c>
      <c r="E18" s="343">
        <f>E17*E16</f>
        <v>5320000</v>
      </c>
      <c r="F18" s="1" t="s">
        <v>298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2:29" x14ac:dyDescent="0.2">
      <c r="F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2:29" x14ac:dyDescent="0.2">
      <c r="C20" s="12" t="s">
        <v>252</v>
      </c>
      <c r="E20" s="145">
        <v>2</v>
      </c>
      <c r="F20" s="1" t="s">
        <v>297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2:29" x14ac:dyDescent="0.2">
      <c r="C21" s="12"/>
      <c r="F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2:29" x14ac:dyDescent="0.2">
      <c r="C22" s="12"/>
      <c r="E22" s="344" t="s">
        <v>19</v>
      </c>
      <c r="F22" s="344" t="s">
        <v>21</v>
      </c>
      <c r="G22" s="344" t="s">
        <v>20</v>
      </c>
      <c r="H22" s="344" t="s">
        <v>22</v>
      </c>
      <c r="I22" s="344" t="s">
        <v>93</v>
      </c>
      <c r="J22" s="344" t="str">
        <f t="shared" ref="J22:X22" si="0">LEFT(I22,4)+1&amp;"-"&amp;RIGHT(I22,2)+1</f>
        <v>2031-32</v>
      </c>
      <c r="K22" s="344" t="str">
        <f t="shared" si="0"/>
        <v>2032-33</v>
      </c>
      <c r="L22" s="344" t="str">
        <f t="shared" si="0"/>
        <v>2033-34</v>
      </c>
      <c r="M22" s="344" t="str">
        <f t="shared" si="0"/>
        <v>2034-35</v>
      </c>
      <c r="N22" s="344" t="str">
        <f t="shared" si="0"/>
        <v>2035-36</v>
      </c>
      <c r="O22" s="344" t="str">
        <f t="shared" si="0"/>
        <v>2036-37</v>
      </c>
      <c r="P22" s="344" t="str">
        <f t="shared" si="0"/>
        <v>2037-38</v>
      </c>
      <c r="Q22" s="344" t="str">
        <f t="shared" si="0"/>
        <v>2038-39</v>
      </c>
      <c r="R22" s="344" t="str">
        <f t="shared" si="0"/>
        <v>2039-40</v>
      </c>
      <c r="S22" s="344" t="str">
        <f t="shared" si="0"/>
        <v>2040-41</v>
      </c>
      <c r="T22" s="344" t="str">
        <f t="shared" si="0"/>
        <v>2041-42</v>
      </c>
      <c r="U22" s="344" t="str">
        <f t="shared" si="0"/>
        <v>2042-43</v>
      </c>
      <c r="V22" s="344" t="str">
        <f t="shared" si="0"/>
        <v>2043-44</v>
      </c>
      <c r="W22" s="344" t="str">
        <f t="shared" si="0"/>
        <v>2044-45</v>
      </c>
      <c r="X22" s="344" t="str">
        <f t="shared" si="0"/>
        <v>2045-46</v>
      </c>
      <c r="Y22" s="1"/>
      <c r="Z22" s="1"/>
      <c r="AA22" s="1"/>
      <c r="AB22" s="1"/>
      <c r="AC22" s="1"/>
    </row>
    <row r="23" spans="2:29" x14ac:dyDescent="0.2">
      <c r="C23" s="12" t="s">
        <v>253</v>
      </c>
      <c r="E23" s="345">
        <f>$E$18/$E$20</f>
        <v>2660000</v>
      </c>
      <c r="F23" s="345">
        <f>$E$18/$E$20</f>
        <v>2660000</v>
      </c>
      <c r="G23" s="345"/>
      <c r="H23" s="345"/>
      <c r="I23" s="345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2:29" x14ac:dyDescent="0.2">
      <c r="C24" s="12" t="s">
        <v>254</v>
      </c>
      <c r="F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2:29" x14ac:dyDescent="0.2">
      <c r="F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2:29" s="338" customFormat="1" x14ac:dyDescent="0.2">
      <c r="B26" s="339" t="str">
        <f>Assumptions!C$16&amp;" - "&amp;Assumptions!E$16</f>
        <v>Option 3 - Install EFD on all SWER lines</v>
      </c>
      <c r="D26" s="340"/>
    </row>
    <row r="27" spans="2:29" s="347" customFormat="1" x14ac:dyDescent="0.2">
      <c r="B27" s="346"/>
      <c r="D27" s="348"/>
    </row>
    <row r="28" spans="2:29" s="347" customFormat="1" hidden="1" x14ac:dyDescent="0.2">
      <c r="B28" s="346"/>
      <c r="D28" s="2" t="s">
        <v>255</v>
      </c>
      <c r="E28" s="349">
        <v>3.5</v>
      </c>
      <c r="F28" s="1" t="s">
        <v>251</v>
      </c>
    </row>
    <row r="29" spans="2:29" s="347" customFormat="1" x14ac:dyDescent="0.2">
      <c r="B29" s="346"/>
      <c r="C29" s="347" t="s">
        <v>255</v>
      </c>
      <c r="D29" s="2"/>
      <c r="E29" s="145">
        <v>3.5</v>
      </c>
      <c r="F29" s="1" t="s">
        <v>251</v>
      </c>
    </row>
    <row r="30" spans="2:29" s="347" customFormat="1" x14ac:dyDescent="0.2">
      <c r="B30" s="346"/>
      <c r="C30" s="12" t="s">
        <v>256</v>
      </c>
      <c r="E30" s="342">
        <v>3001.934708833272</v>
      </c>
      <c r="F30" s="1" t="s">
        <v>296</v>
      </c>
    </row>
    <row r="31" spans="2:29" s="347" customFormat="1" x14ac:dyDescent="0.2">
      <c r="B31" s="346"/>
      <c r="C31" s="12" t="s">
        <v>258</v>
      </c>
      <c r="E31" s="351">
        <v>271.65301608462244</v>
      </c>
      <c r="F31" s="1" t="s">
        <v>296</v>
      </c>
    </row>
    <row r="32" spans="2:29" s="347" customFormat="1" x14ac:dyDescent="0.2">
      <c r="B32" s="346"/>
      <c r="C32" s="12" t="s">
        <v>259</v>
      </c>
      <c r="E32" s="351">
        <v>220.11440802026442</v>
      </c>
      <c r="F32" s="1" t="s">
        <v>296</v>
      </c>
    </row>
    <row r="33" spans="2:29" s="347" customFormat="1" x14ac:dyDescent="0.2">
      <c r="B33" s="346"/>
      <c r="C33" s="12" t="s">
        <v>260</v>
      </c>
      <c r="E33" s="351">
        <v>10.328781249363598</v>
      </c>
      <c r="F33" s="1" t="s">
        <v>296</v>
      </c>
    </row>
    <row r="34" spans="2:29" s="347" customFormat="1" x14ac:dyDescent="0.2">
      <c r="B34" s="346"/>
      <c r="D34" s="348"/>
    </row>
    <row r="35" spans="2:29" x14ac:dyDescent="0.2">
      <c r="C35" s="12" t="s">
        <v>304</v>
      </c>
      <c r="E35" s="352">
        <v>21127</v>
      </c>
      <c r="F35" s="1" t="s">
        <v>251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2:29" x14ac:dyDescent="0.2">
      <c r="C36" s="12" t="s">
        <v>261</v>
      </c>
      <c r="E36" s="345">
        <f>E35*E30</f>
        <v>63421874.593520537</v>
      </c>
      <c r="F36" s="1" t="s">
        <v>298</v>
      </c>
      <c r="G36" s="23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2:29" x14ac:dyDescent="0.2">
      <c r="C37" s="12" t="s">
        <v>262</v>
      </c>
      <c r="E37" s="345">
        <f>E31*E35</f>
        <v>5739213.2708198186</v>
      </c>
      <c r="F37" s="1" t="s">
        <v>298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2:29" x14ac:dyDescent="0.2">
      <c r="C38" s="12" t="s">
        <v>263</v>
      </c>
      <c r="E38" s="345">
        <f>E32*E35</f>
        <v>4650357.098244126</v>
      </c>
      <c r="F38" s="1" t="s">
        <v>298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2:29" x14ac:dyDescent="0.2">
      <c r="C39" s="12" t="s">
        <v>264</v>
      </c>
      <c r="E39" s="345">
        <f>E35*E33</f>
        <v>218216.16145530471</v>
      </c>
      <c r="F39" s="1" t="s">
        <v>298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2:29" x14ac:dyDescent="0.2">
      <c r="F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2:29" x14ac:dyDescent="0.2">
      <c r="C41" s="12" t="s">
        <v>252</v>
      </c>
      <c r="E41" s="145">
        <v>5</v>
      </c>
      <c r="F41" s="1" t="s">
        <v>297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2:29" x14ac:dyDescent="0.2">
      <c r="C42" s="12"/>
      <c r="F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2:29" x14ac:dyDescent="0.2">
      <c r="E43" s="344" t="s">
        <v>19</v>
      </c>
      <c r="F43" s="344" t="s">
        <v>21</v>
      </c>
      <c r="G43" s="344" t="s">
        <v>20</v>
      </c>
      <c r="H43" s="344" t="s">
        <v>22</v>
      </c>
      <c r="I43" s="344" t="s">
        <v>93</v>
      </c>
      <c r="J43" s="344" t="str">
        <f t="shared" ref="J43:X43" si="1">LEFT(I43,4)+1&amp;"-"&amp;RIGHT(I43,2)+1</f>
        <v>2031-32</v>
      </c>
      <c r="K43" s="344" t="str">
        <f t="shared" si="1"/>
        <v>2032-33</v>
      </c>
      <c r="L43" s="344" t="str">
        <f t="shared" si="1"/>
        <v>2033-34</v>
      </c>
      <c r="M43" s="344" t="str">
        <f t="shared" si="1"/>
        <v>2034-35</v>
      </c>
      <c r="N43" s="344" t="str">
        <f t="shared" si="1"/>
        <v>2035-36</v>
      </c>
      <c r="O43" s="344" t="str">
        <f t="shared" si="1"/>
        <v>2036-37</v>
      </c>
      <c r="P43" s="344" t="str">
        <f t="shared" si="1"/>
        <v>2037-38</v>
      </c>
      <c r="Q43" s="344" t="str">
        <f t="shared" si="1"/>
        <v>2038-39</v>
      </c>
      <c r="R43" s="344" t="str">
        <f t="shared" si="1"/>
        <v>2039-40</v>
      </c>
      <c r="S43" s="344" t="str">
        <f t="shared" si="1"/>
        <v>2040-41</v>
      </c>
      <c r="T43" s="344" t="str">
        <f t="shared" si="1"/>
        <v>2041-42</v>
      </c>
      <c r="U43" s="344" t="str">
        <f t="shared" si="1"/>
        <v>2042-43</v>
      </c>
      <c r="V43" s="344" t="str">
        <f t="shared" si="1"/>
        <v>2043-44</v>
      </c>
      <c r="W43" s="344" t="str">
        <f t="shared" si="1"/>
        <v>2044-45</v>
      </c>
      <c r="X43" s="344" t="str">
        <f t="shared" si="1"/>
        <v>2045-46</v>
      </c>
      <c r="Y43" s="1"/>
      <c r="Z43" s="1"/>
      <c r="AA43" s="1"/>
      <c r="AB43" s="1"/>
      <c r="AC43" s="1"/>
    </row>
    <row r="44" spans="2:29" x14ac:dyDescent="0.2">
      <c r="C44" s="12" t="s">
        <v>265</v>
      </c>
      <c r="E44" s="345">
        <f>$E$36/$E$41</f>
        <v>12684374.918704107</v>
      </c>
      <c r="F44" s="345">
        <f>$E$36/$E$41</f>
        <v>12684374.918704107</v>
      </c>
      <c r="G44" s="345">
        <f>$E$36/$E$41</f>
        <v>12684374.918704107</v>
      </c>
      <c r="H44" s="345">
        <f t="shared" ref="H44:I44" si="2">$E$36/$E$41</f>
        <v>12684374.918704107</v>
      </c>
      <c r="I44" s="345">
        <f t="shared" si="2"/>
        <v>12684374.918704107</v>
      </c>
      <c r="J44" s="1"/>
      <c r="K44" s="1"/>
      <c r="L44" s="345"/>
      <c r="M44" s="345"/>
      <c r="N44" s="345"/>
      <c r="O44" s="345"/>
      <c r="P44" s="345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2:29" x14ac:dyDescent="0.2">
      <c r="C45" s="12" t="s">
        <v>266</v>
      </c>
      <c r="E45" s="345">
        <f>$E$39</f>
        <v>218216.16145530471</v>
      </c>
      <c r="F45" s="345">
        <f t="shared" ref="F45:I45" si="3">$E$39</f>
        <v>218216.16145530471</v>
      </c>
      <c r="G45" s="345">
        <f t="shared" si="3"/>
        <v>218216.16145530471</v>
      </c>
      <c r="H45" s="345">
        <f t="shared" si="3"/>
        <v>218216.16145530471</v>
      </c>
      <c r="I45" s="345">
        <f t="shared" si="3"/>
        <v>218216.16145530471</v>
      </c>
      <c r="J45" s="345">
        <f>$E$38+$E$39</f>
        <v>4868573.2596994303</v>
      </c>
      <c r="K45" s="345">
        <f>$E$38+$E$39</f>
        <v>4868573.2596994303</v>
      </c>
      <c r="L45" s="345">
        <f>$E$38+$E$39</f>
        <v>4868573.2596994303</v>
      </c>
      <c r="M45" s="345">
        <f>$E$38+$E$39+$E$37/$E$41</f>
        <v>6016415.9138633944</v>
      </c>
      <c r="N45" s="345">
        <f t="shared" ref="N45:Q45" si="4">$E$38+$E$39+$E$37/$E$41</f>
        <v>6016415.9138633944</v>
      </c>
      <c r="O45" s="345">
        <f t="shared" si="4"/>
        <v>6016415.9138633944</v>
      </c>
      <c r="P45" s="345">
        <f t="shared" si="4"/>
        <v>6016415.9138633944</v>
      </c>
      <c r="Q45" s="345">
        <f t="shared" si="4"/>
        <v>6016415.9138633944</v>
      </c>
      <c r="R45" s="345">
        <f>$E$38+$E$39</f>
        <v>4868573.2596994303</v>
      </c>
      <c r="S45" s="345">
        <f>$E$38+$E$39</f>
        <v>4868573.2596994303</v>
      </c>
      <c r="T45" s="345">
        <f>($E$39+$E$38)/$E$41*4</f>
        <v>3894858.6077595442</v>
      </c>
      <c r="U45" s="345">
        <f>($E$39+$E$38)/$E$41*3</f>
        <v>2921143.955819658</v>
      </c>
      <c r="V45" s="345">
        <f>($E$39+$E$38)/$E$41*2</f>
        <v>1947429.3038797721</v>
      </c>
      <c r="W45" s="345">
        <f>($E$39+$E$38)/$E$41</f>
        <v>973714.65193988604</v>
      </c>
      <c r="X45" s="345"/>
      <c r="Y45" s="1"/>
      <c r="Z45" s="1"/>
      <c r="AA45" s="1"/>
      <c r="AB45" s="1"/>
      <c r="AC45" s="1"/>
    </row>
    <row r="46" spans="2:29" x14ac:dyDescent="0.2">
      <c r="D46" s="353"/>
      <c r="F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2:29" x14ac:dyDescent="0.2">
      <c r="E47" s="354"/>
      <c r="F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2:29" s="338" customFormat="1" x14ac:dyDescent="0.2">
      <c r="B48" s="339" t="str">
        <f>Assumptions!C$17&amp;" - "&amp;Assumptions!E$17</f>
        <v>Option 4 - Targeted installation of EFD on SWER lines</v>
      </c>
      <c r="D48" s="340"/>
    </row>
    <row r="49" spans="2:29" x14ac:dyDescent="0.2">
      <c r="B49" s="1" t="s">
        <v>303</v>
      </c>
      <c r="F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2:29" x14ac:dyDescent="0.2">
      <c r="B50" s="2"/>
      <c r="F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2:29" x14ac:dyDescent="0.2">
      <c r="C51" s="12" t="s">
        <v>267</v>
      </c>
      <c r="E51" s="352">
        <v>2107</v>
      </c>
      <c r="F51" s="1" t="s">
        <v>251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2:29" x14ac:dyDescent="0.2">
      <c r="C52" s="12" t="s">
        <v>261</v>
      </c>
      <c r="E52" s="345">
        <f>E51*E30</f>
        <v>6325076.4315117039</v>
      </c>
      <c r="F52" s="1" t="s">
        <v>298</v>
      </c>
      <c r="G52" s="23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2:29" x14ac:dyDescent="0.2">
      <c r="C53" s="12" t="s">
        <v>262</v>
      </c>
      <c r="E53" s="350">
        <f>E51*E31</f>
        <v>572372.90489029943</v>
      </c>
      <c r="F53" s="1" t="s">
        <v>298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2:29" x14ac:dyDescent="0.2">
      <c r="C54" s="12" t="s">
        <v>263</v>
      </c>
      <c r="E54" s="350">
        <f>E51*E32</f>
        <v>463781.05769869714</v>
      </c>
      <c r="F54" s="1" t="s">
        <v>298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2:29" x14ac:dyDescent="0.2">
      <c r="C55" s="12" t="s">
        <v>264</v>
      </c>
      <c r="E55" s="355">
        <f>E51*E33</f>
        <v>21762.742092409098</v>
      </c>
      <c r="F55" s="1" t="s">
        <v>298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2:29" x14ac:dyDescent="0.2">
      <c r="C56" s="12"/>
      <c r="F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2:29" x14ac:dyDescent="0.2">
      <c r="C57" s="12" t="s">
        <v>252</v>
      </c>
      <c r="E57" s="145">
        <v>2</v>
      </c>
      <c r="F57" s="1" t="s">
        <v>297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2:29" x14ac:dyDescent="0.2">
      <c r="C58" s="12"/>
      <c r="F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2:29" x14ac:dyDescent="0.2">
      <c r="C59" s="12"/>
      <c r="E59" s="344" t="s">
        <v>19</v>
      </c>
      <c r="F59" s="344" t="s">
        <v>21</v>
      </c>
      <c r="G59" s="344" t="s">
        <v>20</v>
      </c>
      <c r="H59" s="344" t="s">
        <v>22</v>
      </c>
      <c r="I59" s="344" t="s">
        <v>93</v>
      </c>
      <c r="J59" s="344" t="str">
        <f t="shared" ref="J59:X59" si="5">LEFT(I59,4)+1&amp;"-"&amp;RIGHT(I59,2)+1</f>
        <v>2031-32</v>
      </c>
      <c r="K59" s="344" t="str">
        <f t="shared" si="5"/>
        <v>2032-33</v>
      </c>
      <c r="L59" s="344" t="str">
        <f t="shared" si="5"/>
        <v>2033-34</v>
      </c>
      <c r="M59" s="344" t="str">
        <f t="shared" si="5"/>
        <v>2034-35</v>
      </c>
      <c r="N59" s="344" t="str">
        <f t="shared" si="5"/>
        <v>2035-36</v>
      </c>
      <c r="O59" s="344" t="str">
        <f t="shared" si="5"/>
        <v>2036-37</v>
      </c>
      <c r="P59" s="344" t="str">
        <f t="shared" si="5"/>
        <v>2037-38</v>
      </c>
      <c r="Q59" s="344" t="str">
        <f t="shared" si="5"/>
        <v>2038-39</v>
      </c>
      <c r="R59" s="344" t="str">
        <f t="shared" si="5"/>
        <v>2039-40</v>
      </c>
      <c r="S59" s="344" t="str">
        <f t="shared" si="5"/>
        <v>2040-41</v>
      </c>
      <c r="T59" s="344" t="str">
        <f t="shared" si="5"/>
        <v>2041-42</v>
      </c>
      <c r="U59" s="344" t="str">
        <f t="shared" si="5"/>
        <v>2042-43</v>
      </c>
      <c r="V59" s="344" t="str">
        <f t="shared" si="5"/>
        <v>2043-44</v>
      </c>
      <c r="W59" s="344" t="str">
        <f t="shared" si="5"/>
        <v>2044-45</v>
      </c>
      <c r="X59" s="344" t="str">
        <f t="shared" si="5"/>
        <v>2045-46</v>
      </c>
      <c r="Y59" s="1"/>
      <c r="Z59" s="1"/>
      <c r="AA59" s="1"/>
      <c r="AB59" s="1"/>
      <c r="AC59" s="1"/>
    </row>
    <row r="60" spans="2:29" x14ac:dyDescent="0.2">
      <c r="C60" s="12" t="s">
        <v>268</v>
      </c>
      <c r="E60" s="356">
        <f>$E$52/$E$57</f>
        <v>3162538.2157558519</v>
      </c>
      <c r="F60" s="356">
        <f>$E$52/$E$57</f>
        <v>3162538.2157558519</v>
      </c>
      <c r="G60" s="357"/>
      <c r="H60" s="345"/>
      <c r="I60" s="345"/>
      <c r="J60" s="1"/>
      <c r="K60" s="1"/>
      <c r="L60" s="345"/>
      <c r="M60" s="345"/>
      <c r="N60" s="345"/>
      <c r="O60" s="345"/>
      <c r="P60" s="345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2:29" x14ac:dyDescent="0.2">
      <c r="C61" s="12" t="s">
        <v>269</v>
      </c>
      <c r="E61" s="345">
        <f>$E$55</f>
        <v>21762.742092409098</v>
      </c>
      <c r="F61" s="345">
        <f t="shared" ref="F61:I61" si="6">$E$55</f>
        <v>21762.742092409098</v>
      </c>
      <c r="G61" s="345">
        <f t="shared" si="6"/>
        <v>21762.742092409098</v>
      </c>
      <c r="H61" s="345">
        <f t="shared" si="6"/>
        <v>21762.742092409098</v>
      </c>
      <c r="I61" s="345">
        <f t="shared" si="6"/>
        <v>21762.742092409098</v>
      </c>
      <c r="J61" s="345">
        <f>$E$55+$E$54</f>
        <v>485543.79979110626</v>
      </c>
      <c r="K61" s="345">
        <f t="shared" ref="K61:L61" si="7">$E$55+$E$54</f>
        <v>485543.79979110626</v>
      </c>
      <c r="L61" s="345">
        <f t="shared" si="7"/>
        <v>485543.79979110626</v>
      </c>
      <c r="M61" s="345">
        <f>$E$55+$E$54+$E$53/$E$57</f>
        <v>771730.25223625591</v>
      </c>
      <c r="N61" s="345">
        <f>$E$55+$E$54+$E$53/$E$57</f>
        <v>771730.25223625591</v>
      </c>
      <c r="O61" s="345">
        <f t="shared" ref="O61:S61" si="8">$E$55+$E$54</f>
        <v>485543.79979110626</v>
      </c>
      <c r="P61" s="345">
        <f t="shared" si="8"/>
        <v>485543.79979110626</v>
      </c>
      <c r="Q61" s="345">
        <f t="shared" si="8"/>
        <v>485543.79979110626</v>
      </c>
      <c r="R61" s="345">
        <f t="shared" si="8"/>
        <v>485543.79979110626</v>
      </c>
      <c r="S61" s="345">
        <f t="shared" si="8"/>
        <v>485543.79979110626</v>
      </c>
      <c r="T61" s="345">
        <f>($E$54+$E$55)/2</f>
        <v>242771.89989555313</v>
      </c>
      <c r="U61" s="345"/>
      <c r="V61" s="345"/>
      <c r="W61" s="345"/>
      <c r="X61" s="345"/>
      <c r="Y61" s="1"/>
      <c r="Z61" s="1"/>
      <c r="AA61" s="1"/>
      <c r="AB61" s="1"/>
      <c r="AC61" s="1"/>
    </row>
    <row r="62" spans="2:29" x14ac:dyDescent="0.2">
      <c r="F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2:29" x14ac:dyDescent="0.2">
      <c r="F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2:29" s="338" customFormat="1" x14ac:dyDescent="0.2">
      <c r="B64" s="339" t="str">
        <f>Assumptions!C$18&amp;" - "&amp;Assumptions!E$18</f>
        <v>Option 5 - Targeted installation of covered conductor and EFD on SWER lines</v>
      </c>
      <c r="D64" s="340"/>
    </row>
    <row r="65" spans="2:29" x14ac:dyDescent="0.2">
      <c r="F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2:29" x14ac:dyDescent="0.2">
      <c r="B66" s="2"/>
      <c r="C66" s="1" t="s">
        <v>314</v>
      </c>
      <c r="F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2:29" x14ac:dyDescent="0.2">
      <c r="B67" s="2"/>
      <c r="C67" s="1" t="s">
        <v>315</v>
      </c>
      <c r="F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2:29" x14ac:dyDescent="0.2">
      <c r="B68" s="2"/>
      <c r="F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2:29" x14ac:dyDescent="0.2">
      <c r="C69" s="12" t="s">
        <v>267</v>
      </c>
      <c r="E69" s="352">
        <v>2107</v>
      </c>
      <c r="F69" s="1" t="s">
        <v>251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2:29" x14ac:dyDescent="0.2">
      <c r="C70" s="12" t="s">
        <v>261</v>
      </c>
      <c r="E70" s="345">
        <f>E69*E30</f>
        <v>6325076.4315117039</v>
      </c>
      <c r="F70" s="1" t="s">
        <v>298</v>
      </c>
      <c r="G70" s="23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2:29" x14ac:dyDescent="0.2">
      <c r="C71" s="12" t="s">
        <v>262</v>
      </c>
      <c r="E71" s="350">
        <f>E69*E31</f>
        <v>572372.90489029943</v>
      </c>
      <c r="F71" s="1" t="s">
        <v>298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2:29" x14ac:dyDescent="0.2">
      <c r="C72" s="12" t="s">
        <v>263</v>
      </c>
      <c r="E72" s="350">
        <f>E69*E32</f>
        <v>463781.05769869714</v>
      </c>
      <c r="F72" s="1" t="s">
        <v>298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2:29" x14ac:dyDescent="0.2">
      <c r="C73" s="12" t="s">
        <v>264</v>
      </c>
      <c r="E73" s="355">
        <f>E69*E33</f>
        <v>21762.742092409098</v>
      </c>
      <c r="F73" s="1" t="s">
        <v>298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2:29" x14ac:dyDescent="0.2">
      <c r="C74" s="12"/>
      <c r="F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2:29" x14ac:dyDescent="0.2">
      <c r="C75" s="12" t="s">
        <v>270</v>
      </c>
      <c r="E75" s="341">
        <v>76</v>
      </c>
      <c r="F75" s="1" t="s">
        <v>251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2:29" x14ac:dyDescent="0.2">
      <c r="C76" s="12" t="s">
        <v>271</v>
      </c>
      <c r="E76" s="358">
        <f>E17</f>
        <v>70000</v>
      </c>
      <c r="F76" s="1" t="s">
        <v>296</v>
      </c>
      <c r="G76" s="23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2:29" x14ac:dyDescent="0.2">
      <c r="C77" s="12" t="s">
        <v>272</v>
      </c>
      <c r="E77" s="345">
        <f>E76*E75</f>
        <v>5320000</v>
      </c>
      <c r="F77" s="1" t="s">
        <v>298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2:29" x14ac:dyDescent="0.2">
      <c r="C78" s="12"/>
      <c r="E78" s="345"/>
      <c r="F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2:29" x14ac:dyDescent="0.2">
      <c r="C79" s="12" t="s">
        <v>273</v>
      </c>
      <c r="E79" s="345">
        <f>E70+E77</f>
        <v>11645076.431511704</v>
      </c>
      <c r="F79" s="1" t="s">
        <v>298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2:29" x14ac:dyDescent="0.2">
      <c r="C80" s="12"/>
      <c r="F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3:29" x14ac:dyDescent="0.2">
      <c r="C81" s="12" t="s">
        <v>252</v>
      </c>
      <c r="E81" s="145">
        <v>2</v>
      </c>
      <c r="F81" s="1" t="s">
        <v>297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3:29" x14ac:dyDescent="0.2">
      <c r="C82" s="12"/>
      <c r="F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3:29" x14ac:dyDescent="0.2">
      <c r="C83" s="12"/>
      <c r="E83" s="344" t="s">
        <v>19</v>
      </c>
      <c r="F83" s="344" t="s">
        <v>21</v>
      </c>
      <c r="G83" s="344" t="s">
        <v>20</v>
      </c>
      <c r="H83" s="344" t="s">
        <v>22</v>
      </c>
      <c r="I83" s="344" t="s">
        <v>93</v>
      </c>
      <c r="J83" s="344" t="str">
        <f t="shared" ref="J83:X83" si="9">LEFT(I83,4)+1&amp;"-"&amp;RIGHT(I83,2)+1</f>
        <v>2031-32</v>
      </c>
      <c r="K83" s="344" t="str">
        <f t="shared" si="9"/>
        <v>2032-33</v>
      </c>
      <c r="L83" s="344" t="str">
        <f t="shared" si="9"/>
        <v>2033-34</v>
      </c>
      <c r="M83" s="344" t="str">
        <f t="shared" si="9"/>
        <v>2034-35</v>
      </c>
      <c r="N83" s="344" t="str">
        <f t="shared" si="9"/>
        <v>2035-36</v>
      </c>
      <c r="O83" s="344" t="str">
        <f t="shared" si="9"/>
        <v>2036-37</v>
      </c>
      <c r="P83" s="344" t="str">
        <f t="shared" si="9"/>
        <v>2037-38</v>
      </c>
      <c r="Q83" s="344" t="str">
        <f t="shared" si="9"/>
        <v>2038-39</v>
      </c>
      <c r="R83" s="344" t="str">
        <f t="shared" si="9"/>
        <v>2039-40</v>
      </c>
      <c r="S83" s="344" t="str">
        <f t="shared" si="9"/>
        <v>2040-41</v>
      </c>
      <c r="T83" s="344" t="str">
        <f t="shared" si="9"/>
        <v>2041-42</v>
      </c>
      <c r="U83" s="344" t="str">
        <f t="shared" si="9"/>
        <v>2042-43</v>
      </c>
      <c r="V83" s="344" t="str">
        <f t="shared" si="9"/>
        <v>2043-44</v>
      </c>
      <c r="W83" s="344" t="str">
        <f t="shared" si="9"/>
        <v>2044-45</v>
      </c>
      <c r="X83" s="344" t="str">
        <f t="shared" si="9"/>
        <v>2045-46</v>
      </c>
      <c r="Y83" s="1"/>
      <c r="Z83" s="1"/>
      <c r="AA83" s="1"/>
      <c r="AB83" s="1"/>
      <c r="AC83" s="1"/>
    </row>
    <row r="84" spans="3:29" x14ac:dyDescent="0.2">
      <c r="C84" s="12" t="s">
        <v>274</v>
      </c>
      <c r="E84" s="356">
        <f>$E$70/$E$81</f>
        <v>3162538.2157558519</v>
      </c>
      <c r="F84" s="356">
        <f>$E$70/$E$81</f>
        <v>3162538.2157558519</v>
      </c>
      <c r="G84" s="357"/>
      <c r="H84" s="345"/>
      <c r="I84" s="345"/>
      <c r="J84" s="1"/>
      <c r="K84" s="1"/>
      <c r="L84" s="345"/>
      <c r="M84" s="345"/>
      <c r="N84" s="345"/>
      <c r="O84" s="345"/>
      <c r="P84" s="345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3:29" x14ac:dyDescent="0.2">
      <c r="C85" s="12" t="s">
        <v>275</v>
      </c>
      <c r="E85" s="356">
        <f>$E$77/$E$81</f>
        <v>2660000</v>
      </c>
      <c r="F85" s="356">
        <f t="shared" ref="F85" si="10">$E$77/$E$81</f>
        <v>2660000</v>
      </c>
      <c r="G85" s="357"/>
      <c r="H85" s="345"/>
      <c r="I85" s="345"/>
      <c r="J85" s="1"/>
      <c r="K85" s="1"/>
      <c r="L85" s="345"/>
      <c r="M85" s="345"/>
      <c r="N85" s="345"/>
      <c r="O85" s="345"/>
      <c r="P85" s="345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3:29" x14ac:dyDescent="0.2">
      <c r="C86" s="12" t="s">
        <v>276</v>
      </c>
      <c r="E86" s="345">
        <f>$E$73</f>
        <v>21762.742092409098</v>
      </c>
      <c r="F86" s="345">
        <f t="shared" ref="F86:H86" si="11">$E$73</f>
        <v>21762.742092409098</v>
      </c>
      <c r="G86" s="345">
        <f t="shared" si="11"/>
        <v>21762.742092409098</v>
      </c>
      <c r="H86" s="345">
        <f t="shared" si="11"/>
        <v>21762.742092409098</v>
      </c>
      <c r="I86" s="345">
        <f>$E$73</f>
        <v>21762.742092409098</v>
      </c>
      <c r="J86" s="345">
        <f>$E$73+$E$72</f>
        <v>485543.79979110626</v>
      </c>
      <c r="K86" s="345">
        <f>$E$73+$E$72</f>
        <v>485543.79979110626</v>
      </c>
      <c r="L86" s="345">
        <f>$E$73+$E$72</f>
        <v>485543.79979110626</v>
      </c>
      <c r="M86" s="345">
        <f>$E$73+$E$72+$E$71/$E$81</f>
        <v>771730.25223625591</v>
      </c>
      <c r="N86" s="345">
        <f>$E$73+$E$72+$E$71/$E$81</f>
        <v>771730.25223625591</v>
      </c>
      <c r="O86" s="345">
        <f>$E$73+$E$72</f>
        <v>485543.79979110626</v>
      </c>
      <c r="P86" s="345">
        <f>$E$73+$E$72</f>
        <v>485543.79979110626</v>
      </c>
      <c r="Q86" s="345">
        <f>$E$73+$E$72</f>
        <v>485543.79979110626</v>
      </c>
      <c r="R86" s="345">
        <f t="shared" ref="R86:S86" si="12">$E$73+$E$72</f>
        <v>485543.79979110626</v>
      </c>
      <c r="S86" s="345">
        <f t="shared" si="12"/>
        <v>485543.79979110626</v>
      </c>
      <c r="T86" s="345">
        <f>($E$73+$E$72)/2</f>
        <v>242771.89989555313</v>
      </c>
      <c r="U86" s="345"/>
      <c r="V86" s="345"/>
      <c r="W86" s="345"/>
      <c r="X86" s="345"/>
      <c r="Y86" s="1"/>
      <c r="Z86" s="1"/>
      <c r="AA86" s="1"/>
      <c r="AB86" s="1"/>
      <c r="AC86" s="1"/>
    </row>
    <row r="87" spans="3:29" x14ac:dyDescent="0.2">
      <c r="F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3:29" x14ac:dyDescent="0.2">
      <c r="F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90" spans="3:29" x14ac:dyDescent="0.2">
      <c r="E90" s="345"/>
      <c r="F90" s="345"/>
    </row>
  </sheetData>
  <pageMargins left="0.7" right="0.7" top="0.75" bottom="0.75" header="0.3" footer="0.3"/>
  <pageSetup paperSize="9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3A52D-CA3C-4474-B13D-B01A7402D4FF}">
  <sheetPr codeName="Sheet12">
    <tabColor rgb="FFFFFF00"/>
  </sheetPr>
  <dimension ref="A1:AC122"/>
  <sheetViews>
    <sheetView showGridLines="0" zoomScale="90" zoomScaleNormal="90" workbookViewId="0">
      <pane xSplit="4" ySplit="5" topLeftCell="E6" activePane="bottomRight" state="frozen"/>
      <selection activeCell="E6" sqref="E6"/>
      <selection pane="topRight" activeCell="E6" sqref="E6"/>
      <selection pane="bottomLeft" activeCell="E6" sqref="E6"/>
      <selection pane="bottomRight" activeCell="E6" sqref="E6"/>
    </sheetView>
  </sheetViews>
  <sheetFormatPr defaultColWidth="8" defaultRowHeight="12.75" x14ac:dyDescent="0.2"/>
  <cols>
    <col min="1" max="1" width="2.625" style="1" customWidth="1"/>
    <col min="2" max="2" width="16.125" style="1" customWidth="1"/>
    <col min="3" max="3" width="12.125" style="1" customWidth="1"/>
    <col min="4" max="4" width="38.625" style="1" customWidth="1"/>
    <col min="5" max="5" width="14.375" style="1" customWidth="1"/>
    <col min="6" max="6" width="11.125" style="1" customWidth="1"/>
    <col min="7" max="17" width="11.75" style="1" customWidth="1"/>
    <col min="18" max="22" width="14.25" style="1" customWidth="1"/>
    <col min="23" max="23" width="14.5" style="1" customWidth="1"/>
    <col min="24" max="25" width="12.25" style="1" customWidth="1"/>
    <col min="26" max="26" width="10.125" style="1" customWidth="1"/>
    <col min="27" max="28" width="11.375" style="1" customWidth="1"/>
    <col min="29" max="29" width="10.75" style="1" customWidth="1"/>
    <col min="30" max="16384" width="8" style="1"/>
  </cols>
  <sheetData>
    <row r="1" spans="1:29" ht="18.75" x14ac:dyDescent="0.3">
      <c r="A1" s="15" t="str">
        <f>bus</f>
        <v>Powercor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</row>
    <row r="2" spans="1:29" ht="18.75" x14ac:dyDescent="0.3">
      <c r="A2" s="56" t="str">
        <f>proj</f>
        <v>Minimise bushfire risk from SWER in ELCA, REFCL and HBRA areas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</row>
    <row r="3" spans="1:29" ht="18.75" x14ac:dyDescent="0.3">
      <c r="A3" s="5" t="s">
        <v>277</v>
      </c>
      <c r="B3" s="332"/>
      <c r="C3" s="5"/>
      <c r="D3" s="5"/>
    </row>
    <row r="5" spans="1:29" ht="15" x14ac:dyDescent="0.2">
      <c r="A5" s="334"/>
      <c r="B5" s="334"/>
      <c r="C5" s="334"/>
      <c r="D5" s="334"/>
      <c r="E5" s="334"/>
      <c r="F5" s="334"/>
      <c r="G5" s="334"/>
      <c r="H5" s="334"/>
      <c r="I5" s="334"/>
      <c r="J5" s="334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</row>
    <row r="7" spans="1:29" x14ac:dyDescent="0.2">
      <c r="D7" s="2" t="s">
        <v>246</v>
      </c>
      <c r="E7" s="337">
        <v>1.0564283958846428</v>
      </c>
    </row>
    <row r="8" spans="1:29" x14ac:dyDescent="0.2">
      <c r="D8" s="2" t="s">
        <v>247</v>
      </c>
      <c r="E8" s="337">
        <v>0.96300053508865679</v>
      </c>
    </row>
    <row r="10" spans="1:29" s="338" customFormat="1" x14ac:dyDescent="0.2">
      <c r="B10" s="339" t="str">
        <f>Assumptions!C$14&amp;" - "&amp;Assumptions!E$14</f>
        <v>Option 1 (base case) - No change to existing practices</v>
      </c>
      <c r="D10" s="340"/>
    </row>
    <row r="12" spans="1:29" x14ac:dyDescent="0.2">
      <c r="C12" s="372" t="s">
        <v>278</v>
      </c>
    </row>
    <row r="13" spans="1:29" x14ac:dyDescent="0.2">
      <c r="C13" s="12" t="s">
        <v>279</v>
      </c>
      <c r="E13" s="360">
        <v>14789168.246094229</v>
      </c>
      <c r="F13" s="1" t="s">
        <v>298</v>
      </c>
    </row>
    <row r="15" spans="1:29" x14ac:dyDescent="0.2">
      <c r="C15" s="1" t="s">
        <v>305</v>
      </c>
      <c r="E15" s="351">
        <v>40.171643406336479</v>
      </c>
      <c r="F15" s="1" t="s">
        <v>296</v>
      </c>
    </row>
    <row r="16" spans="1:29" x14ac:dyDescent="0.2">
      <c r="C16" s="1" t="s">
        <v>306</v>
      </c>
      <c r="E16" s="352">
        <v>21127</v>
      </c>
      <c r="F16" s="1" t="s">
        <v>251</v>
      </c>
    </row>
    <row r="17" spans="2:7" s="370" customFormat="1" ht="15" x14ac:dyDescent="0.25">
      <c r="C17" s="12" t="s">
        <v>307</v>
      </c>
      <c r="E17" s="375">
        <f>E16*E15</f>
        <v>848706.31024567073</v>
      </c>
      <c r="F17" s="1" t="s">
        <v>298</v>
      </c>
    </row>
    <row r="18" spans="2:7" s="370" customFormat="1" ht="15" x14ac:dyDescent="0.25">
      <c r="C18" s="12"/>
      <c r="E18" s="375"/>
      <c r="F18" s="1"/>
    </row>
    <row r="19" spans="2:7" x14ac:dyDescent="0.2">
      <c r="C19" s="12" t="s">
        <v>306</v>
      </c>
      <c r="E19" s="362">
        <f>Workings_costs!E35</f>
        <v>21127</v>
      </c>
      <c r="F19" s="1" t="s">
        <v>251</v>
      </c>
    </row>
    <row r="20" spans="2:7" x14ac:dyDescent="0.2">
      <c r="C20" s="12" t="s">
        <v>307</v>
      </c>
      <c r="E20" s="355">
        <f>E19*E15</f>
        <v>848706.31024567073</v>
      </c>
      <c r="F20" s="1" t="s">
        <v>298</v>
      </c>
    </row>
    <row r="23" spans="2:7" s="338" customFormat="1" x14ac:dyDescent="0.2">
      <c r="B23" s="339" t="str">
        <f>Assumptions!C$15&amp;" - "&amp;Assumptions!E$15</f>
        <v>Option 2 - Targeted installation of covered conductor on SWER lines</v>
      </c>
      <c r="D23" s="340"/>
    </row>
    <row r="25" spans="2:7" x14ac:dyDescent="0.2">
      <c r="C25" s="1" t="s">
        <v>278</v>
      </c>
      <c r="D25" s="359"/>
    </row>
    <row r="26" spans="2:7" x14ac:dyDescent="0.2">
      <c r="C26" s="12" t="s">
        <v>288</v>
      </c>
      <c r="D26" s="2"/>
      <c r="E26" s="342">
        <v>338854.66899341071</v>
      </c>
      <c r="F26" s="1" t="s">
        <v>298</v>
      </c>
      <c r="G26" s="231"/>
    </row>
    <row r="27" spans="2:7" x14ac:dyDescent="0.2">
      <c r="C27" s="12" t="s">
        <v>280</v>
      </c>
      <c r="D27" s="2"/>
      <c r="E27" s="345">
        <f>$E$13-E26</f>
        <v>14450313.577100817</v>
      </c>
      <c r="F27" s="1" t="s">
        <v>298</v>
      </c>
    </row>
    <row r="28" spans="2:7" x14ac:dyDescent="0.2">
      <c r="C28" s="12"/>
      <c r="D28" s="2"/>
      <c r="E28" s="345"/>
    </row>
    <row r="29" spans="2:7" x14ac:dyDescent="0.2">
      <c r="C29" s="12" t="s">
        <v>313</v>
      </c>
      <c r="E29" s="352">
        <v>76</v>
      </c>
      <c r="F29" s="1" t="s">
        <v>251</v>
      </c>
    </row>
    <row r="30" spans="2:7" x14ac:dyDescent="0.2">
      <c r="C30" s="373" t="s">
        <v>281</v>
      </c>
      <c r="E30" s="345">
        <f>E15*E29</f>
        <v>3053.0448988815724</v>
      </c>
      <c r="F30" s="1" t="s">
        <v>298</v>
      </c>
    </row>
    <row r="31" spans="2:7" x14ac:dyDescent="0.2">
      <c r="C31" s="12"/>
      <c r="D31" s="2"/>
      <c r="E31" s="345"/>
    </row>
    <row r="32" spans="2:7" x14ac:dyDescent="0.2">
      <c r="C32" s="12" t="s">
        <v>252</v>
      </c>
      <c r="D32" s="2"/>
      <c r="E32" s="374">
        <f>Workings_costs!E20</f>
        <v>2</v>
      </c>
      <c r="F32" s="1" t="s">
        <v>297</v>
      </c>
    </row>
    <row r="33" spans="2:25" x14ac:dyDescent="0.2">
      <c r="C33" s="12" t="s">
        <v>282</v>
      </c>
      <c r="D33" s="2"/>
      <c r="E33" s="345">
        <f>E26/E32</f>
        <v>169427.33449670536</v>
      </c>
    </row>
    <row r="34" spans="2:25" x14ac:dyDescent="0.2">
      <c r="C34" s="12" t="s">
        <v>283</v>
      </c>
      <c r="D34" s="2"/>
      <c r="E34" s="345">
        <f>E30/E32</f>
        <v>1526.5224494407862</v>
      </c>
    </row>
    <row r="35" spans="2:25" x14ac:dyDescent="0.2">
      <c r="C35" s="12"/>
    </row>
    <row r="36" spans="2:25" x14ac:dyDescent="0.2">
      <c r="C36" s="12"/>
      <c r="D36" s="2"/>
      <c r="E36" s="387" t="s">
        <v>284</v>
      </c>
      <c r="F36" s="392"/>
      <c r="G36" s="392"/>
      <c r="H36" s="392"/>
      <c r="I36" s="388"/>
      <c r="J36" s="389" t="s">
        <v>285</v>
      </c>
      <c r="K36" s="390"/>
      <c r="L36" s="390"/>
      <c r="M36" s="390"/>
      <c r="N36" s="390"/>
      <c r="O36" s="390"/>
      <c r="P36" s="390"/>
      <c r="Q36" s="390"/>
      <c r="R36" s="390"/>
      <c r="S36" s="390"/>
      <c r="T36" s="390"/>
      <c r="U36" s="390"/>
      <c r="V36" s="390"/>
      <c r="W36" s="390"/>
      <c r="X36" s="391"/>
    </row>
    <row r="37" spans="2:25" x14ac:dyDescent="0.2">
      <c r="C37" s="12"/>
      <c r="D37" s="2"/>
      <c r="E37" s="363" t="s">
        <v>19</v>
      </c>
      <c r="F37" s="344" t="s">
        <v>21</v>
      </c>
      <c r="G37" s="344" t="s">
        <v>20</v>
      </c>
      <c r="H37" s="344" t="s">
        <v>22</v>
      </c>
      <c r="I37" s="364" t="s">
        <v>93</v>
      </c>
      <c r="J37" s="363" t="str">
        <f t="shared" ref="J37:X37" si="0">LEFT(I37,4)+1&amp;"-"&amp;RIGHT(I37,2)+1</f>
        <v>2031-32</v>
      </c>
      <c r="K37" s="344" t="str">
        <f t="shared" si="0"/>
        <v>2032-33</v>
      </c>
      <c r="L37" s="344" t="str">
        <f t="shared" si="0"/>
        <v>2033-34</v>
      </c>
      <c r="M37" s="344" t="str">
        <f t="shared" si="0"/>
        <v>2034-35</v>
      </c>
      <c r="N37" s="344" t="str">
        <f t="shared" si="0"/>
        <v>2035-36</v>
      </c>
      <c r="O37" s="344" t="str">
        <f t="shared" si="0"/>
        <v>2036-37</v>
      </c>
      <c r="P37" s="344" t="str">
        <f t="shared" si="0"/>
        <v>2037-38</v>
      </c>
      <c r="Q37" s="344" t="str">
        <f t="shared" si="0"/>
        <v>2038-39</v>
      </c>
      <c r="R37" s="344" t="str">
        <f t="shared" si="0"/>
        <v>2039-40</v>
      </c>
      <c r="S37" s="344" t="str">
        <f t="shared" si="0"/>
        <v>2040-41</v>
      </c>
      <c r="T37" s="344" t="str">
        <f t="shared" si="0"/>
        <v>2041-42</v>
      </c>
      <c r="U37" s="344" t="str">
        <f t="shared" si="0"/>
        <v>2042-43</v>
      </c>
      <c r="V37" s="344" t="str">
        <f t="shared" si="0"/>
        <v>2043-44</v>
      </c>
      <c r="W37" s="344" t="str">
        <f t="shared" si="0"/>
        <v>2044-45</v>
      </c>
      <c r="X37" s="364" t="str">
        <f t="shared" si="0"/>
        <v>2045-46</v>
      </c>
      <c r="Y37" s="2"/>
    </row>
    <row r="38" spans="2:25" x14ac:dyDescent="0.2">
      <c r="C38" s="12" t="s">
        <v>286</v>
      </c>
      <c r="E38" s="345">
        <f>$E$13-$E$33</f>
        <v>14619740.911597524</v>
      </c>
      <c r="F38" s="345">
        <f>E38-$E$33</f>
        <v>14450313.577100819</v>
      </c>
      <c r="G38" s="345">
        <f>F38</f>
        <v>14450313.577100819</v>
      </c>
      <c r="H38" s="345">
        <f t="shared" ref="H38:X39" si="1">G38</f>
        <v>14450313.577100819</v>
      </c>
      <c r="I38" s="345">
        <f t="shared" si="1"/>
        <v>14450313.577100819</v>
      </c>
      <c r="J38" s="345">
        <f t="shared" si="1"/>
        <v>14450313.577100819</v>
      </c>
      <c r="K38" s="345">
        <f t="shared" si="1"/>
        <v>14450313.577100819</v>
      </c>
      <c r="L38" s="345">
        <f t="shared" si="1"/>
        <v>14450313.577100819</v>
      </c>
      <c r="M38" s="345">
        <f t="shared" si="1"/>
        <v>14450313.577100819</v>
      </c>
      <c r="N38" s="345">
        <f t="shared" si="1"/>
        <v>14450313.577100819</v>
      </c>
      <c r="O38" s="345">
        <f t="shared" si="1"/>
        <v>14450313.577100819</v>
      </c>
      <c r="P38" s="345">
        <f t="shared" si="1"/>
        <v>14450313.577100819</v>
      </c>
      <c r="Q38" s="345">
        <f t="shared" si="1"/>
        <v>14450313.577100819</v>
      </c>
      <c r="R38" s="345">
        <f t="shared" si="1"/>
        <v>14450313.577100819</v>
      </c>
      <c r="S38" s="345">
        <f t="shared" si="1"/>
        <v>14450313.577100819</v>
      </c>
      <c r="T38" s="345">
        <f t="shared" si="1"/>
        <v>14450313.577100819</v>
      </c>
      <c r="U38" s="345">
        <f t="shared" si="1"/>
        <v>14450313.577100819</v>
      </c>
      <c r="V38" s="345">
        <f t="shared" si="1"/>
        <v>14450313.577100819</v>
      </c>
      <c r="W38" s="345">
        <f t="shared" si="1"/>
        <v>14450313.577100819</v>
      </c>
      <c r="X38" s="345">
        <f t="shared" si="1"/>
        <v>14450313.577100819</v>
      </c>
    </row>
    <row r="39" spans="2:25" x14ac:dyDescent="0.2">
      <c r="C39" s="12" t="s">
        <v>287</v>
      </c>
      <c r="E39" s="345">
        <f>E20-E34</f>
        <v>847179.78779622994</v>
      </c>
      <c r="F39" s="345">
        <f>E39-$E$34</f>
        <v>845653.26534678915</v>
      </c>
      <c r="G39" s="345">
        <f>F39</f>
        <v>845653.26534678915</v>
      </c>
      <c r="H39" s="345">
        <f t="shared" si="1"/>
        <v>845653.26534678915</v>
      </c>
      <c r="I39" s="345">
        <f t="shared" si="1"/>
        <v>845653.26534678915</v>
      </c>
      <c r="J39" s="345">
        <f t="shared" si="1"/>
        <v>845653.26534678915</v>
      </c>
      <c r="K39" s="345">
        <f t="shared" si="1"/>
        <v>845653.26534678915</v>
      </c>
      <c r="L39" s="345">
        <f t="shared" si="1"/>
        <v>845653.26534678915</v>
      </c>
      <c r="M39" s="345">
        <f t="shared" si="1"/>
        <v>845653.26534678915</v>
      </c>
      <c r="N39" s="345">
        <f t="shared" si="1"/>
        <v>845653.26534678915</v>
      </c>
      <c r="O39" s="345">
        <f t="shared" si="1"/>
        <v>845653.26534678915</v>
      </c>
      <c r="P39" s="345">
        <f t="shared" si="1"/>
        <v>845653.26534678915</v>
      </c>
      <c r="Q39" s="345">
        <f t="shared" si="1"/>
        <v>845653.26534678915</v>
      </c>
      <c r="R39" s="345">
        <f t="shared" si="1"/>
        <v>845653.26534678915</v>
      </c>
      <c r="S39" s="345">
        <f t="shared" si="1"/>
        <v>845653.26534678915</v>
      </c>
      <c r="T39" s="345">
        <f t="shared" si="1"/>
        <v>845653.26534678915</v>
      </c>
      <c r="U39" s="345">
        <f t="shared" si="1"/>
        <v>845653.26534678915</v>
      </c>
      <c r="V39" s="345">
        <f t="shared" si="1"/>
        <v>845653.26534678915</v>
      </c>
      <c r="W39" s="345">
        <f t="shared" si="1"/>
        <v>845653.26534678915</v>
      </c>
      <c r="X39" s="345">
        <f t="shared" si="1"/>
        <v>845653.26534678915</v>
      </c>
    </row>
    <row r="40" spans="2:25" x14ac:dyDescent="0.2">
      <c r="D40" s="2"/>
      <c r="E40" s="345"/>
      <c r="F40" s="345"/>
      <c r="G40" s="345"/>
      <c r="H40" s="345"/>
      <c r="I40" s="345"/>
    </row>
    <row r="42" spans="2:25" s="338" customFormat="1" x14ac:dyDescent="0.2">
      <c r="B42" s="339" t="str">
        <f>Assumptions!C$16&amp;" - "&amp;Assumptions!E$16</f>
        <v>Option 3 - Install EFD on all SWER lines</v>
      </c>
      <c r="D42" s="340"/>
    </row>
    <row r="44" spans="2:25" x14ac:dyDescent="0.2">
      <c r="C44" s="372" t="s">
        <v>278</v>
      </c>
    </row>
    <row r="45" spans="2:25" x14ac:dyDescent="0.2">
      <c r="C45" s="12" t="s">
        <v>288</v>
      </c>
      <c r="E45" s="361">
        <v>4880425.5212110961</v>
      </c>
      <c r="F45" s="1" t="s">
        <v>298</v>
      </c>
    </row>
    <row r="46" spans="2:25" x14ac:dyDescent="0.2">
      <c r="C46" s="12" t="s">
        <v>280</v>
      </c>
      <c r="E46" s="345">
        <f>E13-E45</f>
        <v>9908742.7248831317</v>
      </c>
      <c r="F46" s="1" t="s">
        <v>298</v>
      </c>
    </row>
    <row r="47" spans="2:25" x14ac:dyDescent="0.2">
      <c r="D47" s="2"/>
      <c r="E47" s="345"/>
    </row>
    <row r="48" spans="2:25" x14ac:dyDescent="0.2">
      <c r="C48" s="12" t="s">
        <v>289</v>
      </c>
      <c r="E48" s="365">
        <v>0.33</v>
      </c>
    </row>
    <row r="49" spans="2:25" x14ac:dyDescent="0.2">
      <c r="C49" s="12" t="s">
        <v>309</v>
      </c>
      <c r="E49" s="366">
        <f>E15*E48</f>
        <v>13.256642324091038</v>
      </c>
      <c r="F49" s="1" t="s">
        <v>296</v>
      </c>
    </row>
    <row r="50" spans="2:25" x14ac:dyDescent="0.2">
      <c r="C50" s="12" t="s">
        <v>304</v>
      </c>
      <c r="E50" s="362">
        <f>Workings_costs!E35</f>
        <v>21127</v>
      </c>
      <c r="F50" s="1" t="s">
        <v>251</v>
      </c>
    </row>
    <row r="51" spans="2:25" x14ac:dyDescent="0.2">
      <c r="C51" s="12" t="s">
        <v>290</v>
      </c>
      <c r="E51" s="358">
        <f>E50*E49</f>
        <v>280073.08238107135</v>
      </c>
      <c r="F51" s="1" t="s">
        <v>298</v>
      </c>
    </row>
    <row r="53" spans="2:25" x14ac:dyDescent="0.2">
      <c r="C53" s="12" t="s">
        <v>252</v>
      </c>
      <c r="E53" s="374">
        <f>Workings_costs!E41</f>
        <v>5</v>
      </c>
      <c r="F53" s="1" t="s">
        <v>297</v>
      </c>
    </row>
    <row r="54" spans="2:25" x14ac:dyDescent="0.2">
      <c r="C54" s="12" t="s">
        <v>282</v>
      </c>
      <c r="E54" s="345">
        <f>$E$45/$E$53</f>
        <v>976085.10424221924</v>
      </c>
    </row>
    <row r="55" spans="2:25" x14ac:dyDescent="0.2">
      <c r="C55" s="12" t="s">
        <v>283</v>
      </c>
      <c r="E55" s="345">
        <f>$E$51/E53</f>
        <v>56014.616476214273</v>
      </c>
      <c r="I55" s="345"/>
    </row>
    <row r="57" spans="2:25" x14ac:dyDescent="0.2">
      <c r="D57" s="2"/>
      <c r="E57" s="387" t="s">
        <v>284</v>
      </c>
      <c r="F57" s="392"/>
      <c r="G57" s="392"/>
      <c r="H57" s="392"/>
      <c r="I57" s="388"/>
      <c r="J57" s="389" t="s">
        <v>291</v>
      </c>
      <c r="K57" s="390"/>
      <c r="L57" s="390"/>
      <c r="M57" s="390"/>
      <c r="N57" s="390"/>
      <c r="O57" s="390"/>
      <c r="P57" s="390"/>
      <c r="Q57" s="390"/>
      <c r="R57" s="390"/>
      <c r="S57" s="390"/>
      <c r="T57" s="390"/>
      <c r="U57" s="390"/>
      <c r="V57" s="390"/>
      <c r="W57" s="390"/>
      <c r="X57" s="391"/>
    </row>
    <row r="58" spans="2:25" x14ac:dyDescent="0.2">
      <c r="D58" s="2"/>
      <c r="E58" s="363" t="s">
        <v>19</v>
      </c>
      <c r="F58" s="344" t="s">
        <v>21</v>
      </c>
      <c r="G58" s="344" t="s">
        <v>20</v>
      </c>
      <c r="H58" s="344" t="s">
        <v>22</v>
      </c>
      <c r="I58" s="364" t="s">
        <v>93</v>
      </c>
      <c r="J58" s="363" t="str">
        <f t="shared" ref="J58:X58" si="2">LEFT(I58,4)+1&amp;"-"&amp;RIGHT(I58,2)+1</f>
        <v>2031-32</v>
      </c>
      <c r="K58" s="344" t="str">
        <f t="shared" si="2"/>
        <v>2032-33</v>
      </c>
      <c r="L58" s="344" t="str">
        <f t="shared" si="2"/>
        <v>2033-34</v>
      </c>
      <c r="M58" s="344" t="str">
        <f t="shared" si="2"/>
        <v>2034-35</v>
      </c>
      <c r="N58" s="344" t="str">
        <f t="shared" si="2"/>
        <v>2035-36</v>
      </c>
      <c r="O58" s="344" t="str">
        <f t="shared" si="2"/>
        <v>2036-37</v>
      </c>
      <c r="P58" s="344" t="str">
        <f t="shared" si="2"/>
        <v>2037-38</v>
      </c>
      <c r="Q58" s="344" t="str">
        <f t="shared" si="2"/>
        <v>2038-39</v>
      </c>
      <c r="R58" s="344" t="str">
        <f t="shared" si="2"/>
        <v>2039-40</v>
      </c>
      <c r="S58" s="344" t="str">
        <f t="shared" si="2"/>
        <v>2040-41</v>
      </c>
      <c r="T58" s="344" t="str">
        <f t="shared" si="2"/>
        <v>2041-42</v>
      </c>
      <c r="U58" s="344" t="str">
        <f t="shared" si="2"/>
        <v>2042-43</v>
      </c>
      <c r="V58" s="344" t="str">
        <f t="shared" si="2"/>
        <v>2043-44</v>
      </c>
      <c r="W58" s="344" t="str">
        <f t="shared" si="2"/>
        <v>2044-45</v>
      </c>
      <c r="X58" s="364" t="str">
        <f t="shared" si="2"/>
        <v>2045-46</v>
      </c>
      <c r="Y58" s="2"/>
    </row>
    <row r="59" spans="2:25" x14ac:dyDescent="0.2">
      <c r="C59" s="12" t="s">
        <v>286</v>
      </c>
      <c r="E59" s="345">
        <f>$E$13-$E$54</f>
        <v>13813083.14185201</v>
      </c>
      <c r="F59" s="345">
        <f>E59-$E$54</f>
        <v>12836998.037609791</v>
      </c>
      <c r="G59" s="345">
        <f t="shared" ref="G59:I59" si="3">F59-$E$54</f>
        <v>11860912.933367573</v>
      </c>
      <c r="H59" s="345">
        <f t="shared" si="3"/>
        <v>10884827.829125354</v>
      </c>
      <c r="I59" s="345">
        <f t="shared" si="3"/>
        <v>9908742.7248831354</v>
      </c>
      <c r="J59" s="345">
        <f>I59</f>
        <v>9908742.7248831354</v>
      </c>
      <c r="K59" s="345">
        <f>J59</f>
        <v>9908742.7248831354</v>
      </c>
      <c r="L59" s="345">
        <f t="shared" ref="L59:S60" si="4">K59</f>
        <v>9908742.7248831354</v>
      </c>
      <c r="M59" s="345">
        <f t="shared" si="4"/>
        <v>9908742.7248831354</v>
      </c>
      <c r="N59" s="345">
        <f t="shared" si="4"/>
        <v>9908742.7248831354</v>
      </c>
      <c r="O59" s="345">
        <f t="shared" si="4"/>
        <v>9908742.7248831354</v>
      </c>
      <c r="P59" s="345">
        <f t="shared" si="4"/>
        <v>9908742.7248831354</v>
      </c>
      <c r="Q59" s="345">
        <f t="shared" si="4"/>
        <v>9908742.7248831354</v>
      </c>
      <c r="R59" s="345">
        <f t="shared" si="4"/>
        <v>9908742.7248831354</v>
      </c>
      <c r="S59" s="345">
        <f t="shared" si="4"/>
        <v>9908742.7248831354</v>
      </c>
      <c r="T59" s="345">
        <f>S59+$E$54</f>
        <v>10884827.829125354</v>
      </c>
      <c r="U59" s="345">
        <f t="shared" ref="U59:X59" si="5">T59+$E$54</f>
        <v>11860912.933367573</v>
      </c>
      <c r="V59" s="345">
        <f t="shared" si="5"/>
        <v>12836998.037609791</v>
      </c>
      <c r="W59" s="345">
        <f>V59+$E$54</f>
        <v>13813083.14185201</v>
      </c>
      <c r="X59" s="345">
        <f t="shared" si="5"/>
        <v>14789168.246094229</v>
      </c>
    </row>
    <row r="60" spans="2:25" x14ac:dyDescent="0.2">
      <c r="C60" s="12" t="s">
        <v>287</v>
      </c>
      <c r="E60" s="345">
        <f>E20-E55</f>
        <v>792691.69376945647</v>
      </c>
      <c r="F60" s="345">
        <f>E60-$E$55</f>
        <v>736677.07729324221</v>
      </c>
      <c r="G60" s="345">
        <f t="shared" ref="G60:I60" si="6">F60-$E$55</f>
        <v>680662.46081702795</v>
      </c>
      <c r="H60" s="345">
        <f t="shared" si="6"/>
        <v>624647.8443408137</v>
      </c>
      <c r="I60" s="345">
        <f t="shared" si="6"/>
        <v>568633.22786459944</v>
      </c>
      <c r="J60" s="345">
        <f>I60</f>
        <v>568633.22786459944</v>
      </c>
      <c r="K60" s="345">
        <f t="shared" ref="K60" si="7">J60</f>
        <v>568633.22786459944</v>
      </c>
      <c r="L60" s="345">
        <f t="shared" si="4"/>
        <v>568633.22786459944</v>
      </c>
      <c r="M60" s="345">
        <f t="shared" si="4"/>
        <v>568633.22786459944</v>
      </c>
      <c r="N60" s="345">
        <f t="shared" si="4"/>
        <v>568633.22786459944</v>
      </c>
      <c r="O60" s="345">
        <f t="shared" si="4"/>
        <v>568633.22786459944</v>
      </c>
      <c r="P60" s="345">
        <f t="shared" si="4"/>
        <v>568633.22786459944</v>
      </c>
      <c r="Q60" s="345">
        <f t="shared" si="4"/>
        <v>568633.22786459944</v>
      </c>
      <c r="R60" s="345">
        <f t="shared" si="4"/>
        <v>568633.22786459944</v>
      </c>
      <c r="S60" s="345">
        <f t="shared" si="4"/>
        <v>568633.22786459944</v>
      </c>
      <c r="T60" s="345">
        <f>H60</f>
        <v>624647.8443408137</v>
      </c>
      <c r="U60" s="345">
        <f>G60</f>
        <v>680662.46081702795</v>
      </c>
      <c r="V60" s="345">
        <f>F60</f>
        <v>736677.07729324221</v>
      </c>
      <c r="W60" s="345">
        <f>E60</f>
        <v>792691.69376945647</v>
      </c>
      <c r="X60" s="345">
        <f>E20</f>
        <v>848706.31024567073</v>
      </c>
    </row>
    <row r="63" spans="2:25" s="338" customFormat="1" x14ac:dyDescent="0.2">
      <c r="B63" s="339" t="str">
        <f>Assumptions!C$17&amp;" - "&amp;Assumptions!E$17</f>
        <v>Option 4 - Targeted installation of EFD on SWER lines</v>
      </c>
      <c r="D63" s="340"/>
    </row>
    <row r="65" spans="3:25" x14ac:dyDescent="0.2">
      <c r="C65" s="372" t="s">
        <v>278</v>
      </c>
      <c r="D65" s="359"/>
    </row>
    <row r="66" spans="3:25" x14ac:dyDescent="0.2">
      <c r="C66" s="12" t="s">
        <v>292</v>
      </c>
      <c r="E66" s="361">
        <v>906637.41363215924</v>
      </c>
      <c r="F66" s="1" t="s">
        <v>298</v>
      </c>
    </row>
    <row r="67" spans="3:25" x14ac:dyDescent="0.2">
      <c r="C67" s="12" t="s">
        <v>280</v>
      </c>
      <c r="E67" s="345">
        <f>$E$13-E66</f>
        <v>13882530.832462069</v>
      </c>
      <c r="F67" s="1" t="s">
        <v>298</v>
      </c>
      <c r="G67" s="345"/>
    </row>
    <row r="68" spans="3:25" x14ac:dyDescent="0.2">
      <c r="D68" s="2"/>
      <c r="E68" s="345"/>
    </row>
    <row r="69" spans="3:25" x14ac:dyDescent="0.2">
      <c r="C69" s="372" t="s">
        <v>233</v>
      </c>
      <c r="E69" s="345"/>
    </row>
    <row r="70" spans="3:25" x14ac:dyDescent="0.2">
      <c r="C70" s="12" t="s">
        <v>289</v>
      </c>
      <c r="E70" s="367">
        <f>E48</f>
        <v>0.33</v>
      </c>
      <c r="G70" s="231"/>
    </row>
    <row r="71" spans="3:25" x14ac:dyDescent="0.2">
      <c r="C71" s="12" t="s">
        <v>309</v>
      </c>
      <c r="E71" s="366">
        <f>E15*E70</f>
        <v>13.256642324091038</v>
      </c>
      <c r="F71" s="1" t="s">
        <v>296</v>
      </c>
    </row>
    <row r="72" spans="3:25" x14ac:dyDescent="0.2">
      <c r="C72" s="12" t="s">
        <v>310</v>
      </c>
      <c r="E72" s="368">
        <f>Workings_costs!E51</f>
        <v>2107</v>
      </c>
      <c r="F72" s="1" t="s">
        <v>251</v>
      </c>
    </row>
    <row r="73" spans="3:25" x14ac:dyDescent="0.2">
      <c r="C73" s="12" t="s">
        <v>290</v>
      </c>
      <c r="E73" s="361">
        <f>E71*E72</f>
        <v>27931.745376859817</v>
      </c>
      <c r="F73" s="1" t="s">
        <v>298</v>
      </c>
    </row>
    <row r="74" spans="3:25" x14ac:dyDescent="0.2">
      <c r="C74" s="12"/>
    </row>
    <row r="75" spans="3:25" x14ac:dyDescent="0.2">
      <c r="C75" s="12" t="s">
        <v>252</v>
      </c>
      <c r="E75" s="374">
        <f>Workings_costs!E57</f>
        <v>2</v>
      </c>
      <c r="F75" s="1" t="s">
        <v>297</v>
      </c>
    </row>
    <row r="76" spans="3:25" x14ac:dyDescent="0.2">
      <c r="C76" s="12" t="s">
        <v>282</v>
      </c>
      <c r="E76" s="345">
        <f>$E$66/$E$102</f>
        <v>453318.70681607962</v>
      </c>
      <c r="F76" s="1" t="s">
        <v>298</v>
      </c>
    </row>
    <row r="77" spans="3:25" x14ac:dyDescent="0.2">
      <c r="C77" s="12" t="s">
        <v>283</v>
      </c>
      <c r="E77" s="345">
        <f>$E$73/$E$102</f>
        <v>13965.872688429909</v>
      </c>
      <c r="F77" s="1" t="s">
        <v>298</v>
      </c>
    </row>
    <row r="78" spans="3:25" x14ac:dyDescent="0.2">
      <c r="C78" s="12"/>
    </row>
    <row r="79" spans="3:25" ht="13.5" customHeight="1" x14ac:dyDescent="0.2">
      <c r="C79" s="12"/>
      <c r="E79" s="387" t="s">
        <v>284</v>
      </c>
      <c r="F79" s="388"/>
      <c r="G79" s="389" t="s">
        <v>291</v>
      </c>
      <c r="H79" s="390"/>
      <c r="I79" s="390"/>
      <c r="J79" s="390"/>
      <c r="K79" s="390"/>
      <c r="L79" s="390"/>
      <c r="M79" s="390"/>
      <c r="N79" s="390"/>
      <c r="O79" s="390"/>
      <c r="P79" s="390"/>
      <c r="Q79" s="390"/>
      <c r="R79" s="390"/>
      <c r="S79" s="390"/>
      <c r="T79" s="390"/>
      <c r="U79" s="391"/>
      <c r="V79" s="110"/>
      <c r="W79" s="110"/>
      <c r="X79" s="369"/>
    </row>
    <row r="80" spans="3:25" x14ac:dyDescent="0.2">
      <c r="C80" s="12"/>
      <c r="E80" s="363" t="s">
        <v>19</v>
      </c>
      <c r="F80" s="364" t="s">
        <v>21</v>
      </c>
      <c r="G80" s="363" t="s">
        <v>20</v>
      </c>
      <c r="H80" s="344" t="s">
        <v>22</v>
      </c>
      <c r="I80" s="344" t="s">
        <v>93</v>
      </c>
      <c r="J80" s="344" t="str">
        <f t="shared" ref="J80:X80" si="8">LEFT(I80,4)+1&amp;"-"&amp;RIGHT(I80,2)+1</f>
        <v>2031-32</v>
      </c>
      <c r="K80" s="344" t="str">
        <f t="shared" si="8"/>
        <v>2032-33</v>
      </c>
      <c r="L80" s="344" t="str">
        <f t="shared" si="8"/>
        <v>2033-34</v>
      </c>
      <c r="M80" s="344" t="str">
        <f t="shared" si="8"/>
        <v>2034-35</v>
      </c>
      <c r="N80" s="344" t="str">
        <f t="shared" si="8"/>
        <v>2035-36</v>
      </c>
      <c r="O80" s="344" t="str">
        <f t="shared" si="8"/>
        <v>2036-37</v>
      </c>
      <c r="P80" s="344" t="str">
        <f t="shared" si="8"/>
        <v>2037-38</v>
      </c>
      <c r="Q80" s="344" t="str">
        <f t="shared" si="8"/>
        <v>2038-39</v>
      </c>
      <c r="R80" s="344" t="str">
        <f t="shared" si="8"/>
        <v>2039-40</v>
      </c>
      <c r="S80" s="344" t="str">
        <f t="shared" si="8"/>
        <v>2040-41</v>
      </c>
      <c r="T80" s="344" t="str">
        <f t="shared" si="8"/>
        <v>2041-42</v>
      </c>
      <c r="U80" s="364" t="str">
        <f t="shared" si="8"/>
        <v>2042-43</v>
      </c>
      <c r="V80" s="344" t="str">
        <f t="shared" si="8"/>
        <v>2043-44</v>
      </c>
      <c r="W80" s="344" t="str">
        <f t="shared" si="8"/>
        <v>2044-45</v>
      </c>
      <c r="X80" s="364" t="str">
        <f t="shared" si="8"/>
        <v>2045-46</v>
      </c>
      <c r="Y80" s="2"/>
    </row>
    <row r="81" spans="2:25" x14ac:dyDescent="0.2">
      <c r="C81" s="12" t="s">
        <v>286</v>
      </c>
      <c r="E81" s="345">
        <f>$E$13-$E$76</f>
        <v>14335849.53927815</v>
      </c>
      <c r="F81" s="345">
        <f>E81-E76</f>
        <v>13882530.832462071</v>
      </c>
      <c r="G81" s="345">
        <f>F81</f>
        <v>13882530.832462071</v>
      </c>
      <c r="H81" s="345">
        <f t="shared" ref="H81:S82" si="9">G81</f>
        <v>13882530.832462071</v>
      </c>
      <c r="I81" s="345">
        <f t="shared" si="9"/>
        <v>13882530.832462071</v>
      </c>
      <c r="J81" s="345">
        <f t="shared" si="9"/>
        <v>13882530.832462071</v>
      </c>
      <c r="K81" s="345">
        <f t="shared" si="9"/>
        <v>13882530.832462071</v>
      </c>
      <c r="L81" s="345">
        <f t="shared" si="9"/>
        <v>13882530.832462071</v>
      </c>
      <c r="M81" s="345">
        <f t="shared" si="9"/>
        <v>13882530.832462071</v>
      </c>
      <c r="N81" s="345">
        <f t="shared" si="9"/>
        <v>13882530.832462071</v>
      </c>
      <c r="O81" s="345">
        <f t="shared" si="9"/>
        <v>13882530.832462071</v>
      </c>
      <c r="P81" s="345">
        <f t="shared" si="9"/>
        <v>13882530.832462071</v>
      </c>
      <c r="Q81" s="345">
        <f t="shared" si="9"/>
        <v>13882530.832462071</v>
      </c>
      <c r="R81" s="345">
        <f t="shared" si="9"/>
        <v>13882530.832462071</v>
      </c>
      <c r="S81" s="345">
        <f t="shared" si="9"/>
        <v>13882530.832462071</v>
      </c>
      <c r="T81" s="345">
        <f>S81+$E$88/$E$102</f>
        <v>14335849.53927815</v>
      </c>
      <c r="U81" s="345">
        <f>T81+$E$88/$E$102</f>
        <v>14789168.246094229</v>
      </c>
      <c r="V81" s="345">
        <f>U81</f>
        <v>14789168.246094229</v>
      </c>
      <c r="W81" s="345">
        <f t="shared" ref="W81:X82" si="10">V81</f>
        <v>14789168.246094229</v>
      </c>
      <c r="X81" s="345">
        <f t="shared" si="10"/>
        <v>14789168.246094229</v>
      </c>
      <c r="Y81" s="345"/>
    </row>
    <row r="82" spans="2:25" x14ac:dyDescent="0.2">
      <c r="C82" s="12" t="s">
        <v>287</v>
      </c>
      <c r="E82" s="345">
        <f>E20-E77</f>
        <v>834740.43755724083</v>
      </c>
      <c r="F82" s="345">
        <f>E82-E77</f>
        <v>820774.56486881094</v>
      </c>
      <c r="G82" s="345">
        <f>F82</f>
        <v>820774.56486881094</v>
      </c>
      <c r="H82" s="345">
        <f t="shared" si="9"/>
        <v>820774.56486881094</v>
      </c>
      <c r="I82" s="345">
        <f t="shared" si="9"/>
        <v>820774.56486881094</v>
      </c>
      <c r="J82" s="345">
        <f t="shared" si="9"/>
        <v>820774.56486881094</v>
      </c>
      <c r="K82" s="345">
        <f t="shared" si="9"/>
        <v>820774.56486881094</v>
      </c>
      <c r="L82" s="345">
        <f t="shared" si="9"/>
        <v>820774.56486881094</v>
      </c>
      <c r="M82" s="345">
        <f t="shared" si="9"/>
        <v>820774.56486881094</v>
      </c>
      <c r="N82" s="345">
        <f t="shared" si="9"/>
        <v>820774.56486881094</v>
      </c>
      <c r="O82" s="345">
        <f t="shared" si="9"/>
        <v>820774.56486881094</v>
      </c>
      <c r="P82" s="345">
        <f t="shared" si="9"/>
        <v>820774.56486881094</v>
      </c>
      <c r="Q82" s="345">
        <f t="shared" si="9"/>
        <v>820774.56486881094</v>
      </c>
      <c r="R82" s="345">
        <f t="shared" si="9"/>
        <v>820774.56486881094</v>
      </c>
      <c r="S82" s="345">
        <f t="shared" si="9"/>
        <v>820774.56486881094</v>
      </c>
      <c r="T82" s="345">
        <f>S82+$E$77</f>
        <v>834740.43755724083</v>
      </c>
      <c r="U82" s="345">
        <f>T82+$E$77</f>
        <v>848706.31024567073</v>
      </c>
      <c r="V82" s="345">
        <f>U82</f>
        <v>848706.31024567073</v>
      </c>
      <c r="W82" s="345">
        <f t="shared" si="10"/>
        <v>848706.31024567073</v>
      </c>
      <c r="X82" s="345">
        <f t="shared" si="10"/>
        <v>848706.31024567073</v>
      </c>
    </row>
    <row r="85" spans="2:25" s="338" customFormat="1" x14ac:dyDescent="0.2">
      <c r="B85" s="339" t="str">
        <f>Assumptions!C$18&amp;" - "&amp;Assumptions!E$18</f>
        <v>Option 5 - Targeted installation of covered conductor and EFD on SWER lines</v>
      </c>
      <c r="D85" s="340"/>
    </row>
    <row r="87" spans="2:25" x14ac:dyDescent="0.2">
      <c r="C87" s="372" t="s">
        <v>278</v>
      </c>
    </row>
    <row r="88" spans="2:25" x14ac:dyDescent="0.2">
      <c r="C88" s="12" t="s">
        <v>292</v>
      </c>
      <c r="E88" s="361">
        <f>E66</f>
        <v>906637.41363215924</v>
      </c>
      <c r="F88" s="1" t="s">
        <v>298</v>
      </c>
    </row>
    <row r="89" spans="2:25" x14ac:dyDescent="0.2">
      <c r="C89" s="12" t="s">
        <v>308</v>
      </c>
      <c r="E89" s="345">
        <v>338854.66899341071</v>
      </c>
      <c r="F89" s="1" t="s">
        <v>298</v>
      </c>
    </row>
    <row r="90" spans="2:25" x14ac:dyDescent="0.2">
      <c r="C90" s="12" t="s">
        <v>293</v>
      </c>
      <c r="E90" s="345">
        <f>E89+E88</f>
        <v>1245492.08262557</v>
      </c>
      <c r="F90" s="1" t="s">
        <v>298</v>
      </c>
    </row>
    <row r="91" spans="2:25" x14ac:dyDescent="0.2">
      <c r="C91" s="12" t="s">
        <v>280</v>
      </c>
      <c r="E91" s="345">
        <f>$E$13-$E$90</f>
        <v>13543676.163468659</v>
      </c>
      <c r="F91" s="1" t="s">
        <v>298</v>
      </c>
      <c r="G91" s="345"/>
    </row>
    <row r="92" spans="2:25" x14ac:dyDescent="0.2">
      <c r="C92" s="12"/>
      <c r="E92" s="345"/>
    </row>
    <row r="93" spans="2:25" x14ac:dyDescent="0.2">
      <c r="C93" s="372" t="s">
        <v>233</v>
      </c>
      <c r="E93" s="345"/>
    </row>
    <row r="94" spans="2:25" x14ac:dyDescent="0.2">
      <c r="C94" s="12" t="s">
        <v>289</v>
      </c>
      <c r="E94" s="367">
        <f>E48</f>
        <v>0.33</v>
      </c>
      <c r="G94" s="231"/>
    </row>
    <row r="95" spans="2:25" x14ac:dyDescent="0.2">
      <c r="C95" s="12" t="s">
        <v>311</v>
      </c>
      <c r="E95" s="366">
        <f>E15*E94</f>
        <v>13.256642324091038</v>
      </c>
      <c r="F95" s="1" t="s">
        <v>257</v>
      </c>
    </row>
    <row r="96" spans="2:25" x14ac:dyDescent="0.2">
      <c r="C96" s="12" t="s">
        <v>312</v>
      </c>
      <c r="E96" s="368">
        <f>Workings_costs!E69</f>
        <v>2107</v>
      </c>
      <c r="F96" s="1" t="s">
        <v>251</v>
      </c>
    </row>
    <row r="97" spans="3:25" x14ac:dyDescent="0.2">
      <c r="C97" s="12" t="s">
        <v>290</v>
      </c>
      <c r="E97" s="345">
        <f>E96*E95</f>
        <v>27931.745376859817</v>
      </c>
      <c r="F97" s="1" t="s">
        <v>298</v>
      </c>
    </row>
    <row r="98" spans="3:25" x14ac:dyDescent="0.2">
      <c r="C98" s="12" t="s">
        <v>313</v>
      </c>
      <c r="E98" s="368">
        <f>Workings_costs!E75</f>
        <v>76</v>
      </c>
      <c r="F98" s="1" t="s">
        <v>251</v>
      </c>
    </row>
    <row r="99" spans="3:25" x14ac:dyDescent="0.2">
      <c r="C99" s="373" t="s">
        <v>294</v>
      </c>
      <c r="E99" s="345">
        <f>E98*E15</f>
        <v>3053.0448988815724</v>
      </c>
      <c r="F99" s="1" t="s">
        <v>298</v>
      </c>
    </row>
    <row r="100" spans="3:25" x14ac:dyDescent="0.2">
      <c r="C100" s="12" t="s">
        <v>295</v>
      </c>
      <c r="E100" s="345">
        <f>E20-E97-E99</f>
        <v>817721.51996992936</v>
      </c>
      <c r="F100" s="1" t="s">
        <v>298</v>
      </c>
      <c r="G100" s="345"/>
    </row>
    <row r="101" spans="3:25" x14ac:dyDescent="0.2">
      <c r="C101" s="12"/>
    </row>
    <row r="102" spans="3:25" x14ac:dyDescent="0.2">
      <c r="C102" s="12" t="s">
        <v>252</v>
      </c>
      <c r="E102" s="374">
        <f>Workings_costs!E81</f>
        <v>2</v>
      </c>
      <c r="F102" s="1" t="s">
        <v>297</v>
      </c>
    </row>
    <row r="103" spans="3:25" x14ac:dyDescent="0.2">
      <c r="C103" s="12" t="s">
        <v>282</v>
      </c>
      <c r="E103" s="345">
        <f>E90/$E$102</f>
        <v>622746.041312785</v>
      </c>
      <c r="F103" s="1" t="s">
        <v>298</v>
      </c>
    </row>
    <row r="104" spans="3:25" x14ac:dyDescent="0.2">
      <c r="C104" s="12" t="s">
        <v>283</v>
      </c>
      <c r="E104" s="345">
        <f>(E97+E99)/$E$102</f>
        <v>15492.395137870695</v>
      </c>
      <c r="F104" s="1" t="s">
        <v>298</v>
      </c>
    </row>
    <row r="105" spans="3:25" x14ac:dyDescent="0.2">
      <c r="C105" s="12"/>
    </row>
    <row r="106" spans="3:25" ht="13.5" customHeight="1" x14ac:dyDescent="0.2">
      <c r="C106" s="12"/>
      <c r="E106" s="387" t="s">
        <v>284</v>
      </c>
      <c r="F106" s="388"/>
      <c r="G106" s="389" t="s">
        <v>291</v>
      </c>
      <c r="H106" s="390"/>
      <c r="I106" s="390"/>
      <c r="J106" s="390"/>
      <c r="K106" s="390"/>
      <c r="L106" s="390"/>
      <c r="M106" s="390"/>
      <c r="N106" s="390"/>
      <c r="O106" s="390"/>
      <c r="P106" s="390"/>
      <c r="Q106" s="390"/>
      <c r="R106" s="390"/>
      <c r="S106" s="390"/>
      <c r="T106" s="390"/>
      <c r="U106" s="391"/>
      <c r="V106" s="110"/>
      <c r="W106" s="110"/>
      <c r="X106" s="369"/>
    </row>
    <row r="107" spans="3:25" x14ac:dyDescent="0.2">
      <c r="C107" s="12"/>
      <c r="E107" s="363" t="s">
        <v>19</v>
      </c>
      <c r="F107" s="364" t="s">
        <v>21</v>
      </c>
      <c r="G107" s="363" t="s">
        <v>20</v>
      </c>
      <c r="H107" s="344" t="s">
        <v>22</v>
      </c>
      <c r="I107" s="344" t="s">
        <v>93</v>
      </c>
      <c r="J107" s="344" t="str">
        <f t="shared" ref="J107:X107" si="11">LEFT(I107,4)+1&amp;"-"&amp;RIGHT(I107,2)+1</f>
        <v>2031-32</v>
      </c>
      <c r="K107" s="344" t="str">
        <f t="shared" si="11"/>
        <v>2032-33</v>
      </c>
      <c r="L107" s="344" t="str">
        <f t="shared" si="11"/>
        <v>2033-34</v>
      </c>
      <c r="M107" s="344" t="str">
        <f t="shared" si="11"/>
        <v>2034-35</v>
      </c>
      <c r="N107" s="344" t="str">
        <f t="shared" si="11"/>
        <v>2035-36</v>
      </c>
      <c r="O107" s="344" t="str">
        <f t="shared" si="11"/>
        <v>2036-37</v>
      </c>
      <c r="P107" s="344" t="str">
        <f t="shared" si="11"/>
        <v>2037-38</v>
      </c>
      <c r="Q107" s="344" t="str">
        <f t="shared" si="11"/>
        <v>2038-39</v>
      </c>
      <c r="R107" s="344" t="str">
        <f t="shared" si="11"/>
        <v>2039-40</v>
      </c>
      <c r="S107" s="344" t="str">
        <f t="shared" si="11"/>
        <v>2040-41</v>
      </c>
      <c r="T107" s="344" t="str">
        <f t="shared" si="11"/>
        <v>2041-42</v>
      </c>
      <c r="U107" s="364" t="str">
        <f t="shared" si="11"/>
        <v>2042-43</v>
      </c>
      <c r="V107" s="344" t="str">
        <f t="shared" si="11"/>
        <v>2043-44</v>
      </c>
      <c r="W107" s="344" t="str">
        <f t="shared" si="11"/>
        <v>2044-45</v>
      </c>
      <c r="X107" s="364" t="str">
        <f t="shared" si="11"/>
        <v>2045-46</v>
      </c>
      <c r="Y107" s="2"/>
    </row>
    <row r="108" spans="3:25" x14ac:dyDescent="0.2">
      <c r="C108" s="12" t="s">
        <v>286</v>
      </c>
      <c r="E108" s="345">
        <f>$E$13-$E$103</f>
        <v>14166422.204781443</v>
      </c>
      <c r="F108" s="345">
        <f>E108-$E$103</f>
        <v>13543676.163468657</v>
      </c>
      <c r="G108" s="345">
        <f>F108</f>
        <v>13543676.163468657</v>
      </c>
      <c r="H108" s="345">
        <f t="shared" ref="H108:S109" si="12">G108</f>
        <v>13543676.163468657</v>
      </c>
      <c r="I108" s="345">
        <f t="shared" si="12"/>
        <v>13543676.163468657</v>
      </c>
      <c r="J108" s="345">
        <f t="shared" si="12"/>
        <v>13543676.163468657</v>
      </c>
      <c r="K108" s="345">
        <f t="shared" si="12"/>
        <v>13543676.163468657</v>
      </c>
      <c r="L108" s="345">
        <f t="shared" si="12"/>
        <v>13543676.163468657</v>
      </c>
      <c r="M108" s="345">
        <f t="shared" si="12"/>
        <v>13543676.163468657</v>
      </c>
      <c r="N108" s="345">
        <f t="shared" si="12"/>
        <v>13543676.163468657</v>
      </c>
      <c r="O108" s="345">
        <f t="shared" si="12"/>
        <v>13543676.163468657</v>
      </c>
      <c r="P108" s="345">
        <f t="shared" si="12"/>
        <v>13543676.163468657</v>
      </c>
      <c r="Q108" s="345">
        <f t="shared" si="12"/>
        <v>13543676.163468657</v>
      </c>
      <c r="R108" s="345">
        <f t="shared" si="12"/>
        <v>13543676.163468657</v>
      </c>
      <c r="S108" s="345">
        <f t="shared" si="12"/>
        <v>13543676.163468657</v>
      </c>
      <c r="T108" s="345">
        <f>S108+$E$88/$E$102</f>
        <v>13996994.870284736</v>
      </c>
      <c r="U108" s="345">
        <f>T108+$E$88/$E$102</f>
        <v>14450313.577100815</v>
      </c>
      <c r="V108" s="345">
        <f>U108</f>
        <v>14450313.577100815</v>
      </c>
      <c r="W108" s="345">
        <f t="shared" ref="W108:X109" si="13">V108</f>
        <v>14450313.577100815</v>
      </c>
      <c r="X108" s="345">
        <f t="shared" si="13"/>
        <v>14450313.577100815</v>
      </c>
      <c r="Y108" s="345"/>
    </row>
    <row r="109" spans="3:25" x14ac:dyDescent="0.2">
      <c r="C109" s="12" t="s">
        <v>287</v>
      </c>
      <c r="E109" s="345">
        <f>E20-E104</f>
        <v>833213.91510780004</v>
      </c>
      <c r="F109" s="345">
        <f>E109-E104</f>
        <v>817721.51996992936</v>
      </c>
      <c r="G109" s="345">
        <f>F109</f>
        <v>817721.51996992936</v>
      </c>
      <c r="H109" s="345">
        <f t="shared" si="12"/>
        <v>817721.51996992936</v>
      </c>
      <c r="I109" s="345">
        <f t="shared" si="12"/>
        <v>817721.51996992936</v>
      </c>
      <c r="J109" s="345">
        <f t="shared" si="12"/>
        <v>817721.51996992936</v>
      </c>
      <c r="K109" s="345">
        <f t="shared" si="12"/>
        <v>817721.51996992936</v>
      </c>
      <c r="L109" s="345">
        <f t="shared" si="12"/>
        <v>817721.51996992936</v>
      </c>
      <c r="M109" s="345">
        <f t="shared" si="12"/>
        <v>817721.51996992936</v>
      </c>
      <c r="N109" s="345">
        <f t="shared" si="12"/>
        <v>817721.51996992936</v>
      </c>
      <c r="O109" s="345">
        <f t="shared" si="12"/>
        <v>817721.51996992936</v>
      </c>
      <c r="P109" s="345">
        <f t="shared" si="12"/>
        <v>817721.51996992936</v>
      </c>
      <c r="Q109" s="345">
        <f t="shared" si="12"/>
        <v>817721.51996992936</v>
      </c>
      <c r="R109" s="345">
        <f t="shared" si="12"/>
        <v>817721.51996992936</v>
      </c>
      <c r="S109" s="345">
        <f t="shared" si="12"/>
        <v>817721.51996992936</v>
      </c>
      <c r="T109" s="345">
        <f>S109+$E$97/2</f>
        <v>831687.39265835925</v>
      </c>
      <c r="U109" s="345">
        <f>T109+$E$97/2</f>
        <v>845653.26534678915</v>
      </c>
      <c r="V109" s="345">
        <f>U109</f>
        <v>845653.26534678915</v>
      </c>
      <c r="W109" s="345">
        <f t="shared" si="13"/>
        <v>845653.26534678915</v>
      </c>
      <c r="X109" s="345">
        <f t="shared" si="13"/>
        <v>845653.26534678915</v>
      </c>
    </row>
    <row r="110" spans="3:25" x14ac:dyDescent="0.2">
      <c r="C110" s="12"/>
    </row>
    <row r="111" spans="3:25" x14ac:dyDescent="0.2">
      <c r="C111" s="12"/>
    </row>
    <row r="112" spans="3:25" x14ac:dyDescent="0.2">
      <c r="C112" s="12"/>
    </row>
    <row r="113" spans="3:3" x14ac:dyDescent="0.2">
      <c r="C113" s="12"/>
    </row>
    <row r="114" spans="3:3" x14ac:dyDescent="0.2">
      <c r="C114" s="12"/>
    </row>
    <row r="115" spans="3:3" x14ac:dyDescent="0.2">
      <c r="C115" s="12"/>
    </row>
    <row r="116" spans="3:3" x14ac:dyDescent="0.2">
      <c r="C116" s="12"/>
    </row>
    <row r="117" spans="3:3" x14ac:dyDescent="0.2">
      <c r="C117" s="12"/>
    </row>
    <row r="118" spans="3:3" x14ac:dyDescent="0.2">
      <c r="C118" s="12"/>
    </row>
    <row r="119" spans="3:3" x14ac:dyDescent="0.2">
      <c r="C119" s="12"/>
    </row>
    <row r="120" spans="3:3" x14ac:dyDescent="0.2">
      <c r="C120" s="12"/>
    </row>
    <row r="121" spans="3:3" x14ac:dyDescent="0.2">
      <c r="C121" s="12"/>
    </row>
    <row r="122" spans="3:3" x14ac:dyDescent="0.2">
      <c r="C122" s="12"/>
    </row>
  </sheetData>
  <mergeCells count="8">
    <mergeCell ref="E106:F106"/>
    <mergeCell ref="G106:U106"/>
    <mergeCell ref="E36:I36"/>
    <mergeCell ref="J36:X36"/>
    <mergeCell ref="E57:I57"/>
    <mergeCell ref="J57:X57"/>
    <mergeCell ref="E79:F79"/>
    <mergeCell ref="G79:U79"/>
  </mergeCells>
  <pageMargins left="0.7" right="0.7" top="0.75" bottom="0.75" header="0.3" footer="0.3"/>
  <pageSetup paperSize="9" orientation="portrait" horizontalDpi="1200" verticalDpi="1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5BE28-7759-4AD8-93D9-96655D9E0FC5}">
  <sheetPr codeName="Sheet8">
    <tabColor rgb="FFFFFFCC"/>
  </sheetPr>
  <dimension ref="A1:AH76"/>
  <sheetViews>
    <sheetView showGridLines="0" zoomScale="70" zoomScaleNormal="70" workbookViewId="0"/>
  </sheetViews>
  <sheetFormatPr defaultRowHeight="12.75" x14ac:dyDescent="0.2"/>
  <cols>
    <col min="2" max="2" width="21.375" customWidth="1"/>
    <col min="3" max="3" width="20.5" customWidth="1"/>
    <col min="4" max="4" width="14.5" style="49" customWidth="1"/>
    <col min="5" max="5" width="14.5" customWidth="1"/>
    <col min="8" max="11" width="14.375" customWidth="1"/>
    <col min="12" max="12" width="15.75" customWidth="1"/>
    <col min="13" max="18" width="14.375" customWidth="1"/>
  </cols>
  <sheetData>
    <row r="1" spans="1:23" ht="18.75" x14ac:dyDescent="0.3">
      <c r="A1" s="15" t="str">
        <f>bus</f>
        <v>Powercor</v>
      </c>
      <c r="B1" s="15"/>
      <c r="C1" s="15"/>
      <c r="D1" s="48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23" ht="18.75" x14ac:dyDescent="0.3">
      <c r="A2" s="56" t="str">
        <f>proj</f>
        <v>Minimise bushfire risk from SWER in ELCA, REFCL and HBRA areas</v>
      </c>
      <c r="B2" s="15"/>
      <c r="C2" s="15"/>
      <c r="D2" s="48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spans="1:23" ht="15.75" x14ac:dyDescent="0.25">
      <c r="A3" s="5"/>
    </row>
    <row r="4" spans="1:23" s="1" customFormat="1" ht="15" x14ac:dyDescent="0.2">
      <c r="A4" s="18" t="s">
        <v>199</v>
      </c>
      <c r="B4" s="18"/>
      <c r="C4" s="16"/>
      <c r="D4" s="16"/>
      <c r="E4" s="16"/>
      <c r="F4" s="16"/>
      <c r="G4" s="16"/>
      <c r="H4" s="16"/>
      <c r="I4" s="16"/>
      <c r="J4" s="16"/>
      <c r="K4" s="16"/>
      <c r="L4" s="16"/>
      <c r="M4" s="17"/>
      <c r="N4" s="17"/>
      <c r="O4" s="17"/>
      <c r="P4" s="17"/>
      <c r="Q4" s="17"/>
      <c r="R4" s="17"/>
    </row>
    <row r="5" spans="1:23" s="1" customFormat="1" x14ac:dyDescent="0.2"/>
    <row r="6" spans="1:23" s="1" customFormat="1" x14ac:dyDescent="0.2">
      <c r="B6" s="77" t="s">
        <v>128</v>
      </c>
      <c r="C6" s="77"/>
      <c r="D6" s="50"/>
      <c r="E6" s="30"/>
      <c r="F6" s="46"/>
      <c r="G6" s="30"/>
      <c r="H6" s="47">
        <v>44377</v>
      </c>
      <c r="I6" s="45">
        <f>IF(EOMONTH(H6,12)&gt;output_dollars, output_dollars, EOMONTH(H6,12))</f>
        <v>44742</v>
      </c>
      <c r="J6" s="45">
        <f>IF(EOMONTH(I6,12)&gt;output_dollars, output_dollars, EOMONTH(I6,12))</f>
        <v>45107</v>
      </c>
      <c r="K6" s="45">
        <f>IF(EOMONTH(J6,12)&gt;output_dollars, output_dollars, EOMONTH(J6,12))</f>
        <v>45473</v>
      </c>
      <c r="L6" s="45">
        <f>IF(EOMONTH(K6,12)&gt;output_dollars, output_dollars, EOMONTH(K6,12))</f>
        <v>45838</v>
      </c>
      <c r="M6" s="45">
        <f>IF(EOMONTH(L6,12)&gt;output_dollars, output_dollars, EOMONTH(L6,12))</f>
        <v>46203</v>
      </c>
    </row>
    <row r="7" spans="1:23" s="22" customFormat="1" x14ac:dyDescent="0.2">
      <c r="D7" s="51"/>
      <c r="N7" s="1"/>
      <c r="O7"/>
      <c r="P7"/>
      <c r="Q7"/>
      <c r="R7"/>
      <c r="S7"/>
      <c r="T7"/>
      <c r="U7"/>
      <c r="V7"/>
      <c r="W7"/>
    </row>
    <row r="8" spans="1:23" s="22" customFormat="1" x14ac:dyDescent="0.2">
      <c r="B8" s="22" t="s">
        <v>35</v>
      </c>
      <c r="D8" s="51"/>
      <c r="H8" s="40">
        <v>0</v>
      </c>
      <c r="I8" s="40">
        <v>8.6058519793459354E-3</v>
      </c>
      <c r="J8" s="40">
        <v>3.4982935153583528E-2</v>
      </c>
      <c r="K8" s="40">
        <v>7.8318219291014124E-2</v>
      </c>
      <c r="L8" s="40">
        <v>4.0519877675840865E-2</v>
      </c>
      <c r="M8" s="40">
        <v>0.03</v>
      </c>
      <c r="N8" s="1"/>
      <c r="O8"/>
      <c r="P8"/>
      <c r="Q8"/>
      <c r="R8"/>
      <c r="S8"/>
      <c r="T8"/>
      <c r="U8"/>
      <c r="V8"/>
      <c r="W8"/>
    </row>
    <row r="9" spans="1:23" s="1" customFormat="1" x14ac:dyDescent="0.2">
      <c r="D9" s="12"/>
      <c r="O9"/>
      <c r="P9"/>
      <c r="Q9"/>
      <c r="R9"/>
      <c r="S9"/>
      <c r="T9"/>
      <c r="U9"/>
      <c r="V9"/>
      <c r="W9"/>
    </row>
    <row r="10" spans="1:23" s="1" customFormat="1" x14ac:dyDescent="0.2">
      <c r="D10" s="12"/>
      <c r="K10" s="64"/>
      <c r="L10" s="64"/>
      <c r="M10" s="64"/>
      <c r="O10"/>
      <c r="P10"/>
      <c r="Q10"/>
      <c r="R10"/>
      <c r="S10"/>
      <c r="T10"/>
      <c r="U10"/>
      <c r="V10"/>
      <c r="W10"/>
    </row>
    <row r="11" spans="1:23" s="1" customFormat="1" x14ac:dyDescent="0.2">
      <c r="A11"/>
      <c r="B11" s="22" t="s">
        <v>74</v>
      </c>
      <c r="C11"/>
      <c r="D11"/>
      <c r="E11"/>
      <c r="F11"/>
      <c r="G11"/>
      <c r="H11" s="78">
        <f>H6</f>
        <v>44377</v>
      </c>
      <c r="I11" s="78">
        <f>EOMONTH(H11,6)</f>
        <v>44561</v>
      </c>
      <c r="J11" s="78">
        <f>EOMONTH(I11,6)</f>
        <v>44742</v>
      </c>
      <c r="K11" s="78">
        <f t="shared" ref="K11:Q11" si="0">EOMONTH(J11,6)</f>
        <v>44926</v>
      </c>
      <c r="L11" s="78">
        <f t="shared" si="0"/>
        <v>45107</v>
      </c>
      <c r="M11" s="78">
        <f t="shared" si="0"/>
        <v>45291</v>
      </c>
      <c r="N11" s="78">
        <f t="shared" si="0"/>
        <v>45473</v>
      </c>
      <c r="O11" s="78">
        <f t="shared" si="0"/>
        <v>45657</v>
      </c>
      <c r="P11" s="78">
        <f t="shared" si="0"/>
        <v>45838</v>
      </c>
      <c r="Q11" s="78">
        <f t="shared" si="0"/>
        <v>46022</v>
      </c>
      <c r="R11" s="78">
        <f>EOMONTH(Q11,6)</f>
        <v>46203</v>
      </c>
      <c r="S11"/>
      <c r="T11"/>
      <c r="U11"/>
      <c r="V11"/>
      <c r="W11"/>
    </row>
    <row r="12" spans="1:23" s="1" customFormat="1" x14ac:dyDescent="0.2">
      <c r="A12"/>
      <c r="B12" s="22" t="s">
        <v>75</v>
      </c>
      <c r="C12"/>
      <c r="D12"/>
      <c r="E12"/>
      <c r="F12"/>
      <c r="G12"/>
      <c r="H12" s="76">
        <f t="shared" ref="H12:R12" si="1">IF(MONTH(H11)=12, EOMONTH(H11,6), H11)</f>
        <v>44377</v>
      </c>
      <c r="I12" s="76">
        <f t="shared" si="1"/>
        <v>44742</v>
      </c>
      <c r="J12" s="76">
        <f t="shared" si="1"/>
        <v>44742</v>
      </c>
      <c r="K12" s="76">
        <f t="shared" si="1"/>
        <v>45107</v>
      </c>
      <c r="L12" s="76">
        <f t="shared" si="1"/>
        <v>45107</v>
      </c>
      <c r="M12" s="76">
        <f t="shared" si="1"/>
        <v>45473</v>
      </c>
      <c r="N12" s="76">
        <f t="shared" si="1"/>
        <v>45473</v>
      </c>
      <c r="O12" s="76">
        <f t="shared" si="1"/>
        <v>45838</v>
      </c>
      <c r="P12" s="76">
        <f t="shared" si="1"/>
        <v>45838</v>
      </c>
      <c r="Q12" s="76">
        <f t="shared" si="1"/>
        <v>46203</v>
      </c>
      <c r="R12" s="76">
        <f t="shared" si="1"/>
        <v>46203</v>
      </c>
      <c r="S12"/>
      <c r="T12"/>
      <c r="U12"/>
      <c r="V12"/>
      <c r="W12"/>
    </row>
    <row r="13" spans="1:23" s="1" customFormat="1" x14ac:dyDescent="0.2">
      <c r="A13"/>
      <c r="B13" s="22" t="s">
        <v>35</v>
      </c>
      <c r="C13"/>
      <c r="D13"/>
      <c r="E13"/>
      <c r="F13"/>
      <c r="G13"/>
      <c r="H13" s="79">
        <f t="shared" ref="H13:R13" si="2">IF(output_dollars&lt;H12,0,INDEX($H$8:$M$8,MATCH(H12,CY_years,0)))</f>
        <v>0</v>
      </c>
      <c r="I13" s="79">
        <f t="shared" si="2"/>
        <v>8.6058519793459354E-3</v>
      </c>
      <c r="J13" s="79">
        <f t="shared" si="2"/>
        <v>8.6058519793459354E-3</v>
      </c>
      <c r="K13" s="79">
        <f t="shared" si="2"/>
        <v>3.4982935153583528E-2</v>
      </c>
      <c r="L13" s="79">
        <f t="shared" si="2"/>
        <v>3.4982935153583528E-2</v>
      </c>
      <c r="M13" s="79">
        <f t="shared" si="2"/>
        <v>7.8318219291014124E-2</v>
      </c>
      <c r="N13" s="79">
        <f t="shared" si="2"/>
        <v>7.8318219291014124E-2</v>
      </c>
      <c r="O13" s="79">
        <f t="shared" si="2"/>
        <v>4.0519877675840865E-2</v>
      </c>
      <c r="P13" s="79">
        <f t="shared" si="2"/>
        <v>4.0519877675840865E-2</v>
      </c>
      <c r="Q13" s="79">
        <f t="shared" si="2"/>
        <v>0.03</v>
      </c>
      <c r="R13" s="79">
        <f t="shared" si="2"/>
        <v>0.03</v>
      </c>
      <c r="S13"/>
      <c r="T13"/>
      <c r="U13"/>
      <c r="V13"/>
      <c r="W13"/>
    </row>
    <row r="14" spans="1:23" s="1" customFormat="1" x14ac:dyDescent="0.2">
      <c r="A14"/>
      <c r="B14"/>
      <c r="C14"/>
      <c r="D14"/>
      <c r="E14"/>
      <c r="F14"/>
      <c r="G14"/>
      <c r="S14"/>
      <c r="T14"/>
      <c r="U14"/>
      <c r="V14"/>
      <c r="W14"/>
    </row>
    <row r="15" spans="1:23" s="22" customFormat="1" x14ac:dyDescent="0.2">
      <c r="A15"/>
      <c r="B15" s="22" t="s">
        <v>76</v>
      </c>
      <c r="C15"/>
      <c r="D15"/>
      <c r="E15"/>
      <c r="F15"/>
      <c r="G15"/>
      <c r="H15" s="42">
        <v>1</v>
      </c>
      <c r="I15" s="41">
        <f t="shared" ref="I15:R15" si="3">H15*(1+I$13)^0.5</f>
        <v>1.0042937080253693</v>
      </c>
      <c r="J15" s="41">
        <f t="shared" si="3"/>
        <v>1.0086058519793457</v>
      </c>
      <c r="K15" s="41">
        <f t="shared" si="3"/>
        <v>1.0260961975293987</v>
      </c>
      <c r="L15" s="41">
        <f t="shared" si="3"/>
        <v>1.0438898450946641</v>
      </c>
      <c r="M15" s="41">
        <f t="shared" si="3"/>
        <v>1.0839971599793141</v>
      </c>
      <c r="N15" s="41">
        <f t="shared" si="3"/>
        <v>1.1256454388984505</v>
      </c>
      <c r="O15" s="41">
        <f t="shared" si="3"/>
        <v>1.1482244927118261</v>
      </c>
      <c r="P15" s="41">
        <f t="shared" si="3"/>
        <v>1.1712564543889838</v>
      </c>
      <c r="Q15" s="41">
        <f t="shared" si="3"/>
        <v>1.1886954750508179</v>
      </c>
      <c r="R15" s="41">
        <f t="shared" si="3"/>
        <v>1.2063941480206535</v>
      </c>
      <c r="S15"/>
      <c r="T15"/>
      <c r="U15"/>
      <c r="V15"/>
      <c r="W15"/>
    </row>
    <row r="16" spans="1:23" s="22" customFormat="1" x14ac:dyDescent="0.2">
      <c r="A16"/>
      <c r="B16" s="80" t="s">
        <v>184</v>
      </c>
      <c r="C16" s="67">
        <f>input_dollars</f>
        <v>45291</v>
      </c>
      <c r="D16" s="41">
        <f>INDEX(hy_escalation, MATCH(C16,hy_dates,0))</f>
        <v>1.0839971599793141</v>
      </c>
      <c r="E16"/>
      <c r="F16"/>
      <c r="G16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/>
      <c r="T16"/>
      <c r="U16"/>
      <c r="V16"/>
      <c r="W16"/>
    </row>
    <row r="17" spans="1:34" s="22" customFormat="1" x14ac:dyDescent="0.2">
      <c r="A17"/>
      <c r="B17" s="80" t="s">
        <v>185</v>
      </c>
      <c r="C17" s="67">
        <f>output_dollars</f>
        <v>46203</v>
      </c>
      <c r="D17" s="41">
        <f>INDEX(hy_escalation, MATCH(C17,hy_dates,0))</f>
        <v>1.2063941480206535</v>
      </c>
      <c r="E17"/>
      <c r="F17"/>
      <c r="G17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/>
      <c r="T17"/>
      <c r="U17"/>
      <c r="V17"/>
      <c r="W17"/>
    </row>
    <row r="18" spans="1:34" s="1" customFormat="1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</row>
    <row r="19" spans="1:34" x14ac:dyDescent="0.2">
      <c r="B19" s="81" t="s">
        <v>77</v>
      </c>
      <c r="D19" s="41">
        <f>D17/D16</f>
        <v>1.1129126464165968</v>
      </c>
      <c r="L19" s="292"/>
    </row>
    <row r="20" spans="1:34" x14ac:dyDescent="0.2">
      <c r="B20" s="81"/>
      <c r="D20" s="41"/>
    </row>
    <row r="21" spans="1:34" x14ac:dyDescent="0.2">
      <c r="B21" s="80" t="s">
        <v>210</v>
      </c>
      <c r="C21" s="67">
        <f>vcr_date</f>
        <v>45291</v>
      </c>
      <c r="D21" s="41">
        <f>INDEX(hy_escalation, MATCH(C21,hy_dates,0))</f>
        <v>1.0839971599793141</v>
      </c>
    </row>
    <row r="22" spans="1:34" x14ac:dyDescent="0.2">
      <c r="B22" s="80" t="s">
        <v>211</v>
      </c>
      <c r="C22" s="67">
        <f>input_dollars</f>
        <v>45291</v>
      </c>
      <c r="D22" s="41">
        <f>INDEX(hy_escalation, MATCH(C22,hy_dates,0))</f>
        <v>1.0839971599793141</v>
      </c>
    </row>
    <row r="23" spans="1:34" x14ac:dyDescent="0.2">
      <c r="B23" s="81" t="s">
        <v>212</v>
      </c>
      <c r="D23" s="41">
        <f>D22/D21</f>
        <v>1</v>
      </c>
    </row>
    <row r="25" spans="1:34" x14ac:dyDescent="0.2">
      <c r="B25" s="81" t="s">
        <v>237</v>
      </c>
      <c r="C25" s="8" t="str">
        <f>start</f>
        <v>2026-27</v>
      </c>
    </row>
    <row r="28" spans="1:34" s="1" customFormat="1" ht="15" x14ac:dyDescent="0.2">
      <c r="A28" s="18" t="s">
        <v>208</v>
      </c>
      <c r="B28" s="18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</row>
    <row r="31" spans="1:34" x14ac:dyDescent="0.2">
      <c r="B31" s="192" t="s">
        <v>1</v>
      </c>
      <c r="C31" s="193" t="s">
        <v>191</v>
      </c>
      <c r="D31" s="194" t="s">
        <v>198</v>
      </c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</row>
    <row r="32" spans="1:34" x14ac:dyDescent="0.2">
      <c r="B32" s="135" t="s">
        <v>131</v>
      </c>
      <c r="C32" s="191">
        <f>Option2!$G$92</f>
        <v>1</v>
      </c>
      <c r="D32" s="10" t="b">
        <f>NOT(Data!C10)</f>
        <v>1</v>
      </c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</row>
    <row r="33" spans="1:34" x14ac:dyDescent="0.2">
      <c r="B33" s="135" t="s">
        <v>132</v>
      </c>
      <c r="C33" s="191">
        <f>Option3!$G$92</f>
        <v>1</v>
      </c>
      <c r="D33" s="10" t="b">
        <f>NOT(Data!C11)</f>
        <v>1</v>
      </c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</row>
    <row r="34" spans="1:34" x14ac:dyDescent="0.2">
      <c r="B34" s="135" t="s">
        <v>133</v>
      </c>
      <c r="C34" s="191">
        <f>Option4!$G$92</f>
        <v>1</v>
      </c>
      <c r="D34" s="10" t="b">
        <f>NOT(Data!C12)</f>
        <v>1</v>
      </c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</row>
    <row r="35" spans="1:34" x14ac:dyDescent="0.2">
      <c r="B35" s="135" t="s">
        <v>153</v>
      </c>
      <c r="C35" s="191">
        <f>Option5!$G$92</f>
        <v>1</v>
      </c>
      <c r="D35" s="10" t="b">
        <f>NOT(Data!C13)</f>
        <v>1</v>
      </c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</row>
    <row r="36" spans="1:34" x14ac:dyDescent="0.2">
      <c r="B36" s="10"/>
      <c r="C36" s="84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</row>
    <row r="37" spans="1:34" x14ac:dyDescent="0.2">
      <c r="B37" s="10"/>
      <c r="C37" s="84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</row>
    <row r="38" spans="1:34" x14ac:dyDescent="0.2">
      <c r="B38" s="195" t="s">
        <v>191</v>
      </c>
      <c r="C38" s="195" cm="1">
        <f t="array" ref="C38">IF(OR(NOT(Data!$C$10:$C$13)), _xlfn.MINIFS($C$32:$C$35,$D$32:$D$35,TRUE), 0)</f>
        <v>1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</row>
    <row r="39" spans="1:34" x14ac:dyDescent="0.2">
      <c r="B39" s="10"/>
      <c r="C39" s="84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</row>
    <row r="40" spans="1:34" x14ac:dyDescent="0.2">
      <c r="A40" s="10"/>
      <c r="D4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</row>
    <row r="41" spans="1:34" x14ac:dyDescent="0.2">
      <c r="D41"/>
    </row>
    <row r="42" spans="1:34" x14ac:dyDescent="0.2">
      <c r="D42"/>
    </row>
    <row r="43" spans="1:34" x14ac:dyDescent="0.2">
      <c r="D43"/>
    </row>
    <row r="44" spans="1:34" x14ac:dyDescent="0.2">
      <c r="D44"/>
    </row>
    <row r="45" spans="1:34" x14ac:dyDescent="0.2">
      <c r="D45"/>
    </row>
    <row r="46" spans="1:34" s="1" customFormat="1" ht="15" x14ac:dyDescent="0.2">
      <c r="A46" s="18" t="s">
        <v>242</v>
      </c>
      <c r="B46" s="18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7"/>
      <c r="N46" s="17"/>
      <c r="O46" s="17"/>
      <c r="P46" s="17"/>
      <c r="Q46" s="17"/>
      <c r="R46" s="17"/>
    </row>
    <row r="49" spans="2:4" x14ac:dyDescent="0.2">
      <c r="B49" t="s">
        <v>142</v>
      </c>
      <c r="C49" t="b">
        <f>AND(SUM('Option1 (base case)'!$I14:$AG14)&lt;&gt;0, 'Option1 (base case)'!E14=0)</f>
        <v>0</v>
      </c>
      <c r="D49" s="49" t="b">
        <f>OR(C49:C51)</f>
        <v>0</v>
      </c>
    </row>
    <row r="50" spans="2:4" x14ac:dyDescent="0.2">
      <c r="C50" t="b">
        <f>AND(SUM('Option1 (base case)'!$I15:$AG15)&lt;&gt;0, 'Option1 (base case)'!E15=0)</f>
        <v>0</v>
      </c>
    </row>
    <row r="51" spans="2:4" x14ac:dyDescent="0.2">
      <c r="C51" t="b">
        <f>AND(SUM('Option1 (base case)'!$I16:$AG16)&lt;&gt;0, 'Option1 (base case)'!E16=0)</f>
        <v>0</v>
      </c>
    </row>
    <row r="53" spans="2:4" x14ac:dyDescent="0.2">
      <c r="B53" t="s">
        <v>131</v>
      </c>
      <c r="C53" t="b">
        <f>AND(SUM(Option2!$I14:$AG14)&lt;&gt;0, Option2!E14=0)</f>
        <v>0</v>
      </c>
      <c r="D53" s="49" t="b">
        <f>OR(C53:C55)</f>
        <v>0</v>
      </c>
    </row>
    <row r="54" spans="2:4" x14ac:dyDescent="0.2">
      <c r="C54" t="b">
        <f>AND(SUM(Option2!$I15:$AG15)&lt;&gt;0, Option2!E15=0)</f>
        <v>0</v>
      </c>
    </row>
    <row r="55" spans="2:4" x14ac:dyDescent="0.2">
      <c r="C55" t="b">
        <f>AND(SUM(Option2!$I16:$AG16)&lt;&gt;0, Option2!E16=0)</f>
        <v>0</v>
      </c>
    </row>
    <row r="57" spans="2:4" x14ac:dyDescent="0.2">
      <c r="B57" t="s">
        <v>132</v>
      </c>
      <c r="C57" t="b">
        <f>AND(SUM(Option3!$I14:$AG14)&lt;&gt;0, Option3!E14=0)</f>
        <v>0</v>
      </c>
      <c r="D57" s="49" t="b">
        <f>OR(C57:C59)</f>
        <v>0</v>
      </c>
    </row>
    <row r="58" spans="2:4" x14ac:dyDescent="0.2">
      <c r="C58" t="b">
        <f>AND(SUM(Option3!$I15:$AG15)&lt;&gt;0, Option3!E15=0)</f>
        <v>0</v>
      </c>
    </row>
    <row r="59" spans="2:4" x14ac:dyDescent="0.2">
      <c r="C59" t="b">
        <f>AND(SUM(Option3!$I16:$AG16)&lt;&gt;0, Option3!E16=0)</f>
        <v>0</v>
      </c>
    </row>
    <row r="61" spans="2:4" x14ac:dyDescent="0.2">
      <c r="B61" t="s">
        <v>133</v>
      </c>
      <c r="C61" t="b">
        <f>AND(SUM(Option4!$I14:$AG14)&lt;&gt;0, Option4!E14=0)</f>
        <v>0</v>
      </c>
      <c r="D61" s="49" t="b">
        <f>OR(C61:C63)</f>
        <v>0</v>
      </c>
    </row>
    <row r="62" spans="2:4" x14ac:dyDescent="0.2">
      <c r="C62" t="b">
        <f>AND(SUM(Option4!$I15:$AG15)&lt;&gt;0, Option4!E15=0)</f>
        <v>0</v>
      </c>
    </row>
    <row r="63" spans="2:4" x14ac:dyDescent="0.2">
      <c r="C63" t="b">
        <f>AND(SUM(Option4!$I16:$AG16)&lt;&gt;0, Option4!E16=0)</f>
        <v>0</v>
      </c>
    </row>
    <row r="65" spans="1:4" x14ac:dyDescent="0.2">
      <c r="B65" t="s">
        <v>153</v>
      </c>
      <c r="C65" t="b">
        <f>AND(SUM(Option5!$I14:$AG14)&lt;&gt;0, Option5!E14=0)</f>
        <v>0</v>
      </c>
      <c r="D65" s="49" t="b">
        <f>OR(C65:C67)</f>
        <v>0</v>
      </c>
    </row>
    <row r="66" spans="1:4" x14ac:dyDescent="0.2">
      <c r="C66" t="b">
        <f>AND(SUM(Option5!$I15:$AG15)&lt;&gt;0, Option5!E15=0)</f>
        <v>0</v>
      </c>
    </row>
    <row r="67" spans="1:4" x14ac:dyDescent="0.2">
      <c r="C67" t="b">
        <f>AND(SUM(Option5!$I16:$AG16)&lt;&gt;0, Option5!E16=0)</f>
        <v>0</v>
      </c>
    </row>
    <row r="70" spans="1:4" x14ac:dyDescent="0.2">
      <c r="A70" t="s">
        <v>162</v>
      </c>
      <c r="B70" s="239" t="s">
        <v>209</v>
      </c>
    </row>
    <row r="74" spans="1:4" x14ac:dyDescent="0.2">
      <c r="B74" s="238" t="str">
        <f>IF(AND(SUM(E73:AC73)&lt;&gt;0, A74=0), "!", "")</f>
        <v/>
      </c>
    </row>
    <row r="76" spans="1:4" x14ac:dyDescent="0.2">
      <c r="B76" t="s">
        <v>207</v>
      </c>
    </row>
  </sheetData>
  <pageMargins left="0.7" right="0.7" top="0.75" bottom="0.75" header="0.3" footer="0.3"/>
  <pageSetup paperSize="9" orientation="portrait" horizontalDpi="90" verticalDpi="9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1E31B-D919-4625-B2CD-E9F193C9DE73}">
  <sheetPr codeName="Sheet9">
    <tabColor rgb="FFFFFFCC"/>
  </sheetPr>
  <dimension ref="A1:AA323"/>
  <sheetViews>
    <sheetView showGridLines="0" zoomScale="80" zoomScaleNormal="80" workbookViewId="0">
      <selection activeCell="E17" sqref="E17"/>
    </sheetView>
  </sheetViews>
  <sheetFormatPr defaultColWidth="9" defaultRowHeight="12.75" x14ac:dyDescent="0.2"/>
  <cols>
    <col min="1" max="1" width="5.375" style="8" customWidth="1"/>
    <col min="2" max="2" width="24.5" style="8" customWidth="1"/>
    <col min="3" max="3" width="9" style="8"/>
    <col min="4" max="4" width="9.875" style="8" bestFit="1" customWidth="1"/>
    <col min="5" max="5" width="10.875" style="8" customWidth="1"/>
    <col min="6" max="14" width="9" style="8"/>
    <col min="15" max="15" width="30.125" style="8" customWidth="1"/>
    <col min="16" max="16" width="43.25" style="8" customWidth="1"/>
    <col min="17" max="20" width="9" style="8"/>
    <col min="21" max="21" width="11.375" style="8" bestFit="1" customWidth="1"/>
    <col min="22" max="26" width="9" style="8"/>
    <col min="27" max="27" width="19.125" style="8" customWidth="1"/>
    <col min="28" max="16384" width="9" style="8"/>
  </cols>
  <sheetData>
    <row r="1" spans="1:27" ht="18.75" x14ac:dyDescent="0.3">
      <c r="A1" s="15" t="str">
        <f>bus</f>
        <v>Powercor</v>
      </c>
      <c r="B1" s="15"/>
      <c r="C1" s="15"/>
      <c r="D1" s="15"/>
      <c r="E1" s="15"/>
      <c r="F1" s="15"/>
      <c r="G1" s="15"/>
      <c r="H1" s="15"/>
      <c r="I1" s="15"/>
      <c r="J1" s="15"/>
      <c r="K1" s="48"/>
      <c r="L1" s="48"/>
      <c r="M1" s="48"/>
      <c r="N1" s="15"/>
      <c r="O1" s="15"/>
      <c r="P1" s="15"/>
      <c r="Q1" s="15"/>
      <c r="R1" s="15"/>
      <c r="S1" s="15"/>
      <c r="T1"/>
      <c r="U1" s="146"/>
      <c r="V1"/>
      <c r="W1"/>
    </row>
    <row r="2" spans="1:27" ht="18.75" x14ac:dyDescent="0.3">
      <c r="A2" s="56" t="str">
        <f>proj</f>
        <v>Minimise bushfire risk from SWER in ELCA, REFCL and HBRA areas</v>
      </c>
      <c r="B2" s="56"/>
      <c r="C2" s="56"/>
      <c r="D2" s="56"/>
      <c r="E2" s="56"/>
      <c r="F2" s="56"/>
      <c r="G2" s="15"/>
      <c r="H2" s="15"/>
      <c r="I2" s="15"/>
      <c r="J2" s="15"/>
      <c r="K2" s="48"/>
      <c r="L2" s="48"/>
      <c r="M2" s="48"/>
      <c r="N2" s="15"/>
      <c r="O2" s="15"/>
      <c r="P2" s="15"/>
      <c r="Q2" s="15"/>
      <c r="R2" s="15"/>
      <c r="S2" s="15"/>
      <c r="T2"/>
      <c r="U2"/>
      <c r="V2"/>
      <c r="W2"/>
    </row>
    <row r="3" spans="1:27" ht="15.75" x14ac:dyDescent="0.25">
      <c r="A3" s="5"/>
      <c r="B3" s="5"/>
      <c r="C3" s="5"/>
      <c r="D3" s="5"/>
      <c r="E3" s="5"/>
      <c r="F3" s="5"/>
      <c r="T3"/>
      <c r="U3"/>
      <c r="V3"/>
      <c r="W3"/>
    </row>
    <row r="4" spans="1:27" x14ac:dyDescent="0.2">
      <c r="T4"/>
      <c r="U4"/>
      <c r="V4"/>
    </row>
    <row r="5" spans="1:27" ht="15" x14ac:dyDescent="0.25">
      <c r="A5" s="19" t="s">
        <v>51</v>
      </c>
      <c r="B5" s="19"/>
      <c r="C5" s="19"/>
      <c r="D5" s="19"/>
      <c r="E5" s="19"/>
      <c r="F5" s="20"/>
      <c r="G5" s="19"/>
      <c r="H5" s="19"/>
      <c r="I5" s="19"/>
      <c r="J5" s="20"/>
      <c r="K5" s="20"/>
      <c r="L5" s="20"/>
      <c r="M5" s="20"/>
      <c r="N5" s="20"/>
      <c r="O5" s="20"/>
      <c r="P5" s="20"/>
      <c r="Q5" s="20"/>
      <c r="R5" s="20"/>
      <c r="S5" s="20"/>
      <c r="T5"/>
      <c r="U5"/>
      <c r="V5"/>
    </row>
    <row r="6" spans="1:27" x14ac:dyDescent="0.2">
      <c r="T6"/>
      <c r="U6"/>
      <c r="V6"/>
    </row>
    <row r="7" spans="1:27" x14ac:dyDescent="0.2">
      <c r="A7" s="14" t="s">
        <v>80</v>
      </c>
      <c r="T7"/>
      <c r="U7"/>
      <c r="V7"/>
    </row>
    <row r="8" spans="1:27" x14ac:dyDescent="0.2">
      <c r="A8" s="59"/>
      <c r="B8" s="59"/>
      <c r="C8" s="53" t="s">
        <v>83</v>
      </c>
      <c r="D8" s="53" t="s">
        <v>197</v>
      </c>
      <c r="F8" s="8" t="s">
        <v>227</v>
      </c>
      <c r="T8"/>
      <c r="U8"/>
      <c r="V8"/>
    </row>
    <row r="9" spans="1:27" x14ac:dyDescent="0.2">
      <c r="A9" s="27" t="s">
        <v>143</v>
      </c>
      <c r="B9" s="86" t="s">
        <v>142</v>
      </c>
      <c r="C9" s="87" t="b">
        <v>0</v>
      </c>
      <c r="D9" s="8" t="str">
        <f>IF(C9, $C$8, "")</f>
        <v/>
      </c>
      <c r="E9" s="8" t="str">
        <f>B9&amp;": "&amp;Assumptions!E14</f>
        <v>Option 1 (base case): No change to existing practices</v>
      </c>
      <c r="F9" s="8" t="b">
        <f>compliance</f>
        <v>0</v>
      </c>
      <c r="T9"/>
      <c r="U9"/>
      <c r="V9"/>
      <c r="W9"/>
    </row>
    <row r="10" spans="1:27" x14ac:dyDescent="0.2">
      <c r="A10" s="27" t="s">
        <v>144</v>
      </c>
      <c r="B10" s="86" t="s">
        <v>131</v>
      </c>
      <c r="C10" s="87" t="b">
        <f>SUM(Option2!I$17:AB$17, Option2!I$19:AB$19)=0</f>
        <v>0</v>
      </c>
      <c r="D10" s="8" t="str">
        <f>IF(C10, $C$8, "")</f>
        <v/>
      </c>
      <c r="F10" s="8" t="b">
        <f>C10</f>
        <v>0</v>
      </c>
      <c r="T10"/>
      <c r="U10"/>
      <c r="V10"/>
      <c r="W10"/>
      <c r="Z10"/>
      <c r="AA10"/>
    </row>
    <row r="11" spans="1:27" x14ac:dyDescent="0.2">
      <c r="A11" s="27" t="s">
        <v>145</v>
      </c>
      <c r="B11" s="86" t="s">
        <v>132</v>
      </c>
      <c r="C11" s="87" t="b">
        <f>SUM(Option3!I$17:AB$17, Option3!I$19:AB$19)=0</f>
        <v>0</v>
      </c>
      <c r="D11" s="8" t="str">
        <f>IF(C11, $C$8, "")</f>
        <v/>
      </c>
      <c r="F11" s="8" t="b">
        <f>C11</f>
        <v>0</v>
      </c>
      <c r="T11"/>
      <c r="U11"/>
      <c r="V11"/>
      <c r="W11"/>
      <c r="Z11"/>
      <c r="AA11"/>
    </row>
    <row r="12" spans="1:27" x14ac:dyDescent="0.2">
      <c r="A12" s="27" t="s">
        <v>146</v>
      </c>
      <c r="B12" s="86" t="s">
        <v>133</v>
      </c>
      <c r="C12" s="87" t="b">
        <f>SUM(Option4!I$17:AB$17, Option4!I$19:AB$19)=0</f>
        <v>0</v>
      </c>
      <c r="D12" s="8" t="str">
        <f>IF(C12, $C$8, "")</f>
        <v/>
      </c>
      <c r="F12" s="8" t="b">
        <f>C12</f>
        <v>0</v>
      </c>
      <c r="T12"/>
      <c r="U12"/>
      <c r="V12"/>
      <c r="W12"/>
      <c r="Z12"/>
      <c r="AA12"/>
    </row>
    <row r="13" spans="1:27" x14ac:dyDescent="0.2">
      <c r="A13" s="27" t="s">
        <v>154</v>
      </c>
      <c r="B13" s="86" t="s">
        <v>153</v>
      </c>
      <c r="C13" s="87" t="b">
        <f>SUM(Option5!I$17:AB$17, Option5!I$19:AB$19)=0</f>
        <v>0</v>
      </c>
      <c r="D13" s="8" t="str">
        <f>IF(C13, $C$8, "")</f>
        <v/>
      </c>
      <c r="F13" s="8" t="b">
        <f>C13</f>
        <v>0</v>
      </c>
      <c r="T13"/>
      <c r="U13"/>
      <c r="V13"/>
      <c r="W13"/>
      <c r="Z13"/>
      <c r="AA13"/>
    </row>
    <row r="14" spans="1:27" x14ac:dyDescent="0.2">
      <c r="T14"/>
      <c r="U14"/>
      <c r="V14"/>
      <c r="W14"/>
      <c r="Z14"/>
      <c r="AA14"/>
    </row>
    <row r="15" spans="1:27" x14ac:dyDescent="0.2">
      <c r="T15"/>
      <c r="U15"/>
      <c r="V15"/>
      <c r="W15"/>
      <c r="Z15"/>
      <c r="AA15"/>
    </row>
    <row r="16" spans="1:27" x14ac:dyDescent="0.2">
      <c r="A16" s="8" t="s">
        <v>223</v>
      </c>
      <c r="D16" s="23" t="s">
        <v>225</v>
      </c>
      <c r="E16" s="8" t="b">
        <f>Assumptions!E20=Data!D16</f>
        <v>0</v>
      </c>
      <c r="T16"/>
      <c r="U16"/>
      <c r="V16"/>
      <c r="W16"/>
      <c r="Z16"/>
      <c r="AA16"/>
    </row>
    <row r="17" spans="1:27" x14ac:dyDescent="0.2">
      <c r="T17"/>
      <c r="U17"/>
      <c r="V17"/>
      <c r="W17"/>
      <c r="Z17"/>
      <c r="AA17"/>
    </row>
    <row r="18" spans="1:27" x14ac:dyDescent="0.2">
      <c r="T18"/>
      <c r="U18"/>
      <c r="V18"/>
      <c r="W18"/>
      <c r="Z18"/>
      <c r="AA18"/>
    </row>
    <row r="19" spans="1:27" x14ac:dyDescent="0.2">
      <c r="B19" s="86" t="s">
        <v>58</v>
      </c>
      <c r="C19" s="87"/>
      <c r="T19"/>
      <c r="U19"/>
      <c r="V19"/>
      <c r="W19"/>
      <c r="Z19"/>
      <c r="AA19"/>
    </row>
    <row r="20" spans="1:27" x14ac:dyDescent="0.2">
      <c r="B20" s="86" t="s">
        <v>95</v>
      </c>
      <c r="C20" s="87"/>
      <c r="T20"/>
      <c r="U20"/>
      <c r="V20"/>
      <c r="W20"/>
      <c r="Z20"/>
      <c r="AA20"/>
    </row>
    <row r="21" spans="1:27" x14ac:dyDescent="0.2">
      <c r="B21" s="86" t="s">
        <v>96</v>
      </c>
      <c r="T21"/>
      <c r="U21"/>
      <c r="V21"/>
      <c r="W21"/>
      <c r="Z21"/>
      <c r="AA21"/>
    </row>
    <row r="22" spans="1:27" x14ac:dyDescent="0.2">
      <c r="T22"/>
      <c r="U22"/>
      <c r="V22"/>
      <c r="W22"/>
      <c r="Z22"/>
      <c r="AA22"/>
    </row>
    <row r="23" spans="1:27" x14ac:dyDescent="0.2">
      <c r="T23"/>
      <c r="U23"/>
      <c r="V23"/>
      <c r="W23"/>
    </row>
    <row r="24" spans="1:27" x14ac:dyDescent="0.2">
      <c r="A24" s="8" t="s">
        <v>221</v>
      </c>
      <c r="B24" s="102"/>
      <c r="T24"/>
      <c r="U24"/>
      <c r="V24"/>
      <c r="W24"/>
    </row>
    <row r="25" spans="1:27" x14ac:dyDescent="0.2">
      <c r="B25" s="23" t="s">
        <v>57</v>
      </c>
      <c r="T25"/>
      <c r="U25"/>
      <c r="V25"/>
      <c r="W25"/>
    </row>
    <row r="26" spans="1:27" x14ac:dyDescent="0.2">
      <c r="T26"/>
      <c r="U26"/>
      <c r="V26"/>
      <c r="W26"/>
    </row>
    <row r="27" spans="1:27" x14ac:dyDescent="0.2">
      <c r="T27"/>
      <c r="U27"/>
      <c r="V27"/>
      <c r="W27"/>
    </row>
    <row r="28" spans="1:27" x14ac:dyDescent="0.2">
      <c r="A28" s="14" t="s">
        <v>85</v>
      </c>
      <c r="T28"/>
      <c r="U28"/>
      <c r="V28"/>
      <c r="W28"/>
    </row>
    <row r="29" spans="1:27" x14ac:dyDescent="0.2">
      <c r="A29" s="14"/>
      <c r="B29" s="53"/>
      <c r="C29" s="53" t="s">
        <v>87</v>
      </c>
      <c r="T29"/>
      <c r="U29"/>
      <c r="V29"/>
      <c r="W29"/>
    </row>
    <row r="30" spans="1:27" x14ac:dyDescent="0.2">
      <c r="B30" s="23" t="s">
        <v>30</v>
      </c>
      <c r="C30" s="23">
        <v>-1</v>
      </c>
      <c r="T30"/>
      <c r="U30"/>
      <c r="V30"/>
      <c r="W30"/>
    </row>
    <row r="31" spans="1:27" x14ac:dyDescent="0.2">
      <c r="B31" s="23" t="s">
        <v>91</v>
      </c>
      <c r="C31" s="23">
        <v>-1</v>
      </c>
      <c r="T31"/>
      <c r="U31"/>
      <c r="V31"/>
      <c r="W31"/>
      <c r="AA31" s="66"/>
    </row>
    <row r="32" spans="1:27" x14ac:dyDescent="0.2">
      <c r="B32" s="23" t="s">
        <v>31</v>
      </c>
      <c r="C32" s="23">
        <v>-1</v>
      </c>
      <c r="T32"/>
      <c r="U32"/>
      <c r="V32"/>
      <c r="W32"/>
      <c r="AA32" s="66"/>
    </row>
    <row r="33" spans="1:23" x14ac:dyDescent="0.2">
      <c r="B33" s="23" t="s">
        <v>139</v>
      </c>
      <c r="C33" s="23">
        <v>1</v>
      </c>
      <c r="T33"/>
      <c r="U33"/>
      <c r="V33"/>
      <c r="W33"/>
    </row>
    <row r="34" spans="1:23" x14ac:dyDescent="0.2">
      <c r="B34" s="23" t="s">
        <v>122</v>
      </c>
      <c r="C34" s="23">
        <v>1</v>
      </c>
      <c r="T34"/>
      <c r="U34"/>
      <c r="V34"/>
      <c r="W34"/>
    </row>
    <row r="35" spans="1:23" x14ac:dyDescent="0.2">
      <c r="B35" s="23" t="s">
        <v>186</v>
      </c>
      <c r="C35" s="23">
        <v>1</v>
      </c>
      <c r="T35"/>
      <c r="U35"/>
      <c r="V35"/>
      <c r="W35"/>
    </row>
    <row r="36" spans="1:23" x14ac:dyDescent="0.2">
      <c r="B36" s="23" t="s">
        <v>170</v>
      </c>
      <c r="C36" s="23">
        <v>1</v>
      </c>
      <c r="T36"/>
      <c r="U36"/>
      <c r="V36"/>
      <c r="W36"/>
    </row>
    <row r="37" spans="1:23" x14ac:dyDescent="0.2">
      <c r="T37"/>
      <c r="U37"/>
      <c r="V37"/>
      <c r="W37"/>
    </row>
    <row r="38" spans="1:23" x14ac:dyDescent="0.2">
      <c r="T38"/>
      <c r="U38"/>
      <c r="V38"/>
      <c r="W38"/>
    </row>
    <row r="39" spans="1:23" x14ac:dyDescent="0.2">
      <c r="T39"/>
      <c r="U39"/>
      <c r="V39"/>
      <c r="W39"/>
    </row>
    <row r="40" spans="1:23" x14ac:dyDescent="0.2">
      <c r="T40"/>
      <c r="U40"/>
      <c r="V40"/>
      <c r="W40"/>
    </row>
    <row r="41" spans="1:23" x14ac:dyDescent="0.2">
      <c r="A41" s="14" t="s">
        <v>54</v>
      </c>
      <c r="T41"/>
      <c r="U41"/>
      <c r="V41"/>
      <c r="W41"/>
    </row>
    <row r="42" spans="1:23" x14ac:dyDescent="0.2">
      <c r="A42" s="59"/>
      <c r="B42" s="59"/>
      <c r="C42" s="53" t="s">
        <v>87</v>
      </c>
      <c r="D42" s="53" t="s">
        <v>81</v>
      </c>
      <c r="E42" s="53" t="s">
        <v>25</v>
      </c>
      <c r="F42" s="8" t="s">
        <v>110</v>
      </c>
      <c r="T42"/>
      <c r="U42"/>
      <c r="V42"/>
      <c r="W42"/>
    </row>
    <row r="43" spans="1:23" x14ac:dyDescent="0.2">
      <c r="A43" s="27">
        <v>1</v>
      </c>
      <c r="B43" s="27" t="s">
        <v>106</v>
      </c>
      <c r="C43" s="27" t="s">
        <v>23</v>
      </c>
      <c r="D43" s="27" t="b">
        <v>0</v>
      </c>
      <c r="E43" s="23" t="s">
        <v>40</v>
      </c>
      <c r="F43" s="27" t="b">
        <v>0</v>
      </c>
      <c r="T43"/>
      <c r="U43"/>
      <c r="V43"/>
      <c r="W43"/>
    </row>
    <row r="44" spans="1:23" x14ac:dyDescent="0.2">
      <c r="A44" s="27">
        <f>A43+1</f>
        <v>2</v>
      </c>
      <c r="B44" s="27" t="s">
        <v>97</v>
      </c>
      <c r="C44" s="27" t="s">
        <v>97</v>
      </c>
      <c r="D44" s="27" t="b">
        <v>0</v>
      </c>
      <c r="E44" s="23" t="s">
        <v>104</v>
      </c>
      <c r="F44" s="27" t="b">
        <v>1</v>
      </c>
      <c r="T44"/>
      <c r="U44"/>
      <c r="V44"/>
      <c r="W44"/>
    </row>
    <row r="45" spans="1:23" x14ac:dyDescent="0.2">
      <c r="A45" s="27">
        <f t="shared" ref="A45:A55" si="0">A44+1</f>
        <v>3</v>
      </c>
      <c r="B45" s="27" t="s">
        <v>108</v>
      </c>
      <c r="C45" s="27" t="s">
        <v>107</v>
      </c>
      <c r="D45" s="27" t="b">
        <v>0</v>
      </c>
      <c r="E45" s="23" t="s">
        <v>104</v>
      </c>
      <c r="F45" s="27" t="b">
        <v>1</v>
      </c>
      <c r="T45"/>
      <c r="U45"/>
      <c r="V45"/>
      <c r="W45"/>
    </row>
    <row r="46" spans="1:23" x14ac:dyDescent="0.2">
      <c r="A46" s="27">
        <f t="shared" si="0"/>
        <v>4</v>
      </c>
      <c r="B46" s="27" t="s">
        <v>105</v>
      </c>
      <c r="C46" s="27" t="s">
        <v>109</v>
      </c>
      <c r="D46" s="27" t="b">
        <v>0</v>
      </c>
      <c r="E46" s="23" t="s">
        <v>104</v>
      </c>
      <c r="F46" s="27" t="b">
        <v>1</v>
      </c>
      <c r="T46"/>
      <c r="U46"/>
      <c r="V46"/>
      <c r="W46"/>
    </row>
    <row r="47" spans="1:23" ht="13.5" x14ac:dyDescent="0.25">
      <c r="A47" s="27">
        <f t="shared" si="0"/>
        <v>5</v>
      </c>
      <c r="B47" s="27" t="s">
        <v>59</v>
      </c>
      <c r="C47" s="27" t="s">
        <v>60</v>
      </c>
      <c r="D47" s="27" t="b">
        <v>1</v>
      </c>
      <c r="E47" s="23" t="s">
        <v>40</v>
      </c>
      <c r="F47" s="27" t="b">
        <v>0</v>
      </c>
      <c r="T47"/>
      <c r="U47"/>
      <c r="V47"/>
      <c r="W47"/>
    </row>
    <row r="48" spans="1:23" x14ac:dyDescent="0.2">
      <c r="A48" s="27">
        <f t="shared" si="0"/>
        <v>6</v>
      </c>
      <c r="B48" s="27" t="s">
        <v>14</v>
      </c>
      <c r="C48" s="27" t="s">
        <v>18</v>
      </c>
      <c r="D48" s="27" t="b">
        <v>1</v>
      </c>
      <c r="E48" s="23" t="s">
        <v>40</v>
      </c>
      <c r="F48" s="27" t="b">
        <v>0</v>
      </c>
      <c r="I48"/>
      <c r="T48"/>
      <c r="U48"/>
      <c r="V48"/>
      <c r="W48"/>
    </row>
    <row r="49" spans="1:23" x14ac:dyDescent="0.2">
      <c r="A49" s="27">
        <f t="shared" si="0"/>
        <v>7</v>
      </c>
      <c r="B49" s="27" t="s">
        <v>4</v>
      </c>
      <c r="C49" s="27" t="s">
        <v>18</v>
      </c>
      <c r="D49" s="27" t="b">
        <v>1</v>
      </c>
      <c r="E49" s="23" t="s">
        <v>40</v>
      </c>
      <c r="F49" s="27" t="b">
        <v>0</v>
      </c>
      <c r="T49"/>
      <c r="U49"/>
      <c r="V49"/>
      <c r="W49"/>
    </row>
    <row r="50" spans="1:23" x14ac:dyDescent="0.2">
      <c r="A50" s="27">
        <f t="shared" si="0"/>
        <v>8</v>
      </c>
      <c r="B50" s="27" t="s">
        <v>5</v>
      </c>
      <c r="C50" s="27" t="s">
        <v>18</v>
      </c>
      <c r="D50" s="27" t="b">
        <v>1</v>
      </c>
      <c r="E50" s="23" t="s">
        <v>40</v>
      </c>
      <c r="F50" s="27" t="b">
        <v>0</v>
      </c>
      <c r="T50"/>
      <c r="U50"/>
      <c r="V50"/>
      <c r="W50"/>
    </row>
    <row r="51" spans="1:23" x14ac:dyDescent="0.2">
      <c r="A51" s="27">
        <f t="shared" si="0"/>
        <v>9</v>
      </c>
      <c r="B51" s="27" t="s">
        <v>15</v>
      </c>
      <c r="C51" s="27" t="s">
        <v>18</v>
      </c>
      <c r="D51" s="27" t="b">
        <v>1</v>
      </c>
      <c r="E51" s="23" t="s">
        <v>48</v>
      </c>
      <c r="F51" s="27" t="b">
        <v>0</v>
      </c>
      <c r="T51"/>
      <c r="U51"/>
      <c r="V51"/>
      <c r="W51"/>
    </row>
    <row r="52" spans="1:23" x14ac:dyDescent="0.2">
      <c r="A52" s="27">
        <f t="shared" si="0"/>
        <v>10</v>
      </c>
      <c r="B52" s="27" t="s">
        <v>9</v>
      </c>
      <c r="C52" s="27" t="s">
        <v>18</v>
      </c>
      <c r="D52" s="27" t="b">
        <v>1</v>
      </c>
      <c r="E52" s="23" t="s">
        <v>82</v>
      </c>
      <c r="F52" s="27" t="b">
        <v>0</v>
      </c>
      <c r="T52"/>
      <c r="U52"/>
      <c r="V52"/>
      <c r="W52"/>
    </row>
    <row r="53" spans="1:23" x14ac:dyDescent="0.2">
      <c r="A53" s="27">
        <f t="shared" si="0"/>
        <v>11</v>
      </c>
      <c r="B53" s="27" t="s">
        <v>10</v>
      </c>
      <c r="C53" s="27" t="s">
        <v>18</v>
      </c>
      <c r="D53" s="27" t="b">
        <v>1</v>
      </c>
      <c r="E53" s="23" t="s">
        <v>82</v>
      </c>
      <c r="F53" s="27" t="b">
        <v>0</v>
      </c>
      <c r="T53"/>
      <c r="U53"/>
      <c r="V53"/>
      <c r="W53"/>
    </row>
    <row r="54" spans="1:23" x14ac:dyDescent="0.2">
      <c r="A54" s="27">
        <f t="shared" si="0"/>
        <v>12</v>
      </c>
      <c r="B54" s="27" t="s">
        <v>6</v>
      </c>
      <c r="C54" s="27" t="s">
        <v>18</v>
      </c>
      <c r="D54" s="27" t="b">
        <v>1</v>
      </c>
      <c r="E54" s="23" t="s">
        <v>48</v>
      </c>
      <c r="F54" s="27" t="b">
        <v>0</v>
      </c>
      <c r="O54"/>
      <c r="P54"/>
      <c r="Q54"/>
      <c r="R54"/>
      <c r="S54"/>
      <c r="T54"/>
      <c r="U54"/>
      <c r="V54"/>
      <c r="W54"/>
    </row>
    <row r="55" spans="1:23" x14ac:dyDescent="0.2">
      <c r="A55" s="27">
        <f t="shared" si="0"/>
        <v>13</v>
      </c>
      <c r="B55" s="27" t="s">
        <v>7</v>
      </c>
      <c r="C55" s="27" t="s">
        <v>18</v>
      </c>
      <c r="D55" s="27" t="b">
        <v>1</v>
      </c>
      <c r="E55" s="23" t="s">
        <v>48</v>
      </c>
      <c r="F55" s="27" t="b">
        <v>0</v>
      </c>
      <c r="O55"/>
      <c r="P55"/>
      <c r="Q55"/>
      <c r="R55"/>
      <c r="S55"/>
      <c r="T55"/>
      <c r="U55"/>
      <c r="V55"/>
      <c r="W55"/>
    </row>
    <row r="56" spans="1:23" x14ac:dyDescent="0.2">
      <c r="O56"/>
      <c r="P56"/>
      <c r="Q56"/>
      <c r="R56"/>
      <c r="S56"/>
      <c r="T56"/>
      <c r="U56"/>
      <c r="V56"/>
      <c r="W56"/>
    </row>
    <row r="57" spans="1:23" x14ac:dyDescent="0.2">
      <c r="O57"/>
      <c r="P57"/>
      <c r="Q57"/>
      <c r="R57"/>
      <c r="S57"/>
      <c r="T57"/>
      <c r="U57"/>
      <c r="V57"/>
      <c r="W57"/>
    </row>
    <row r="58" spans="1:23" x14ac:dyDescent="0.2">
      <c r="A58" s="14" t="s">
        <v>84</v>
      </c>
      <c r="E58"/>
      <c r="F58"/>
      <c r="O58"/>
      <c r="P58"/>
      <c r="Q58"/>
      <c r="R58"/>
      <c r="S58"/>
      <c r="T58"/>
      <c r="U58"/>
      <c r="V58"/>
      <c r="W58"/>
    </row>
    <row r="59" spans="1:23" x14ac:dyDescent="0.2">
      <c r="A59" s="53"/>
      <c r="B59" s="53"/>
      <c r="C59" s="88"/>
      <c r="D59" s="53" t="s">
        <v>3</v>
      </c>
      <c r="E59"/>
      <c r="F59"/>
      <c r="H59"/>
      <c r="I59"/>
      <c r="J59"/>
      <c r="O59"/>
      <c r="P59"/>
      <c r="Q59"/>
      <c r="R59"/>
      <c r="S59"/>
      <c r="T59"/>
      <c r="U59"/>
      <c r="V59"/>
      <c r="W59"/>
    </row>
    <row r="60" spans="1:23" x14ac:dyDescent="0.2">
      <c r="B60" s="27" t="s">
        <v>14</v>
      </c>
      <c r="C60" s="27" t="s">
        <v>53</v>
      </c>
      <c r="D60" s="96">
        <v>151432.81740793545</v>
      </c>
      <c r="E60"/>
      <c r="F60"/>
      <c r="H60"/>
      <c r="I60"/>
      <c r="J60"/>
      <c r="O60"/>
      <c r="P60"/>
      <c r="Q60"/>
      <c r="R60"/>
      <c r="S60"/>
      <c r="T60"/>
      <c r="U60"/>
      <c r="V60"/>
      <c r="W60"/>
    </row>
    <row r="61" spans="1:23" x14ac:dyDescent="0.2">
      <c r="B61" s="27" t="s">
        <v>4</v>
      </c>
      <c r="C61" s="27" t="s">
        <v>53</v>
      </c>
      <c r="D61" s="96">
        <v>24590</v>
      </c>
      <c r="E61"/>
      <c r="F61"/>
      <c r="H61"/>
      <c r="I61"/>
      <c r="J61"/>
      <c r="O61"/>
      <c r="P61"/>
      <c r="Q61"/>
      <c r="R61"/>
      <c r="S61"/>
      <c r="T61"/>
      <c r="U61"/>
      <c r="V61"/>
      <c r="W61"/>
    </row>
    <row r="62" spans="1:23" x14ac:dyDescent="0.2">
      <c r="B62" s="27" t="s">
        <v>5</v>
      </c>
      <c r="C62" s="27" t="s">
        <v>53</v>
      </c>
      <c r="D62" s="96">
        <v>88.357719508603083</v>
      </c>
      <c r="E62"/>
      <c r="F62"/>
      <c r="H62"/>
      <c r="I62"/>
      <c r="J62"/>
      <c r="O62"/>
      <c r="P62"/>
      <c r="Q62"/>
      <c r="R62"/>
      <c r="S62"/>
      <c r="T62"/>
      <c r="U62"/>
      <c r="V62"/>
      <c r="W62"/>
    </row>
    <row r="63" spans="1:23" x14ac:dyDescent="0.2">
      <c r="B63" s="27" t="s">
        <v>15</v>
      </c>
      <c r="C63" s="27" t="s">
        <v>34</v>
      </c>
      <c r="D63" s="96">
        <v>0</v>
      </c>
      <c r="E63"/>
      <c r="F63"/>
      <c r="H63"/>
      <c r="I63"/>
      <c r="J63"/>
      <c r="O63"/>
      <c r="P63"/>
      <c r="Q63"/>
      <c r="R63"/>
      <c r="S63"/>
      <c r="T63"/>
      <c r="U63"/>
      <c r="V63"/>
      <c r="W63"/>
    </row>
    <row r="64" spans="1:23" x14ac:dyDescent="0.2">
      <c r="B64" s="27" t="s">
        <v>9</v>
      </c>
      <c r="C64" s="27" t="s">
        <v>33</v>
      </c>
      <c r="D64" s="96">
        <v>0.35181336539087127</v>
      </c>
      <c r="E64"/>
      <c r="F64"/>
      <c r="H64"/>
      <c r="I64"/>
      <c r="J64"/>
      <c r="O64"/>
      <c r="P64"/>
      <c r="Q64"/>
      <c r="R64"/>
      <c r="S64"/>
      <c r="T64"/>
      <c r="U64"/>
      <c r="V64"/>
      <c r="W64"/>
    </row>
    <row r="65" spans="1:23" x14ac:dyDescent="0.2">
      <c r="B65" s="27" t="s">
        <v>10</v>
      </c>
      <c r="C65" s="27" t="s">
        <v>33</v>
      </c>
      <c r="D65" s="96">
        <v>0.35181336539087127</v>
      </c>
      <c r="E65"/>
      <c r="F65"/>
      <c r="H65"/>
      <c r="I65"/>
      <c r="J65"/>
      <c r="O65"/>
      <c r="P65"/>
      <c r="Q65"/>
      <c r="R65"/>
      <c r="S65"/>
      <c r="T65"/>
      <c r="U65"/>
      <c r="V65"/>
      <c r="W65"/>
    </row>
    <row r="66" spans="1:23" x14ac:dyDescent="0.2">
      <c r="B66" s="27" t="s">
        <v>6</v>
      </c>
      <c r="C66" s="27" t="s">
        <v>34</v>
      </c>
      <c r="D66" s="96">
        <v>0</v>
      </c>
      <c r="E66"/>
      <c r="F66"/>
      <c r="H66"/>
      <c r="I66"/>
      <c r="J66"/>
      <c r="O66"/>
      <c r="P66"/>
      <c r="Q66"/>
      <c r="R66"/>
      <c r="S66"/>
      <c r="T66"/>
      <c r="U66"/>
      <c r="V66"/>
      <c r="W66"/>
    </row>
    <row r="67" spans="1:23" x14ac:dyDescent="0.2">
      <c r="B67" s="27" t="s">
        <v>7</v>
      </c>
      <c r="C67" s="27" t="s">
        <v>34</v>
      </c>
      <c r="D67" s="96">
        <v>0</v>
      </c>
      <c r="E67"/>
      <c r="F67"/>
      <c r="H67"/>
      <c r="I67"/>
      <c r="J67"/>
      <c r="O67"/>
      <c r="P67"/>
      <c r="Q67"/>
      <c r="R67"/>
      <c r="S67"/>
      <c r="T67"/>
      <c r="U67"/>
      <c r="V67"/>
      <c r="W67"/>
    </row>
    <row r="68" spans="1:23" x14ac:dyDescent="0.2">
      <c r="H68"/>
      <c r="I68"/>
      <c r="J68"/>
      <c r="O68"/>
      <c r="P68"/>
      <c r="Q68"/>
      <c r="R68"/>
      <c r="S68"/>
      <c r="T68"/>
      <c r="U68"/>
      <c r="V68"/>
      <c r="W68"/>
    </row>
    <row r="69" spans="1:23" x14ac:dyDescent="0.2">
      <c r="A69" s="8" t="s">
        <v>158</v>
      </c>
      <c r="O69"/>
      <c r="P69"/>
      <c r="Q69"/>
      <c r="R69"/>
      <c r="S69"/>
      <c r="T69"/>
      <c r="U69"/>
      <c r="V69"/>
      <c r="W69"/>
    </row>
    <row r="70" spans="1:23" x14ac:dyDescent="0.2">
      <c r="B70" s="8" t="s">
        <v>159</v>
      </c>
      <c r="C70" s="95">
        <v>1000</v>
      </c>
      <c r="O70"/>
      <c r="P70"/>
      <c r="Q70"/>
      <c r="R70"/>
      <c r="S70"/>
      <c r="T70"/>
      <c r="U70"/>
      <c r="V70"/>
      <c r="W70"/>
    </row>
    <row r="71" spans="1:23" x14ac:dyDescent="0.2">
      <c r="B71" s="8" t="s">
        <v>160</v>
      </c>
      <c r="C71" s="95">
        <v>1000000</v>
      </c>
      <c r="O71"/>
      <c r="P71"/>
      <c r="Q71"/>
      <c r="R71"/>
      <c r="S71"/>
      <c r="T71"/>
      <c r="U71"/>
      <c r="V71"/>
      <c r="W71"/>
    </row>
    <row r="72" spans="1:23" x14ac:dyDescent="0.2">
      <c r="O72"/>
      <c r="P72"/>
      <c r="Q72"/>
      <c r="R72"/>
      <c r="S72"/>
      <c r="T72"/>
      <c r="U72"/>
      <c r="V72"/>
      <c r="W72"/>
    </row>
    <row r="73" spans="1:23" x14ac:dyDescent="0.2">
      <c r="O73"/>
      <c r="P73"/>
      <c r="Q73"/>
      <c r="R73"/>
      <c r="S73"/>
      <c r="T73"/>
      <c r="U73"/>
      <c r="V73"/>
      <c r="W73"/>
    </row>
    <row r="74" spans="1:23" x14ac:dyDescent="0.2">
      <c r="A74" s="8" t="s">
        <v>162</v>
      </c>
      <c r="O74"/>
      <c r="P74"/>
      <c r="Q74"/>
      <c r="R74"/>
      <c r="S74"/>
      <c r="T74"/>
      <c r="U74"/>
      <c r="V74"/>
      <c r="W74"/>
    </row>
    <row r="75" spans="1:23" x14ac:dyDescent="0.2">
      <c r="B75" s="8" t="s">
        <v>162</v>
      </c>
      <c r="C75" s="153" t="s">
        <v>161</v>
      </c>
      <c r="O75"/>
      <c r="P75"/>
      <c r="Q75"/>
      <c r="R75"/>
      <c r="S75"/>
      <c r="T75"/>
      <c r="U75"/>
      <c r="V75"/>
      <c r="W75"/>
    </row>
    <row r="76" spans="1:23" x14ac:dyDescent="0.2">
      <c r="O76"/>
      <c r="P76"/>
      <c r="Q76"/>
      <c r="R76"/>
      <c r="S76"/>
      <c r="T76"/>
      <c r="U76"/>
      <c r="V76"/>
      <c r="W76"/>
    </row>
    <row r="77" spans="1:23" x14ac:dyDescent="0.2">
      <c r="O77"/>
      <c r="P77"/>
      <c r="Q77"/>
      <c r="R77"/>
      <c r="S77"/>
      <c r="T77"/>
      <c r="U77"/>
      <c r="V77"/>
      <c r="W77"/>
    </row>
    <row r="78" spans="1:23" x14ac:dyDescent="0.2">
      <c r="A78" s="8" t="s">
        <v>189</v>
      </c>
      <c r="C78" s="8" t="s">
        <v>190</v>
      </c>
      <c r="O78"/>
      <c r="P78"/>
      <c r="Q78"/>
      <c r="R78"/>
      <c r="S78"/>
      <c r="T78"/>
      <c r="U78"/>
      <c r="V78"/>
      <c r="W78"/>
    </row>
    <row r="79" spans="1:23" x14ac:dyDescent="0.2">
      <c r="O79"/>
      <c r="P79"/>
      <c r="Q79"/>
      <c r="R79"/>
      <c r="S79"/>
      <c r="T79"/>
      <c r="U79"/>
      <c r="V79"/>
      <c r="W79"/>
    </row>
    <row r="80" spans="1:23" x14ac:dyDescent="0.2">
      <c r="O80"/>
      <c r="P80"/>
      <c r="Q80"/>
      <c r="R80"/>
      <c r="S80"/>
      <c r="T80"/>
      <c r="U80"/>
      <c r="V80"/>
      <c r="W80"/>
    </row>
    <row r="81" spans="1:23" x14ac:dyDescent="0.2">
      <c r="O81"/>
      <c r="P81"/>
      <c r="Q81"/>
      <c r="R81"/>
      <c r="S81"/>
      <c r="T81"/>
      <c r="U81"/>
      <c r="V81"/>
      <c r="W81"/>
    </row>
    <row r="82" spans="1:23" x14ac:dyDescent="0.2">
      <c r="A82" s="1"/>
      <c r="B82" s="1"/>
      <c r="C82" s="1"/>
      <c r="D82" s="1"/>
      <c r="E82" s="1"/>
      <c r="F82" s="1"/>
      <c r="K82" s="1"/>
      <c r="L82" s="1"/>
      <c r="M82" s="1"/>
      <c r="N82" s="1"/>
      <c r="O82"/>
      <c r="P82"/>
      <c r="Q82"/>
      <c r="R82"/>
      <c r="S82"/>
      <c r="T82"/>
      <c r="U82"/>
      <c r="V82"/>
      <c r="W82"/>
    </row>
    <row r="83" spans="1:23" x14ac:dyDescent="0.2">
      <c r="A83" s="14" t="s">
        <v>98</v>
      </c>
      <c r="B83" s="14"/>
      <c r="K83" s="1"/>
      <c r="L83" s="1"/>
      <c r="M83" s="1"/>
      <c r="N83" s="1"/>
      <c r="O83"/>
      <c r="P83"/>
      <c r="Q83"/>
      <c r="R83"/>
      <c r="S83"/>
      <c r="T83"/>
      <c r="U83"/>
      <c r="V83"/>
      <c r="W83"/>
    </row>
    <row r="84" spans="1:23" x14ac:dyDescent="0.2">
      <c r="A84" s="14"/>
      <c r="B84" s="63" t="s">
        <v>50</v>
      </c>
      <c r="F84" s="155">
        <v>0</v>
      </c>
      <c r="K84" s="1"/>
      <c r="L84" s="1"/>
      <c r="M84" s="1"/>
      <c r="N84" s="1"/>
      <c r="O84"/>
      <c r="P84"/>
      <c r="Q84"/>
      <c r="R84"/>
      <c r="S84"/>
      <c r="T84"/>
      <c r="U84"/>
      <c r="V84"/>
      <c r="W84"/>
    </row>
    <row r="85" spans="1:23" x14ac:dyDescent="0.2">
      <c r="A85" s="1"/>
      <c r="B85" s="8" t="s">
        <v>99</v>
      </c>
      <c r="F85" s="155">
        <v>1</v>
      </c>
      <c r="K85" s="1"/>
      <c r="L85" s="1"/>
      <c r="M85" s="1"/>
      <c r="N85" s="1"/>
      <c r="O85"/>
      <c r="P85"/>
      <c r="Q85"/>
      <c r="R85"/>
      <c r="S85"/>
      <c r="T85"/>
      <c r="U85"/>
      <c r="V85"/>
      <c r="W85"/>
    </row>
    <row r="86" spans="1:23" x14ac:dyDescent="0.2">
      <c r="A86" s="1"/>
      <c r="B86" s="8" t="s">
        <v>100</v>
      </c>
      <c r="F86" s="155">
        <v>1</v>
      </c>
      <c r="K86" s="1"/>
      <c r="L86" s="1"/>
      <c r="M86" s="1"/>
      <c r="N86" s="1"/>
      <c r="O86"/>
      <c r="P86"/>
      <c r="Q86"/>
      <c r="R86"/>
      <c r="S86"/>
      <c r="T86"/>
      <c r="U86"/>
      <c r="V86"/>
      <c r="W86"/>
    </row>
    <row r="87" spans="1:23" x14ac:dyDescent="0.2">
      <c r="A87" s="1"/>
      <c r="B87" s="8" t="s">
        <v>101</v>
      </c>
      <c r="F87" s="155">
        <v>1</v>
      </c>
      <c r="K87" s="1"/>
      <c r="L87" s="1"/>
      <c r="M87" s="1"/>
      <c r="N87" s="1"/>
      <c r="O87"/>
      <c r="P87"/>
      <c r="Q87"/>
      <c r="R87"/>
      <c r="S87"/>
      <c r="T87"/>
      <c r="U87"/>
      <c r="V87"/>
      <c r="W87"/>
    </row>
    <row r="88" spans="1:23" x14ac:dyDescent="0.2">
      <c r="A88" s="1"/>
      <c r="B88" s="8" t="s">
        <v>102</v>
      </c>
      <c r="F88" s="155">
        <v>1</v>
      </c>
      <c r="K88" s="1"/>
      <c r="L88" s="1"/>
      <c r="M88" s="1"/>
      <c r="N88" s="1"/>
      <c r="O88"/>
      <c r="P88"/>
      <c r="Q88"/>
      <c r="R88"/>
      <c r="S88"/>
      <c r="T88"/>
      <c r="U88"/>
      <c r="V88"/>
      <c r="W88"/>
    </row>
    <row r="89" spans="1:23" x14ac:dyDescent="0.2">
      <c r="A89" s="1"/>
      <c r="B89" s="8" t="s">
        <v>111</v>
      </c>
      <c r="F89" s="155">
        <v>3</v>
      </c>
      <c r="K89" s="1"/>
      <c r="L89" s="1"/>
      <c r="M89" s="1"/>
      <c r="N89" s="1"/>
      <c r="O89"/>
      <c r="P89"/>
      <c r="Q89"/>
      <c r="R89"/>
      <c r="S89"/>
      <c r="T89"/>
      <c r="U89"/>
      <c r="V89"/>
      <c r="W89"/>
    </row>
    <row r="90" spans="1:23" x14ac:dyDescent="0.2">
      <c r="A90" s="1"/>
      <c r="B90" s="8" t="s">
        <v>103</v>
      </c>
      <c r="F90" s="155">
        <v>3</v>
      </c>
      <c r="K90" s="1"/>
      <c r="L90" s="1"/>
      <c r="M90" s="1"/>
      <c r="N90" s="1"/>
      <c r="O90" s="1"/>
    </row>
    <row r="91" spans="1:23" x14ac:dyDescent="0.2">
      <c r="A91" s="1"/>
      <c r="B91" s="8" t="s">
        <v>112</v>
      </c>
      <c r="F91" s="155">
        <v>6</v>
      </c>
      <c r="K91" s="1"/>
      <c r="L91" s="1"/>
      <c r="M91" s="1"/>
      <c r="N91" s="1"/>
      <c r="O91" s="1"/>
    </row>
    <row r="92" spans="1:23" x14ac:dyDescent="0.2">
      <c r="A92" s="1"/>
      <c r="B92" s="8" t="s">
        <v>176</v>
      </c>
      <c r="F92" s="155">
        <v>6</v>
      </c>
      <c r="K92" s="1"/>
      <c r="L92" s="1"/>
      <c r="M92" s="1"/>
      <c r="N92" s="1"/>
      <c r="O92" s="1"/>
    </row>
    <row r="93" spans="1:23" x14ac:dyDescent="0.2">
      <c r="A93" s="1"/>
      <c r="B93" s="8" t="s">
        <v>177</v>
      </c>
      <c r="F93" s="155">
        <v>10</v>
      </c>
      <c r="K93" s="1"/>
      <c r="L93" s="1"/>
      <c r="M93" s="1"/>
      <c r="N93" s="1"/>
      <c r="O93" s="1"/>
    </row>
    <row r="94" spans="1:23" x14ac:dyDescent="0.2">
      <c r="A94" s="1"/>
      <c r="B94" s="1"/>
      <c r="C94" s="1"/>
      <c r="D94" s="1"/>
      <c r="E94" s="1"/>
      <c r="F94" s="1"/>
      <c r="K94" s="1"/>
      <c r="L94" s="1"/>
      <c r="M94" s="1"/>
      <c r="N94" s="1"/>
      <c r="O94" s="1"/>
    </row>
    <row r="95" spans="1:23" x14ac:dyDescent="0.2">
      <c r="A95" s="1"/>
      <c r="B95" s="1"/>
      <c r="C95" s="1"/>
      <c r="D95" s="1"/>
      <c r="E95" s="1"/>
      <c r="F95" s="1"/>
      <c r="K95" s="1"/>
      <c r="L95" s="1"/>
      <c r="M95" s="1"/>
      <c r="N95" s="1"/>
      <c r="O95" s="1"/>
    </row>
    <row r="96" spans="1:23" x14ac:dyDescent="0.2">
      <c r="A96" s="1"/>
      <c r="B96" s="1"/>
      <c r="C96" s="1"/>
      <c r="D96" s="1"/>
      <c r="E96" s="1"/>
      <c r="F96" s="1"/>
      <c r="K96" s="1"/>
      <c r="L96" s="1"/>
      <c r="M96" s="1"/>
      <c r="N96" s="1"/>
      <c r="O96" s="1"/>
    </row>
    <row r="97" spans="1:25" x14ac:dyDescent="0.2">
      <c r="A97" s="1"/>
      <c r="B97" s="145" t="s">
        <v>156</v>
      </c>
      <c r="C97" s="1"/>
      <c r="D97" s="1"/>
      <c r="E97" s="1"/>
      <c r="F97" s="1"/>
      <c r="K97" s="1"/>
      <c r="L97" s="1"/>
      <c r="M97" s="1"/>
      <c r="N97" s="1"/>
      <c r="O97" s="1"/>
    </row>
    <row r="98" spans="1:25" x14ac:dyDescent="0.2">
      <c r="A98" s="1"/>
      <c r="B98" s="145" t="s">
        <v>124</v>
      </c>
      <c r="C98" s="1"/>
      <c r="D98" s="1"/>
      <c r="E98" s="1"/>
      <c r="F98" s="1"/>
      <c r="K98" s="1"/>
      <c r="L98" s="1"/>
      <c r="M98" s="1"/>
      <c r="N98" s="1"/>
      <c r="O98" s="1"/>
    </row>
    <row r="99" spans="1:25" x14ac:dyDescent="0.2">
      <c r="A99" s="1"/>
      <c r="B99" s="145" t="s">
        <v>125</v>
      </c>
      <c r="C99" s="1"/>
      <c r="D99" s="1"/>
      <c r="E99" s="1"/>
      <c r="F99" s="1"/>
      <c r="K99" s="1"/>
      <c r="L99" s="1"/>
      <c r="M99" s="1"/>
      <c r="N99" s="1"/>
      <c r="O99" s="1"/>
    </row>
    <row r="100" spans="1:25" x14ac:dyDescent="0.2">
      <c r="A100" s="1"/>
      <c r="B100" s="1"/>
      <c r="C100" s="1"/>
      <c r="D100" s="1"/>
      <c r="E100" s="1"/>
      <c r="F100" s="1"/>
      <c r="K100" s="1"/>
      <c r="L100" s="1"/>
      <c r="M100" s="1"/>
      <c r="N100" s="1"/>
      <c r="O100" s="1"/>
    </row>
    <row r="101" spans="1:25" x14ac:dyDescent="0.2">
      <c r="A101" s="1"/>
      <c r="B101" s="1"/>
      <c r="C101" s="1"/>
      <c r="D101" s="1"/>
      <c r="E101" s="1"/>
      <c r="F101" s="1"/>
      <c r="K101" s="1"/>
      <c r="L101" s="1"/>
      <c r="M101" s="1"/>
      <c r="N101" s="1"/>
      <c r="O101" s="1"/>
    </row>
    <row r="102" spans="1:25" x14ac:dyDescent="0.2">
      <c r="T102"/>
      <c r="U102"/>
      <c r="V102"/>
      <c r="W102"/>
    </row>
    <row r="103" spans="1:25" x14ac:dyDescent="0.2">
      <c r="T103"/>
      <c r="U103"/>
      <c r="V103"/>
      <c r="W103"/>
    </row>
    <row r="104" spans="1:25" ht="15" x14ac:dyDescent="0.25">
      <c r="A104" s="19" t="s">
        <v>86</v>
      </c>
      <c r="B104" s="19"/>
      <c r="C104" s="19"/>
      <c r="D104" s="19"/>
      <c r="E104" s="19"/>
      <c r="F104" s="20"/>
      <c r="G104" s="19"/>
      <c r="H104" s="19"/>
      <c r="I104" s="19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5" x14ac:dyDescent="0.2">
      <c r="U105"/>
      <c r="V105"/>
      <c r="W105"/>
      <c r="X105"/>
      <c r="Y105"/>
    </row>
    <row r="106" spans="1:25" x14ac:dyDescent="0.2">
      <c r="B106" s="8" t="s">
        <v>41</v>
      </c>
      <c r="F106" s="8" t="s">
        <v>49</v>
      </c>
      <c r="H106" s="8" t="s">
        <v>52</v>
      </c>
      <c r="J106" s="8" t="s">
        <v>26</v>
      </c>
      <c r="N106" s="8" t="s">
        <v>89</v>
      </c>
      <c r="P106" s="8" t="s">
        <v>158</v>
      </c>
      <c r="R106" s="8" t="s">
        <v>27</v>
      </c>
      <c r="T106" s="8" t="s">
        <v>224</v>
      </c>
      <c r="U106"/>
      <c r="V106" s="8" t="s">
        <v>234</v>
      </c>
      <c r="W106"/>
      <c r="Y106"/>
    </row>
    <row r="107" spans="1:25" x14ac:dyDescent="0.2">
      <c r="B107" s="25" t="s">
        <v>42</v>
      </c>
      <c r="C107" s="130" t="s">
        <v>136</v>
      </c>
      <c r="D107" s="130" t="s">
        <v>230</v>
      </c>
      <c r="F107" s="63" t="s">
        <v>50</v>
      </c>
      <c r="H107" s="25" t="b">
        <v>0</v>
      </c>
      <c r="J107" s="25" t="s">
        <v>45</v>
      </c>
      <c r="K107" s="44">
        <v>6</v>
      </c>
      <c r="L107" s="44" t="s">
        <v>37</v>
      </c>
      <c r="N107" s="44" t="s">
        <v>83</v>
      </c>
      <c r="Q107" s="24"/>
      <c r="R107" s="23">
        <v>2026</v>
      </c>
      <c r="T107" s="23" t="s">
        <v>226</v>
      </c>
      <c r="U107"/>
      <c r="V107" s="23" t="s">
        <v>19</v>
      </c>
      <c r="W107"/>
    </row>
    <row r="108" spans="1:25" x14ac:dyDescent="0.2">
      <c r="B108" s="25" t="s">
        <v>3</v>
      </c>
      <c r="C108" s="130" t="s">
        <v>137</v>
      </c>
      <c r="D108" s="130" t="s">
        <v>231</v>
      </c>
      <c r="F108" s="25" t="s">
        <v>17</v>
      </c>
      <c r="H108" s="25" t="b">
        <v>1</v>
      </c>
      <c r="J108" s="25" t="s">
        <v>36</v>
      </c>
      <c r="K108" s="44">
        <v>12</v>
      </c>
      <c r="L108" s="44" t="s">
        <v>38</v>
      </c>
      <c r="Q108" s="24"/>
      <c r="R108" s="23">
        <f>R107-1</f>
        <v>2025</v>
      </c>
      <c r="T108" s="23" t="s">
        <v>225</v>
      </c>
      <c r="U108"/>
      <c r="V108" s="23" t="s">
        <v>47</v>
      </c>
      <c r="W108"/>
    </row>
    <row r="109" spans="1:25" x14ac:dyDescent="0.2">
      <c r="B109" s="25" t="s">
        <v>43</v>
      </c>
      <c r="C109" s="130" t="s">
        <v>138</v>
      </c>
      <c r="D109" s="130" t="s">
        <v>232</v>
      </c>
      <c r="F109" s="25" t="s">
        <v>2</v>
      </c>
      <c r="J109" s="21"/>
      <c r="K109" s="21"/>
      <c r="L109" s="24"/>
      <c r="Q109" s="24"/>
      <c r="R109" s="23">
        <f t="shared" ref="R109:R113" si="1">R108-1</f>
        <v>2024</v>
      </c>
      <c r="T109" s="23" t="s">
        <v>96</v>
      </c>
      <c r="U109"/>
      <c r="V109" s="23" t="s">
        <v>235</v>
      </c>
      <c r="W109"/>
      <c r="X109"/>
      <c r="Y109"/>
    </row>
    <row r="110" spans="1:25" x14ac:dyDescent="0.2">
      <c r="C110" s="127"/>
      <c r="D110" s="127"/>
      <c r="F110" s="25"/>
      <c r="J110" s="21"/>
      <c r="K110" s="21"/>
      <c r="Q110" s="24"/>
      <c r="R110" s="23">
        <f t="shared" si="1"/>
        <v>2023</v>
      </c>
      <c r="U110"/>
      <c r="V110" s="23"/>
      <c r="W110"/>
      <c r="X110"/>
      <c r="Y110"/>
    </row>
    <row r="111" spans="1:25" x14ac:dyDescent="0.2">
      <c r="C111" s="127"/>
      <c r="D111" s="127"/>
      <c r="J111" s="21"/>
      <c r="K111" s="21"/>
      <c r="R111" s="23">
        <f t="shared" si="1"/>
        <v>2022</v>
      </c>
      <c r="U111"/>
      <c r="W111"/>
      <c r="X111"/>
      <c r="Y111"/>
    </row>
    <row r="112" spans="1:25" x14ac:dyDescent="0.2">
      <c r="J112" s="21"/>
      <c r="K112" s="21"/>
      <c r="R112" s="23">
        <f t="shared" si="1"/>
        <v>2021</v>
      </c>
      <c r="U112"/>
      <c r="W112"/>
      <c r="X112"/>
      <c r="Y112"/>
    </row>
    <row r="113" spans="18:25" x14ac:dyDescent="0.2">
      <c r="R113" s="23">
        <f t="shared" si="1"/>
        <v>2020</v>
      </c>
      <c r="U113"/>
      <c r="V113" s="250"/>
      <c r="W113"/>
      <c r="X113"/>
      <c r="Y113"/>
    </row>
    <row r="114" spans="18:25" x14ac:dyDescent="0.2">
      <c r="R114" s="23"/>
      <c r="U114"/>
      <c r="V114" s="250"/>
      <c r="W114"/>
      <c r="X114"/>
      <c r="Y114"/>
    </row>
    <row r="115" spans="18:25" x14ac:dyDescent="0.2">
      <c r="U115"/>
      <c r="V115" s="250"/>
      <c r="W115"/>
      <c r="X115"/>
      <c r="Y115"/>
    </row>
    <row r="116" spans="18:25" x14ac:dyDescent="0.2">
      <c r="U116"/>
      <c r="V116" s="251"/>
      <c r="W116"/>
      <c r="X116"/>
      <c r="Y116"/>
    </row>
    <row r="117" spans="18:25" x14ac:dyDescent="0.2">
      <c r="U117"/>
      <c r="V117"/>
      <c r="W117"/>
      <c r="X117"/>
      <c r="Y117"/>
    </row>
    <row r="118" spans="18:25" x14ac:dyDescent="0.2">
      <c r="U118"/>
      <c r="V118"/>
      <c r="W118"/>
      <c r="X118"/>
    </row>
    <row r="119" spans="18:25" x14ac:dyDescent="0.2">
      <c r="U119"/>
      <c r="V119"/>
      <c r="W119"/>
      <c r="X119"/>
    </row>
    <row r="120" spans="18:25" x14ac:dyDescent="0.2">
      <c r="V120"/>
      <c r="W120"/>
      <c r="X120"/>
    </row>
    <row r="121" spans="18:25" x14ac:dyDescent="0.2">
      <c r="U121"/>
      <c r="V121"/>
      <c r="W121"/>
      <c r="X121"/>
    </row>
    <row r="122" spans="18:25" x14ac:dyDescent="0.2">
      <c r="U122"/>
      <c r="V122"/>
      <c r="W122"/>
      <c r="X122"/>
    </row>
    <row r="123" spans="18:25" x14ac:dyDescent="0.2">
      <c r="U123"/>
      <c r="V123"/>
      <c r="W123"/>
      <c r="X123"/>
    </row>
    <row r="124" spans="18:25" x14ac:dyDescent="0.2">
      <c r="U124"/>
      <c r="V124"/>
      <c r="W124"/>
      <c r="X124"/>
    </row>
    <row r="125" spans="18:25" x14ac:dyDescent="0.2">
      <c r="U125"/>
      <c r="V125"/>
      <c r="W125"/>
      <c r="X125"/>
    </row>
    <row r="126" spans="18:25" x14ac:dyDescent="0.2">
      <c r="U126"/>
      <c r="V126"/>
      <c r="W126"/>
      <c r="X126"/>
    </row>
    <row r="127" spans="18:25" x14ac:dyDescent="0.2">
      <c r="T127"/>
      <c r="U127"/>
      <c r="V127"/>
      <c r="W127"/>
    </row>
    <row r="128" spans="18:25" x14ac:dyDescent="0.2">
      <c r="T128"/>
      <c r="U128"/>
      <c r="V128"/>
      <c r="W128"/>
    </row>
    <row r="129" spans="20:23" x14ac:dyDescent="0.2">
      <c r="T129"/>
      <c r="U129"/>
      <c r="V129"/>
      <c r="W129"/>
    </row>
    <row r="130" spans="20:23" x14ac:dyDescent="0.2">
      <c r="T130"/>
      <c r="U130"/>
      <c r="V130"/>
      <c r="W130"/>
    </row>
    <row r="131" spans="20:23" x14ac:dyDescent="0.2">
      <c r="T131"/>
      <c r="U131"/>
      <c r="V131"/>
      <c r="W131"/>
    </row>
    <row r="132" spans="20:23" x14ac:dyDescent="0.2">
      <c r="T132"/>
      <c r="U132"/>
      <c r="V132"/>
      <c r="W132"/>
    </row>
    <row r="133" spans="20:23" x14ac:dyDescent="0.2">
      <c r="T133"/>
      <c r="U133"/>
      <c r="V133"/>
      <c r="W133"/>
    </row>
    <row r="134" spans="20:23" x14ac:dyDescent="0.2">
      <c r="T134"/>
      <c r="U134"/>
      <c r="V134"/>
      <c r="W134"/>
    </row>
    <row r="135" spans="20:23" x14ac:dyDescent="0.2">
      <c r="T135"/>
      <c r="U135"/>
      <c r="V135"/>
      <c r="W135"/>
    </row>
    <row r="136" spans="20:23" x14ac:dyDescent="0.2">
      <c r="T136"/>
      <c r="U136"/>
      <c r="V136"/>
      <c r="W136"/>
    </row>
    <row r="137" spans="20:23" x14ac:dyDescent="0.2">
      <c r="T137"/>
      <c r="U137"/>
      <c r="V137"/>
      <c r="W137"/>
    </row>
    <row r="138" spans="20:23" x14ac:dyDescent="0.2">
      <c r="T138"/>
      <c r="U138"/>
      <c r="V138"/>
      <c r="W138"/>
    </row>
    <row r="139" spans="20:23" x14ac:dyDescent="0.2">
      <c r="T139"/>
      <c r="U139"/>
      <c r="V139"/>
      <c r="W139"/>
    </row>
    <row r="140" spans="20:23" x14ac:dyDescent="0.2">
      <c r="T140"/>
      <c r="U140"/>
      <c r="V140"/>
      <c r="W140"/>
    </row>
    <row r="141" spans="20:23" x14ac:dyDescent="0.2">
      <c r="T141"/>
      <c r="U141"/>
      <c r="V141"/>
      <c r="W141"/>
    </row>
    <row r="142" spans="20:23" x14ac:dyDescent="0.2">
      <c r="T142"/>
      <c r="U142"/>
      <c r="V142"/>
      <c r="W142"/>
    </row>
    <row r="143" spans="20:23" x14ac:dyDescent="0.2">
      <c r="T143"/>
      <c r="U143"/>
      <c r="V143"/>
      <c r="W143"/>
    </row>
    <row r="144" spans="20:23" x14ac:dyDescent="0.2">
      <c r="T144"/>
      <c r="U144"/>
      <c r="V144"/>
      <c r="W144"/>
    </row>
    <row r="145" spans="20:23" x14ac:dyDescent="0.2">
      <c r="T145"/>
      <c r="U145"/>
      <c r="V145"/>
      <c r="W145"/>
    </row>
    <row r="146" spans="20:23" x14ac:dyDescent="0.2">
      <c r="T146"/>
      <c r="U146"/>
      <c r="V146"/>
      <c r="W146"/>
    </row>
    <row r="147" spans="20:23" x14ac:dyDescent="0.2">
      <c r="T147"/>
      <c r="U147"/>
      <c r="V147"/>
      <c r="W147"/>
    </row>
    <row r="148" spans="20:23" x14ac:dyDescent="0.2">
      <c r="T148"/>
      <c r="U148"/>
      <c r="V148"/>
      <c r="W148"/>
    </row>
    <row r="149" spans="20:23" x14ac:dyDescent="0.2">
      <c r="T149"/>
      <c r="U149"/>
      <c r="V149"/>
      <c r="W149"/>
    </row>
    <row r="150" spans="20:23" x14ac:dyDescent="0.2">
      <c r="T150"/>
      <c r="U150"/>
      <c r="V150"/>
      <c r="W150"/>
    </row>
    <row r="151" spans="20:23" x14ac:dyDescent="0.2">
      <c r="T151"/>
      <c r="U151"/>
      <c r="V151"/>
      <c r="W151"/>
    </row>
    <row r="152" spans="20:23" x14ac:dyDescent="0.2">
      <c r="T152"/>
      <c r="U152"/>
      <c r="V152"/>
      <c r="W152"/>
    </row>
    <row r="153" spans="20:23" x14ac:dyDescent="0.2">
      <c r="T153"/>
      <c r="U153"/>
      <c r="V153"/>
      <c r="W153"/>
    </row>
    <row r="154" spans="20:23" x14ac:dyDescent="0.2">
      <c r="T154"/>
      <c r="U154"/>
      <c r="V154"/>
      <c r="W154"/>
    </row>
    <row r="155" spans="20:23" x14ac:dyDescent="0.2">
      <c r="T155"/>
      <c r="U155"/>
      <c r="V155"/>
      <c r="W155"/>
    </row>
    <row r="156" spans="20:23" x14ac:dyDescent="0.2">
      <c r="T156"/>
      <c r="U156"/>
      <c r="V156"/>
      <c r="W156"/>
    </row>
    <row r="157" spans="20:23" x14ac:dyDescent="0.2">
      <c r="T157"/>
      <c r="U157"/>
      <c r="V157"/>
      <c r="W157"/>
    </row>
    <row r="158" spans="20:23" x14ac:dyDescent="0.2">
      <c r="T158"/>
      <c r="U158"/>
      <c r="V158"/>
      <c r="W158"/>
    </row>
    <row r="159" spans="20:23" x14ac:dyDescent="0.2">
      <c r="T159"/>
      <c r="U159"/>
      <c r="V159"/>
      <c r="W159"/>
    </row>
    <row r="160" spans="20:23" x14ac:dyDescent="0.2">
      <c r="T160"/>
      <c r="U160"/>
      <c r="V160"/>
      <c r="W160"/>
    </row>
    <row r="161" spans="20:23" x14ac:dyDescent="0.2">
      <c r="T161"/>
      <c r="U161"/>
      <c r="V161"/>
      <c r="W161"/>
    </row>
    <row r="162" spans="20:23" x14ac:dyDescent="0.2">
      <c r="T162"/>
      <c r="U162"/>
      <c r="V162"/>
      <c r="W162"/>
    </row>
    <row r="163" spans="20:23" x14ac:dyDescent="0.2">
      <c r="T163"/>
      <c r="U163"/>
      <c r="V163"/>
      <c r="W163"/>
    </row>
    <row r="164" spans="20:23" x14ac:dyDescent="0.2">
      <c r="T164"/>
      <c r="U164"/>
      <c r="V164"/>
      <c r="W164"/>
    </row>
    <row r="165" spans="20:23" x14ac:dyDescent="0.2">
      <c r="T165"/>
      <c r="U165"/>
      <c r="V165"/>
      <c r="W165"/>
    </row>
    <row r="166" spans="20:23" x14ac:dyDescent="0.2">
      <c r="T166"/>
      <c r="U166"/>
      <c r="V166"/>
      <c r="W166"/>
    </row>
    <row r="167" spans="20:23" x14ac:dyDescent="0.2">
      <c r="T167"/>
      <c r="U167"/>
      <c r="V167"/>
      <c r="W167"/>
    </row>
    <row r="168" spans="20:23" x14ac:dyDescent="0.2">
      <c r="T168"/>
      <c r="U168"/>
      <c r="V168"/>
      <c r="W168"/>
    </row>
    <row r="169" spans="20:23" x14ac:dyDescent="0.2">
      <c r="T169"/>
      <c r="U169"/>
      <c r="V169"/>
      <c r="W169"/>
    </row>
    <row r="170" spans="20:23" x14ac:dyDescent="0.2">
      <c r="T170"/>
      <c r="U170"/>
      <c r="V170"/>
      <c r="W170"/>
    </row>
    <row r="171" spans="20:23" x14ac:dyDescent="0.2">
      <c r="T171"/>
      <c r="U171"/>
      <c r="V171"/>
      <c r="W171"/>
    </row>
    <row r="172" spans="20:23" x14ac:dyDescent="0.2">
      <c r="T172"/>
      <c r="U172"/>
      <c r="V172"/>
      <c r="W172"/>
    </row>
    <row r="173" spans="20:23" x14ac:dyDescent="0.2">
      <c r="T173"/>
      <c r="U173"/>
      <c r="V173"/>
      <c r="W173"/>
    </row>
    <row r="174" spans="20:23" x14ac:dyDescent="0.2">
      <c r="T174"/>
      <c r="U174"/>
      <c r="V174"/>
      <c r="W174"/>
    </row>
    <row r="175" spans="20:23" x14ac:dyDescent="0.2">
      <c r="T175"/>
      <c r="U175"/>
      <c r="V175"/>
      <c r="W175"/>
    </row>
    <row r="176" spans="20:23" x14ac:dyDescent="0.2">
      <c r="T176"/>
      <c r="U176"/>
      <c r="V176"/>
      <c r="W176"/>
    </row>
    <row r="177" spans="20:23" x14ac:dyDescent="0.2">
      <c r="T177"/>
      <c r="U177"/>
      <c r="V177"/>
      <c r="W177"/>
    </row>
    <row r="178" spans="20:23" x14ac:dyDescent="0.2">
      <c r="T178"/>
      <c r="U178"/>
      <c r="V178"/>
      <c r="W178"/>
    </row>
    <row r="179" spans="20:23" x14ac:dyDescent="0.2">
      <c r="T179"/>
      <c r="U179"/>
      <c r="V179"/>
      <c r="W179"/>
    </row>
    <row r="180" spans="20:23" x14ac:dyDescent="0.2">
      <c r="T180"/>
      <c r="U180"/>
      <c r="V180"/>
      <c r="W180"/>
    </row>
    <row r="181" spans="20:23" x14ac:dyDescent="0.2">
      <c r="T181"/>
      <c r="U181"/>
      <c r="V181"/>
      <c r="W181"/>
    </row>
    <row r="182" spans="20:23" x14ac:dyDescent="0.2">
      <c r="T182"/>
      <c r="U182"/>
      <c r="V182"/>
      <c r="W182"/>
    </row>
    <row r="183" spans="20:23" x14ac:dyDescent="0.2">
      <c r="T183"/>
      <c r="U183"/>
      <c r="V183"/>
      <c r="W183"/>
    </row>
    <row r="184" spans="20:23" x14ac:dyDescent="0.2">
      <c r="T184"/>
      <c r="U184"/>
      <c r="V184"/>
      <c r="W184"/>
    </row>
    <row r="185" spans="20:23" x14ac:dyDescent="0.2">
      <c r="T185"/>
      <c r="U185"/>
      <c r="V185"/>
      <c r="W185"/>
    </row>
    <row r="186" spans="20:23" x14ac:dyDescent="0.2">
      <c r="T186"/>
      <c r="U186"/>
      <c r="V186"/>
      <c r="W186"/>
    </row>
    <row r="187" spans="20:23" x14ac:dyDescent="0.2">
      <c r="T187"/>
      <c r="U187"/>
      <c r="V187"/>
      <c r="W187"/>
    </row>
    <row r="188" spans="20:23" x14ac:dyDescent="0.2">
      <c r="T188"/>
      <c r="U188"/>
      <c r="V188"/>
      <c r="W188"/>
    </row>
    <row r="189" spans="20:23" x14ac:dyDescent="0.2">
      <c r="T189"/>
      <c r="U189"/>
      <c r="V189"/>
      <c r="W189"/>
    </row>
    <row r="190" spans="20:23" x14ac:dyDescent="0.2">
      <c r="T190"/>
      <c r="U190"/>
      <c r="V190"/>
      <c r="W190"/>
    </row>
    <row r="191" spans="20:23" x14ac:dyDescent="0.2">
      <c r="T191"/>
      <c r="U191"/>
      <c r="V191"/>
      <c r="W191"/>
    </row>
    <row r="192" spans="20:23" x14ac:dyDescent="0.2">
      <c r="T192"/>
      <c r="U192"/>
      <c r="V192"/>
      <c r="W192"/>
    </row>
    <row r="193" spans="20:23" x14ac:dyDescent="0.2">
      <c r="T193"/>
      <c r="U193"/>
      <c r="V193"/>
      <c r="W193"/>
    </row>
    <row r="194" spans="20:23" x14ac:dyDescent="0.2">
      <c r="T194"/>
      <c r="U194"/>
      <c r="V194"/>
      <c r="W194"/>
    </row>
    <row r="195" spans="20:23" x14ac:dyDescent="0.2">
      <c r="T195"/>
      <c r="U195"/>
      <c r="V195"/>
      <c r="W195"/>
    </row>
    <row r="196" spans="20:23" x14ac:dyDescent="0.2">
      <c r="T196"/>
      <c r="U196"/>
      <c r="V196"/>
      <c r="W196"/>
    </row>
    <row r="197" spans="20:23" x14ac:dyDescent="0.2">
      <c r="T197"/>
      <c r="U197"/>
      <c r="V197"/>
      <c r="W197"/>
    </row>
    <row r="198" spans="20:23" x14ac:dyDescent="0.2">
      <c r="T198"/>
      <c r="U198"/>
      <c r="V198"/>
      <c r="W198"/>
    </row>
    <row r="199" spans="20:23" x14ac:dyDescent="0.2">
      <c r="T199"/>
      <c r="U199"/>
      <c r="V199"/>
      <c r="W199"/>
    </row>
    <row r="200" spans="20:23" x14ac:dyDescent="0.2">
      <c r="T200"/>
      <c r="U200"/>
      <c r="V200"/>
      <c r="W200"/>
    </row>
    <row r="201" spans="20:23" x14ac:dyDescent="0.2">
      <c r="T201"/>
      <c r="U201"/>
      <c r="V201"/>
      <c r="W201"/>
    </row>
    <row r="202" spans="20:23" x14ac:dyDescent="0.2">
      <c r="T202"/>
      <c r="U202"/>
      <c r="V202"/>
      <c r="W202"/>
    </row>
    <row r="203" spans="20:23" x14ac:dyDescent="0.2">
      <c r="T203"/>
      <c r="U203"/>
      <c r="V203"/>
      <c r="W203"/>
    </row>
    <row r="204" spans="20:23" x14ac:dyDescent="0.2">
      <c r="T204"/>
      <c r="U204"/>
      <c r="V204"/>
      <c r="W204"/>
    </row>
    <row r="205" spans="20:23" x14ac:dyDescent="0.2">
      <c r="T205"/>
      <c r="U205"/>
      <c r="V205"/>
      <c r="W205"/>
    </row>
    <row r="206" spans="20:23" x14ac:dyDescent="0.2">
      <c r="T206"/>
      <c r="U206"/>
      <c r="V206"/>
      <c r="W206"/>
    </row>
    <row r="207" spans="20:23" x14ac:dyDescent="0.2">
      <c r="T207"/>
      <c r="U207"/>
      <c r="V207"/>
      <c r="W207"/>
    </row>
    <row r="208" spans="20:23" x14ac:dyDescent="0.2">
      <c r="T208"/>
      <c r="U208"/>
      <c r="V208"/>
      <c r="W208"/>
    </row>
    <row r="209" spans="20:23" x14ac:dyDescent="0.2">
      <c r="T209"/>
      <c r="U209"/>
      <c r="V209"/>
      <c r="W209"/>
    </row>
    <row r="210" spans="20:23" x14ac:dyDescent="0.2">
      <c r="T210"/>
      <c r="U210"/>
      <c r="V210"/>
      <c r="W210"/>
    </row>
    <row r="211" spans="20:23" x14ac:dyDescent="0.2">
      <c r="T211"/>
      <c r="U211"/>
      <c r="V211"/>
      <c r="W211"/>
    </row>
    <row r="212" spans="20:23" x14ac:dyDescent="0.2">
      <c r="T212"/>
      <c r="U212"/>
      <c r="V212"/>
      <c r="W212"/>
    </row>
    <row r="213" spans="20:23" x14ac:dyDescent="0.2">
      <c r="T213"/>
      <c r="U213"/>
      <c r="V213"/>
      <c r="W213"/>
    </row>
    <row r="214" spans="20:23" x14ac:dyDescent="0.2">
      <c r="T214"/>
      <c r="U214"/>
      <c r="V214"/>
      <c r="W214"/>
    </row>
    <row r="215" spans="20:23" x14ac:dyDescent="0.2">
      <c r="T215"/>
      <c r="U215"/>
      <c r="V215"/>
      <c r="W215"/>
    </row>
    <row r="216" spans="20:23" x14ac:dyDescent="0.2">
      <c r="T216"/>
      <c r="U216"/>
      <c r="V216"/>
      <c r="W216"/>
    </row>
    <row r="217" spans="20:23" x14ac:dyDescent="0.2">
      <c r="T217"/>
      <c r="U217"/>
      <c r="V217"/>
      <c r="W217"/>
    </row>
    <row r="218" spans="20:23" x14ac:dyDescent="0.2">
      <c r="T218"/>
      <c r="U218"/>
      <c r="V218"/>
      <c r="W218"/>
    </row>
    <row r="219" spans="20:23" x14ac:dyDescent="0.2">
      <c r="T219"/>
      <c r="U219"/>
      <c r="V219"/>
      <c r="W219"/>
    </row>
    <row r="220" spans="20:23" x14ac:dyDescent="0.2">
      <c r="T220"/>
      <c r="U220"/>
      <c r="V220"/>
      <c r="W220"/>
    </row>
    <row r="221" spans="20:23" x14ac:dyDescent="0.2">
      <c r="T221"/>
      <c r="U221"/>
      <c r="V221"/>
      <c r="W221"/>
    </row>
    <row r="222" spans="20:23" x14ac:dyDescent="0.2">
      <c r="T222"/>
      <c r="U222"/>
      <c r="V222"/>
      <c r="W222"/>
    </row>
    <row r="223" spans="20:23" x14ac:dyDescent="0.2">
      <c r="T223"/>
      <c r="U223"/>
      <c r="V223"/>
      <c r="W223"/>
    </row>
    <row r="224" spans="20:23" x14ac:dyDescent="0.2">
      <c r="T224"/>
      <c r="U224"/>
      <c r="V224"/>
      <c r="W224"/>
    </row>
    <row r="225" spans="20:23" x14ac:dyDescent="0.2">
      <c r="T225"/>
      <c r="U225"/>
      <c r="V225"/>
      <c r="W225"/>
    </row>
    <row r="226" spans="20:23" x14ac:dyDescent="0.2">
      <c r="T226"/>
      <c r="U226"/>
      <c r="V226"/>
      <c r="W226"/>
    </row>
    <row r="227" spans="20:23" x14ac:dyDescent="0.2">
      <c r="T227"/>
      <c r="U227"/>
      <c r="V227"/>
      <c r="W227"/>
    </row>
    <row r="228" spans="20:23" x14ac:dyDescent="0.2">
      <c r="T228"/>
      <c r="U228"/>
      <c r="V228"/>
      <c r="W228"/>
    </row>
    <row r="229" spans="20:23" x14ac:dyDescent="0.2">
      <c r="T229"/>
      <c r="U229"/>
      <c r="V229"/>
      <c r="W229"/>
    </row>
    <row r="230" spans="20:23" x14ac:dyDescent="0.2">
      <c r="T230"/>
      <c r="U230"/>
      <c r="V230"/>
      <c r="W230"/>
    </row>
    <row r="231" spans="20:23" x14ac:dyDescent="0.2">
      <c r="T231"/>
      <c r="U231"/>
      <c r="V231"/>
      <c r="W231"/>
    </row>
    <row r="232" spans="20:23" x14ac:dyDescent="0.2">
      <c r="T232"/>
      <c r="U232"/>
      <c r="V232"/>
      <c r="W232"/>
    </row>
    <row r="233" spans="20:23" x14ac:dyDescent="0.2">
      <c r="T233"/>
      <c r="U233"/>
      <c r="V233"/>
      <c r="W233"/>
    </row>
    <row r="234" spans="20:23" x14ac:dyDescent="0.2">
      <c r="T234"/>
      <c r="U234"/>
      <c r="V234"/>
      <c r="W234"/>
    </row>
    <row r="235" spans="20:23" x14ac:dyDescent="0.2">
      <c r="T235"/>
      <c r="U235"/>
      <c r="V235"/>
      <c r="W235"/>
    </row>
    <row r="236" spans="20:23" x14ac:dyDescent="0.2">
      <c r="T236"/>
      <c r="U236"/>
      <c r="V236"/>
      <c r="W236"/>
    </row>
    <row r="237" spans="20:23" x14ac:dyDescent="0.2">
      <c r="T237"/>
      <c r="U237"/>
      <c r="V237"/>
      <c r="W237"/>
    </row>
    <row r="238" spans="20:23" x14ac:dyDescent="0.2">
      <c r="T238"/>
      <c r="U238"/>
      <c r="V238"/>
      <c r="W238"/>
    </row>
    <row r="239" spans="20:23" x14ac:dyDescent="0.2">
      <c r="T239"/>
      <c r="U239"/>
      <c r="V239"/>
      <c r="W239"/>
    </row>
    <row r="240" spans="20:23" x14ac:dyDescent="0.2">
      <c r="T240"/>
      <c r="U240"/>
      <c r="V240"/>
      <c r="W240"/>
    </row>
    <row r="241" spans="20:23" x14ac:dyDescent="0.2">
      <c r="T241"/>
      <c r="U241"/>
      <c r="V241"/>
      <c r="W241"/>
    </row>
    <row r="242" spans="20:23" x14ac:dyDescent="0.2">
      <c r="T242"/>
      <c r="U242"/>
      <c r="V242"/>
      <c r="W242"/>
    </row>
    <row r="243" spans="20:23" x14ac:dyDescent="0.2">
      <c r="T243"/>
      <c r="U243"/>
      <c r="V243"/>
      <c r="W243"/>
    </row>
    <row r="244" spans="20:23" x14ac:dyDescent="0.2">
      <c r="T244"/>
      <c r="U244"/>
      <c r="V244"/>
      <c r="W244"/>
    </row>
    <row r="245" spans="20:23" x14ac:dyDescent="0.2">
      <c r="T245"/>
      <c r="U245"/>
      <c r="V245"/>
      <c r="W245"/>
    </row>
    <row r="246" spans="20:23" x14ac:dyDescent="0.2">
      <c r="T246"/>
      <c r="U246"/>
      <c r="V246"/>
      <c r="W246"/>
    </row>
    <row r="247" spans="20:23" x14ac:dyDescent="0.2">
      <c r="T247"/>
      <c r="U247"/>
      <c r="V247"/>
      <c r="W247"/>
    </row>
    <row r="248" spans="20:23" x14ac:dyDescent="0.2">
      <c r="T248"/>
      <c r="U248"/>
      <c r="V248"/>
      <c r="W248"/>
    </row>
    <row r="249" spans="20:23" x14ac:dyDescent="0.2">
      <c r="T249"/>
      <c r="U249"/>
      <c r="V249"/>
      <c r="W249"/>
    </row>
    <row r="250" spans="20:23" x14ac:dyDescent="0.2">
      <c r="T250"/>
      <c r="U250"/>
      <c r="V250"/>
      <c r="W250"/>
    </row>
    <row r="251" spans="20:23" x14ac:dyDescent="0.2">
      <c r="T251"/>
      <c r="U251"/>
      <c r="V251"/>
      <c r="W251"/>
    </row>
    <row r="252" spans="20:23" x14ac:dyDescent="0.2">
      <c r="T252"/>
      <c r="U252"/>
      <c r="V252"/>
      <c r="W252"/>
    </row>
    <row r="253" spans="20:23" x14ac:dyDescent="0.2">
      <c r="T253"/>
      <c r="U253"/>
      <c r="V253"/>
      <c r="W253"/>
    </row>
    <row r="254" spans="20:23" x14ac:dyDescent="0.2">
      <c r="T254"/>
      <c r="U254"/>
      <c r="V254"/>
      <c r="W254"/>
    </row>
    <row r="255" spans="20:23" x14ac:dyDescent="0.2">
      <c r="T255"/>
      <c r="U255"/>
      <c r="V255"/>
      <c r="W255"/>
    </row>
    <row r="256" spans="20:23" x14ac:dyDescent="0.2">
      <c r="T256"/>
      <c r="U256"/>
      <c r="V256"/>
      <c r="W256"/>
    </row>
    <row r="257" spans="20:23" x14ac:dyDescent="0.2">
      <c r="T257"/>
      <c r="U257"/>
      <c r="V257"/>
      <c r="W257"/>
    </row>
    <row r="258" spans="20:23" x14ac:dyDescent="0.2">
      <c r="T258"/>
      <c r="U258"/>
      <c r="V258"/>
      <c r="W258"/>
    </row>
    <row r="259" spans="20:23" x14ac:dyDescent="0.2">
      <c r="T259"/>
      <c r="U259"/>
      <c r="V259"/>
      <c r="W259"/>
    </row>
    <row r="260" spans="20:23" x14ac:dyDescent="0.2">
      <c r="T260"/>
      <c r="U260"/>
      <c r="V260"/>
      <c r="W260"/>
    </row>
    <row r="261" spans="20:23" x14ac:dyDescent="0.2">
      <c r="T261"/>
      <c r="U261"/>
      <c r="V261"/>
      <c r="W261"/>
    </row>
    <row r="262" spans="20:23" x14ac:dyDescent="0.2">
      <c r="T262"/>
      <c r="U262"/>
      <c r="V262"/>
      <c r="W262"/>
    </row>
    <row r="263" spans="20:23" x14ac:dyDescent="0.2">
      <c r="T263"/>
      <c r="U263"/>
      <c r="V263"/>
    </row>
    <row r="264" spans="20:23" x14ac:dyDescent="0.2">
      <c r="T264"/>
      <c r="U264"/>
      <c r="V264"/>
    </row>
    <row r="265" spans="20:23" x14ac:dyDescent="0.2">
      <c r="T265"/>
      <c r="U265"/>
      <c r="V265"/>
    </row>
    <row r="266" spans="20:23" x14ac:dyDescent="0.2">
      <c r="T266"/>
      <c r="U266"/>
      <c r="V266"/>
    </row>
    <row r="267" spans="20:23" x14ac:dyDescent="0.2">
      <c r="T267"/>
      <c r="U267"/>
      <c r="V267"/>
    </row>
    <row r="268" spans="20:23" x14ac:dyDescent="0.2">
      <c r="T268"/>
      <c r="U268"/>
      <c r="V268"/>
    </row>
    <row r="269" spans="20:23" x14ac:dyDescent="0.2">
      <c r="T269"/>
      <c r="U269"/>
      <c r="V269"/>
    </row>
    <row r="270" spans="20:23" x14ac:dyDescent="0.2">
      <c r="T270"/>
      <c r="U270"/>
      <c r="V270"/>
    </row>
    <row r="271" spans="20:23" x14ac:dyDescent="0.2">
      <c r="T271"/>
      <c r="U271"/>
      <c r="V271"/>
    </row>
    <row r="272" spans="20:23" x14ac:dyDescent="0.2">
      <c r="T272"/>
      <c r="U272"/>
      <c r="V272"/>
    </row>
    <row r="273" spans="20:22" x14ac:dyDescent="0.2">
      <c r="T273"/>
      <c r="U273"/>
      <c r="V273"/>
    </row>
    <row r="274" spans="20:22" x14ac:dyDescent="0.2">
      <c r="T274"/>
      <c r="U274"/>
      <c r="V274"/>
    </row>
    <row r="275" spans="20:22" x14ac:dyDescent="0.2">
      <c r="T275"/>
      <c r="U275"/>
      <c r="V275"/>
    </row>
    <row r="276" spans="20:22" x14ac:dyDescent="0.2">
      <c r="T276"/>
      <c r="U276"/>
      <c r="V276"/>
    </row>
    <row r="277" spans="20:22" x14ac:dyDescent="0.2">
      <c r="T277"/>
      <c r="U277"/>
      <c r="V277"/>
    </row>
    <row r="278" spans="20:22" x14ac:dyDescent="0.2">
      <c r="T278"/>
      <c r="U278"/>
      <c r="V278"/>
    </row>
    <row r="279" spans="20:22" x14ac:dyDescent="0.2">
      <c r="T279"/>
      <c r="U279"/>
      <c r="V279"/>
    </row>
    <row r="280" spans="20:22" x14ac:dyDescent="0.2">
      <c r="T280"/>
      <c r="U280"/>
      <c r="V280"/>
    </row>
    <row r="281" spans="20:22" x14ac:dyDescent="0.2">
      <c r="T281"/>
      <c r="U281"/>
      <c r="V281"/>
    </row>
    <row r="282" spans="20:22" x14ac:dyDescent="0.2">
      <c r="T282"/>
      <c r="U282"/>
      <c r="V282"/>
    </row>
    <row r="283" spans="20:22" x14ac:dyDescent="0.2">
      <c r="T283"/>
      <c r="U283"/>
      <c r="V283"/>
    </row>
    <row r="284" spans="20:22" x14ac:dyDescent="0.2">
      <c r="T284"/>
      <c r="U284"/>
      <c r="V284"/>
    </row>
    <row r="285" spans="20:22" x14ac:dyDescent="0.2">
      <c r="T285"/>
      <c r="U285"/>
      <c r="V285"/>
    </row>
    <row r="286" spans="20:22" x14ac:dyDescent="0.2">
      <c r="T286"/>
      <c r="U286"/>
      <c r="V286"/>
    </row>
    <row r="287" spans="20:22" x14ac:dyDescent="0.2">
      <c r="T287"/>
      <c r="U287"/>
      <c r="V287"/>
    </row>
    <row r="288" spans="20:22" x14ac:dyDescent="0.2">
      <c r="T288"/>
      <c r="U288"/>
      <c r="V288"/>
    </row>
    <row r="289" spans="20:22" x14ac:dyDescent="0.2">
      <c r="T289"/>
      <c r="U289"/>
      <c r="V289"/>
    </row>
    <row r="290" spans="20:22" x14ac:dyDescent="0.2">
      <c r="T290"/>
      <c r="U290"/>
      <c r="V290"/>
    </row>
    <row r="291" spans="20:22" x14ac:dyDescent="0.2">
      <c r="T291"/>
      <c r="U291"/>
      <c r="V291"/>
    </row>
    <row r="292" spans="20:22" x14ac:dyDescent="0.2">
      <c r="T292"/>
      <c r="U292"/>
      <c r="V292"/>
    </row>
    <row r="293" spans="20:22" x14ac:dyDescent="0.2">
      <c r="T293"/>
      <c r="U293"/>
      <c r="V293"/>
    </row>
    <row r="294" spans="20:22" x14ac:dyDescent="0.2">
      <c r="T294"/>
      <c r="U294"/>
      <c r="V294"/>
    </row>
    <row r="295" spans="20:22" x14ac:dyDescent="0.2">
      <c r="T295"/>
      <c r="U295"/>
      <c r="V295"/>
    </row>
    <row r="296" spans="20:22" x14ac:dyDescent="0.2">
      <c r="T296"/>
      <c r="U296"/>
      <c r="V296"/>
    </row>
    <row r="297" spans="20:22" x14ac:dyDescent="0.2">
      <c r="T297"/>
      <c r="U297"/>
      <c r="V297"/>
    </row>
    <row r="298" spans="20:22" x14ac:dyDescent="0.2">
      <c r="T298"/>
      <c r="U298"/>
      <c r="V298"/>
    </row>
    <row r="299" spans="20:22" x14ac:dyDescent="0.2">
      <c r="T299"/>
      <c r="U299"/>
      <c r="V299"/>
    </row>
    <row r="300" spans="20:22" x14ac:dyDescent="0.2">
      <c r="T300"/>
      <c r="U300"/>
      <c r="V300"/>
    </row>
    <row r="301" spans="20:22" x14ac:dyDescent="0.2">
      <c r="T301"/>
      <c r="U301"/>
      <c r="V301"/>
    </row>
    <row r="302" spans="20:22" x14ac:dyDescent="0.2">
      <c r="T302"/>
      <c r="U302"/>
      <c r="V302"/>
    </row>
    <row r="303" spans="20:22" x14ac:dyDescent="0.2">
      <c r="T303"/>
      <c r="U303"/>
      <c r="V303"/>
    </row>
    <row r="304" spans="20:22" x14ac:dyDescent="0.2">
      <c r="T304"/>
      <c r="U304"/>
      <c r="V304"/>
    </row>
    <row r="305" spans="20:22" x14ac:dyDescent="0.2">
      <c r="T305"/>
      <c r="U305"/>
      <c r="V305"/>
    </row>
    <row r="306" spans="20:22" x14ac:dyDescent="0.2">
      <c r="T306"/>
      <c r="U306"/>
      <c r="V306"/>
    </row>
    <row r="307" spans="20:22" x14ac:dyDescent="0.2">
      <c r="T307"/>
      <c r="U307"/>
      <c r="V307"/>
    </row>
    <row r="308" spans="20:22" x14ac:dyDescent="0.2">
      <c r="T308"/>
      <c r="U308"/>
      <c r="V308"/>
    </row>
    <row r="309" spans="20:22" x14ac:dyDescent="0.2">
      <c r="T309"/>
      <c r="U309"/>
      <c r="V309"/>
    </row>
    <row r="310" spans="20:22" x14ac:dyDescent="0.2">
      <c r="T310"/>
      <c r="U310"/>
      <c r="V310"/>
    </row>
    <row r="311" spans="20:22" x14ac:dyDescent="0.2">
      <c r="T311"/>
      <c r="U311"/>
      <c r="V311"/>
    </row>
    <row r="312" spans="20:22" x14ac:dyDescent="0.2">
      <c r="T312"/>
      <c r="U312"/>
      <c r="V312"/>
    </row>
    <row r="313" spans="20:22" x14ac:dyDescent="0.2">
      <c r="T313"/>
      <c r="U313"/>
      <c r="V313"/>
    </row>
    <row r="314" spans="20:22" x14ac:dyDescent="0.2">
      <c r="T314"/>
      <c r="U314"/>
      <c r="V314"/>
    </row>
    <row r="315" spans="20:22" x14ac:dyDescent="0.2">
      <c r="T315"/>
      <c r="U315"/>
    </row>
    <row r="316" spans="20:22" x14ac:dyDescent="0.2">
      <c r="T316"/>
      <c r="U316"/>
    </row>
    <row r="317" spans="20:22" x14ac:dyDescent="0.2">
      <c r="T317"/>
      <c r="U317"/>
    </row>
    <row r="318" spans="20:22" x14ac:dyDescent="0.2">
      <c r="T318"/>
      <c r="U318"/>
    </row>
    <row r="319" spans="20:22" x14ac:dyDescent="0.2">
      <c r="T319"/>
      <c r="U319"/>
    </row>
    <row r="320" spans="20:22" x14ac:dyDescent="0.2">
      <c r="T320"/>
    </row>
    <row r="321" spans="20:20" x14ac:dyDescent="0.2">
      <c r="T321"/>
    </row>
    <row r="322" spans="20:20" x14ac:dyDescent="0.2">
      <c r="T322"/>
    </row>
    <row r="323" spans="20:20" x14ac:dyDescent="0.2">
      <c r="T323"/>
    </row>
  </sheetData>
  <phoneticPr fontId="78" type="noConversion"/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23</vt:i4>
      </vt:variant>
    </vt:vector>
  </HeadingPairs>
  <TitlesOfParts>
    <vt:vector size="37" baseType="lpstr">
      <vt:lpstr>Cover</vt:lpstr>
      <vt:lpstr>Summary</vt:lpstr>
      <vt:lpstr>Assumptions</vt:lpstr>
      <vt:lpstr>Option1 (base case)</vt:lpstr>
      <vt:lpstr>Option2</vt:lpstr>
      <vt:lpstr>Option3</vt:lpstr>
      <vt:lpstr>Option4</vt:lpstr>
      <vt:lpstr>Option5</vt:lpstr>
      <vt:lpstr>Consol</vt:lpstr>
      <vt:lpstr>Sensitivity_calcs</vt:lpstr>
      <vt:lpstr>Workings_costs</vt:lpstr>
      <vt:lpstr>Workings_risks</vt:lpstr>
      <vt:lpstr>Misc_calcs</vt:lpstr>
      <vt:lpstr>Data</vt:lpstr>
      <vt:lpstr>bus</vt:lpstr>
      <vt:lpstr>compliance</vt:lpstr>
      <vt:lpstr>conv_2026</vt:lpstr>
      <vt:lpstr>custval_date</vt:lpstr>
      <vt:lpstr>CY_years</vt:lpstr>
      <vt:lpstr>first_year</vt:lpstr>
      <vt:lpstr>hy_dates</vt:lpstr>
      <vt:lpstr>hy_escalation</vt:lpstr>
      <vt:lpstr>input_dollars</vt:lpstr>
      <vt:lpstr>mill_conv</vt:lpstr>
      <vt:lpstr>options</vt:lpstr>
      <vt:lpstr>output_dollars</vt:lpstr>
      <vt:lpstr>preferred</vt:lpstr>
      <vt:lpstr>Assumptions!Print_Area</vt:lpstr>
      <vt:lpstr>proj</vt:lpstr>
      <vt:lpstr>real_disc</vt:lpstr>
      <vt:lpstr>sheets</vt:lpstr>
      <vt:lpstr>start</vt:lpstr>
      <vt:lpstr>start_year</vt:lpstr>
      <vt:lpstr>thous_conv</vt:lpstr>
      <vt:lpstr>vcr_date</vt:lpstr>
      <vt:lpstr>vcr_esc</vt:lpstr>
      <vt:lpstr>years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2024-12-11T01:31:08Z</dcterms:created>
  <dcterms:modified xsi:type="dcterms:W3CDTF">2025-01-30T01:17:33Z</dcterms:modified>
</cp:coreProperties>
</file>