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A6740B3-CBB0-4687-9B72-FCA9F465BA2B}" xr6:coauthVersionLast="47" xr6:coauthVersionMax="47" xr10:uidLastSave="{00000000-0000-0000-0000-000000000000}"/>
  <bookViews>
    <workbookView xWindow="-110" yWindow="-110" windowWidth="19420" windowHeight="10300" tabRatio="684" xr2:uid="{00000000-000D-0000-FFFF-FFFF00000000}"/>
  </bookViews>
  <sheets>
    <sheet name="Cover" sheetId="86" r:id="rId1"/>
    <sheet name="Summary" sheetId="33" r:id="rId2"/>
    <sheet name="Assumptions" sheetId="43" r:id="rId3"/>
    <sheet name="Option1 (base case)" sheetId="68" r:id="rId4"/>
    <sheet name="Option2" sheetId="81" r:id="rId5"/>
    <sheet name="Option3" sheetId="72" r:id="rId6"/>
    <sheet name="Option4" sheetId="73" r:id="rId7"/>
    <sheet name="Option5" sheetId="82" r:id="rId8"/>
    <sheet name="Consol" sheetId="75" r:id="rId9"/>
    <sheet name="Sensitivity_calcs" sheetId="85" r:id="rId10"/>
    <sheet name="Workings_costs" sheetId="87" r:id="rId11"/>
    <sheet name="Workings_risks" sheetId="90" r:id="rId12"/>
    <sheet name="Workings_benefits" sheetId="91" r:id="rId13"/>
    <sheet name="Microgrid_reliability" sheetId="93" r:id="rId14"/>
    <sheet name="Misc_calcs" sheetId="62" r:id="rId15"/>
    <sheet name="Data" sheetId="47" r:id="rId16"/>
  </sheets>
  <definedNames>
    <definedName name="bus">Assumptions!$E$6</definedName>
    <definedName name="bushfire_outage_duration">Workings_benefits!$G$101</definedName>
    <definedName name="compliance">Data!$E$16</definedName>
    <definedName name="conv_2026">Misc_calcs!$D$19</definedName>
    <definedName name="custval_date">Assumptions!$G$34</definedName>
    <definedName name="CY_years">Misc_calcs!$H$6:$M$6</definedName>
    <definedName name="first_year">Misc_calcs!$C$38</definedName>
    <definedName name="hy_dates">Misc_calcs!$H$11:$R$11</definedName>
    <definedName name="hy_escalation">Misc_calcs!$H$15:$R$15</definedName>
    <definedName name="input_dollars">Assumptions!$G$27</definedName>
    <definedName name="list">list_start:OFFSET(list_start, 0,0,count, 1)</definedName>
    <definedName name="mill_conv">Data!$C$71</definedName>
    <definedName name="options">Data!$B$9:$B$13</definedName>
    <definedName name="output_dollars">Assumptions!$G$33</definedName>
    <definedName name="preferred">Summary!$C$18</definedName>
    <definedName name="_xlnm.Print_Area" localSheetId="2">Assumptions!$A$1:$P$130</definedName>
    <definedName name="proj">Assumptions!$E$8</definedName>
    <definedName name="real_disc">Assumptions!$G$28</definedName>
    <definedName name="sheets">Cover!$A$40</definedName>
    <definedName name="start">Assumptions!$E$22</definedName>
    <definedName name="start_year">Misc_calcs!$C$25</definedName>
    <definedName name="thous_conv">Data!$C$70</definedName>
    <definedName name="vcr_date">Assumptions!$G$29</definedName>
    <definedName name="vcr_esc">Misc_calcs!$D$23</definedName>
    <definedName name="years">Assumptions!$G$31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86" l="1"/>
  <c r="A2" i="93"/>
  <c r="A1" i="93"/>
  <c r="J14" i="73"/>
  <c r="K14" i="73"/>
  <c r="L14" i="73"/>
  <c r="I14" i="73"/>
  <c r="J50" i="72"/>
  <c r="K50" i="72"/>
  <c r="L50" i="72"/>
  <c r="M50" i="72"/>
  <c r="N50" i="72"/>
  <c r="O50" i="72"/>
  <c r="P50" i="72"/>
  <c r="Q50" i="72"/>
  <c r="R50" i="72"/>
  <c r="S50" i="72"/>
  <c r="T50" i="72"/>
  <c r="U50" i="72"/>
  <c r="V50" i="72"/>
  <c r="W50" i="72"/>
  <c r="X50" i="72"/>
  <c r="Y50" i="72"/>
  <c r="Z50" i="72"/>
  <c r="AA50" i="72"/>
  <c r="AB50" i="72"/>
  <c r="AC50" i="72"/>
  <c r="AD50" i="72"/>
  <c r="AE50" i="72"/>
  <c r="AF50" i="72"/>
  <c r="AG50" i="72"/>
  <c r="J51" i="72"/>
  <c r="K51" i="72"/>
  <c r="L51" i="72"/>
  <c r="M51" i="72"/>
  <c r="N51" i="72"/>
  <c r="O51" i="72"/>
  <c r="P51" i="72"/>
  <c r="Q51" i="72"/>
  <c r="R51" i="72"/>
  <c r="S51" i="72"/>
  <c r="T51" i="72"/>
  <c r="U51" i="72"/>
  <c r="V51" i="72"/>
  <c r="W51" i="72"/>
  <c r="X51" i="72"/>
  <c r="Y51" i="72"/>
  <c r="Z51" i="72"/>
  <c r="AA51" i="72"/>
  <c r="AB51" i="72"/>
  <c r="AC51" i="72"/>
  <c r="AD51" i="72"/>
  <c r="AE51" i="72"/>
  <c r="AF51" i="72"/>
  <c r="AG51" i="72"/>
  <c r="I50" i="72"/>
  <c r="I51" i="72"/>
  <c r="D48" i="90" l="1"/>
  <c r="R63" i="93"/>
  <c r="R62" i="93"/>
  <c r="R61" i="93"/>
  <c r="R60" i="93"/>
  <c r="R59" i="93"/>
  <c r="R58" i="93"/>
  <c r="R57" i="93"/>
  <c r="R56" i="93"/>
  <c r="R55" i="93"/>
  <c r="R54" i="93"/>
  <c r="R53" i="93"/>
  <c r="R52" i="93"/>
  <c r="R51" i="93"/>
  <c r="R50" i="93"/>
  <c r="R49" i="93"/>
  <c r="R48" i="93"/>
  <c r="R47" i="93"/>
  <c r="R46" i="93"/>
  <c r="R45" i="93"/>
  <c r="R44" i="93"/>
  <c r="R43" i="93"/>
  <c r="R42" i="93"/>
  <c r="R41" i="93"/>
  <c r="R40" i="93"/>
  <c r="R39" i="93"/>
  <c r="R38" i="93"/>
  <c r="R37" i="93"/>
  <c r="R36" i="93"/>
  <c r="R35" i="93"/>
  <c r="R34" i="93"/>
  <c r="R33" i="93"/>
  <c r="R32" i="93"/>
  <c r="R31" i="93"/>
  <c r="R30" i="93"/>
  <c r="R29" i="93"/>
  <c r="X28" i="93"/>
  <c r="R28" i="93"/>
  <c r="X27" i="93"/>
  <c r="R27" i="93"/>
  <c r="R26" i="93"/>
  <c r="R25" i="93"/>
  <c r="R24" i="93"/>
  <c r="R23" i="93"/>
  <c r="X22" i="93"/>
  <c r="R22" i="93"/>
  <c r="X21" i="93"/>
  <c r="X25" i="93" s="1"/>
  <c r="R21" i="93"/>
  <c r="X20" i="93"/>
  <c r="X24" i="93" s="1"/>
  <c r="R20" i="93"/>
  <c r="X19" i="93"/>
  <c r="R19" i="93"/>
  <c r="R18" i="93"/>
  <c r="R17" i="93"/>
  <c r="R16" i="93"/>
  <c r="R15" i="93"/>
  <c r="R14" i="93"/>
  <c r="X13" i="93"/>
  <c r="X14" i="93" s="1"/>
  <c r="X15" i="93" s="1"/>
  <c r="R13" i="93"/>
  <c r="R12" i="93"/>
  <c r="R11" i="93"/>
  <c r="R10" i="93"/>
  <c r="R9" i="93"/>
  <c r="R8" i="93"/>
  <c r="X7" i="93"/>
  <c r="D46" i="90" s="1"/>
  <c r="R7" i="93"/>
  <c r="I60" i="90" l="1"/>
  <c r="AB60" i="90"/>
  <c r="AD60" i="90"/>
  <c r="AE60" i="90"/>
  <c r="AF60" i="90"/>
  <c r="J60" i="90"/>
  <c r="AG60" i="90"/>
  <c r="K60" i="90"/>
  <c r="Q60" i="90"/>
  <c r="L60" i="90"/>
  <c r="R60" i="90"/>
  <c r="M60" i="90"/>
  <c r="S60" i="90"/>
  <c r="N60" i="90"/>
  <c r="T60" i="90"/>
  <c r="O60" i="90"/>
  <c r="U60" i="90"/>
  <c r="P60" i="90"/>
  <c r="V60" i="90"/>
  <c r="X60" i="90"/>
  <c r="AC60" i="90"/>
  <c r="W60" i="90"/>
  <c r="Y60" i="90"/>
  <c r="Z60" i="90"/>
  <c r="AA60" i="90"/>
  <c r="M14" i="81" l="1"/>
  <c r="N14" i="81"/>
  <c r="O14" i="81"/>
  <c r="P14" i="81"/>
  <c r="Q14" i="81"/>
  <c r="R14" i="81"/>
  <c r="S14" i="81"/>
  <c r="T14" i="81"/>
  <c r="U14" i="81"/>
  <c r="V14" i="81"/>
  <c r="W14" i="81"/>
  <c r="X14" i="81"/>
  <c r="Y14" i="81"/>
  <c r="Z14" i="81"/>
  <c r="AA14" i="81"/>
  <c r="AB14" i="81"/>
  <c r="AC14" i="81"/>
  <c r="AD14" i="81"/>
  <c r="AE14" i="81"/>
  <c r="AF14" i="81"/>
  <c r="AG14" i="81"/>
  <c r="G87" i="91"/>
  <c r="G83" i="91"/>
  <c r="G79" i="91"/>
  <c r="G78" i="91"/>
  <c r="M64" i="91"/>
  <c r="H69" i="91" s="1"/>
  <c r="L64" i="91"/>
  <c r="I69" i="91" s="1"/>
  <c r="K64" i="91"/>
  <c r="H68" i="91" s="1"/>
  <c r="J64" i="91"/>
  <c r="I68" i="91" s="1"/>
  <c r="H33" i="91"/>
  <c r="H41" i="91" s="1"/>
  <c r="H47" i="91" s="1"/>
  <c r="G33" i="91"/>
  <c r="G41" i="91" s="1"/>
  <c r="G47" i="91" s="1"/>
  <c r="F33" i="91"/>
  <c r="F41" i="91" s="1"/>
  <c r="F47" i="91" s="1"/>
  <c r="H32" i="91"/>
  <c r="H40" i="91" s="1"/>
  <c r="H46" i="91" s="1"/>
  <c r="G32" i="91"/>
  <c r="G40" i="91" s="1"/>
  <c r="G46" i="91" s="1"/>
  <c r="F32" i="91"/>
  <c r="F40" i="91" s="1"/>
  <c r="F46" i="91" s="1"/>
  <c r="H25" i="91"/>
  <c r="H34" i="91" s="1"/>
  <c r="H42" i="91" s="1"/>
  <c r="H48" i="91" s="1"/>
  <c r="G25" i="91"/>
  <c r="G34" i="91" s="1"/>
  <c r="G42" i="91" s="1"/>
  <c r="G48" i="91" s="1"/>
  <c r="H24" i="91"/>
  <c r="G24" i="91"/>
  <c r="F24" i="91"/>
  <c r="F25" i="91" s="1"/>
  <c r="F34" i="91" s="1"/>
  <c r="F42" i="91" s="1"/>
  <c r="F48" i="91" s="1"/>
  <c r="H23" i="91"/>
  <c r="G23" i="91"/>
  <c r="F23" i="91"/>
  <c r="A2" i="91"/>
  <c r="A1" i="91"/>
  <c r="I29" i="90"/>
  <c r="H29" i="90"/>
  <c r="I28" i="90"/>
  <c r="H28" i="90"/>
  <c r="I24" i="90"/>
  <c r="H24" i="90"/>
  <c r="I23" i="90"/>
  <c r="H23" i="90"/>
  <c r="K23" i="90" s="1"/>
  <c r="A2" i="90"/>
  <c r="A1" i="90"/>
  <c r="J29" i="90" l="1"/>
  <c r="G91" i="91"/>
  <c r="J28" i="90"/>
  <c r="J24" i="90"/>
  <c r="J23" i="90"/>
  <c r="H73" i="91"/>
  <c r="J68" i="91"/>
  <c r="H74" i="91"/>
  <c r="J69" i="91"/>
  <c r="K33" i="90"/>
  <c r="K24" i="90"/>
  <c r="M23" i="90" s="1"/>
  <c r="K34" i="90"/>
  <c r="K28" i="90"/>
  <c r="K68" i="91"/>
  <c r="I73" i="91"/>
  <c r="K29" i="90"/>
  <c r="K69" i="91"/>
  <c r="I74" i="91"/>
  <c r="W27" i="68" l="1"/>
  <c r="R57" i="90"/>
  <c r="Y27" i="68"/>
  <c r="T57" i="90"/>
  <c r="U57" i="90"/>
  <c r="V57" i="90"/>
  <c r="W57" i="90"/>
  <c r="X57" i="90"/>
  <c r="J27" i="68"/>
  <c r="Y57" i="90"/>
  <c r="K27" i="68"/>
  <c r="L27" i="68"/>
  <c r="AA57" i="90"/>
  <c r="M27" i="68"/>
  <c r="N27" i="68"/>
  <c r="AC57" i="90"/>
  <c r="O27" i="68"/>
  <c r="AD57" i="90"/>
  <c r="P27" i="68"/>
  <c r="Q27" i="68"/>
  <c r="AF57" i="90"/>
  <c r="R27" i="68"/>
  <c r="AG57" i="90"/>
  <c r="S27" i="68"/>
  <c r="I57" i="90"/>
  <c r="T27" i="68"/>
  <c r="U27" i="68"/>
  <c r="V27" i="68"/>
  <c r="X27" i="68"/>
  <c r="S57" i="90"/>
  <c r="Z27" i="68"/>
  <c r="AA27" i="68"/>
  <c r="AB27" i="68"/>
  <c r="AC27" i="68"/>
  <c r="AD27" i="68"/>
  <c r="AE27" i="68"/>
  <c r="AF27" i="68"/>
  <c r="AB57" i="90"/>
  <c r="AE57" i="90"/>
  <c r="M57" i="90"/>
  <c r="O57" i="90"/>
  <c r="P57" i="90"/>
  <c r="Z57" i="90"/>
  <c r="AG27" i="68"/>
  <c r="I27" i="68"/>
  <c r="J57" i="90"/>
  <c r="K57" i="90"/>
  <c r="L57" i="90"/>
  <c r="N57" i="90"/>
  <c r="Q57" i="90"/>
  <c r="K74" i="91"/>
  <c r="I79" i="91"/>
  <c r="K79" i="91" s="1"/>
  <c r="I78" i="91"/>
  <c r="K78" i="91" s="1"/>
  <c r="K73" i="91"/>
  <c r="K83" i="91"/>
  <c r="L69" i="91"/>
  <c r="H79" i="91"/>
  <c r="J79" i="91" s="1"/>
  <c r="J74" i="91"/>
  <c r="L68" i="91"/>
  <c r="J83" i="91"/>
  <c r="J73" i="91"/>
  <c r="H78" i="91"/>
  <c r="J78" i="91" s="1"/>
  <c r="L74" i="91" l="1"/>
  <c r="L83" i="91"/>
  <c r="L79" i="91"/>
  <c r="K91" i="91"/>
  <c r="I96" i="91"/>
  <c r="K87" i="91"/>
  <c r="L78" i="91"/>
  <c r="J91" i="91"/>
  <c r="L91" i="91" s="1"/>
  <c r="H96" i="91" s="1"/>
  <c r="L73" i="91"/>
  <c r="J87" i="91"/>
  <c r="L87" i="91" s="1"/>
  <c r="G43" i="43"/>
  <c r="E45" i="73" s="1"/>
  <c r="E52" i="82"/>
  <c r="E51" i="82"/>
  <c r="E50" i="82"/>
  <c r="E49" i="82"/>
  <c r="E48" i="82"/>
  <c r="E47" i="82"/>
  <c r="E46" i="82"/>
  <c r="E45" i="82"/>
  <c r="E52" i="73"/>
  <c r="E51" i="73"/>
  <c r="E50" i="73"/>
  <c r="E49" i="73"/>
  <c r="E48" i="73"/>
  <c r="E47" i="73"/>
  <c r="E46" i="73"/>
  <c r="E52" i="72"/>
  <c r="E51" i="72"/>
  <c r="E50" i="72"/>
  <c r="E49" i="72"/>
  <c r="E48" i="72"/>
  <c r="E47" i="72"/>
  <c r="E46" i="72"/>
  <c r="E52" i="68"/>
  <c r="E51" i="68"/>
  <c r="E50" i="68"/>
  <c r="E49" i="68"/>
  <c r="E48" i="68"/>
  <c r="E47" i="68"/>
  <c r="E46" i="68"/>
  <c r="E47" i="81"/>
  <c r="E48" i="81"/>
  <c r="E49" i="81"/>
  <c r="E50" i="81"/>
  <c r="E46" i="81"/>
  <c r="E51" i="81"/>
  <c r="E52" i="81"/>
  <c r="H30" i="87"/>
  <c r="H29" i="87"/>
  <c r="H28" i="87"/>
  <c r="H27" i="87"/>
  <c r="H26" i="87"/>
  <c r="H25" i="87"/>
  <c r="A2" i="87"/>
  <c r="A1" i="87"/>
  <c r="I9" i="68"/>
  <c r="E45" i="68" l="1"/>
  <c r="AC46" i="73"/>
  <c r="Z47" i="73"/>
  <c r="W48" i="73"/>
  <c r="T49" i="73"/>
  <c r="J47" i="73"/>
  <c r="AE46" i="73"/>
  <c r="AF46" i="73"/>
  <c r="AG46" i="73"/>
  <c r="K47" i="73"/>
  <c r="L47" i="73"/>
  <c r="P49" i="73"/>
  <c r="Q49" i="73"/>
  <c r="U48" i="73"/>
  <c r="V48" i="73"/>
  <c r="AD46" i="73"/>
  <c r="AA47" i="73"/>
  <c r="X48" i="73"/>
  <c r="U49" i="73"/>
  <c r="J46" i="73"/>
  <c r="K46" i="73"/>
  <c r="AB47" i="73"/>
  <c r="Y48" i="73"/>
  <c r="V49" i="73"/>
  <c r="L46" i="73"/>
  <c r="AC47" i="73"/>
  <c r="Z48" i="73"/>
  <c r="W49" i="73"/>
  <c r="M46" i="73"/>
  <c r="AD47" i="73"/>
  <c r="AA48" i="73"/>
  <c r="X49" i="73"/>
  <c r="N46" i="73"/>
  <c r="AE47" i="73"/>
  <c r="AB48" i="73"/>
  <c r="Y49" i="73"/>
  <c r="O46" i="73"/>
  <c r="AF47" i="73"/>
  <c r="AC48" i="73"/>
  <c r="Z49" i="73"/>
  <c r="P46" i="73"/>
  <c r="M47" i="73"/>
  <c r="AG47" i="73"/>
  <c r="AD48" i="73"/>
  <c r="AA49" i="73"/>
  <c r="S48" i="73"/>
  <c r="Z46" i="73"/>
  <c r="AA46" i="73"/>
  <c r="J49" i="73"/>
  <c r="AB46" i="73"/>
  <c r="S49" i="73"/>
  <c r="J48" i="73"/>
  <c r="Q46" i="73"/>
  <c r="N47" i="73"/>
  <c r="K48" i="73"/>
  <c r="AE48" i="73"/>
  <c r="AB49" i="73"/>
  <c r="V47" i="73"/>
  <c r="W47" i="73"/>
  <c r="X47" i="73"/>
  <c r="Y47" i="73"/>
  <c r="R46" i="73"/>
  <c r="O47" i="73"/>
  <c r="L48" i="73"/>
  <c r="AF48" i="73"/>
  <c r="AC49" i="73"/>
  <c r="S46" i="73"/>
  <c r="P47" i="73"/>
  <c r="M48" i="73"/>
  <c r="AG48" i="73"/>
  <c r="AD49" i="73"/>
  <c r="T46" i="73"/>
  <c r="Q47" i="73"/>
  <c r="N48" i="73"/>
  <c r="K49" i="73"/>
  <c r="AE49" i="73"/>
  <c r="U46" i="73"/>
  <c r="R47" i="73"/>
  <c r="O48" i="73"/>
  <c r="L49" i="73"/>
  <c r="AF49" i="73"/>
  <c r="V46" i="73"/>
  <c r="S47" i="73"/>
  <c r="P48" i="73"/>
  <c r="M49" i="73"/>
  <c r="AG49" i="73"/>
  <c r="W46" i="73"/>
  <c r="T47" i="73"/>
  <c r="Q48" i="73"/>
  <c r="N49" i="73"/>
  <c r="X46" i="73"/>
  <c r="U47" i="73"/>
  <c r="R48" i="73"/>
  <c r="O49" i="73"/>
  <c r="Y46" i="73"/>
  <c r="T48" i="73"/>
  <c r="R49" i="73"/>
  <c r="AB27" i="73"/>
  <c r="AC27" i="73"/>
  <c r="J27" i="73"/>
  <c r="AD27" i="73"/>
  <c r="K27" i="73"/>
  <c r="AE27" i="73"/>
  <c r="L27" i="73"/>
  <c r="AF27" i="73"/>
  <c r="M27" i="73"/>
  <c r="AG27" i="73"/>
  <c r="N27" i="73"/>
  <c r="I27" i="73"/>
  <c r="O27" i="73"/>
  <c r="Y27" i="73"/>
  <c r="Z27" i="73"/>
  <c r="AA27" i="73"/>
  <c r="P27" i="73"/>
  <c r="Q27" i="73"/>
  <c r="R27" i="73"/>
  <c r="S27" i="73"/>
  <c r="T27" i="73"/>
  <c r="U27" i="73"/>
  <c r="V27" i="73"/>
  <c r="W27" i="73"/>
  <c r="X27" i="73"/>
  <c r="H9" i="68"/>
  <c r="H9" i="75" s="1"/>
  <c r="H5" i="75" s="1"/>
  <c r="I9" i="72"/>
  <c r="E45" i="72"/>
  <c r="E45" i="81"/>
  <c r="G96" i="91"/>
  <c r="H31" i="87"/>
  <c r="C25" i="62"/>
  <c r="A2" i="43"/>
  <c r="Q45" i="73" l="1"/>
  <c r="R45" i="73"/>
  <c r="S45" i="73"/>
  <c r="T45" i="73"/>
  <c r="U45" i="73"/>
  <c r="V45" i="73"/>
  <c r="W45" i="73"/>
  <c r="X45" i="73"/>
  <c r="N45" i="73"/>
  <c r="J45" i="73"/>
  <c r="O45" i="73"/>
  <c r="P45" i="73"/>
  <c r="Y45" i="73"/>
  <c r="Z45" i="73"/>
  <c r="AA45" i="73"/>
  <c r="AB45" i="73"/>
  <c r="AC45" i="73"/>
  <c r="AD45" i="73"/>
  <c r="K45" i="73"/>
  <c r="AE45" i="73"/>
  <c r="L45" i="73"/>
  <c r="AF45" i="73"/>
  <c r="M45" i="73"/>
  <c r="AG45" i="73"/>
  <c r="C123" i="43"/>
  <c r="C124" i="43"/>
  <c r="C125" i="43"/>
  <c r="C126" i="43"/>
  <c r="C127" i="43"/>
  <c r="A92" i="85" l="1"/>
  <c r="A93" i="85"/>
  <c r="A94" i="85"/>
  <c r="A95" i="85"/>
  <c r="A96" i="85"/>
  <c r="A97" i="85"/>
  <c r="A98" i="85"/>
  <c r="A91" i="85"/>
  <c r="B92" i="85"/>
  <c r="B93" i="85"/>
  <c r="B94" i="85"/>
  <c r="B95" i="85"/>
  <c r="B96" i="85"/>
  <c r="B97" i="85"/>
  <c r="B98" i="85"/>
  <c r="B91" i="85"/>
  <c r="G106" i="82"/>
  <c r="G106" i="73"/>
  <c r="G106" i="72"/>
  <c r="G106" i="81"/>
  <c r="G106" i="68"/>
  <c r="E117" i="82"/>
  <c r="D117" i="82"/>
  <c r="C117" i="82"/>
  <c r="A117" i="82"/>
  <c r="G117" i="82" s="1"/>
  <c r="E116" i="82"/>
  <c r="D116" i="82"/>
  <c r="C116" i="82"/>
  <c r="A116" i="82"/>
  <c r="G116" i="82" s="1"/>
  <c r="E115" i="82"/>
  <c r="D115" i="82"/>
  <c r="C115" i="82"/>
  <c r="A115" i="82"/>
  <c r="G115" i="82" s="1"/>
  <c r="E114" i="82"/>
  <c r="D114" i="82"/>
  <c r="C114" i="82"/>
  <c r="A114" i="82"/>
  <c r="G114" i="82" s="1"/>
  <c r="E113" i="82"/>
  <c r="D113" i="82"/>
  <c r="C113" i="82"/>
  <c r="A113" i="82"/>
  <c r="G113" i="82" s="1"/>
  <c r="E112" i="82"/>
  <c r="D112" i="82"/>
  <c r="C112" i="82"/>
  <c r="A112" i="82"/>
  <c r="G112" i="82" s="1"/>
  <c r="E111" i="82"/>
  <c r="D111" i="82"/>
  <c r="C111" i="82"/>
  <c r="A111" i="82"/>
  <c r="G111" i="82" s="1"/>
  <c r="E110" i="82"/>
  <c r="D110" i="82"/>
  <c r="C110" i="82"/>
  <c r="A110" i="82"/>
  <c r="G110" i="82" s="1"/>
  <c r="E109" i="82"/>
  <c r="D109" i="82"/>
  <c r="E117" i="73"/>
  <c r="D117" i="73"/>
  <c r="C117" i="73"/>
  <c r="A117" i="73"/>
  <c r="G117" i="73" s="1"/>
  <c r="E116" i="73"/>
  <c r="D116" i="73"/>
  <c r="C116" i="73"/>
  <c r="A116" i="73"/>
  <c r="G116" i="73" s="1"/>
  <c r="E115" i="73"/>
  <c r="D115" i="73"/>
  <c r="C115" i="73"/>
  <c r="A115" i="73"/>
  <c r="G115" i="73" s="1"/>
  <c r="E114" i="73"/>
  <c r="D114" i="73"/>
  <c r="C114" i="73"/>
  <c r="A114" i="73"/>
  <c r="G114" i="73" s="1"/>
  <c r="E113" i="73"/>
  <c r="D113" i="73"/>
  <c r="C113" i="73"/>
  <c r="A113" i="73"/>
  <c r="G113" i="73" s="1"/>
  <c r="E112" i="73"/>
  <c r="D112" i="73"/>
  <c r="C112" i="73"/>
  <c r="A112" i="73"/>
  <c r="G112" i="73" s="1"/>
  <c r="E111" i="73"/>
  <c r="D111" i="73"/>
  <c r="C111" i="73"/>
  <c r="A111" i="73"/>
  <c r="G111" i="73" s="1"/>
  <c r="E110" i="73"/>
  <c r="D110" i="73"/>
  <c r="C110" i="73"/>
  <c r="A110" i="73"/>
  <c r="G110" i="73" s="1"/>
  <c r="E109" i="73"/>
  <c r="D109" i="73"/>
  <c r="E117" i="72"/>
  <c r="D117" i="72"/>
  <c r="C117" i="72"/>
  <c r="A117" i="72"/>
  <c r="G117" i="72" s="1"/>
  <c r="E116" i="72"/>
  <c r="D116" i="72"/>
  <c r="C116" i="72"/>
  <c r="A116" i="72"/>
  <c r="G116" i="72" s="1"/>
  <c r="E115" i="72"/>
  <c r="D115" i="72"/>
  <c r="C115" i="72"/>
  <c r="A115" i="72"/>
  <c r="G115" i="72" s="1"/>
  <c r="E114" i="72"/>
  <c r="D114" i="72"/>
  <c r="C114" i="72"/>
  <c r="A114" i="72"/>
  <c r="G114" i="72" s="1"/>
  <c r="E113" i="72"/>
  <c r="D113" i="72"/>
  <c r="C113" i="72"/>
  <c r="A113" i="72"/>
  <c r="G113" i="72" s="1"/>
  <c r="E112" i="72"/>
  <c r="D112" i="72"/>
  <c r="C112" i="72"/>
  <c r="A112" i="72"/>
  <c r="G112" i="72" s="1"/>
  <c r="E111" i="72"/>
  <c r="D111" i="72"/>
  <c r="C111" i="72"/>
  <c r="A111" i="72"/>
  <c r="G111" i="72" s="1"/>
  <c r="E110" i="72"/>
  <c r="D110" i="72"/>
  <c r="C110" i="72"/>
  <c r="A110" i="72"/>
  <c r="G110" i="72" s="1"/>
  <c r="E109" i="72"/>
  <c r="D109" i="72"/>
  <c r="E117" i="68"/>
  <c r="D117" i="68"/>
  <c r="C117" i="68"/>
  <c r="A117" i="68"/>
  <c r="G117" i="68" s="1"/>
  <c r="E116" i="68"/>
  <c r="D116" i="68"/>
  <c r="C116" i="68"/>
  <c r="A116" i="68"/>
  <c r="G116" i="68" s="1"/>
  <c r="E115" i="68"/>
  <c r="D115" i="68"/>
  <c r="C115" i="68"/>
  <c r="A115" i="68"/>
  <c r="G115" i="68" s="1"/>
  <c r="E114" i="68"/>
  <c r="D114" i="68"/>
  <c r="C114" i="68"/>
  <c r="A114" i="68"/>
  <c r="G114" i="68" s="1"/>
  <c r="E113" i="68"/>
  <c r="D113" i="68"/>
  <c r="C113" i="68"/>
  <c r="A113" i="68"/>
  <c r="G113" i="68" s="1"/>
  <c r="E112" i="68"/>
  <c r="D112" i="68"/>
  <c r="C112" i="68"/>
  <c r="A112" i="68"/>
  <c r="G112" i="68" s="1"/>
  <c r="E111" i="68"/>
  <c r="D111" i="68"/>
  <c r="C111" i="68"/>
  <c r="A111" i="68"/>
  <c r="G111" i="68" s="1"/>
  <c r="E110" i="68"/>
  <c r="D110" i="68"/>
  <c r="C110" i="68"/>
  <c r="A110" i="68"/>
  <c r="G110" i="68" s="1"/>
  <c r="E109" i="68"/>
  <c r="D109" i="68"/>
  <c r="A111" i="81"/>
  <c r="A112" i="81"/>
  <c r="A113" i="81"/>
  <c r="A114" i="81"/>
  <c r="A115" i="81"/>
  <c r="A116" i="81"/>
  <c r="A117" i="81"/>
  <c r="A110" i="81"/>
  <c r="E109" i="81"/>
  <c r="D109" i="81"/>
  <c r="C117" i="81"/>
  <c r="C116" i="81"/>
  <c r="C115" i="81"/>
  <c r="D115" i="81"/>
  <c r="E115" i="81"/>
  <c r="D116" i="81"/>
  <c r="E116" i="81"/>
  <c r="D117" i="81"/>
  <c r="E117" i="81"/>
  <c r="E114" i="81"/>
  <c r="D114" i="81"/>
  <c r="E113" i="81"/>
  <c r="D113" i="81"/>
  <c r="E112" i="81"/>
  <c r="D112" i="81"/>
  <c r="E111" i="81"/>
  <c r="D111" i="81"/>
  <c r="E110" i="81"/>
  <c r="D110" i="81"/>
  <c r="J77" i="68" l="1"/>
  <c r="K77" i="68"/>
  <c r="L77" i="68"/>
  <c r="M77" i="68"/>
  <c r="N77" i="68"/>
  <c r="O77" i="68"/>
  <c r="P77" i="68"/>
  <c r="Q77" i="68"/>
  <c r="R77" i="68"/>
  <c r="S77" i="68"/>
  <c r="T77" i="68"/>
  <c r="U77" i="68"/>
  <c r="V77" i="68"/>
  <c r="W77" i="68"/>
  <c r="X77" i="68"/>
  <c r="Y77" i="68"/>
  <c r="Z77" i="68"/>
  <c r="AA77" i="68"/>
  <c r="AB77" i="68"/>
  <c r="AC77" i="68"/>
  <c r="AD77" i="68"/>
  <c r="AE77" i="68"/>
  <c r="AF77" i="68"/>
  <c r="AG77" i="68"/>
  <c r="J78" i="68"/>
  <c r="K78" i="68"/>
  <c r="L78" i="68"/>
  <c r="M78" i="68"/>
  <c r="N78" i="68"/>
  <c r="O78" i="68"/>
  <c r="P78" i="68"/>
  <c r="Q78" i="68"/>
  <c r="R78" i="68"/>
  <c r="S78" i="68"/>
  <c r="T78" i="68"/>
  <c r="U78" i="68"/>
  <c r="V78" i="68"/>
  <c r="W78" i="68"/>
  <c r="X78" i="68"/>
  <c r="Y78" i="68"/>
  <c r="Z78" i="68"/>
  <c r="AA78" i="68"/>
  <c r="AB78" i="68"/>
  <c r="AC78" i="68"/>
  <c r="AD78" i="68"/>
  <c r="AE78" i="68"/>
  <c r="AF78" i="68"/>
  <c r="AG78" i="68"/>
  <c r="J79" i="68"/>
  <c r="K79" i="68"/>
  <c r="L79" i="68"/>
  <c r="M79" i="68"/>
  <c r="N79" i="68"/>
  <c r="O79" i="68"/>
  <c r="P79" i="68"/>
  <c r="Q79" i="68"/>
  <c r="R79" i="68"/>
  <c r="S79" i="68"/>
  <c r="T79" i="68"/>
  <c r="U79" i="68"/>
  <c r="V79" i="68"/>
  <c r="W79" i="68"/>
  <c r="X79" i="68"/>
  <c r="Y79" i="68"/>
  <c r="Z79" i="68"/>
  <c r="AA79" i="68"/>
  <c r="AB79" i="68"/>
  <c r="AC79" i="68"/>
  <c r="AD79" i="68"/>
  <c r="AE79" i="68"/>
  <c r="AF79" i="68"/>
  <c r="AG79" i="68"/>
  <c r="I79" i="68"/>
  <c r="I78" i="68"/>
  <c r="I77" i="68"/>
  <c r="J77" i="82"/>
  <c r="K77" i="82"/>
  <c r="L77" i="82"/>
  <c r="M77" i="82"/>
  <c r="N77" i="82"/>
  <c r="O77" i="82"/>
  <c r="P77" i="82"/>
  <c r="Q77" i="82"/>
  <c r="R77" i="82"/>
  <c r="S77" i="82"/>
  <c r="T77" i="82"/>
  <c r="U77" i="82"/>
  <c r="V77" i="82"/>
  <c r="W77" i="82"/>
  <c r="X77" i="82"/>
  <c r="Y77" i="82"/>
  <c r="Z77" i="82"/>
  <c r="AA77" i="82"/>
  <c r="AB77" i="82"/>
  <c r="AC77" i="82"/>
  <c r="AD77" i="82"/>
  <c r="AE77" i="82"/>
  <c r="AF77" i="82"/>
  <c r="AG77" i="82"/>
  <c r="J78" i="82"/>
  <c r="K78" i="82"/>
  <c r="L78" i="82"/>
  <c r="M78" i="82"/>
  <c r="N78" i="82"/>
  <c r="O78" i="82"/>
  <c r="P78" i="82"/>
  <c r="Q78" i="82"/>
  <c r="R78" i="82"/>
  <c r="S78" i="82"/>
  <c r="T78" i="82"/>
  <c r="U78" i="82"/>
  <c r="V78" i="82"/>
  <c r="W78" i="82"/>
  <c r="X78" i="82"/>
  <c r="Y78" i="82"/>
  <c r="Z78" i="82"/>
  <c r="AA78" i="82"/>
  <c r="AB78" i="82"/>
  <c r="AC78" i="82"/>
  <c r="AD78" i="82"/>
  <c r="AE78" i="82"/>
  <c r="AF78" i="82"/>
  <c r="AG78" i="82"/>
  <c r="J79" i="82"/>
  <c r="K79" i="82"/>
  <c r="L79" i="82"/>
  <c r="M79" i="82"/>
  <c r="N79" i="82"/>
  <c r="O79" i="82"/>
  <c r="P79" i="82"/>
  <c r="Q79" i="82"/>
  <c r="R79" i="82"/>
  <c r="S79" i="82"/>
  <c r="T79" i="82"/>
  <c r="U79" i="82"/>
  <c r="V79" i="82"/>
  <c r="W79" i="82"/>
  <c r="X79" i="82"/>
  <c r="Y79" i="82"/>
  <c r="Z79" i="82"/>
  <c r="AA79" i="82"/>
  <c r="AB79" i="82"/>
  <c r="AC79" i="82"/>
  <c r="AD79" i="82"/>
  <c r="AE79" i="82"/>
  <c r="AF79" i="82"/>
  <c r="AG79" i="82"/>
  <c r="I79" i="82"/>
  <c r="I78" i="82"/>
  <c r="I77" i="82"/>
  <c r="J78" i="73"/>
  <c r="K78" i="73"/>
  <c r="L78" i="73"/>
  <c r="M78" i="73"/>
  <c r="N78" i="73"/>
  <c r="O78" i="73"/>
  <c r="P78" i="73"/>
  <c r="Q78" i="73"/>
  <c r="R78" i="73"/>
  <c r="S78" i="73"/>
  <c r="T78" i="73"/>
  <c r="U78" i="73"/>
  <c r="V78" i="73"/>
  <c r="W78" i="73"/>
  <c r="X78" i="73"/>
  <c r="Y78" i="73"/>
  <c r="Z78" i="73"/>
  <c r="AA78" i="73"/>
  <c r="AB78" i="73"/>
  <c r="AC78" i="73"/>
  <c r="AD78" i="73"/>
  <c r="AE78" i="73"/>
  <c r="AF78" i="73"/>
  <c r="AG78" i="73"/>
  <c r="J79" i="73"/>
  <c r="K79" i="73"/>
  <c r="L79" i="73"/>
  <c r="M79" i="73"/>
  <c r="N79" i="73"/>
  <c r="O79" i="73"/>
  <c r="P79" i="73"/>
  <c r="Q79" i="73"/>
  <c r="R79" i="73"/>
  <c r="S79" i="73"/>
  <c r="T79" i="73"/>
  <c r="U79" i="73"/>
  <c r="V79" i="73"/>
  <c r="W79" i="73"/>
  <c r="X79" i="73"/>
  <c r="Y79" i="73"/>
  <c r="Z79" i="73"/>
  <c r="AA79" i="73"/>
  <c r="AB79" i="73"/>
  <c r="AC79" i="73"/>
  <c r="AD79" i="73"/>
  <c r="AE79" i="73"/>
  <c r="AF79" i="73"/>
  <c r="AG79" i="73"/>
  <c r="I79" i="73"/>
  <c r="I78" i="73"/>
  <c r="I77" i="73"/>
  <c r="J79" i="72"/>
  <c r="K79" i="72"/>
  <c r="L79" i="72"/>
  <c r="M79" i="72"/>
  <c r="N79" i="72"/>
  <c r="O79" i="72"/>
  <c r="P79" i="72"/>
  <c r="Q79" i="72"/>
  <c r="R79" i="72"/>
  <c r="S79" i="72"/>
  <c r="T79" i="72"/>
  <c r="U79" i="72"/>
  <c r="V79" i="72"/>
  <c r="W79" i="72"/>
  <c r="X79" i="72"/>
  <c r="Y79" i="72"/>
  <c r="Z79" i="72"/>
  <c r="AA79" i="72"/>
  <c r="AB79" i="72"/>
  <c r="AC79" i="72"/>
  <c r="AD79" i="72"/>
  <c r="AE79" i="72"/>
  <c r="AF79" i="72"/>
  <c r="AG79" i="72"/>
  <c r="I79" i="72"/>
  <c r="I78" i="72"/>
  <c r="I77" i="72"/>
  <c r="J79" i="81"/>
  <c r="K79" i="81"/>
  <c r="L79" i="81"/>
  <c r="M79" i="81"/>
  <c r="N79" i="81"/>
  <c r="O79" i="81"/>
  <c r="P79" i="81"/>
  <c r="Q79" i="81"/>
  <c r="R79" i="81"/>
  <c r="S79" i="81"/>
  <c r="T79" i="81"/>
  <c r="U79" i="81"/>
  <c r="V79" i="81"/>
  <c r="W79" i="81"/>
  <c r="X79" i="81"/>
  <c r="Y79" i="81"/>
  <c r="Z79" i="81"/>
  <c r="AA79" i="81"/>
  <c r="AB79" i="81"/>
  <c r="AC79" i="81"/>
  <c r="AD79" i="81"/>
  <c r="AE79" i="81"/>
  <c r="AF79" i="81"/>
  <c r="AG79" i="81"/>
  <c r="I79" i="81"/>
  <c r="I78" i="81"/>
  <c r="I77" i="81"/>
  <c r="H9" i="85"/>
  <c r="H98" i="75"/>
  <c r="R108" i="47"/>
  <c r="R109" i="47" s="1"/>
  <c r="R110" i="47" s="1"/>
  <c r="R111" i="47" s="1"/>
  <c r="R112" i="47" s="1"/>
  <c r="R113" i="47" s="1"/>
  <c r="D66" i="33" l="1"/>
  <c r="E16" i="47"/>
  <c r="F9" i="47" s="1"/>
  <c r="C22" i="85" l="1"/>
  <c r="C20" i="85"/>
  <c r="C18" i="85"/>
  <c r="C16" i="85"/>
  <c r="D76" i="33"/>
  <c r="C67" i="33"/>
  <c r="C89" i="85" a="1"/>
  <c r="C89" i="85" s="1"/>
  <c r="F66" i="33" s="1"/>
  <c r="C72" i="33"/>
  <c r="C74" i="33"/>
  <c r="H40" i="85"/>
  <c r="G37" i="75"/>
  <c r="D14" i="85"/>
  <c r="D70" i="85"/>
  <c r="D56" i="85"/>
  <c r="C78" i="85"/>
  <c r="C76" i="85"/>
  <c r="C74" i="85"/>
  <c r="C72" i="85"/>
  <c r="C64" i="85"/>
  <c r="C62" i="85"/>
  <c r="C60" i="85"/>
  <c r="C58" i="85"/>
  <c r="C50" i="85"/>
  <c r="C48" i="85"/>
  <c r="C46" i="85"/>
  <c r="C44" i="85"/>
  <c r="D42" i="85"/>
  <c r="B65" i="85" l="1"/>
  <c r="D65" i="85" s="1"/>
  <c r="B59" i="85"/>
  <c r="D59" i="85" s="1"/>
  <c r="B75" i="85"/>
  <c r="D75" i="85" s="1"/>
  <c r="B61" i="85"/>
  <c r="D61" i="85" s="1"/>
  <c r="B62" i="85"/>
  <c r="D62" i="85" s="1"/>
  <c r="K74" i="33"/>
  <c r="D75" i="33"/>
  <c r="H66" i="33"/>
  <c r="I66" i="33"/>
  <c r="J66" i="33"/>
  <c r="G66" i="33"/>
  <c r="B76" i="85"/>
  <c r="D76" i="85" s="1"/>
  <c r="B73" i="85"/>
  <c r="D73" i="85" s="1"/>
  <c r="B63" i="85"/>
  <c r="D63" i="85" s="1"/>
  <c r="B60" i="85"/>
  <c r="D60" i="85" s="1"/>
  <c r="B64" i="85"/>
  <c r="D64" i="85" s="1"/>
  <c r="B77" i="85"/>
  <c r="D77" i="85" s="1"/>
  <c r="B74" i="85"/>
  <c r="D74" i="85" s="1"/>
  <c r="B78" i="85"/>
  <c r="D78" i="85" s="1"/>
  <c r="B79" i="85"/>
  <c r="D79" i="85" s="1"/>
  <c r="B58" i="85"/>
  <c r="D58" i="85" s="1"/>
  <c r="B72" i="85"/>
  <c r="D72" i="85" s="1"/>
  <c r="C112" i="81"/>
  <c r="C114" i="81"/>
  <c r="C36" i="85"/>
  <c r="C110" i="81"/>
  <c r="C23" i="85"/>
  <c r="C21" i="85"/>
  <c r="C30" i="85" l="1"/>
  <c r="C32" i="85"/>
  <c r="C34" i="85"/>
  <c r="C19" i="85"/>
  <c r="C111" i="81"/>
  <c r="C17" i="85"/>
  <c r="C68" i="33"/>
  <c r="C70" i="33"/>
  <c r="C113" i="81"/>
  <c r="C61" i="85"/>
  <c r="C47" i="85"/>
  <c r="C75" i="85"/>
  <c r="C63" i="85"/>
  <c r="C49" i="85"/>
  <c r="C77" i="85"/>
  <c r="C45" i="85"/>
  <c r="C73" i="85"/>
  <c r="C59" i="85"/>
  <c r="C35" i="85"/>
  <c r="C51" i="85"/>
  <c r="C65" i="85"/>
  <c r="C79" i="85"/>
  <c r="C37" i="85"/>
  <c r="G70" i="75"/>
  <c r="G56" i="75"/>
  <c r="G42" i="75"/>
  <c r="G28" i="75"/>
  <c r="G14" i="75"/>
  <c r="C31" i="85" l="1"/>
  <c r="C33" i="85"/>
  <c r="C73" i="33"/>
  <c r="A6" i="85"/>
  <c r="A2" i="85"/>
  <c r="A1" i="85"/>
  <c r="C71" i="33" l="1"/>
  <c r="C69" i="33"/>
  <c r="C21" i="62"/>
  <c r="B74" i="62"/>
  <c r="C67" i="62"/>
  <c r="C66" i="62"/>
  <c r="C65" i="62"/>
  <c r="C62" i="62"/>
  <c r="C63" i="62"/>
  <c r="C61" i="62"/>
  <c r="C58" i="62"/>
  <c r="C59" i="62"/>
  <c r="C57" i="62"/>
  <c r="C55" i="62"/>
  <c r="C54" i="62"/>
  <c r="C53" i="62"/>
  <c r="C51" i="62"/>
  <c r="C50" i="62"/>
  <c r="C49" i="62"/>
  <c r="A1" i="81"/>
  <c r="A2" i="81"/>
  <c r="A1" i="68"/>
  <c r="A2" i="68"/>
  <c r="A2" i="72"/>
  <c r="A2" i="73"/>
  <c r="A2" i="82"/>
  <c r="A1" i="72"/>
  <c r="A1" i="73"/>
  <c r="A1" i="82"/>
  <c r="A1" i="75"/>
  <c r="A2" i="75"/>
  <c r="E9" i="47"/>
  <c r="I6" i="68"/>
  <c r="C9" i="33" a="1"/>
  <c r="C9" i="33" s="1"/>
  <c r="D65" i="62" l="1"/>
  <c r="C4" i="82" s="1"/>
  <c r="D57" i="62"/>
  <c r="C4" i="72" s="1"/>
  <c r="D53" i="62"/>
  <c r="C4" i="81" s="1"/>
  <c r="D61" i="62"/>
  <c r="C4" i="73" s="1"/>
  <c r="D49" i="62"/>
  <c r="C4" i="68" s="1"/>
  <c r="D92" i="75"/>
  <c r="D9" i="47" l="1"/>
  <c r="A6" i="75"/>
  <c r="I6" i="75" l="1"/>
  <c r="I6" i="85" s="1"/>
  <c r="H6" i="75"/>
  <c r="H6" i="85" s="1"/>
  <c r="H11" i="85" s="1" a="1"/>
  <c r="H11" i="85" s="1"/>
  <c r="G17" i="33"/>
  <c r="D29" i="33"/>
  <c r="I8" i="33"/>
  <c r="H8" i="33"/>
  <c r="A15" i="75"/>
  <c r="A29" i="75"/>
  <c r="A43" i="75"/>
  <c r="A57" i="75"/>
  <c r="A71" i="75"/>
  <c r="AG17" i="81"/>
  <c r="AF17" i="81"/>
  <c r="AE17" i="81"/>
  <c r="AD17" i="81"/>
  <c r="AC17" i="81"/>
  <c r="AB17" i="81"/>
  <c r="AA17" i="81"/>
  <c r="Z17" i="81"/>
  <c r="Y17" i="81"/>
  <c r="X17" i="81"/>
  <c r="W17" i="81"/>
  <c r="V17" i="81"/>
  <c r="U17" i="81"/>
  <c r="T17" i="81"/>
  <c r="S17" i="81"/>
  <c r="R17" i="81"/>
  <c r="Q17" i="81"/>
  <c r="P17" i="81"/>
  <c r="O17" i="81"/>
  <c r="N17" i="81"/>
  <c r="M17" i="81"/>
  <c r="L17" i="81"/>
  <c r="K17" i="81"/>
  <c r="J17" i="81"/>
  <c r="I17" i="81"/>
  <c r="AG31" i="82" a="1"/>
  <c r="AG31" i="82" s="1"/>
  <c r="AF31" i="82" a="1"/>
  <c r="AF31" i="82" s="1"/>
  <c r="AE31" i="82" a="1"/>
  <c r="AE31" i="82" s="1"/>
  <c r="AD31" i="82" a="1"/>
  <c r="AD31" i="82" s="1"/>
  <c r="AC31" i="82" a="1"/>
  <c r="AC31" i="82" s="1"/>
  <c r="AB31" i="82" a="1"/>
  <c r="AB31" i="82" s="1"/>
  <c r="AA31" i="82" a="1"/>
  <c r="AA31" i="82" s="1"/>
  <c r="Z31" i="82" a="1"/>
  <c r="Z31" i="82" s="1"/>
  <c r="Y31" i="82" a="1"/>
  <c r="Y31" i="82" s="1"/>
  <c r="X31" i="82" a="1"/>
  <c r="X31" i="82" s="1"/>
  <c r="W31" i="82" a="1"/>
  <c r="W31" i="82" s="1"/>
  <c r="V31" i="82" a="1"/>
  <c r="V31" i="82" s="1"/>
  <c r="U31" i="82" a="1"/>
  <c r="U31" i="82" s="1"/>
  <c r="T31" i="82" a="1"/>
  <c r="T31" i="82" s="1"/>
  <c r="S31" i="82" a="1"/>
  <c r="S31" i="82" s="1"/>
  <c r="R31" i="82" a="1"/>
  <c r="R31" i="82" s="1"/>
  <c r="Q31" i="82" a="1"/>
  <c r="Q31" i="82" s="1"/>
  <c r="P31" i="82" a="1"/>
  <c r="P31" i="82" s="1"/>
  <c r="O31" i="82" a="1"/>
  <c r="O31" i="82" s="1"/>
  <c r="N31" i="82" a="1"/>
  <c r="N31" i="82" s="1"/>
  <c r="M31" i="82" a="1"/>
  <c r="M31" i="82" s="1"/>
  <c r="L31" i="82" a="1"/>
  <c r="L31" i="82" s="1"/>
  <c r="K31" i="82" a="1"/>
  <c r="K31" i="82" s="1"/>
  <c r="J31" i="82" a="1"/>
  <c r="J31" i="82" s="1"/>
  <c r="I31" i="82" a="1"/>
  <c r="I31" i="82" s="1"/>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AG31" i="73" a="1"/>
  <c r="AG31" i="73" s="1"/>
  <c r="AF31" i="73" a="1"/>
  <c r="AF31" i="73" s="1"/>
  <c r="AE31" i="73" a="1"/>
  <c r="AE31" i="73" s="1"/>
  <c r="AD31" i="73" a="1"/>
  <c r="AD31" i="73" s="1"/>
  <c r="AC31" i="73" a="1"/>
  <c r="AC31" i="73" s="1"/>
  <c r="AB31" i="73" a="1"/>
  <c r="AB31" i="73" s="1"/>
  <c r="AA31" i="73" a="1"/>
  <c r="AA31" i="73" s="1"/>
  <c r="Z31" i="73" a="1"/>
  <c r="Z31" i="73" s="1"/>
  <c r="Y31" i="73" a="1"/>
  <c r="Y31" i="73" s="1"/>
  <c r="X31" i="73" a="1"/>
  <c r="X31" i="73" s="1"/>
  <c r="W31" i="73" a="1"/>
  <c r="W31" i="73" s="1"/>
  <c r="V31" i="73" a="1"/>
  <c r="V31" i="73" s="1"/>
  <c r="U31" i="73" a="1"/>
  <c r="U31" i="73" s="1"/>
  <c r="T31" i="73" a="1"/>
  <c r="T31" i="73" s="1"/>
  <c r="S31" i="73" a="1"/>
  <c r="S31" i="73" s="1"/>
  <c r="R31" i="73" a="1"/>
  <c r="R31" i="73" s="1"/>
  <c r="Q31" i="73" a="1"/>
  <c r="Q31" i="73" s="1"/>
  <c r="P31" i="73" a="1"/>
  <c r="P31" i="73" s="1"/>
  <c r="O31" i="73" a="1"/>
  <c r="O31" i="73" s="1"/>
  <c r="N31" i="73" a="1"/>
  <c r="N31" i="73" s="1"/>
  <c r="M31" i="73" a="1"/>
  <c r="M31" i="73" s="1"/>
  <c r="L31" i="73" a="1"/>
  <c r="L31" i="73" s="1"/>
  <c r="K31" i="73" a="1"/>
  <c r="K31" i="73" s="1"/>
  <c r="J31" i="73" a="1"/>
  <c r="J31" i="73" s="1"/>
  <c r="I31" i="73" a="1"/>
  <c r="I31" i="73" s="1"/>
  <c r="AG17" i="73"/>
  <c r="AF17" i="73"/>
  <c r="AE17" i="73"/>
  <c r="AD17" i="73"/>
  <c r="AC17" i="73"/>
  <c r="AB17" i="73"/>
  <c r="AA17" i="73"/>
  <c r="Z17" i="73"/>
  <c r="Y17" i="73"/>
  <c r="X17" i="73"/>
  <c r="W17" i="73"/>
  <c r="V17" i="73"/>
  <c r="U17" i="73"/>
  <c r="T17" i="73"/>
  <c r="S17" i="73"/>
  <c r="R17" i="73"/>
  <c r="Q17" i="73"/>
  <c r="P17" i="73"/>
  <c r="O17" i="73"/>
  <c r="N17" i="73"/>
  <c r="M17" i="73"/>
  <c r="L17" i="73"/>
  <c r="K17" i="73"/>
  <c r="J17" i="73"/>
  <c r="I17" i="73"/>
  <c r="AG83" i="81"/>
  <c r="AG69" i="81"/>
  <c r="AG68" i="81"/>
  <c r="AG67" i="81"/>
  <c r="AG83" i="72"/>
  <c r="AG69" i="72"/>
  <c r="AG68" i="72"/>
  <c r="AG67" i="72"/>
  <c r="AG17" i="72"/>
  <c r="AG83" i="73"/>
  <c r="AG69" i="73"/>
  <c r="AG68" i="73"/>
  <c r="AG67" i="73"/>
  <c r="AG83" i="82"/>
  <c r="AG69" i="82"/>
  <c r="AG68" i="82"/>
  <c r="AG67" i="82"/>
  <c r="AG84" i="68"/>
  <c r="AG83" i="68"/>
  <c r="AG69" i="68"/>
  <c r="AG68" i="68"/>
  <c r="AG67" i="68"/>
  <c r="AG98" i="75"/>
  <c r="AG17" i="68"/>
  <c r="AF83" i="81"/>
  <c r="AF69" i="81"/>
  <c r="AF68" i="81"/>
  <c r="AF67" i="81"/>
  <c r="AF83" i="72"/>
  <c r="AF69" i="72"/>
  <c r="AF68" i="72"/>
  <c r="AF67" i="72"/>
  <c r="AF17" i="72"/>
  <c r="AF83" i="73"/>
  <c r="AF69" i="73"/>
  <c r="AF68" i="73"/>
  <c r="AF67" i="73"/>
  <c r="AF83" i="82"/>
  <c r="AF69" i="82"/>
  <c r="AF68" i="82"/>
  <c r="AF67" i="82"/>
  <c r="AF84" i="68"/>
  <c r="AF83" i="68"/>
  <c r="AF69" i="68"/>
  <c r="AF68" i="68"/>
  <c r="AF67" i="68"/>
  <c r="AF98" i="75"/>
  <c r="AF17" i="68"/>
  <c r="AE83" i="81"/>
  <c r="AE69" i="81"/>
  <c r="AE68" i="81"/>
  <c r="AE67" i="81"/>
  <c r="AE83" i="72"/>
  <c r="AE69" i="72"/>
  <c r="AE68" i="72"/>
  <c r="AE67" i="72"/>
  <c r="AE17" i="72"/>
  <c r="AE83" i="73"/>
  <c r="AE69" i="73"/>
  <c r="AE68" i="73"/>
  <c r="AE67" i="73"/>
  <c r="AE83" i="82"/>
  <c r="AE69" i="82"/>
  <c r="AE68" i="82"/>
  <c r="AE67" i="82"/>
  <c r="AE84" i="68"/>
  <c r="AE83" i="68"/>
  <c r="AE69" i="68"/>
  <c r="AE68" i="68"/>
  <c r="AE67" i="68"/>
  <c r="AE98" i="75"/>
  <c r="AE17" i="68"/>
  <c r="AD83" i="81"/>
  <c r="AD69" i="81"/>
  <c r="AD68" i="81"/>
  <c r="AD67" i="81"/>
  <c r="AD83" i="72"/>
  <c r="AD69" i="72"/>
  <c r="AD68" i="72"/>
  <c r="AD67" i="72"/>
  <c r="AD17" i="72"/>
  <c r="AD83" i="73"/>
  <c r="AD69" i="73"/>
  <c r="AD68" i="73"/>
  <c r="AD67" i="73"/>
  <c r="AD83" i="82"/>
  <c r="AD69" i="82"/>
  <c r="AD68" i="82"/>
  <c r="AD67" i="82"/>
  <c r="AD84" i="68"/>
  <c r="AD83" i="68"/>
  <c r="AD69" i="68"/>
  <c r="AD68" i="68"/>
  <c r="AD67" i="68"/>
  <c r="AD98" i="75"/>
  <c r="AD17" i="68"/>
  <c r="AC83" i="81"/>
  <c r="AC69" i="81"/>
  <c r="AC68" i="81"/>
  <c r="AC67" i="81"/>
  <c r="AC83" i="72"/>
  <c r="AC69" i="72"/>
  <c r="AC68" i="72"/>
  <c r="AC67" i="72"/>
  <c r="AC17" i="72"/>
  <c r="AC83" i="73"/>
  <c r="AC69" i="73"/>
  <c r="AC68" i="73"/>
  <c r="AC67" i="73"/>
  <c r="AC83" i="82"/>
  <c r="AC69" i="82"/>
  <c r="AC68" i="82"/>
  <c r="AC67" i="82"/>
  <c r="AC84" i="68"/>
  <c r="AC83" i="68"/>
  <c r="AC69" i="68"/>
  <c r="AC68" i="68"/>
  <c r="AC67" i="68"/>
  <c r="AC98" i="75"/>
  <c r="AC17" i="68"/>
  <c r="G81" i="75"/>
  <c r="G80" i="75"/>
  <c r="G79" i="75"/>
  <c r="G67" i="75"/>
  <c r="G66" i="75"/>
  <c r="G65" i="75"/>
  <c r="G53" i="75"/>
  <c r="G52" i="75"/>
  <c r="G51" i="75"/>
  <c r="G39" i="75"/>
  <c r="G38" i="75"/>
  <c r="G23" i="75"/>
  <c r="G24" i="75"/>
  <c r="G25" i="75"/>
  <c r="J45" i="81" l="1"/>
  <c r="J45" i="72" s="1"/>
  <c r="AE45" i="81"/>
  <c r="AE45" i="72" s="1"/>
  <c r="X47" i="81"/>
  <c r="X47" i="72" s="1"/>
  <c r="AG45" i="81"/>
  <c r="AG45" i="72" s="1"/>
  <c r="Y46" i="81"/>
  <c r="Y46" i="72" s="1"/>
  <c r="AA48" i="81"/>
  <c r="AA48" i="72" s="1"/>
  <c r="M49" i="81"/>
  <c r="M49" i="72" s="1"/>
  <c r="S48" i="81"/>
  <c r="S48" i="72" s="1"/>
  <c r="U48" i="81"/>
  <c r="U48" i="72" s="1"/>
  <c r="P46" i="81"/>
  <c r="P46" i="72" s="1"/>
  <c r="R48" i="81"/>
  <c r="R48" i="72" s="1"/>
  <c r="L47" i="81"/>
  <c r="L47" i="72" s="1"/>
  <c r="L46" i="81"/>
  <c r="L46" i="72" s="1"/>
  <c r="V48" i="81"/>
  <c r="V48" i="72" s="1"/>
  <c r="I49" i="81"/>
  <c r="I49" i="72" s="1"/>
  <c r="U45" i="81"/>
  <c r="U45" i="72" s="1"/>
  <c r="AF48" i="81"/>
  <c r="AF48" i="72" s="1"/>
  <c r="AD49" i="81"/>
  <c r="AD49" i="72" s="1"/>
  <c r="AC47" i="81"/>
  <c r="AC47" i="72" s="1"/>
  <c r="Y48" i="81"/>
  <c r="Y48" i="72" s="1"/>
  <c r="S47" i="81"/>
  <c r="S47" i="72" s="1"/>
  <c r="AF49" i="81"/>
  <c r="AF49" i="72" s="1"/>
  <c r="AC45" i="81"/>
  <c r="AC45" i="72" s="1"/>
  <c r="L48" i="81"/>
  <c r="L48" i="72" s="1"/>
  <c r="X46" i="81"/>
  <c r="X46" i="72" s="1"/>
  <c r="AD45" i="81"/>
  <c r="AD45" i="72" s="1"/>
  <c r="AA46" i="81"/>
  <c r="AA46" i="72" s="1"/>
  <c r="T48" i="81"/>
  <c r="T48" i="72" s="1"/>
  <c r="AC46" i="81"/>
  <c r="AC46" i="72" s="1"/>
  <c r="N45" i="81"/>
  <c r="N45" i="72" s="1"/>
  <c r="W49" i="81"/>
  <c r="W49" i="72" s="1"/>
  <c r="Y45" i="81"/>
  <c r="Y45" i="72" s="1"/>
  <c r="I47" i="81"/>
  <c r="I47" i="72" s="1"/>
  <c r="AD46" i="81"/>
  <c r="AD46" i="72" s="1"/>
  <c r="AE49" i="81"/>
  <c r="AE49" i="72" s="1"/>
  <c r="O49" i="81"/>
  <c r="O49" i="72" s="1"/>
  <c r="Z47" i="81"/>
  <c r="Z47" i="72" s="1"/>
  <c r="N49" i="81"/>
  <c r="N49" i="72" s="1"/>
  <c r="I46" i="81"/>
  <c r="I46" i="72" s="1"/>
  <c r="K46" i="81"/>
  <c r="K46" i="72" s="1"/>
  <c r="R49" i="81"/>
  <c r="R49" i="72" s="1"/>
  <c r="R46" i="81"/>
  <c r="R46" i="72" s="1"/>
  <c r="N48" i="81"/>
  <c r="N48" i="72" s="1"/>
  <c r="AA49" i="81"/>
  <c r="AA49" i="72" s="1"/>
  <c r="L49" i="81"/>
  <c r="L49" i="72" s="1"/>
  <c r="M48" i="81"/>
  <c r="M48" i="72" s="1"/>
  <c r="L45" i="81"/>
  <c r="L45" i="72" s="1"/>
  <c r="K47" i="81"/>
  <c r="K47" i="72" s="1"/>
  <c r="K45" i="81"/>
  <c r="K45" i="72" s="1"/>
  <c r="Z46" i="81"/>
  <c r="Z46" i="72" s="1"/>
  <c r="W47" i="81"/>
  <c r="W47" i="72" s="1"/>
  <c r="P49" i="81"/>
  <c r="P49" i="72" s="1"/>
  <c r="Y47" i="81"/>
  <c r="Y47" i="72" s="1"/>
  <c r="J46" i="81"/>
  <c r="J46" i="72" s="1"/>
  <c r="T45" i="81"/>
  <c r="T45" i="72" s="1"/>
  <c r="J49" i="81"/>
  <c r="J49" i="72" s="1"/>
  <c r="V47" i="81"/>
  <c r="V47" i="72" s="1"/>
  <c r="AA47" i="81"/>
  <c r="AA47" i="72" s="1"/>
  <c r="Q49" i="81"/>
  <c r="Q49" i="72" s="1"/>
  <c r="Q48" i="81"/>
  <c r="Q48" i="72" s="1"/>
  <c r="I48" i="81"/>
  <c r="I48" i="72" s="1"/>
  <c r="X49" i="81"/>
  <c r="X49" i="72" s="1"/>
  <c r="T49" i="81"/>
  <c r="T49" i="72" s="1"/>
  <c r="O45" i="81"/>
  <c r="O45" i="72" s="1"/>
  <c r="U46" i="81"/>
  <c r="U46" i="72" s="1"/>
  <c r="Z45" i="81"/>
  <c r="Z45" i="72" s="1"/>
  <c r="O48" i="81"/>
  <c r="O48" i="72" s="1"/>
  <c r="P47" i="81"/>
  <c r="P47" i="72" s="1"/>
  <c r="AG49" i="81"/>
  <c r="AG49" i="72" s="1"/>
  <c r="U49" i="81"/>
  <c r="U49" i="72" s="1"/>
  <c r="S45" i="81"/>
  <c r="S45" i="72" s="1"/>
  <c r="O46" i="81"/>
  <c r="O46" i="72" s="1"/>
  <c r="AF45" i="81"/>
  <c r="AF45" i="72" s="1"/>
  <c r="M45" i="81"/>
  <c r="M45" i="72" s="1"/>
  <c r="K49" i="81"/>
  <c r="K49" i="72" s="1"/>
  <c r="AE46" i="81"/>
  <c r="AE46" i="72" s="1"/>
  <c r="AF46" i="81"/>
  <c r="AF46" i="72" s="1"/>
  <c r="AB48" i="81"/>
  <c r="AB48" i="72" s="1"/>
  <c r="S49" i="81"/>
  <c r="S49" i="72" s="1"/>
  <c r="I45" i="81"/>
  <c r="I45" i="72" s="1"/>
  <c r="AD48" i="81"/>
  <c r="AD48" i="72" s="1"/>
  <c r="W48" i="81"/>
  <c r="W48" i="72" s="1"/>
  <c r="M47" i="81"/>
  <c r="M47" i="72" s="1"/>
  <c r="N47" i="81"/>
  <c r="N47" i="72" s="1"/>
  <c r="Q46" i="81"/>
  <c r="Q46" i="72" s="1"/>
  <c r="K48" i="81"/>
  <c r="K48" i="72" s="1"/>
  <c r="W45" i="81"/>
  <c r="W45" i="72" s="1"/>
  <c r="T46" i="81"/>
  <c r="T46" i="72" s="1"/>
  <c r="Z49" i="81"/>
  <c r="Z49" i="72" s="1"/>
  <c r="AC48" i="81"/>
  <c r="AC48" i="72" s="1"/>
  <c r="R45" i="81"/>
  <c r="R45" i="72" s="1"/>
  <c r="O47" i="81"/>
  <c r="O47" i="72" s="1"/>
  <c r="N46" i="81"/>
  <c r="N46" i="72" s="1"/>
  <c r="AG46" i="81"/>
  <c r="AG46" i="72" s="1"/>
  <c r="J47" i="81"/>
  <c r="J47" i="72" s="1"/>
  <c r="AD47" i="81"/>
  <c r="AD47" i="72" s="1"/>
  <c r="R47" i="81"/>
  <c r="R47" i="72" s="1"/>
  <c r="V49" i="81"/>
  <c r="V49" i="72" s="1"/>
  <c r="P48" i="81"/>
  <c r="P48" i="72" s="1"/>
  <c r="W46" i="81"/>
  <c r="W46" i="72" s="1"/>
  <c r="AB46" i="81"/>
  <c r="AB46" i="72" s="1"/>
  <c r="AB47" i="81"/>
  <c r="AB47" i="72" s="1"/>
  <c r="AG47" i="81"/>
  <c r="AG47" i="72" s="1"/>
  <c r="Y49" i="81"/>
  <c r="Y49" i="72" s="1"/>
  <c r="P45" i="81"/>
  <c r="P45" i="72" s="1"/>
  <c r="AE48" i="81"/>
  <c r="AE48" i="72" s="1"/>
  <c r="J48" i="81"/>
  <c r="J48" i="72" s="1"/>
  <c r="X48" i="81"/>
  <c r="X48" i="72" s="1"/>
  <c r="AC49" i="81"/>
  <c r="AC49" i="72" s="1"/>
  <c r="V45" i="81"/>
  <c r="V45" i="72" s="1"/>
  <c r="AF47" i="81"/>
  <c r="AF47" i="72" s="1"/>
  <c r="T47" i="81"/>
  <c r="T47" i="72" s="1"/>
  <c r="AB49" i="81"/>
  <c r="AB49" i="72" s="1"/>
  <c r="X45" i="81"/>
  <c r="X45" i="72" s="1"/>
  <c r="Q45" i="81"/>
  <c r="Q45" i="72" s="1"/>
  <c r="AG48" i="81"/>
  <c r="AG48" i="72" s="1"/>
  <c r="M46" i="81"/>
  <c r="M46" i="72" s="1"/>
  <c r="S46" i="81"/>
  <c r="S46" i="72" s="1"/>
  <c r="Q47" i="81"/>
  <c r="Q47" i="72" s="1"/>
  <c r="AA45" i="81"/>
  <c r="AA45" i="72" s="1"/>
  <c r="Z48" i="81"/>
  <c r="Z48" i="72" s="1"/>
  <c r="AB45" i="81"/>
  <c r="AB45" i="72" s="1"/>
  <c r="V46" i="81"/>
  <c r="V46" i="72" s="1"/>
  <c r="U47" i="81"/>
  <c r="U47" i="72" s="1"/>
  <c r="AE47" i="81"/>
  <c r="AE47" i="72" s="1"/>
  <c r="AB27" i="81"/>
  <c r="AB27" i="72" s="1"/>
  <c r="V27" i="81"/>
  <c r="V27" i="72" s="1"/>
  <c r="L27" i="81"/>
  <c r="L27" i="72" s="1"/>
  <c r="K27" i="81"/>
  <c r="K27" i="72" s="1"/>
  <c r="AD27" i="81"/>
  <c r="AD27" i="72" s="1"/>
  <c r="X27" i="81"/>
  <c r="X27" i="72" s="1"/>
  <c r="Z27" i="81"/>
  <c r="Z27" i="72" s="1"/>
  <c r="U27" i="81"/>
  <c r="U27" i="72" s="1"/>
  <c r="M27" i="81"/>
  <c r="M27" i="72" s="1"/>
  <c r="J27" i="81"/>
  <c r="J27" i="72" s="1"/>
  <c r="AG27" i="81"/>
  <c r="AG27" i="72" s="1"/>
  <c r="Q27" i="81"/>
  <c r="Q27" i="72" s="1"/>
  <c r="W27" i="81"/>
  <c r="W27" i="72" s="1"/>
  <c r="AC27" i="81"/>
  <c r="AC27" i="72" s="1"/>
  <c r="T27" i="81"/>
  <c r="T27" i="72" s="1"/>
  <c r="O27" i="81"/>
  <c r="O27" i="72" s="1"/>
  <c r="AF27" i="81"/>
  <c r="AF27" i="72" s="1"/>
  <c r="N27" i="81"/>
  <c r="N27" i="72" s="1"/>
  <c r="Y27" i="81"/>
  <c r="Y27" i="72" s="1"/>
  <c r="R27" i="81"/>
  <c r="R27" i="72" s="1"/>
  <c r="AE27" i="81"/>
  <c r="AE27" i="72" s="1"/>
  <c r="AA27" i="81"/>
  <c r="AA27" i="72" s="1"/>
  <c r="I27" i="81"/>
  <c r="I27" i="72" s="1"/>
  <c r="P27" i="81"/>
  <c r="P27" i="72" s="1"/>
  <c r="S27" i="81"/>
  <c r="S27" i="72" s="1"/>
  <c r="A30" i="75"/>
  <c r="A31" i="75" s="1"/>
  <c r="A32" i="75" s="1"/>
  <c r="A33" i="75" s="1"/>
  <c r="A34" i="75" s="1"/>
  <c r="A35" i="75" s="1"/>
  <c r="A36" i="75" s="1"/>
  <c r="A37" i="75" s="1"/>
  <c r="A38" i="75" s="1"/>
  <c r="A39" i="75" s="1"/>
  <c r="A28" i="75"/>
  <c r="D28" i="75" s="1"/>
  <c r="A16" i="75"/>
  <c r="A92" i="75" s="1"/>
  <c r="A14" i="75"/>
  <c r="D14" i="75" s="1"/>
  <c r="A72" i="75"/>
  <c r="A73" i="75" s="1"/>
  <c r="A74" i="75" s="1"/>
  <c r="A75" i="75" s="1"/>
  <c r="A76" i="75" s="1"/>
  <c r="A77" i="75" s="1"/>
  <c r="A78" i="75" s="1"/>
  <c r="A79" i="75" s="1"/>
  <c r="A80" i="75" s="1"/>
  <c r="A81" i="75" s="1"/>
  <c r="A70" i="75"/>
  <c r="D70" i="75" s="1"/>
  <c r="A58" i="75"/>
  <c r="A59" i="75" s="1"/>
  <c r="A60" i="75" s="1"/>
  <c r="A61" i="75" s="1"/>
  <c r="A62" i="75" s="1"/>
  <c r="A63" i="75" s="1"/>
  <c r="A64" i="75" s="1"/>
  <c r="A65" i="75" s="1"/>
  <c r="A66" i="75" s="1"/>
  <c r="A67" i="75" s="1"/>
  <c r="A56" i="75"/>
  <c r="D56" i="75" s="1"/>
  <c r="A44" i="75"/>
  <c r="A45" i="75" s="1"/>
  <c r="A46" i="75" s="1"/>
  <c r="A47" i="75" s="1"/>
  <c r="A48" i="75" s="1"/>
  <c r="A49" i="75" s="1"/>
  <c r="A50" i="75" s="1"/>
  <c r="A51" i="75" s="1"/>
  <c r="A52" i="75" s="1"/>
  <c r="A53" i="75" s="1"/>
  <c r="A42" i="75"/>
  <c r="D42" i="75" s="1"/>
  <c r="H5" i="85"/>
  <c r="H11" i="75" a="1"/>
  <c r="H11" i="75" s="1"/>
  <c r="AF15" i="75"/>
  <c r="AG15" i="75"/>
  <c r="AE15" i="75"/>
  <c r="AD15" i="75"/>
  <c r="AC15" i="75"/>
  <c r="AB17" i="72"/>
  <c r="AA17" i="72"/>
  <c r="Z17" i="72"/>
  <c r="Y17" i="72"/>
  <c r="X17" i="72"/>
  <c r="W17" i="72"/>
  <c r="V17" i="72"/>
  <c r="U17" i="72"/>
  <c r="T17" i="72"/>
  <c r="S17" i="72"/>
  <c r="R17" i="72"/>
  <c r="Q17" i="72"/>
  <c r="P17" i="72"/>
  <c r="O17" i="72"/>
  <c r="N17" i="72"/>
  <c r="M17" i="72"/>
  <c r="L17" i="72"/>
  <c r="K17" i="72"/>
  <c r="J17" i="72"/>
  <c r="I17" i="72"/>
  <c r="A17" i="75" l="1"/>
  <c r="A18" i="75" s="1"/>
  <c r="A19" i="75" s="1"/>
  <c r="A20" i="75" s="1"/>
  <c r="A21" i="75" s="1"/>
  <c r="A22" i="75" s="1"/>
  <c r="A23" i="75" s="1"/>
  <c r="C67" i="43"/>
  <c r="G76" i="43"/>
  <c r="G75" i="43"/>
  <c r="G74" i="43"/>
  <c r="G73" i="43"/>
  <c r="G72" i="43"/>
  <c r="G71" i="43"/>
  <c r="G70" i="43"/>
  <c r="G69" i="43"/>
  <c r="G68" i="43"/>
  <c r="C69" i="43"/>
  <c r="C70" i="43"/>
  <c r="C71" i="43"/>
  <c r="C72" i="43"/>
  <c r="C73" i="43"/>
  <c r="C74" i="43"/>
  <c r="C75" i="43"/>
  <c r="C76" i="43"/>
  <c r="C68" i="43"/>
  <c r="A24" i="75" l="1"/>
  <c r="A25" i="75" s="1"/>
  <c r="A99" i="75"/>
  <c r="H99" i="75" s="1"/>
  <c r="D91" i="75"/>
  <c r="N7" i="68" l="1"/>
  <c r="O7" i="68" s="1"/>
  <c r="P7" i="68" s="1"/>
  <c r="Q7" i="68" s="1"/>
  <c r="R7" i="68" s="1"/>
  <c r="S7" i="68" s="1"/>
  <c r="T7" i="68" s="1"/>
  <c r="U7" i="68" s="1"/>
  <c r="V7" i="68" s="1"/>
  <c r="W7" i="68" s="1"/>
  <c r="X7" i="68" s="1"/>
  <c r="Y7" i="68" s="1"/>
  <c r="Z7" i="68" s="1"/>
  <c r="AA7" i="68" s="1"/>
  <c r="AB7" i="68" s="1"/>
  <c r="AC7" i="68" s="1"/>
  <c r="M7" i="68"/>
  <c r="L7" i="68"/>
  <c r="K7" i="68"/>
  <c r="J7" i="68"/>
  <c r="I7" i="68"/>
  <c r="AC7" i="81" l="1"/>
  <c r="AC42" i="81" s="1"/>
  <c r="AC7" i="73"/>
  <c r="AC42" i="73" s="1"/>
  <c r="AD7" i="68"/>
  <c r="AC7" i="82"/>
  <c r="AC42" i="68"/>
  <c r="AC7" i="72"/>
  <c r="AC42" i="72" s="1"/>
  <c r="AC42" i="82" l="1"/>
  <c r="AD7" i="81"/>
  <c r="AD42" i="81" s="1"/>
  <c r="AD7" i="73"/>
  <c r="AD42" i="73" s="1"/>
  <c r="AD42" i="68"/>
  <c r="AE7" i="68"/>
  <c r="AD7" i="82"/>
  <c r="AD7" i="72"/>
  <c r="AD42" i="72" s="1"/>
  <c r="AE7" i="81" l="1"/>
  <c r="AE42" i="81" s="1"/>
  <c r="AF7" i="68"/>
  <c r="AE7" i="82"/>
  <c r="AE42" i="68"/>
  <c r="AE7" i="73"/>
  <c r="AE7" i="72"/>
  <c r="AE42" i="72" s="1"/>
  <c r="AD42" i="82"/>
  <c r="G44" i="75"/>
  <c r="C44" i="75"/>
  <c r="G58" i="75"/>
  <c r="C58" i="75"/>
  <c r="G72" i="75"/>
  <c r="C72" i="75"/>
  <c r="AE42" i="73" l="1"/>
  <c r="AE42" i="82"/>
  <c r="AF7" i="81"/>
  <c r="AF42" i="81" s="1"/>
  <c r="AG7" i="68"/>
  <c r="AF7" i="73"/>
  <c r="AF42" i="73" s="1"/>
  <c r="AF7" i="82"/>
  <c r="AF42" i="68"/>
  <c r="AF7" i="72"/>
  <c r="AF42" i="72" s="1"/>
  <c r="G30" i="75"/>
  <c r="C30" i="75"/>
  <c r="C16" i="75"/>
  <c r="G16" i="75"/>
  <c r="AG7" i="81" l="1"/>
  <c r="AG42" i="81" s="1"/>
  <c r="AG7" i="73"/>
  <c r="AG7" i="82"/>
  <c r="AG42" i="68"/>
  <c r="AG7" i="72"/>
  <c r="AG42" i="72" s="1"/>
  <c r="AF42" i="82"/>
  <c r="D17" i="75"/>
  <c r="H92" i="75"/>
  <c r="D16" i="75"/>
  <c r="AG42" i="73" l="1"/>
  <c r="AG42" i="82"/>
  <c r="AB84" i="68" l="1"/>
  <c r="AA84" i="68"/>
  <c r="Z84" i="68"/>
  <c r="Y84" i="68"/>
  <c r="X84" i="68"/>
  <c r="W84" i="68"/>
  <c r="V84" i="68"/>
  <c r="U84" i="68"/>
  <c r="T84" i="68"/>
  <c r="S84" i="68"/>
  <c r="R84" i="68"/>
  <c r="Q84" i="68"/>
  <c r="P84" i="68"/>
  <c r="O84" i="68"/>
  <c r="N84" i="68"/>
  <c r="M84" i="68"/>
  <c r="L84" i="68"/>
  <c r="K84" i="68"/>
  <c r="J84" i="68"/>
  <c r="I84" i="68"/>
  <c r="AB83" i="68"/>
  <c r="AA83" i="68"/>
  <c r="Z83" i="68"/>
  <c r="Y83" i="68"/>
  <c r="X83" i="68"/>
  <c r="W83" i="68"/>
  <c r="V83" i="68"/>
  <c r="U83" i="68"/>
  <c r="T83" i="68"/>
  <c r="S83" i="68"/>
  <c r="R83" i="68"/>
  <c r="Q83" i="68"/>
  <c r="P83" i="68"/>
  <c r="O83" i="68"/>
  <c r="N83" i="68"/>
  <c r="M83" i="68"/>
  <c r="L83" i="68"/>
  <c r="K83" i="68"/>
  <c r="J83" i="68"/>
  <c r="I83" i="68"/>
  <c r="AB83" i="81"/>
  <c r="AA83" i="81"/>
  <c r="Z83" i="81"/>
  <c r="Y83" i="81"/>
  <c r="X83" i="81"/>
  <c r="W83" i="81"/>
  <c r="V83" i="81"/>
  <c r="U83" i="81"/>
  <c r="T83" i="81"/>
  <c r="S83" i="81"/>
  <c r="R83" i="81"/>
  <c r="Q83" i="81"/>
  <c r="P83" i="81"/>
  <c r="O83" i="81"/>
  <c r="N83" i="81"/>
  <c r="M83" i="81"/>
  <c r="L83" i="81"/>
  <c r="K83" i="81"/>
  <c r="J83" i="81"/>
  <c r="I83" i="81"/>
  <c r="AB83" i="82"/>
  <c r="AA83" i="82"/>
  <c r="Z83" i="82"/>
  <c r="Y83" i="82"/>
  <c r="X83" i="82"/>
  <c r="W83" i="82"/>
  <c r="V83" i="82"/>
  <c r="U83" i="82"/>
  <c r="T83" i="82"/>
  <c r="S83" i="82"/>
  <c r="R83" i="82"/>
  <c r="Q83" i="82"/>
  <c r="P83" i="82"/>
  <c r="O83" i="82"/>
  <c r="N83" i="82"/>
  <c r="M83" i="82"/>
  <c r="L83" i="82"/>
  <c r="K83" i="82"/>
  <c r="J83" i="82"/>
  <c r="I83" i="82"/>
  <c r="J83" i="73"/>
  <c r="K83" i="73"/>
  <c r="L83" i="73"/>
  <c r="M83" i="73"/>
  <c r="N83" i="73"/>
  <c r="O83" i="73"/>
  <c r="P83" i="73"/>
  <c r="Q83" i="73"/>
  <c r="R83" i="73"/>
  <c r="S83" i="73"/>
  <c r="T83" i="73"/>
  <c r="U83" i="73"/>
  <c r="V83" i="73"/>
  <c r="W83" i="73"/>
  <c r="X83" i="73"/>
  <c r="Y83" i="73"/>
  <c r="Z83" i="73"/>
  <c r="AA83" i="73"/>
  <c r="AB83" i="73"/>
  <c r="I83" i="73"/>
  <c r="J83" i="72"/>
  <c r="K83" i="72"/>
  <c r="L83" i="72"/>
  <c r="M83" i="72"/>
  <c r="N83" i="72"/>
  <c r="O83" i="72"/>
  <c r="P83" i="72"/>
  <c r="Q83" i="72"/>
  <c r="R83" i="72"/>
  <c r="S83" i="72"/>
  <c r="T83" i="72"/>
  <c r="U83" i="72"/>
  <c r="V83" i="72"/>
  <c r="W83" i="72"/>
  <c r="X83" i="72"/>
  <c r="Y83" i="72"/>
  <c r="Z83" i="72"/>
  <c r="AA83" i="72"/>
  <c r="AB83" i="72"/>
  <c r="I83" i="72"/>
  <c r="C78" i="75"/>
  <c r="C77" i="75"/>
  <c r="C76" i="75"/>
  <c r="C75" i="75"/>
  <c r="C74" i="75"/>
  <c r="C71" i="75"/>
  <c r="C64" i="75"/>
  <c r="C57" i="75"/>
  <c r="C63" i="75"/>
  <c r="C62" i="75"/>
  <c r="C61" i="75"/>
  <c r="C60" i="75"/>
  <c r="K67" i="82"/>
  <c r="M67" i="81"/>
  <c r="L67" i="81"/>
  <c r="I67" i="81"/>
  <c r="J67" i="81"/>
  <c r="K67" i="81"/>
  <c r="N67" i="81"/>
  <c r="O67" i="81"/>
  <c r="P67" i="81"/>
  <c r="Q67" i="81"/>
  <c r="R67" i="81"/>
  <c r="S67" i="81"/>
  <c r="T67" i="81"/>
  <c r="U67" i="81"/>
  <c r="V67" i="81"/>
  <c r="W67" i="81"/>
  <c r="X67" i="81"/>
  <c r="Y67" i="81"/>
  <c r="Z67" i="81"/>
  <c r="AA67" i="81"/>
  <c r="AB67" i="81"/>
  <c r="J68" i="81"/>
  <c r="K68" i="81"/>
  <c r="L68" i="81"/>
  <c r="M68" i="81"/>
  <c r="N68" i="81"/>
  <c r="O68" i="81"/>
  <c r="P68" i="81"/>
  <c r="Q68" i="81"/>
  <c r="R68" i="81"/>
  <c r="S68" i="81"/>
  <c r="T68" i="81"/>
  <c r="U68" i="81"/>
  <c r="V68" i="81"/>
  <c r="W68" i="81"/>
  <c r="X68" i="81"/>
  <c r="Y68" i="81"/>
  <c r="Z68" i="81"/>
  <c r="AA68" i="81"/>
  <c r="AB68" i="81"/>
  <c r="J69" i="81"/>
  <c r="K69" i="81"/>
  <c r="L69" i="81"/>
  <c r="M69" i="81"/>
  <c r="N69" i="81"/>
  <c r="O69" i="81"/>
  <c r="P69" i="81"/>
  <c r="Q69" i="81"/>
  <c r="R69" i="81"/>
  <c r="S69" i="81"/>
  <c r="T69" i="81"/>
  <c r="U69" i="81"/>
  <c r="V69" i="81"/>
  <c r="W69" i="81"/>
  <c r="X69" i="81"/>
  <c r="Y69" i="81"/>
  <c r="Z69" i="81"/>
  <c r="AA69" i="81"/>
  <c r="AB69" i="81"/>
  <c r="J67" i="72"/>
  <c r="K67" i="72"/>
  <c r="L67" i="72"/>
  <c r="M67" i="72"/>
  <c r="N67" i="72"/>
  <c r="O67" i="72"/>
  <c r="P67" i="72"/>
  <c r="Q67" i="72"/>
  <c r="R67" i="72"/>
  <c r="S67" i="72"/>
  <c r="T67" i="72"/>
  <c r="U67" i="72"/>
  <c r="V67" i="72"/>
  <c r="W67" i="72"/>
  <c r="X67" i="72"/>
  <c r="Y67" i="72"/>
  <c r="Z67" i="72"/>
  <c r="AA67" i="72"/>
  <c r="AB67" i="72"/>
  <c r="J68" i="72"/>
  <c r="K68" i="72"/>
  <c r="L68" i="72"/>
  <c r="M68" i="72"/>
  <c r="N68" i="72"/>
  <c r="O68" i="72"/>
  <c r="P68" i="72"/>
  <c r="Q68" i="72"/>
  <c r="R68" i="72"/>
  <c r="S68" i="72"/>
  <c r="T68" i="72"/>
  <c r="U68" i="72"/>
  <c r="V68" i="72"/>
  <c r="W68" i="72"/>
  <c r="X68" i="72"/>
  <c r="Y68" i="72"/>
  <c r="Z68" i="72"/>
  <c r="AA68" i="72"/>
  <c r="AB68" i="72"/>
  <c r="J69" i="72"/>
  <c r="K69" i="72"/>
  <c r="L69" i="72"/>
  <c r="M69" i="72"/>
  <c r="N69" i="72"/>
  <c r="O69" i="72"/>
  <c r="P69" i="72"/>
  <c r="Q69" i="72"/>
  <c r="R69" i="72"/>
  <c r="S69" i="72"/>
  <c r="T69" i="72"/>
  <c r="U69" i="72"/>
  <c r="V69" i="72"/>
  <c r="W69" i="72"/>
  <c r="X69" i="72"/>
  <c r="Y69" i="72"/>
  <c r="Z69" i="72"/>
  <c r="AA69" i="72"/>
  <c r="AB69" i="72"/>
  <c r="J67" i="73"/>
  <c r="K67" i="73"/>
  <c r="L67" i="73"/>
  <c r="M67" i="73"/>
  <c r="N67" i="73"/>
  <c r="O67" i="73"/>
  <c r="P67" i="73"/>
  <c r="Q67" i="73"/>
  <c r="R67" i="73"/>
  <c r="S67" i="73"/>
  <c r="T67" i="73"/>
  <c r="U67" i="73"/>
  <c r="V67" i="73"/>
  <c r="W67" i="73"/>
  <c r="X67" i="73"/>
  <c r="Y67" i="73"/>
  <c r="Z67" i="73"/>
  <c r="AA67" i="73"/>
  <c r="AB67" i="73"/>
  <c r="J68" i="73"/>
  <c r="K68" i="73"/>
  <c r="L68" i="73"/>
  <c r="M68" i="73"/>
  <c r="N68" i="73"/>
  <c r="O68" i="73"/>
  <c r="P68" i="73"/>
  <c r="Q68" i="73"/>
  <c r="R68" i="73"/>
  <c r="S68" i="73"/>
  <c r="T68" i="73"/>
  <c r="U68" i="73"/>
  <c r="V68" i="73"/>
  <c r="W68" i="73"/>
  <c r="X68" i="73"/>
  <c r="Y68" i="73"/>
  <c r="Z68" i="73"/>
  <c r="AA68" i="73"/>
  <c r="AB68" i="73"/>
  <c r="J69" i="73"/>
  <c r="K69" i="73"/>
  <c r="L69" i="73"/>
  <c r="M69" i="73"/>
  <c r="N69" i="73"/>
  <c r="O69" i="73"/>
  <c r="P69" i="73"/>
  <c r="Q69" i="73"/>
  <c r="R69" i="73"/>
  <c r="S69" i="73"/>
  <c r="T69" i="73"/>
  <c r="U69" i="73"/>
  <c r="V69" i="73"/>
  <c r="W69" i="73"/>
  <c r="X69" i="73"/>
  <c r="Y69" i="73"/>
  <c r="Z69" i="73"/>
  <c r="AA69" i="73"/>
  <c r="AB69" i="73"/>
  <c r="J67" i="82"/>
  <c r="L67" i="82"/>
  <c r="M67" i="82"/>
  <c r="N67" i="82"/>
  <c r="O67" i="82"/>
  <c r="P67" i="82"/>
  <c r="Q67" i="82"/>
  <c r="R67" i="82"/>
  <c r="S67" i="82"/>
  <c r="T67" i="82"/>
  <c r="U67" i="82"/>
  <c r="V67" i="82"/>
  <c r="W67" i="82"/>
  <c r="X67" i="82"/>
  <c r="Y67" i="82"/>
  <c r="Z67" i="82"/>
  <c r="AA67" i="82"/>
  <c r="AB67" i="82"/>
  <c r="J68" i="82"/>
  <c r="K68" i="82"/>
  <c r="L68" i="82"/>
  <c r="M68" i="82"/>
  <c r="N68" i="82"/>
  <c r="O68" i="82"/>
  <c r="P68" i="82"/>
  <c r="Q68" i="82"/>
  <c r="R68" i="82"/>
  <c r="S68" i="82"/>
  <c r="T68" i="82"/>
  <c r="U68" i="82"/>
  <c r="V68" i="82"/>
  <c r="W68" i="82"/>
  <c r="X68" i="82"/>
  <c r="Y68" i="82"/>
  <c r="Z68" i="82"/>
  <c r="AA68" i="82"/>
  <c r="AB68" i="82"/>
  <c r="J69" i="82"/>
  <c r="K69" i="82"/>
  <c r="L69" i="82"/>
  <c r="M69" i="82"/>
  <c r="N69" i="82"/>
  <c r="O69" i="82"/>
  <c r="P69" i="82"/>
  <c r="Q69" i="82"/>
  <c r="R69" i="82"/>
  <c r="S69" i="82"/>
  <c r="T69" i="82"/>
  <c r="U69" i="82"/>
  <c r="V69" i="82"/>
  <c r="W69" i="82"/>
  <c r="X69" i="82"/>
  <c r="Y69" i="82"/>
  <c r="Z69" i="82"/>
  <c r="AA69" i="82"/>
  <c r="AB69" i="82"/>
  <c r="J67" i="68"/>
  <c r="K67" i="68"/>
  <c r="L67" i="68"/>
  <c r="M67" i="68"/>
  <c r="N67" i="68"/>
  <c r="O67" i="68"/>
  <c r="P67" i="68"/>
  <c r="Q67" i="68"/>
  <c r="R67" i="68"/>
  <c r="S67" i="68"/>
  <c r="T67" i="68"/>
  <c r="U67" i="68"/>
  <c r="V67" i="68"/>
  <c r="W67" i="68"/>
  <c r="X67" i="68"/>
  <c r="Y67" i="68"/>
  <c r="Z67" i="68"/>
  <c r="AA67" i="68"/>
  <c r="AB67" i="68"/>
  <c r="J68" i="68"/>
  <c r="K68" i="68"/>
  <c r="L68" i="68"/>
  <c r="M68" i="68"/>
  <c r="N68" i="68"/>
  <c r="O68" i="68"/>
  <c r="P68" i="68"/>
  <c r="Q68" i="68"/>
  <c r="R68" i="68"/>
  <c r="S68" i="68"/>
  <c r="T68" i="68"/>
  <c r="U68" i="68"/>
  <c r="V68" i="68"/>
  <c r="W68" i="68"/>
  <c r="X68" i="68"/>
  <c r="Y68" i="68"/>
  <c r="Z68" i="68"/>
  <c r="AA68" i="68"/>
  <c r="AB68" i="68"/>
  <c r="J69" i="68"/>
  <c r="K69" i="68"/>
  <c r="L69" i="68"/>
  <c r="M69" i="68"/>
  <c r="N69" i="68"/>
  <c r="O69" i="68"/>
  <c r="P69" i="68"/>
  <c r="Q69" i="68"/>
  <c r="R69" i="68"/>
  <c r="S69" i="68"/>
  <c r="T69" i="68"/>
  <c r="U69" i="68"/>
  <c r="V69" i="68"/>
  <c r="W69" i="68"/>
  <c r="X69" i="68"/>
  <c r="Y69" i="68"/>
  <c r="Z69" i="68"/>
  <c r="AA69" i="68"/>
  <c r="AB69" i="68"/>
  <c r="I69" i="81"/>
  <c r="I68" i="81"/>
  <c r="I69" i="72"/>
  <c r="I68" i="72"/>
  <c r="I67" i="72"/>
  <c r="I69" i="73"/>
  <c r="I68" i="73"/>
  <c r="I67" i="73"/>
  <c r="I69" i="82"/>
  <c r="I68" i="82"/>
  <c r="I67" i="82"/>
  <c r="I69" i="68"/>
  <c r="I68" i="68"/>
  <c r="I67" i="68"/>
  <c r="C79" i="81"/>
  <c r="C78" i="81"/>
  <c r="C77" i="81"/>
  <c r="C74" i="81"/>
  <c r="C73" i="81"/>
  <c r="C72" i="81"/>
  <c r="C69" i="81"/>
  <c r="C68" i="81"/>
  <c r="C67" i="81"/>
  <c r="C79" i="72"/>
  <c r="C78" i="72"/>
  <c r="C77" i="72"/>
  <c r="C74" i="72"/>
  <c r="C73" i="72"/>
  <c r="C72" i="72"/>
  <c r="C69" i="72"/>
  <c r="C68" i="72"/>
  <c r="C67" i="72"/>
  <c r="C79" i="73"/>
  <c r="C78" i="73"/>
  <c r="C77" i="73"/>
  <c r="C74" i="73"/>
  <c r="C73" i="73"/>
  <c r="C72" i="73"/>
  <c r="C69" i="73"/>
  <c r="C68" i="73"/>
  <c r="C67" i="73"/>
  <c r="C79" i="82"/>
  <c r="C78" i="82"/>
  <c r="C77" i="82"/>
  <c r="C74" i="82"/>
  <c r="C73" i="82"/>
  <c r="C72" i="82"/>
  <c r="C69" i="82"/>
  <c r="C68" i="82"/>
  <c r="C67" i="82"/>
  <c r="C79" i="68"/>
  <c r="C78" i="68"/>
  <c r="C77" i="68"/>
  <c r="C74" i="68"/>
  <c r="C73" i="68"/>
  <c r="C72" i="68"/>
  <c r="C69" i="68"/>
  <c r="C68" i="68"/>
  <c r="C67" i="68"/>
  <c r="I72" i="68" l="1" a="1"/>
  <c r="I72" i="68" s="1"/>
  <c r="I73" i="68" a="1"/>
  <c r="I73" i="68" s="1"/>
  <c r="I80" i="68" s="1"/>
  <c r="I82" i="68" s="1"/>
  <c r="I107" i="68" s="1"/>
  <c r="I74" i="68" a="1"/>
  <c r="I74" i="68" s="1"/>
  <c r="W15" i="75"/>
  <c r="O15" i="75"/>
  <c r="Y15" i="75"/>
  <c r="Q15" i="75"/>
  <c r="X15" i="75"/>
  <c r="P15" i="75"/>
  <c r="V15" i="75"/>
  <c r="N15" i="75"/>
  <c r="U15" i="75"/>
  <c r="M15" i="75"/>
  <c r="AB15" i="75"/>
  <c r="T15" i="75"/>
  <c r="L15" i="75"/>
  <c r="S15" i="75"/>
  <c r="AA15" i="75"/>
  <c r="K15" i="75"/>
  <c r="Z15" i="75"/>
  <c r="R15" i="75"/>
  <c r="J15" i="75"/>
  <c r="C50" i="75"/>
  <c r="C49" i="75"/>
  <c r="C48" i="75"/>
  <c r="C47" i="75"/>
  <c r="C46" i="75"/>
  <c r="C43" i="75"/>
  <c r="G50" i="75"/>
  <c r="G49" i="75"/>
  <c r="G48" i="75"/>
  <c r="G47" i="75"/>
  <c r="G46" i="75"/>
  <c r="G43" i="75"/>
  <c r="D41" i="75"/>
  <c r="C64" i="82"/>
  <c r="A7" i="82"/>
  <c r="I6" i="82"/>
  <c r="A6" i="82"/>
  <c r="D82" i="75"/>
  <c r="C36" i="75"/>
  <c r="C22" i="75"/>
  <c r="I72" i="82" l="1" a="1"/>
  <c r="I72" i="82" s="1"/>
  <c r="I74" i="82" a="1"/>
  <c r="I74" i="82" s="1"/>
  <c r="I73" i="82" a="1"/>
  <c r="I73" i="82" s="1"/>
  <c r="C13" i="47"/>
  <c r="D43" i="75"/>
  <c r="C64" i="72"/>
  <c r="F13" i="47" l="1"/>
  <c r="D35" i="62"/>
  <c r="D13" i="47"/>
  <c r="A4" i="82" s="1"/>
  <c r="I80" i="82"/>
  <c r="I82" i="82" s="1"/>
  <c r="I107" i="82" s="1"/>
  <c r="D44" i="75"/>
  <c r="C34" i="75" l="1"/>
  <c r="G29" i="33"/>
  <c r="H29" i="33"/>
  <c r="I29" i="33"/>
  <c r="J29" i="33"/>
  <c r="F29" i="33"/>
  <c r="A7" i="81"/>
  <c r="I6" i="81"/>
  <c r="A6" i="81"/>
  <c r="I72" i="81" l="1" a="1"/>
  <c r="I72" i="81" s="1"/>
  <c r="J77" i="81" s="1"/>
  <c r="I73" i="81" a="1"/>
  <c r="I73" i="81" s="1"/>
  <c r="J78" i="81" s="1"/>
  <c r="I74" i="81" a="1"/>
  <c r="I74" i="81" s="1"/>
  <c r="D72" i="75"/>
  <c r="D58" i="75"/>
  <c r="D46" i="75"/>
  <c r="D30" i="75"/>
  <c r="C10" i="47"/>
  <c r="F10" i="47" s="1"/>
  <c r="D32" i="62" l="1"/>
  <c r="D10" i="47"/>
  <c r="A4" i="81" s="1"/>
  <c r="I80" i="81"/>
  <c r="D65" i="75"/>
  <c r="D79" i="75"/>
  <c r="D37" i="75"/>
  <c r="D47" i="75"/>
  <c r="I82" i="81" l="1"/>
  <c r="I107" i="81" s="1"/>
  <c r="D81" i="75"/>
  <c r="D80" i="75"/>
  <c r="D39" i="75"/>
  <c r="D38" i="75"/>
  <c r="D67" i="75"/>
  <c r="D66" i="75"/>
  <c r="D25" i="75"/>
  <c r="D24" i="75"/>
  <c r="D48" i="75"/>
  <c r="D31" i="75"/>
  <c r="A7" i="73"/>
  <c r="I6" i="73"/>
  <c r="G90" i="73" s="1" a="1"/>
  <c r="G90" i="73" s="1"/>
  <c r="A6" i="73"/>
  <c r="A7" i="72"/>
  <c r="I6" i="72"/>
  <c r="A6" i="72"/>
  <c r="I74" i="73" l="1" a="1"/>
  <c r="I74" i="73" s="1"/>
  <c r="I72" i="73" a="1"/>
  <c r="I72" i="73" s="1"/>
  <c r="J77" i="73" s="1"/>
  <c r="I73" i="73" a="1"/>
  <c r="I73" i="73" s="1"/>
  <c r="I72" i="72" a="1"/>
  <c r="I72" i="72" s="1"/>
  <c r="J77" i="72" s="1"/>
  <c r="I74" i="72" a="1"/>
  <c r="I74" i="72" s="1"/>
  <c r="I73" i="72" a="1"/>
  <c r="I73" i="72" s="1"/>
  <c r="J78" i="72" s="1"/>
  <c r="D49" i="75"/>
  <c r="I80" i="73" l="1"/>
  <c r="D51" i="75"/>
  <c r="D50" i="75"/>
  <c r="I82" i="73" l="1"/>
  <c r="I107" i="73" s="1"/>
  <c r="D53" i="75"/>
  <c r="D52" i="75"/>
  <c r="D61" i="47" l="1"/>
  <c r="D76" i="75"/>
  <c r="D62" i="75"/>
  <c r="D34" i="75"/>
  <c r="D26" i="75"/>
  <c r="D27" i="75"/>
  <c r="D59" i="75"/>
  <c r="D69" i="75"/>
  <c r="D73" i="75"/>
  <c r="D23" i="75"/>
  <c r="G78" i="75"/>
  <c r="G77" i="75"/>
  <c r="G76" i="75"/>
  <c r="G75" i="75"/>
  <c r="G74" i="75"/>
  <c r="G71" i="75"/>
  <c r="G64" i="75"/>
  <c r="G63" i="75"/>
  <c r="G62" i="75"/>
  <c r="G61" i="75"/>
  <c r="G60" i="75"/>
  <c r="G57" i="75"/>
  <c r="G36" i="75"/>
  <c r="G35" i="75"/>
  <c r="G34" i="75"/>
  <c r="G33" i="75"/>
  <c r="G32" i="75"/>
  <c r="G29" i="75"/>
  <c r="C20" i="75"/>
  <c r="D20" i="75" s="1"/>
  <c r="G22" i="75"/>
  <c r="G21" i="75"/>
  <c r="G20" i="75"/>
  <c r="G19" i="75"/>
  <c r="G18" i="75"/>
  <c r="G15" i="75"/>
  <c r="J98" i="75" l="1"/>
  <c r="K98" i="75"/>
  <c r="L98" i="75"/>
  <c r="M98" i="75"/>
  <c r="N98" i="75"/>
  <c r="O98" i="75"/>
  <c r="P98" i="75"/>
  <c r="Q98" i="75"/>
  <c r="R98" i="75"/>
  <c r="S98" i="75"/>
  <c r="T98" i="75"/>
  <c r="U98" i="75"/>
  <c r="V98" i="75"/>
  <c r="W98" i="75"/>
  <c r="X98" i="75"/>
  <c r="Y98" i="75"/>
  <c r="Z98" i="75"/>
  <c r="AA98" i="75"/>
  <c r="AB98" i="75"/>
  <c r="C11" i="47" l="1"/>
  <c r="C12" i="47"/>
  <c r="I98" i="75"/>
  <c r="D98" i="75" l="1"/>
  <c r="F12" i="47"/>
  <c r="F11" i="47"/>
  <c r="D33" i="62"/>
  <c r="D34" i="62"/>
  <c r="D12" i="47"/>
  <c r="A4" i="73" s="1"/>
  <c r="G92" i="73" s="1"/>
  <c r="D11" i="47"/>
  <c r="A4" i="72" s="1"/>
  <c r="J7" i="82"/>
  <c r="J42" i="82" s="1"/>
  <c r="K7" i="82"/>
  <c r="K42" i="82" s="1"/>
  <c r="L7" i="82"/>
  <c r="L42" i="82" s="1"/>
  <c r="M7" i="82"/>
  <c r="M42" i="82" s="1"/>
  <c r="N7" i="82"/>
  <c r="N42" i="82" s="1"/>
  <c r="I7" i="82"/>
  <c r="I42" i="82" s="1"/>
  <c r="C88" i="85" l="1" a="1"/>
  <c r="C34" i="62"/>
  <c r="L7" i="81"/>
  <c r="L42" i="81" s="1"/>
  <c r="N7" i="81"/>
  <c r="N42" i="81" s="1"/>
  <c r="M7" i="81"/>
  <c r="M42" i="81" s="1"/>
  <c r="K7" i="81"/>
  <c r="K42" i="81" s="1"/>
  <c r="I7" i="81"/>
  <c r="I42" i="81" s="1"/>
  <c r="J7" i="81"/>
  <c r="J42" i="81" s="1"/>
  <c r="N42" i="68"/>
  <c r="N7" i="73"/>
  <c r="N42" i="73" s="1"/>
  <c r="N7" i="72"/>
  <c r="N42" i="72" s="1"/>
  <c r="M42" i="68"/>
  <c r="M7" i="72"/>
  <c r="M42" i="72" s="1"/>
  <c r="M7" i="73"/>
  <c r="M42" i="73" s="1"/>
  <c r="K42" i="68"/>
  <c r="K7" i="73"/>
  <c r="K42" i="73" s="1"/>
  <c r="K7" i="72"/>
  <c r="K42" i="72" s="1"/>
  <c r="L42" i="68"/>
  <c r="L7" i="73"/>
  <c r="L42" i="73" s="1"/>
  <c r="L7" i="72"/>
  <c r="L42" i="72" s="1"/>
  <c r="I42" i="68"/>
  <c r="I7" i="73"/>
  <c r="I42" i="73" s="1"/>
  <c r="I7" i="72"/>
  <c r="I42" i="72" s="1"/>
  <c r="J42" i="68"/>
  <c r="J7" i="73"/>
  <c r="J42" i="73" s="1"/>
  <c r="J7" i="72"/>
  <c r="J42" i="72" s="1"/>
  <c r="O7" i="82"/>
  <c r="O42" i="82" s="1"/>
  <c r="J17" i="68"/>
  <c r="K17" i="68"/>
  <c r="L17" i="68"/>
  <c r="M17" i="68"/>
  <c r="N17" i="68"/>
  <c r="O17" i="68"/>
  <c r="P17" i="68"/>
  <c r="Q17" i="68"/>
  <c r="R17" i="68"/>
  <c r="S17" i="68"/>
  <c r="T17" i="68"/>
  <c r="U17" i="68"/>
  <c r="V17" i="68"/>
  <c r="W17" i="68"/>
  <c r="X17" i="68"/>
  <c r="Y17" i="68"/>
  <c r="Z17" i="68"/>
  <c r="AA17" i="68"/>
  <c r="AB17" i="68"/>
  <c r="I17" i="68"/>
  <c r="J6" i="68"/>
  <c r="J6" i="75" s="1"/>
  <c r="J6" i="85" s="1"/>
  <c r="D97" i="85" l="1"/>
  <c r="F97" i="85"/>
  <c r="I74" i="33" s="1"/>
  <c r="F96" i="85"/>
  <c r="G93" i="85"/>
  <c r="G94" i="85"/>
  <c r="G92" i="85"/>
  <c r="D98" i="85"/>
  <c r="G90" i="85"/>
  <c r="F98" i="85"/>
  <c r="I75" i="33" s="1"/>
  <c r="E98" i="85"/>
  <c r="D96" i="85"/>
  <c r="E97" i="85"/>
  <c r="G98" i="85"/>
  <c r="J75" i="33" s="1"/>
  <c r="G96" i="85"/>
  <c r="E96" i="85"/>
  <c r="G91" i="85"/>
  <c r="G97" i="85"/>
  <c r="J74" i="33" s="1"/>
  <c r="G95" i="85"/>
  <c r="C88" i="85"/>
  <c r="J74" i="68" a="1"/>
  <c r="J74" i="68" s="1"/>
  <c r="J72" i="68" a="1"/>
  <c r="J72" i="68" s="1"/>
  <c r="J73" i="68" a="1"/>
  <c r="J73" i="68" s="1"/>
  <c r="J6" i="82"/>
  <c r="K6" i="68"/>
  <c r="K6" i="75" s="1"/>
  <c r="K6" i="85" s="1"/>
  <c r="J6" i="81"/>
  <c r="J6" i="73"/>
  <c r="J6" i="72"/>
  <c r="O7" i="81"/>
  <c r="O42" i="81" s="1"/>
  <c r="O7" i="73"/>
  <c r="O42" i="73" s="1"/>
  <c r="O7" i="72"/>
  <c r="O42" i="72" s="1"/>
  <c r="P7" i="82"/>
  <c r="P42" i="82" s="1"/>
  <c r="O42" i="68"/>
  <c r="K88" i="85" l="1"/>
  <c r="K97" i="85" s="1"/>
  <c r="L74" i="33" s="1"/>
  <c r="C98" i="85"/>
  <c r="F75" i="33" s="1"/>
  <c r="C97" i="85"/>
  <c r="F74" i="33" s="1"/>
  <c r="C96" i="85"/>
  <c r="F73" i="33" s="1"/>
  <c r="K6" i="82"/>
  <c r="K72" i="68" a="1"/>
  <c r="K72" i="68" s="1"/>
  <c r="K73" i="68" a="1"/>
  <c r="K73" i="68" s="1"/>
  <c r="K74" i="68" a="1"/>
  <c r="K74" i="68" s="1"/>
  <c r="J72" i="82" a="1"/>
  <c r="J72" i="82" s="1"/>
  <c r="J74" i="82" a="1"/>
  <c r="J74" i="82" s="1"/>
  <c r="J73" i="82" a="1"/>
  <c r="J73" i="82" s="1"/>
  <c r="J74" i="73" a="1"/>
  <c r="J74" i="73" s="1"/>
  <c r="J73" i="73" a="1"/>
  <c r="J73" i="73" s="1"/>
  <c r="J72" i="73" a="1"/>
  <c r="J72" i="73" s="1"/>
  <c r="K77" i="73" s="1"/>
  <c r="J73" i="81" a="1"/>
  <c r="J73" i="81" s="1"/>
  <c r="K78" i="81" s="1"/>
  <c r="J72" i="81" a="1"/>
  <c r="J72" i="81" s="1"/>
  <c r="K77" i="81" s="1"/>
  <c r="J74" i="81" a="1"/>
  <c r="J74" i="81" s="1"/>
  <c r="J73" i="72" a="1"/>
  <c r="J73" i="72" s="1"/>
  <c r="K78" i="72" s="1"/>
  <c r="J72" i="72" a="1"/>
  <c r="J72" i="72" s="1"/>
  <c r="K77" i="72" s="1"/>
  <c r="J74" i="72" a="1"/>
  <c r="J74" i="72" s="1"/>
  <c r="J80" i="68"/>
  <c r="J82" i="68" s="1"/>
  <c r="J107" i="68" s="1"/>
  <c r="L6" i="68"/>
  <c r="L6" i="75" s="1"/>
  <c r="L6" i="85" s="1"/>
  <c r="K6" i="81"/>
  <c r="K6" i="73"/>
  <c r="K6" i="72"/>
  <c r="P7" i="81"/>
  <c r="P42" i="81" s="1"/>
  <c r="P7" i="73"/>
  <c r="P42" i="73" s="1"/>
  <c r="P7" i="72"/>
  <c r="P42" i="72" s="1"/>
  <c r="Q7" i="82"/>
  <c r="Q42" i="82" s="1"/>
  <c r="P42" i="68"/>
  <c r="K72" i="72" l="1" a="1"/>
  <c r="K72" i="72" s="1"/>
  <c r="L77" i="72" s="1"/>
  <c r="K73" i="72" a="1"/>
  <c r="K73" i="72" s="1"/>
  <c r="L78" i="72" s="1"/>
  <c r="K74" i="72" a="1"/>
  <c r="K74" i="72" s="1"/>
  <c r="L72" i="68" a="1"/>
  <c r="L72" i="68" s="1"/>
  <c r="L73" i="68" a="1"/>
  <c r="L73" i="68" s="1"/>
  <c r="L74" i="68" a="1"/>
  <c r="L74" i="68" s="1"/>
  <c r="K74" i="73" a="1"/>
  <c r="K74" i="73" s="1"/>
  <c r="K72" i="73" a="1"/>
  <c r="K72" i="73" s="1"/>
  <c r="L77" i="73" s="1"/>
  <c r="K73" i="73" a="1"/>
  <c r="K73" i="73" s="1"/>
  <c r="K73" i="81" a="1"/>
  <c r="K73" i="81" s="1"/>
  <c r="L78" i="81" s="1"/>
  <c r="K72" i="81" a="1"/>
  <c r="K72" i="81" s="1"/>
  <c r="L77" i="81" s="1"/>
  <c r="K74" i="81" a="1"/>
  <c r="K74" i="81" s="1"/>
  <c r="K73" i="82" a="1"/>
  <c r="K73" i="82" s="1"/>
  <c r="K72" i="82" a="1"/>
  <c r="K72" i="82" s="1"/>
  <c r="K80" i="82" s="1"/>
  <c r="K82" i="82" s="1"/>
  <c r="K107" i="82" s="1"/>
  <c r="K74" i="82" a="1"/>
  <c r="K74" i="82" s="1"/>
  <c r="J80" i="81"/>
  <c r="K80" i="68"/>
  <c r="K82" i="68" s="1"/>
  <c r="K107" i="68" s="1"/>
  <c r="J80" i="82"/>
  <c r="J82" i="82" s="1"/>
  <c r="J107" i="82" s="1"/>
  <c r="J80" i="73"/>
  <c r="L6" i="82"/>
  <c r="M6" i="68"/>
  <c r="M6" i="75" s="1"/>
  <c r="M6" i="85" s="1"/>
  <c r="L6" i="81"/>
  <c r="G90" i="81" s="1" a="1"/>
  <c r="G90" i="81" s="1"/>
  <c r="G92" i="81" s="1"/>
  <c r="C32" i="62" s="1"/>
  <c r="L6" i="72"/>
  <c r="G90" i="72" s="1" a="1"/>
  <c r="G90" i="72" s="1"/>
  <c r="G92" i="72" s="1"/>
  <c r="C33" i="62" s="1"/>
  <c r="L6" i="73"/>
  <c r="Q7" i="81"/>
  <c r="Q42" i="81" s="1"/>
  <c r="Q7" i="73"/>
  <c r="Q42" i="73" s="1"/>
  <c r="Q7" i="72"/>
  <c r="Q42" i="72" s="1"/>
  <c r="R7" i="82"/>
  <c r="R42" i="82" s="1"/>
  <c r="Q42" i="68"/>
  <c r="J82" i="73" l="1"/>
  <c r="J107" i="73" s="1"/>
  <c r="J82" i="81"/>
  <c r="J107" i="81" s="1"/>
  <c r="L74" i="82" a="1"/>
  <c r="L74" i="82" s="1"/>
  <c r="L72" i="82" a="1"/>
  <c r="L72" i="82" s="1"/>
  <c r="L73" i="82" a="1"/>
  <c r="L73" i="82" s="1"/>
  <c r="M72" i="68" a="1"/>
  <c r="M72" i="68" s="1"/>
  <c r="M74" i="68" a="1"/>
  <c r="M74" i="68" s="1"/>
  <c r="M73" i="68" a="1"/>
  <c r="M73" i="68" s="1"/>
  <c r="L72" i="73" a="1"/>
  <c r="L72" i="73" s="1"/>
  <c r="M77" i="73" s="1"/>
  <c r="L73" i="73" a="1"/>
  <c r="L73" i="73" s="1"/>
  <c r="L74" i="73" a="1"/>
  <c r="L74" i="73" s="1"/>
  <c r="L72" i="72" a="1"/>
  <c r="L72" i="72" s="1"/>
  <c r="M77" i="72" s="1"/>
  <c r="L73" i="72" a="1"/>
  <c r="L73" i="72" s="1"/>
  <c r="M78" i="72" s="1"/>
  <c r="L74" i="72" a="1"/>
  <c r="L74" i="72" s="1"/>
  <c r="L74" i="81" a="1"/>
  <c r="L74" i="81" s="1"/>
  <c r="L72" i="81" a="1"/>
  <c r="L72" i="81" s="1"/>
  <c r="M77" i="81" s="1"/>
  <c r="L73" i="81" a="1"/>
  <c r="L73" i="81" s="1"/>
  <c r="M78" i="81" s="1"/>
  <c r="K80" i="81"/>
  <c r="L80" i="68"/>
  <c r="L82" i="68" s="1"/>
  <c r="L107" i="68" s="1"/>
  <c r="K80" i="73"/>
  <c r="M6" i="82"/>
  <c r="N6" i="68"/>
  <c r="N6" i="75" s="1"/>
  <c r="N6" i="85" s="1"/>
  <c r="M6" i="81"/>
  <c r="M6" i="72"/>
  <c r="M6" i="73"/>
  <c r="R7" i="81"/>
  <c r="R42" i="81" s="1"/>
  <c r="R7" i="73"/>
  <c r="R42" i="73" s="1"/>
  <c r="R7" i="72"/>
  <c r="R42" i="72" s="1"/>
  <c r="S7" i="82"/>
  <c r="S42" i="82" s="1"/>
  <c r="R42" i="68"/>
  <c r="K82" i="73" l="1"/>
  <c r="K107" i="73" s="1"/>
  <c r="K82" i="81"/>
  <c r="K107" i="81" s="1"/>
  <c r="M74" i="82" a="1"/>
  <c r="M74" i="82" s="1"/>
  <c r="M72" i="82" a="1"/>
  <c r="M72" i="82" s="1"/>
  <c r="M73" i="82" a="1"/>
  <c r="M73" i="82" s="1"/>
  <c r="M72" i="73" a="1"/>
  <c r="M72" i="73" s="1"/>
  <c r="N77" i="73" s="1"/>
  <c r="M73" i="73" a="1"/>
  <c r="M73" i="73" s="1"/>
  <c r="M74" i="73" a="1"/>
  <c r="M74" i="73" s="1"/>
  <c r="M74" i="81" a="1"/>
  <c r="M74" i="81" s="1"/>
  <c r="M73" i="81" a="1"/>
  <c r="M73" i="81" s="1"/>
  <c r="N78" i="81" s="1"/>
  <c r="M72" i="81" a="1"/>
  <c r="M72" i="81" s="1"/>
  <c r="N77" i="81" s="1"/>
  <c r="M72" i="72" a="1"/>
  <c r="M72" i="72" s="1"/>
  <c r="N77" i="72" s="1"/>
  <c r="M73" i="72" a="1"/>
  <c r="M73" i="72" s="1"/>
  <c r="N78" i="72" s="1"/>
  <c r="M74" i="72" a="1"/>
  <c r="M74" i="72" s="1"/>
  <c r="N74" i="68" a="1"/>
  <c r="N74" i="68" s="1"/>
  <c r="N73" i="68" a="1"/>
  <c r="N73" i="68" s="1"/>
  <c r="N72" i="68" a="1"/>
  <c r="N72" i="68" s="1"/>
  <c r="L80" i="81"/>
  <c r="M80" i="68"/>
  <c r="M82" i="68" s="1"/>
  <c r="M107" i="68" s="1"/>
  <c r="L80" i="82"/>
  <c r="L82" i="82" s="1"/>
  <c r="L107" i="82" s="1"/>
  <c r="L80" i="73"/>
  <c r="N6" i="82"/>
  <c r="O6" i="68"/>
  <c r="O6" i="75" s="1"/>
  <c r="O6" i="85" s="1"/>
  <c r="N6" i="81"/>
  <c r="N6" i="72"/>
  <c r="N6" i="73"/>
  <c r="S7" i="81"/>
  <c r="S42" i="81" s="1"/>
  <c r="S7" i="73"/>
  <c r="S42" i="73" s="1"/>
  <c r="S7" i="72"/>
  <c r="S42" i="72" s="1"/>
  <c r="T7" i="82"/>
  <c r="T42" i="82" s="1"/>
  <c r="S42" i="68"/>
  <c r="L82" i="73" l="1"/>
  <c r="L107" i="73" s="1"/>
  <c r="L82" i="81"/>
  <c r="L107" i="81" s="1"/>
  <c r="N73" i="72" a="1"/>
  <c r="N73" i="72" s="1"/>
  <c r="O78" i="72" s="1"/>
  <c r="N74" i="72" a="1"/>
  <c r="N74" i="72" s="1"/>
  <c r="N72" i="72" a="1"/>
  <c r="N72" i="72" s="1"/>
  <c r="O77" i="72" s="1"/>
  <c r="N74" i="73" a="1"/>
  <c r="N74" i="73" s="1"/>
  <c r="N72" i="73" a="1"/>
  <c r="N72" i="73" s="1"/>
  <c r="O77" i="73" s="1"/>
  <c r="N73" i="73" a="1"/>
  <c r="N73" i="73" s="1"/>
  <c r="N73" i="81" a="1"/>
  <c r="N73" i="81" s="1"/>
  <c r="O78" i="81" s="1"/>
  <c r="N74" i="81" a="1"/>
  <c r="N74" i="81" s="1"/>
  <c r="N72" i="81" a="1"/>
  <c r="N72" i="81" s="1"/>
  <c r="O77" i="81" s="1"/>
  <c r="O72" i="68" a="1"/>
  <c r="O72" i="68" s="1"/>
  <c r="O74" i="68" a="1"/>
  <c r="O74" i="68" s="1"/>
  <c r="O73" i="68" a="1"/>
  <c r="O73" i="68" s="1"/>
  <c r="N73" i="82" a="1"/>
  <c r="N73" i="82" s="1"/>
  <c r="N74" i="82" a="1"/>
  <c r="N74" i="82" s="1"/>
  <c r="N72" i="82" a="1"/>
  <c r="N72" i="82" s="1"/>
  <c r="M80" i="81"/>
  <c r="N80" i="68"/>
  <c r="N82" i="68" s="1"/>
  <c r="N107" i="68" s="1"/>
  <c r="M80" i="82"/>
  <c r="M82" i="82" s="1"/>
  <c r="M107" i="82" s="1"/>
  <c r="M80" i="73"/>
  <c r="O6" i="82"/>
  <c r="P6" i="68"/>
  <c r="P6" i="75" s="1"/>
  <c r="P6" i="85" s="1"/>
  <c r="O6" i="81"/>
  <c r="O6" i="72"/>
  <c r="O6" i="73"/>
  <c r="T7" i="81"/>
  <c r="T42" i="81" s="1"/>
  <c r="T7" i="73"/>
  <c r="T42" i="73" s="1"/>
  <c r="T7" i="72"/>
  <c r="T42" i="72" s="1"/>
  <c r="T42" i="68"/>
  <c r="U7" i="82"/>
  <c r="U42" i="82" s="1"/>
  <c r="M82" i="73" l="1"/>
  <c r="M107" i="73" s="1"/>
  <c r="M82" i="81"/>
  <c r="M107" i="81" s="1"/>
  <c r="O74" i="72" a="1"/>
  <c r="O74" i="72" s="1"/>
  <c r="O73" i="72" a="1"/>
  <c r="O73" i="72" s="1"/>
  <c r="P78" i="72" s="1"/>
  <c r="O72" i="72" a="1"/>
  <c r="O72" i="72" s="1"/>
  <c r="P77" i="72" s="1"/>
  <c r="O72" i="81" a="1"/>
  <c r="O72" i="81" s="1"/>
  <c r="P77" i="81" s="1"/>
  <c r="O74" i="81" a="1"/>
  <c r="O74" i="81" s="1"/>
  <c r="O73" i="81" a="1"/>
  <c r="O73" i="81" s="1"/>
  <c r="P78" i="81" s="1"/>
  <c r="O73" i="73" a="1"/>
  <c r="O73" i="73" s="1"/>
  <c r="O72" i="73" a="1"/>
  <c r="O72" i="73" s="1"/>
  <c r="P77" i="73" s="1"/>
  <c r="O74" i="73" a="1"/>
  <c r="O74" i="73" s="1"/>
  <c r="P73" i="68" a="1"/>
  <c r="P73" i="68" s="1"/>
  <c r="P74" i="68" a="1"/>
  <c r="P74" i="68" s="1"/>
  <c r="P72" i="68" a="1"/>
  <c r="P72" i="68" s="1"/>
  <c r="O72" i="82" a="1"/>
  <c r="O72" i="82" s="1"/>
  <c r="O73" i="82" a="1"/>
  <c r="O73" i="82" s="1"/>
  <c r="O74" i="82" a="1"/>
  <c r="O74" i="82" s="1"/>
  <c r="N80" i="81"/>
  <c r="O80" i="68"/>
  <c r="O82" i="68" s="1"/>
  <c r="O107" i="68" s="1"/>
  <c r="N80" i="73"/>
  <c r="N80" i="82"/>
  <c r="N82" i="82" s="1"/>
  <c r="N107" i="82" s="1"/>
  <c r="P6" i="82"/>
  <c r="Q6" i="68"/>
  <c r="Q6" i="75" s="1"/>
  <c r="Q6" i="85" s="1"/>
  <c r="P6" i="81"/>
  <c r="P6" i="72"/>
  <c r="P6" i="73"/>
  <c r="U7" i="81"/>
  <c r="U42" i="81" s="1"/>
  <c r="U7" i="72"/>
  <c r="U42" i="72" s="1"/>
  <c r="U7" i="73"/>
  <c r="U42" i="73" s="1"/>
  <c r="U42" i="68"/>
  <c r="V7" i="82"/>
  <c r="V42" i="82" s="1"/>
  <c r="N82" i="73" l="1"/>
  <c r="N107" i="73" s="1"/>
  <c r="N82" i="81"/>
  <c r="N107" i="81" s="1"/>
  <c r="P73" i="72" a="1"/>
  <c r="P73" i="72" s="1"/>
  <c r="Q78" i="72" s="1"/>
  <c r="P72" i="72" a="1"/>
  <c r="P72" i="72" s="1"/>
  <c r="Q77" i="72" s="1"/>
  <c r="P74" i="72" a="1"/>
  <c r="P74" i="72" s="1"/>
  <c r="P72" i="81" a="1"/>
  <c r="P72" i="81" s="1"/>
  <c r="Q77" i="81" s="1"/>
  <c r="P74" i="81" a="1"/>
  <c r="P74" i="81" s="1"/>
  <c r="P73" i="81" a="1"/>
  <c r="P73" i="81" s="1"/>
  <c r="Q78" i="81" s="1"/>
  <c r="P74" i="73" a="1"/>
  <c r="P74" i="73" s="1"/>
  <c r="P73" i="73" a="1"/>
  <c r="P73" i="73" s="1"/>
  <c r="P72" i="73" a="1"/>
  <c r="P72" i="73" s="1"/>
  <c r="Q77" i="73" s="1"/>
  <c r="P74" i="82" a="1"/>
  <c r="P74" i="82" s="1"/>
  <c r="P73" i="82" a="1"/>
  <c r="P73" i="82" s="1"/>
  <c r="P72" i="82" a="1"/>
  <c r="P72" i="82" s="1"/>
  <c r="Q72" i="68" a="1"/>
  <c r="Q72" i="68" s="1"/>
  <c r="Q74" i="68" a="1"/>
  <c r="Q74" i="68" s="1"/>
  <c r="Q73" i="68" a="1"/>
  <c r="Q73" i="68" s="1"/>
  <c r="O80" i="81"/>
  <c r="P80" i="68"/>
  <c r="P82" i="68" s="1"/>
  <c r="P107" i="68" s="1"/>
  <c r="O80" i="82"/>
  <c r="O82" i="82" s="1"/>
  <c r="O107" i="82" s="1"/>
  <c r="O80" i="73"/>
  <c r="Q6" i="82"/>
  <c r="R6" i="68"/>
  <c r="R6" i="75" s="1"/>
  <c r="R6" i="85" s="1"/>
  <c r="Q6" i="81"/>
  <c r="Q6" i="73"/>
  <c r="Q6" i="72"/>
  <c r="V7" i="81"/>
  <c r="V42" i="81" s="1"/>
  <c r="V7" i="73"/>
  <c r="V42" i="73" s="1"/>
  <c r="V7" i="72"/>
  <c r="V42" i="72" s="1"/>
  <c r="V42" i="68"/>
  <c r="W7" i="82"/>
  <c r="W42" i="82" s="1"/>
  <c r="O82" i="73" l="1"/>
  <c r="O107" i="73" s="1"/>
  <c r="O82" i="81"/>
  <c r="O107" i="81" s="1"/>
  <c r="Q73" i="72" a="1"/>
  <c r="Q73" i="72" s="1"/>
  <c r="R78" i="72" s="1"/>
  <c r="Q74" i="72" a="1"/>
  <c r="Q74" i="72" s="1"/>
  <c r="Q72" i="72" a="1"/>
  <c r="Q72" i="72" s="1"/>
  <c r="R77" i="72" s="1"/>
  <c r="Q72" i="73" a="1"/>
  <c r="Q72" i="73" s="1"/>
  <c r="R77" i="73" s="1"/>
  <c r="Q74" i="73" a="1"/>
  <c r="Q74" i="73" s="1"/>
  <c r="Q73" i="73" a="1"/>
  <c r="Q73" i="73" s="1"/>
  <c r="Q73" i="82" a="1"/>
  <c r="Q73" i="82" s="1"/>
  <c r="Q72" i="82" a="1"/>
  <c r="Q72" i="82" s="1"/>
  <c r="Q74" i="82" a="1"/>
  <c r="Q74" i="82" s="1"/>
  <c r="Q73" i="81" a="1"/>
  <c r="Q73" i="81" s="1"/>
  <c r="R78" i="81" s="1"/>
  <c r="Q74" i="81" a="1"/>
  <c r="Q74" i="81" s="1"/>
  <c r="Q72" i="81" a="1"/>
  <c r="Q72" i="81" s="1"/>
  <c r="R77" i="81" s="1"/>
  <c r="R74" i="68" a="1"/>
  <c r="R74" i="68" s="1"/>
  <c r="R72" i="68" a="1"/>
  <c r="R72" i="68" s="1"/>
  <c r="R73" i="68" a="1"/>
  <c r="R73" i="68" s="1"/>
  <c r="P80" i="81"/>
  <c r="Q80" i="68"/>
  <c r="Q82" i="68" s="1"/>
  <c r="Q107" i="68" s="1"/>
  <c r="P80" i="73"/>
  <c r="P80" i="82"/>
  <c r="P82" i="82" s="1"/>
  <c r="P107" i="82" s="1"/>
  <c r="R6" i="82"/>
  <c r="S6" i="68"/>
  <c r="S6" i="75" s="1"/>
  <c r="S6" i="85" s="1"/>
  <c r="R6" i="81"/>
  <c r="R6" i="73"/>
  <c r="R6" i="72"/>
  <c r="W7" i="81"/>
  <c r="W42" i="81" s="1"/>
  <c r="W7" i="73"/>
  <c r="W42" i="73" s="1"/>
  <c r="W7" i="72"/>
  <c r="W42" i="72" s="1"/>
  <c r="W42" i="68"/>
  <c r="X7" i="82"/>
  <c r="X42" i="82" s="1"/>
  <c r="P82" i="73" l="1"/>
  <c r="P107" i="73" s="1"/>
  <c r="P82" i="81"/>
  <c r="P107" i="81" s="1"/>
  <c r="R72" i="82" a="1"/>
  <c r="R72" i="82" s="1"/>
  <c r="R73" i="82" a="1"/>
  <c r="R73" i="82" s="1"/>
  <c r="R74" i="82" a="1"/>
  <c r="R74" i="82" s="1"/>
  <c r="R72" i="73" a="1"/>
  <c r="R72" i="73" s="1"/>
  <c r="S77" i="73" s="1"/>
  <c r="R74" i="73" a="1"/>
  <c r="R74" i="73" s="1"/>
  <c r="R73" i="73" a="1"/>
  <c r="R73" i="73" s="1"/>
  <c r="R72" i="81" a="1"/>
  <c r="R72" i="81" s="1"/>
  <c r="S77" i="81" s="1"/>
  <c r="R73" i="81" a="1"/>
  <c r="R73" i="81" s="1"/>
  <c r="S78" i="81" s="1"/>
  <c r="R74" i="81" a="1"/>
  <c r="R74" i="81" s="1"/>
  <c r="R73" i="72" a="1"/>
  <c r="R73" i="72" s="1"/>
  <c r="S78" i="72" s="1"/>
  <c r="R72" i="72" a="1"/>
  <c r="R72" i="72" s="1"/>
  <c r="S77" i="72" s="1"/>
  <c r="R74" i="72" a="1"/>
  <c r="R74" i="72" s="1"/>
  <c r="S72" i="68" a="1"/>
  <c r="S72" i="68" s="1"/>
  <c r="S74" i="68" a="1"/>
  <c r="S74" i="68" s="1"/>
  <c r="S73" i="68" a="1"/>
  <c r="S73" i="68" s="1"/>
  <c r="Q80" i="81"/>
  <c r="R80" i="68"/>
  <c r="Q80" i="73"/>
  <c r="Q80" i="82"/>
  <c r="Q82" i="82" s="1"/>
  <c r="Q107" i="82" s="1"/>
  <c r="S6" i="82"/>
  <c r="T6" i="68"/>
  <c r="T6" i="75" s="1"/>
  <c r="T6" i="85" s="1"/>
  <c r="S6" i="81"/>
  <c r="S6" i="73"/>
  <c r="S6" i="72"/>
  <c r="X7" i="81"/>
  <c r="X42" i="81" s="1"/>
  <c r="X7" i="73"/>
  <c r="X42" i="73" s="1"/>
  <c r="X7" i="72"/>
  <c r="X42" i="72" s="1"/>
  <c r="X42" i="68"/>
  <c r="Y7" i="82"/>
  <c r="Y42" i="82" s="1"/>
  <c r="R82" i="68" l="1"/>
  <c r="R107" i="68" s="1"/>
  <c r="Q82" i="73"/>
  <c r="Q107" i="73" s="1"/>
  <c r="Q82" i="81"/>
  <c r="Q107" i="81" s="1"/>
  <c r="S74" i="82" a="1"/>
  <c r="S74" i="82" s="1"/>
  <c r="S73" i="82" a="1"/>
  <c r="S73" i="82" s="1"/>
  <c r="S72" i="82" a="1"/>
  <c r="S72" i="82" s="1"/>
  <c r="S74" i="72" a="1"/>
  <c r="S74" i="72" s="1"/>
  <c r="S72" i="72" a="1"/>
  <c r="S72" i="72" s="1"/>
  <c r="T77" i="72" s="1"/>
  <c r="S73" i="72" a="1"/>
  <c r="S73" i="72" s="1"/>
  <c r="T78" i="72" s="1"/>
  <c r="S72" i="73" a="1"/>
  <c r="S72" i="73" s="1"/>
  <c r="T77" i="73" s="1"/>
  <c r="S74" i="73" a="1"/>
  <c r="S74" i="73" s="1"/>
  <c r="S73" i="73" a="1"/>
  <c r="S73" i="73" s="1"/>
  <c r="S73" i="81" a="1"/>
  <c r="S73" i="81" s="1"/>
  <c r="T78" i="81" s="1"/>
  <c r="S74" i="81" a="1"/>
  <c r="S74" i="81" s="1"/>
  <c r="S72" i="81" a="1"/>
  <c r="S72" i="81" s="1"/>
  <c r="T77" i="81" s="1"/>
  <c r="T73" i="68" a="1"/>
  <c r="T73" i="68" s="1"/>
  <c r="T74" i="68" a="1"/>
  <c r="T74" i="68" s="1"/>
  <c r="T72" i="68" a="1"/>
  <c r="T72" i="68" s="1"/>
  <c r="R80" i="81"/>
  <c r="S80" i="68"/>
  <c r="R80" i="73"/>
  <c r="R80" i="82"/>
  <c r="T6" i="82"/>
  <c r="U6" i="68"/>
  <c r="U6" i="75" s="1"/>
  <c r="U6" i="85" s="1"/>
  <c r="T6" i="81"/>
  <c r="T6" i="72"/>
  <c r="T6" i="73"/>
  <c r="Y7" i="81"/>
  <c r="Y42" i="81" s="1"/>
  <c r="Y7" i="73"/>
  <c r="Y42" i="73" s="1"/>
  <c r="Y7" i="72"/>
  <c r="Y42" i="72" s="1"/>
  <c r="Y42" i="68"/>
  <c r="Z7" i="82"/>
  <c r="Z42" i="82" s="1"/>
  <c r="R82" i="82" l="1"/>
  <c r="R107" i="82" s="1"/>
  <c r="S82" i="68"/>
  <c r="S107" i="68" s="1"/>
  <c r="R82" i="73"/>
  <c r="R107" i="73" s="1"/>
  <c r="R82" i="81"/>
  <c r="R107" i="81" s="1"/>
  <c r="U72" i="68" a="1"/>
  <c r="U72" i="68" s="1"/>
  <c r="U74" i="68" a="1"/>
  <c r="U74" i="68" s="1"/>
  <c r="U73" i="68" a="1"/>
  <c r="U73" i="68" s="1"/>
  <c r="T74" i="73" a="1"/>
  <c r="T74" i="73" s="1"/>
  <c r="T72" i="73" a="1"/>
  <c r="T72" i="73" s="1"/>
  <c r="U77" i="73" s="1"/>
  <c r="T73" i="73" a="1"/>
  <c r="T73" i="73" s="1"/>
  <c r="T73" i="72" a="1"/>
  <c r="T73" i="72" s="1"/>
  <c r="U78" i="72" s="1"/>
  <c r="T72" i="72" a="1"/>
  <c r="T72" i="72" s="1"/>
  <c r="U77" i="72" s="1"/>
  <c r="T74" i="72" a="1"/>
  <c r="T74" i="72" s="1"/>
  <c r="T72" i="81" a="1"/>
  <c r="T72" i="81" s="1"/>
  <c r="U77" i="81" s="1"/>
  <c r="T73" i="81" a="1"/>
  <c r="T73" i="81" s="1"/>
  <c r="U78" i="81" s="1"/>
  <c r="T74" i="81" a="1"/>
  <c r="T74" i="81" s="1"/>
  <c r="T72" i="82" a="1"/>
  <c r="T72" i="82" s="1"/>
  <c r="T73" i="82" a="1"/>
  <c r="T73" i="82" s="1"/>
  <c r="T74" i="82" a="1"/>
  <c r="T74" i="82" s="1"/>
  <c r="S80" i="81"/>
  <c r="T80" i="68"/>
  <c r="S80" i="82"/>
  <c r="S80" i="73"/>
  <c r="U6" i="82"/>
  <c r="G90" i="82" s="1" a="1"/>
  <c r="G90" i="82" s="1"/>
  <c r="G92" i="82" s="1"/>
  <c r="V6" i="68"/>
  <c r="V6" i="75" s="1"/>
  <c r="V6" i="85" s="1"/>
  <c r="U6" i="81"/>
  <c r="U6" i="72"/>
  <c r="U6" i="73"/>
  <c r="Z7" i="81"/>
  <c r="Z42" i="81" s="1"/>
  <c r="Z7" i="73"/>
  <c r="Z42" i="73" s="1"/>
  <c r="Z7" i="72"/>
  <c r="Z42" i="72" s="1"/>
  <c r="Z42" i="68"/>
  <c r="AA7" i="82"/>
  <c r="AA42" i="82" s="1"/>
  <c r="S82" i="82" l="1"/>
  <c r="S107" i="82" s="1"/>
  <c r="T82" i="68"/>
  <c r="T107" i="68" s="1"/>
  <c r="C35" i="62"/>
  <c r="C38" i="62" s="1" a="1"/>
  <c r="C38" i="62" s="1"/>
  <c r="N7" i="75" s="1"/>
  <c r="N7" i="85" s="1"/>
  <c r="S82" i="73"/>
  <c r="S107" i="73" s="1"/>
  <c r="S82" i="81"/>
  <c r="S107" i="81" s="1"/>
  <c r="U74" i="73" a="1"/>
  <c r="U74" i="73" s="1"/>
  <c r="U72" i="73" a="1"/>
  <c r="U72" i="73" s="1"/>
  <c r="V77" i="73" s="1"/>
  <c r="U73" i="73" a="1"/>
  <c r="U73" i="73" s="1"/>
  <c r="U74" i="72" a="1"/>
  <c r="U74" i="72" s="1"/>
  <c r="U72" i="72" a="1"/>
  <c r="U72" i="72" s="1"/>
  <c r="V77" i="72" s="1"/>
  <c r="U73" i="72" a="1"/>
  <c r="U73" i="72" s="1"/>
  <c r="V78" i="72" s="1"/>
  <c r="U74" i="82" a="1"/>
  <c r="U74" i="82" s="1"/>
  <c r="U73" i="82" a="1"/>
  <c r="U73" i="82" s="1"/>
  <c r="U72" i="82" a="1"/>
  <c r="U72" i="82" s="1"/>
  <c r="U72" i="81" a="1"/>
  <c r="U72" i="81" s="1"/>
  <c r="V77" i="81" s="1"/>
  <c r="U73" i="81" a="1"/>
  <c r="U73" i="81" s="1"/>
  <c r="V78" i="81" s="1"/>
  <c r="U74" i="81" a="1"/>
  <c r="U74" i="81" s="1"/>
  <c r="V72" i="68" a="1"/>
  <c r="V72" i="68" s="1"/>
  <c r="V73" i="68" a="1"/>
  <c r="V73" i="68" s="1"/>
  <c r="V74" i="68" a="1"/>
  <c r="V74" i="68" s="1"/>
  <c r="T80" i="81"/>
  <c r="U80" i="68"/>
  <c r="T80" i="73"/>
  <c r="T80" i="82"/>
  <c r="V6" i="82"/>
  <c r="W6" i="68"/>
  <c r="W6" i="75" s="1"/>
  <c r="W6" i="85" s="1"/>
  <c r="V6" i="81"/>
  <c r="V6" i="72"/>
  <c r="V6" i="73"/>
  <c r="AA7" i="81"/>
  <c r="AA42" i="81" s="1"/>
  <c r="AA7" i="73"/>
  <c r="AA42" i="73" s="1"/>
  <c r="AA7" i="72"/>
  <c r="AA42" i="72" s="1"/>
  <c r="AA42" i="68"/>
  <c r="AB7" i="82"/>
  <c r="AB42" i="82" s="1"/>
  <c r="T82" i="82" l="1"/>
  <c r="T107" i="82" s="1"/>
  <c r="U82" i="68"/>
  <c r="U107" i="68" s="1"/>
  <c r="V7" i="75"/>
  <c r="V7" i="85" s="1"/>
  <c r="Q7" i="75"/>
  <c r="Q7" i="85" s="1"/>
  <c r="L7" i="75"/>
  <c r="L7" i="85" s="1"/>
  <c r="J7" i="75"/>
  <c r="J7" i="85" s="1"/>
  <c r="M7" i="75"/>
  <c r="M7" i="85" s="1"/>
  <c r="P7" i="75"/>
  <c r="P7" i="85" s="1"/>
  <c r="I7" i="75"/>
  <c r="W7" i="75"/>
  <c r="W7" i="85" s="1"/>
  <c r="H7" i="75"/>
  <c r="H7" i="85" s="1"/>
  <c r="T7" i="75"/>
  <c r="T7" i="85" s="1"/>
  <c r="S7" i="75"/>
  <c r="S7" i="85" s="1"/>
  <c r="K7" i="75"/>
  <c r="K7" i="85" s="1"/>
  <c r="R7" i="75"/>
  <c r="R7" i="85" s="1"/>
  <c r="O7" i="75"/>
  <c r="O7" i="85" s="1"/>
  <c r="U7" i="75"/>
  <c r="U7" i="85" s="1"/>
  <c r="T82" i="73"/>
  <c r="T107" i="73" s="1"/>
  <c r="T82" i="81"/>
  <c r="T107" i="81" s="1"/>
  <c r="V73" i="72" a="1"/>
  <c r="V73" i="72" s="1"/>
  <c r="W78" i="72" s="1"/>
  <c r="V72" i="72" a="1"/>
  <c r="V72" i="72" s="1"/>
  <c r="W77" i="72" s="1"/>
  <c r="V74" i="72" a="1"/>
  <c r="V74" i="72" s="1"/>
  <c r="V72" i="82" a="1"/>
  <c r="V72" i="82" s="1"/>
  <c r="V73" i="82" a="1"/>
  <c r="V73" i="82" s="1"/>
  <c r="V74" i="82" a="1"/>
  <c r="V74" i="82" s="1"/>
  <c r="V73" i="73" a="1"/>
  <c r="V73" i="73" s="1"/>
  <c r="V72" i="73" a="1"/>
  <c r="V72" i="73" s="1"/>
  <c r="W77" i="73" s="1"/>
  <c r="V74" i="73" a="1"/>
  <c r="V74" i="73" s="1"/>
  <c r="V74" i="81" a="1"/>
  <c r="V74" i="81" s="1"/>
  <c r="V72" i="81" a="1"/>
  <c r="V72" i="81" s="1"/>
  <c r="W77" i="81" s="1"/>
  <c r="V73" i="81" a="1"/>
  <c r="V73" i="81" s="1"/>
  <c r="W78" i="81" s="1"/>
  <c r="W73" i="68" a="1"/>
  <c r="W73" i="68" s="1"/>
  <c r="W74" i="68" a="1"/>
  <c r="W74" i="68" s="1"/>
  <c r="W72" i="68" a="1"/>
  <c r="W72" i="68" s="1"/>
  <c r="U80" i="81"/>
  <c r="V80" i="68"/>
  <c r="V82" i="68" s="1"/>
  <c r="V107" i="68" s="1"/>
  <c r="U80" i="73"/>
  <c r="U80" i="82"/>
  <c r="W6" i="82"/>
  <c r="X6" i="68"/>
  <c r="X6" i="75" s="1"/>
  <c r="W6" i="81"/>
  <c r="W6" i="72"/>
  <c r="W6" i="73"/>
  <c r="AB7" i="81"/>
  <c r="AB42" i="81" s="1"/>
  <c r="AB7" i="73"/>
  <c r="AB42" i="73" s="1"/>
  <c r="AB7" i="72"/>
  <c r="AB42" i="72" s="1"/>
  <c r="AB42" i="68"/>
  <c r="U82" i="82" l="1"/>
  <c r="U107" i="82" s="1"/>
  <c r="X7" i="75"/>
  <c r="X7" i="85" s="1"/>
  <c r="X6" i="85"/>
  <c r="I7" i="85"/>
  <c r="U82" i="73"/>
  <c r="U107" i="73" s="1"/>
  <c r="U82" i="81"/>
  <c r="U107" i="81" s="1"/>
  <c r="W74" i="82" a="1"/>
  <c r="W74" i="82" s="1"/>
  <c r="W73" i="82" a="1"/>
  <c r="W73" i="82" s="1"/>
  <c r="W72" i="82" a="1"/>
  <c r="W72" i="82" s="1"/>
  <c r="W73" i="72" a="1"/>
  <c r="W73" i="72" s="1"/>
  <c r="X78" i="72" s="1"/>
  <c r="W72" i="72" a="1"/>
  <c r="W72" i="72" s="1"/>
  <c r="X77" i="72" s="1"/>
  <c r="W74" i="72" a="1"/>
  <c r="W74" i="72" s="1"/>
  <c r="W73" i="81" a="1"/>
  <c r="W73" i="81" s="1"/>
  <c r="X78" i="81" s="1"/>
  <c r="W72" i="81" a="1"/>
  <c r="W72" i="81" s="1"/>
  <c r="X77" i="81" s="1"/>
  <c r="W74" i="81" a="1"/>
  <c r="W74" i="81" s="1"/>
  <c r="X73" i="68" a="1"/>
  <c r="X73" i="68" s="1"/>
  <c r="X72" i="68" a="1"/>
  <c r="X72" i="68" s="1"/>
  <c r="X74" i="68" a="1"/>
  <c r="X74" i="68" s="1"/>
  <c r="W72" i="73" a="1"/>
  <c r="W72" i="73" s="1"/>
  <c r="X77" i="73" s="1"/>
  <c r="W74" i="73" a="1"/>
  <c r="W74" i="73" s="1"/>
  <c r="W73" i="73" a="1"/>
  <c r="W73" i="73" s="1"/>
  <c r="V80" i="81"/>
  <c r="W80" i="68"/>
  <c r="W82" i="68" s="1"/>
  <c r="W107" i="68" s="1"/>
  <c r="V80" i="82"/>
  <c r="V82" i="82" s="1"/>
  <c r="V107" i="82" s="1"/>
  <c r="V80" i="73"/>
  <c r="X6" i="82"/>
  <c r="Y6" i="68"/>
  <c r="Y6" i="75" s="1"/>
  <c r="X6" i="81"/>
  <c r="X6" i="72"/>
  <c r="X6" i="73"/>
  <c r="Y7" i="75" l="1"/>
  <c r="Y7" i="85" s="1"/>
  <c r="Y6" i="85"/>
  <c r="V82" i="73"/>
  <c r="V107" i="73" s="1"/>
  <c r="V82" i="81"/>
  <c r="V107" i="81" s="1"/>
  <c r="X74" i="82" a="1"/>
  <c r="X74" i="82" s="1"/>
  <c r="X72" i="82" a="1"/>
  <c r="X72" i="82" s="1"/>
  <c r="X73" i="82" a="1"/>
  <c r="X73" i="82" s="1"/>
  <c r="X74" i="73" a="1"/>
  <c r="X74" i="73" s="1"/>
  <c r="X73" i="73" a="1"/>
  <c r="X73" i="73" s="1"/>
  <c r="X72" i="73" a="1"/>
  <c r="X72" i="73" s="1"/>
  <c r="Y77" i="73" s="1"/>
  <c r="X73" i="72" a="1"/>
  <c r="X73" i="72" s="1"/>
  <c r="Y78" i="72" s="1"/>
  <c r="X72" i="72" a="1"/>
  <c r="X72" i="72" s="1"/>
  <c r="Y77" i="72" s="1"/>
  <c r="X74" i="72" a="1"/>
  <c r="X74" i="72" s="1"/>
  <c r="Y74" i="68" a="1"/>
  <c r="Y74" i="68" s="1"/>
  <c r="Y73" i="68" a="1"/>
  <c r="Y73" i="68" s="1"/>
  <c r="Y72" i="68" a="1"/>
  <c r="Y72" i="68" s="1"/>
  <c r="X72" i="81" a="1"/>
  <c r="X72" i="81" s="1"/>
  <c r="Y77" i="81" s="1"/>
  <c r="X74" i="81" a="1"/>
  <c r="X74" i="81" s="1"/>
  <c r="X73" i="81" a="1"/>
  <c r="X73" i="81" s="1"/>
  <c r="Y78" i="81" s="1"/>
  <c r="W80" i="81"/>
  <c r="X80" i="68"/>
  <c r="X82" i="68" s="1"/>
  <c r="X107" i="68" s="1"/>
  <c r="W80" i="73"/>
  <c r="W80" i="82"/>
  <c r="W82" i="82" s="1"/>
  <c r="W107" i="82" s="1"/>
  <c r="Y6" i="82"/>
  <c r="Z6" i="68"/>
  <c r="Z6" i="75" s="1"/>
  <c r="Y6" i="81"/>
  <c r="Y6" i="73"/>
  <c r="Y6" i="72"/>
  <c r="Z7" i="75" l="1"/>
  <c r="Z7" i="85" s="1"/>
  <c r="Z6" i="85"/>
  <c r="W82" i="73"/>
  <c r="W107" i="73" s="1"/>
  <c r="W82" i="81"/>
  <c r="W107" i="81" s="1"/>
  <c r="Y72" i="82" a="1"/>
  <c r="Y72" i="82" s="1"/>
  <c r="Y73" i="82" a="1"/>
  <c r="Y73" i="82" s="1"/>
  <c r="Y74" i="82" a="1"/>
  <c r="Y74" i="82" s="1"/>
  <c r="Y73" i="72" a="1"/>
  <c r="Y73" i="72" s="1"/>
  <c r="Z78" i="72" s="1"/>
  <c r="Y72" i="72" a="1"/>
  <c r="Y72" i="72" s="1"/>
  <c r="Z77" i="72" s="1"/>
  <c r="Y74" i="72" a="1"/>
  <c r="Y74" i="72" s="1"/>
  <c r="Y72" i="73" a="1"/>
  <c r="Y72" i="73" s="1"/>
  <c r="Z77" i="73" s="1"/>
  <c r="Y73" i="73" a="1"/>
  <c r="Y73" i="73" s="1"/>
  <c r="Y74" i="73" a="1"/>
  <c r="Y74" i="73" s="1"/>
  <c r="Y73" i="81" a="1"/>
  <c r="Y73" i="81" s="1"/>
  <c r="Z78" i="81" s="1"/>
  <c r="Y72" i="81" a="1"/>
  <c r="Y72" i="81" s="1"/>
  <c r="Z77" i="81" s="1"/>
  <c r="Y74" i="81" a="1"/>
  <c r="Y74" i="81" s="1"/>
  <c r="Z72" i="68" a="1"/>
  <c r="Z72" i="68" s="1"/>
  <c r="Z73" i="68" a="1"/>
  <c r="Z73" i="68" s="1"/>
  <c r="Z74" i="68" a="1"/>
  <c r="Z74" i="68" s="1"/>
  <c r="X80" i="81"/>
  <c r="Y80" i="68"/>
  <c r="Y82" i="68" s="1"/>
  <c r="Y107" i="68" s="1"/>
  <c r="X80" i="73"/>
  <c r="X80" i="82"/>
  <c r="X82" i="82" s="1"/>
  <c r="X107" i="82" s="1"/>
  <c r="Z6" i="82"/>
  <c r="AA6" i="68"/>
  <c r="AA6" i="75" s="1"/>
  <c r="Z6" i="81"/>
  <c r="Z6" i="73"/>
  <c r="Z6" i="72"/>
  <c r="AA7" i="75" l="1"/>
  <c r="AA7" i="85" s="1"/>
  <c r="AA6" i="85"/>
  <c r="X82" i="73"/>
  <c r="X107" i="73" s="1"/>
  <c r="X82" i="81"/>
  <c r="X107" i="81" s="1"/>
  <c r="Z74" i="72" a="1"/>
  <c r="Z74" i="72" s="1"/>
  <c r="Z73" i="72" a="1"/>
  <c r="Z73" i="72" s="1"/>
  <c r="AA78" i="72" s="1"/>
  <c r="Z72" i="72" a="1"/>
  <c r="Z72" i="72" s="1"/>
  <c r="AA77" i="72" s="1"/>
  <c r="Z72" i="82" a="1"/>
  <c r="Z72" i="82" s="1"/>
  <c r="Z73" i="82" a="1"/>
  <c r="Z73" i="82" s="1"/>
  <c r="Z74" i="82" a="1"/>
  <c r="Z74" i="82" s="1"/>
  <c r="Z74" i="73" a="1"/>
  <c r="Z74" i="73" s="1"/>
  <c r="Z72" i="73" a="1"/>
  <c r="Z72" i="73" s="1"/>
  <c r="AA77" i="73" s="1"/>
  <c r="Z73" i="73" a="1"/>
  <c r="Z73" i="73" s="1"/>
  <c r="Z74" i="81" a="1"/>
  <c r="Z74" i="81" s="1"/>
  <c r="Z72" i="81" a="1"/>
  <c r="Z72" i="81" s="1"/>
  <c r="AA77" i="81" s="1"/>
  <c r="Z73" i="81" a="1"/>
  <c r="Z73" i="81" s="1"/>
  <c r="AA78" i="81" s="1"/>
  <c r="AA72" i="68" a="1"/>
  <c r="AA72" i="68" s="1"/>
  <c r="AA73" i="68" a="1"/>
  <c r="AA73" i="68" s="1"/>
  <c r="AA74" i="68" a="1"/>
  <c r="AA74" i="68" s="1"/>
  <c r="Y80" i="81"/>
  <c r="Z80" i="68"/>
  <c r="Z82" i="68" s="1"/>
  <c r="Z107" i="68" s="1"/>
  <c r="Y80" i="73"/>
  <c r="Y80" i="82"/>
  <c r="Y82" i="82" s="1"/>
  <c r="Y107" i="82" s="1"/>
  <c r="AA6" i="82"/>
  <c r="AB6" i="68"/>
  <c r="AB6" i="75" s="1"/>
  <c r="AA6" i="81"/>
  <c r="AA6" i="73"/>
  <c r="AA6" i="72"/>
  <c r="AB7" i="75" l="1"/>
  <c r="AB7" i="85" s="1"/>
  <c r="AB6" i="85"/>
  <c r="Y82" i="73"/>
  <c r="Y107" i="73" s="1"/>
  <c r="Y82" i="81"/>
  <c r="Y107" i="81" s="1"/>
  <c r="AA72" i="73" a="1"/>
  <c r="AA72" i="73" s="1"/>
  <c r="AB77" i="73" s="1"/>
  <c r="AA74" i="73" a="1"/>
  <c r="AA74" i="73" s="1"/>
  <c r="AA73" i="73" a="1"/>
  <c r="AA73" i="73" s="1"/>
  <c r="AA73" i="81" a="1"/>
  <c r="AA73" i="81" s="1"/>
  <c r="AB78" i="81" s="1"/>
  <c r="AA74" i="81" a="1"/>
  <c r="AA74" i="81" s="1"/>
  <c r="AA72" i="81" a="1"/>
  <c r="AA72" i="81" s="1"/>
  <c r="AB77" i="81" s="1"/>
  <c r="AC6" i="68"/>
  <c r="AB74" i="68" a="1"/>
  <c r="AB74" i="68" s="1"/>
  <c r="AB73" i="68" a="1"/>
  <c r="AB73" i="68" s="1"/>
  <c r="AB72" i="68" a="1"/>
  <c r="AB72" i="68" s="1"/>
  <c r="AA72" i="72" a="1"/>
  <c r="AA72" i="72" s="1"/>
  <c r="AB77" i="72" s="1"/>
  <c r="AA74" i="72" a="1"/>
  <c r="AA74" i="72" s="1"/>
  <c r="AA73" i="72" a="1"/>
  <c r="AA73" i="72" s="1"/>
  <c r="AB78" i="72" s="1"/>
  <c r="AA74" i="82" a="1"/>
  <c r="AA74" i="82" s="1"/>
  <c r="AA73" i="82" a="1"/>
  <c r="AA73" i="82" s="1"/>
  <c r="AA72" i="82" a="1"/>
  <c r="AA72" i="82" s="1"/>
  <c r="Z80" i="81"/>
  <c r="AA80" i="68"/>
  <c r="AA82" i="68" s="1"/>
  <c r="AA107" i="68" s="1"/>
  <c r="Z80" i="82"/>
  <c r="Z82" i="82" s="1"/>
  <c r="Z107" i="82" s="1"/>
  <c r="Z80" i="73"/>
  <c r="AB6" i="82"/>
  <c r="AB6" i="81"/>
  <c r="AB6" i="72"/>
  <c r="AB6" i="73"/>
  <c r="Z82" i="73" l="1"/>
  <c r="Z107" i="73" s="1"/>
  <c r="Z82" i="81"/>
  <c r="Z107" i="81" s="1"/>
  <c r="AC6" i="73"/>
  <c r="AC6" i="75"/>
  <c r="AC6" i="82"/>
  <c r="AC73" i="82" s="1" a="1"/>
  <c r="AC73" i="82" s="1"/>
  <c r="AC72" i="73" a="1"/>
  <c r="AC72" i="73" s="1"/>
  <c r="AC74" i="73" a="1"/>
  <c r="AC74" i="73" s="1"/>
  <c r="AC73" i="73" a="1"/>
  <c r="AC73" i="73" s="1"/>
  <c r="AC6" i="72"/>
  <c r="AB74" i="82" a="1"/>
  <c r="AB74" i="82" s="1"/>
  <c r="AB73" i="82" a="1"/>
  <c r="AB73" i="82" s="1"/>
  <c r="AB72" i="82" a="1"/>
  <c r="AB72" i="82" s="1"/>
  <c r="AC72" i="82" a="1"/>
  <c r="AC72" i="82" s="1"/>
  <c r="AC80" i="82" s="1"/>
  <c r="AC82" i="82" s="1"/>
  <c r="AC107" i="82" s="1"/>
  <c r="AC74" i="82" a="1"/>
  <c r="AC74" i="82" s="1"/>
  <c r="AC72" i="68" a="1"/>
  <c r="AC72" i="68" s="1"/>
  <c r="AC74" i="68" a="1"/>
  <c r="AC74" i="68" s="1"/>
  <c r="AC73" i="68" a="1"/>
  <c r="AC73" i="68" s="1"/>
  <c r="AC80" i="68" s="1"/>
  <c r="AC82" i="68" s="1"/>
  <c r="AC107" i="68" s="1"/>
  <c r="AC6" i="81"/>
  <c r="AB74" i="73" a="1"/>
  <c r="AB74" i="73" s="1"/>
  <c r="AB73" i="73" a="1"/>
  <c r="AB73" i="73" s="1"/>
  <c r="AB72" i="73" a="1"/>
  <c r="AB72" i="73" s="1"/>
  <c r="AC77" i="73" s="1"/>
  <c r="AD6" i="68"/>
  <c r="AB74" i="72" a="1"/>
  <c r="AB74" i="72" s="1"/>
  <c r="AB72" i="72" a="1"/>
  <c r="AB72" i="72" s="1"/>
  <c r="AC77" i="72" s="1"/>
  <c r="AB73" i="72" a="1"/>
  <c r="AB73" i="72" s="1"/>
  <c r="AC78" i="72" s="1"/>
  <c r="AB74" i="81" a="1"/>
  <c r="AB74" i="81" s="1"/>
  <c r="AB72" i="81" a="1"/>
  <c r="AB72" i="81" s="1"/>
  <c r="AC77" i="81" s="1"/>
  <c r="AB73" i="81" a="1"/>
  <c r="AB73" i="81" s="1"/>
  <c r="AC78" i="81" s="1"/>
  <c r="AA80" i="81"/>
  <c r="AB80" i="68"/>
  <c r="AB82" i="68" s="1"/>
  <c r="AB107" i="68" s="1"/>
  <c r="AD6" i="73"/>
  <c r="AA80" i="82"/>
  <c r="AA82" i="82" s="1"/>
  <c r="AA107" i="82" s="1"/>
  <c r="AA80" i="73"/>
  <c r="I9" i="85"/>
  <c r="AC80" i="73" l="1"/>
  <c r="AC82" i="73" s="1"/>
  <c r="AC107" i="73" s="1"/>
  <c r="AD77" i="73"/>
  <c r="AC7" i="75"/>
  <c r="AC7" i="85" s="1"/>
  <c r="AC6" i="85"/>
  <c r="AA82" i="73"/>
  <c r="AA107" i="73" s="1"/>
  <c r="AA82" i="81"/>
  <c r="AA107" i="81" s="1"/>
  <c r="AE6" i="68"/>
  <c r="AE6" i="75" s="1"/>
  <c r="AD6" i="75"/>
  <c r="AD6" i="81"/>
  <c r="AD73" i="81" s="1" a="1"/>
  <c r="AD73" i="81" s="1"/>
  <c r="AE78" i="81" s="1"/>
  <c r="AD6" i="82"/>
  <c r="AD73" i="82" s="1" a="1"/>
  <c r="AD73" i="82" s="1"/>
  <c r="AD6" i="72"/>
  <c r="AD74" i="72" s="1" a="1"/>
  <c r="AD74" i="72" s="1"/>
  <c r="AC73" i="81" a="1"/>
  <c r="AC73" i="81" s="1"/>
  <c r="AD78" i="81" s="1"/>
  <c r="AC74" i="81" a="1"/>
  <c r="AC74" i="81" s="1"/>
  <c r="AC72" i="81" a="1"/>
  <c r="AC72" i="81" s="1"/>
  <c r="AD77" i="81" s="1"/>
  <c r="AE74" i="68" a="1"/>
  <c r="AE74" i="68" s="1"/>
  <c r="AE72" i="68" a="1"/>
  <c r="AE72" i="68" s="1"/>
  <c r="AE73" i="68" a="1"/>
  <c r="AE73" i="68" s="1"/>
  <c r="AE80" i="68" s="1"/>
  <c r="AE82" i="68" s="1"/>
  <c r="AE107" i="68" s="1"/>
  <c r="AC72" i="72" a="1"/>
  <c r="AC72" i="72" s="1"/>
  <c r="AD77" i="72" s="1"/>
  <c r="AC73" i="72" a="1"/>
  <c r="AC73" i="72" s="1"/>
  <c r="AD78" i="72" s="1"/>
  <c r="AC74" i="72" a="1"/>
  <c r="AC74" i="72" s="1"/>
  <c r="AD73" i="73" a="1"/>
  <c r="AD73" i="73" s="1"/>
  <c r="AD74" i="73" a="1"/>
  <c r="AD74" i="73" s="1"/>
  <c r="AD72" i="73" a="1"/>
  <c r="AD72" i="73" s="1"/>
  <c r="AD73" i="68" a="1"/>
  <c r="AD73" i="68" s="1"/>
  <c r="AD80" i="68" s="1"/>
  <c r="AD82" i="68" s="1"/>
  <c r="AD107" i="68" s="1"/>
  <c r="AD72" i="68" a="1"/>
  <c r="AD72" i="68" s="1"/>
  <c r="AD74" i="68" a="1"/>
  <c r="AD74" i="68" s="1"/>
  <c r="AB80" i="81"/>
  <c r="AE6" i="73"/>
  <c r="AF6" i="68"/>
  <c r="AF6" i="75" s="1"/>
  <c r="AE6" i="81"/>
  <c r="AE6" i="72"/>
  <c r="AE6" i="82"/>
  <c r="AB80" i="73"/>
  <c r="AB80" i="82"/>
  <c r="AB82" i="82" s="1"/>
  <c r="AB107" i="82" s="1"/>
  <c r="I9" i="75"/>
  <c r="I5" i="75" s="1"/>
  <c r="I9" i="82"/>
  <c r="I9" i="81"/>
  <c r="I9" i="73"/>
  <c r="J9" i="68"/>
  <c r="AD80" i="73" l="1"/>
  <c r="AE77" i="73"/>
  <c r="J9" i="85"/>
  <c r="J9" i="72"/>
  <c r="AF7" i="75"/>
  <c r="AF7" i="85" s="1"/>
  <c r="AF6" i="85"/>
  <c r="AE7" i="75"/>
  <c r="AE7" i="85" s="1"/>
  <c r="AE6" i="85"/>
  <c r="AD7" i="75"/>
  <c r="AD7" i="85" s="1"/>
  <c r="AD6" i="85"/>
  <c r="AB82" i="73"/>
  <c r="AB107" i="73" s="1"/>
  <c r="AD82" i="73"/>
  <c r="AD107" i="73" s="1"/>
  <c r="I5" i="85"/>
  <c r="AB82" i="81"/>
  <c r="AB107" i="81" s="1"/>
  <c r="AD74" i="82" a="1"/>
  <c r="AD74" i="82" s="1"/>
  <c r="AD74" i="81" a="1"/>
  <c r="AD74" i="81" s="1"/>
  <c r="AD72" i="81" a="1"/>
  <c r="AD72" i="81" s="1"/>
  <c r="AE77" i="81" s="1"/>
  <c r="AD73" i="72" a="1"/>
  <c r="AD73" i="72" s="1"/>
  <c r="AE78" i="72" s="1"/>
  <c r="AC80" i="81"/>
  <c r="AD72" i="72" a="1"/>
  <c r="AD72" i="72" s="1"/>
  <c r="AE77" i="72" s="1"/>
  <c r="AD72" i="82" a="1"/>
  <c r="AD72" i="82" s="1"/>
  <c r="AD80" i="82" s="1"/>
  <c r="AD82" i="82" s="1"/>
  <c r="AD107" i="82" s="1"/>
  <c r="AE74" i="82" a="1"/>
  <c r="AE74" i="82" s="1"/>
  <c r="AE72" i="82" a="1"/>
  <c r="AE72" i="82" s="1"/>
  <c r="AE80" i="82" s="1"/>
  <c r="AE82" i="82" s="1"/>
  <c r="AE107" i="82" s="1"/>
  <c r="AE73" i="82" a="1"/>
  <c r="AE73" i="82" s="1"/>
  <c r="AE72" i="81" a="1"/>
  <c r="AE72" i="81" s="1"/>
  <c r="AF77" i="81" s="1"/>
  <c r="AE74" i="81" a="1"/>
  <c r="AE74" i="81" s="1"/>
  <c r="AE73" i="81" a="1"/>
  <c r="AE73" i="81" s="1"/>
  <c r="AF78" i="81" s="1"/>
  <c r="AF73" i="68" a="1"/>
  <c r="AF73" i="68" s="1"/>
  <c r="AF80" i="68" s="1"/>
  <c r="AF82" i="68" s="1"/>
  <c r="AF107" i="68" s="1"/>
  <c r="AF72" i="68" a="1"/>
  <c r="AF72" i="68" s="1"/>
  <c r="AF74" i="68" a="1"/>
  <c r="AF74" i="68" s="1"/>
  <c r="AE73" i="73" a="1"/>
  <c r="AE73" i="73" s="1"/>
  <c r="AE72" i="73" a="1"/>
  <c r="AE72" i="73" s="1"/>
  <c r="AE74" i="73" a="1"/>
  <c r="AE74" i="73" s="1"/>
  <c r="AE72" i="72" a="1"/>
  <c r="AE72" i="72" s="1"/>
  <c r="AF77" i="72" s="1"/>
  <c r="AE74" i="72" a="1"/>
  <c r="AE74" i="72" s="1"/>
  <c r="AE73" i="72" a="1"/>
  <c r="AE73" i="72" s="1"/>
  <c r="AF78" i="72" s="1"/>
  <c r="AF6" i="73"/>
  <c r="AG6" i="68"/>
  <c r="AG6" i="75" s="1"/>
  <c r="AF6" i="81"/>
  <c r="AF6" i="72"/>
  <c r="AF6" i="82"/>
  <c r="I88" i="75"/>
  <c r="I97" i="75" s="1"/>
  <c r="J9" i="75"/>
  <c r="J5" i="75" s="1"/>
  <c r="J9" i="82"/>
  <c r="J9" i="81"/>
  <c r="J9" i="73"/>
  <c r="K9" i="68"/>
  <c r="AE80" i="73" l="1"/>
  <c r="AF77" i="73"/>
  <c r="K9" i="85"/>
  <c r="K9" i="72"/>
  <c r="AG7" i="75"/>
  <c r="AG7" i="85" s="1"/>
  <c r="AG6" i="85"/>
  <c r="AE82" i="73"/>
  <c r="AE107" i="73" s="1"/>
  <c r="J5" i="85"/>
  <c r="AC82" i="81"/>
  <c r="AC107" i="81" s="1"/>
  <c r="AD80" i="81"/>
  <c r="AF72" i="82" a="1"/>
  <c r="AF72" i="82" s="1"/>
  <c r="AF80" i="82" s="1"/>
  <c r="AF82" i="82" s="1"/>
  <c r="AF107" i="82" s="1"/>
  <c r="AF74" i="82" a="1"/>
  <c r="AF74" i="82" s="1"/>
  <c r="AF73" i="82" a="1"/>
  <c r="AF73" i="82" s="1"/>
  <c r="AF74" i="72" a="1"/>
  <c r="AF74" i="72" s="1"/>
  <c r="AF73" i="72" a="1"/>
  <c r="AF73" i="72" s="1"/>
  <c r="AG78" i="72" s="1"/>
  <c r="AF72" i="72" a="1"/>
  <c r="AF72" i="72" s="1"/>
  <c r="AG77" i="72" s="1"/>
  <c r="AF72" i="81" a="1"/>
  <c r="AF72" i="81" s="1"/>
  <c r="AG77" i="81" s="1"/>
  <c r="AF73" i="81" a="1"/>
  <c r="AF73" i="81" s="1"/>
  <c r="AG78" i="81" s="1"/>
  <c r="AF74" i="81" a="1"/>
  <c r="AF74" i="81" s="1"/>
  <c r="AG74" i="68" a="1"/>
  <c r="AG74" i="68" s="1"/>
  <c r="AG73" i="68" a="1"/>
  <c r="AG73" i="68" s="1"/>
  <c r="AG80" i="68" s="1"/>
  <c r="AG82" i="68" s="1"/>
  <c r="AG107" i="68" s="1"/>
  <c r="AG72" i="68" a="1"/>
  <c r="AG72" i="68" s="1"/>
  <c r="AF74" i="73" a="1"/>
  <c r="AF74" i="73" s="1"/>
  <c r="AF73" i="73" a="1"/>
  <c r="AF73" i="73" s="1"/>
  <c r="AF72" i="73" a="1"/>
  <c r="AF72" i="73" s="1"/>
  <c r="AE80" i="81"/>
  <c r="AG6" i="73"/>
  <c r="AG6" i="81"/>
  <c r="AG6" i="72"/>
  <c r="AG6" i="82"/>
  <c r="J88" i="75"/>
  <c r="J97" i="75" s="1"/>
  <c r="K9" i="75"/>
  <c r="K5" i="75" s="1"/>
  <c r="K9" i="82"/>
  <c r="K9" i="81"/>
  <c r="L9" i="68"/>
  <c r="K9" i="73"/>
  <c r="AF80" i="73" l="1"/>
  <c r="AG77" i="73"/>
  <c r="L9" i="85"/>
  <c r="L9" i="72"/>
  <c r="AF82" i="73"/>
  <c r="AF107" i="73" s="1"/>
  <c r="K5" i="85"/>
  <c r="AD82" i="81"/>
  <c r="AD107" i="81" s="1"/>
  <c r="AE82" i="81"/>
  <c r="AE107" i="81" s="1"/>
  <c r="AG74" i="82" a="1"/>
  <c r="AG74" i="82" s="1"/>
  <c r="AG72" i="82" a="1"/>
  <c r="AG72" i="82" s="1"/>
  <c r="AG80" i="82" s="1"/>
  <c r="AG82" i="82" s="1"/>
  <c r="AG107" i="82" s="1"/>
  <c r="AG73" i="82" a="1"/>
  <c r="AG73" i="82" s="1"/>
  <c r="AG72" i="72" a="1"/>
  <c r="AG72" i="72" s="1"/>
  <c r="AG73" i="72" a="1"/>
  <c r="AG73" i="72" s="1"/>
  <c r="AG74" i="72" a="1"/>
  <c r="AG74" i="72" s="1"/>
  <c r="AG72" i="81" a="1"/>
  <c r="AG72" i="81" s="1"/>
  <c r="AG73" i="81" a="1"/>
  <c r="AG73" i="81" s="1"/>
  <c r="AG74" i="81" a="1"/>
  <c r="AG74" i="81" s="1"/>
  <c r="AG73" i="73" a="1"/>
  <c r="AG73" i="73" s="1"/>
  <c r="AG74" i="73" a="1"/>
  <c r="AG74" i="73" s="1"/>
  <c r="AG72" i="73" a="1"/>
  <c r="AG72" i="73" s="1"/>
  <c r="AF80" i="81"/>
  <c r="K88" i="75"/>
  <c r="K97" i="75" s="1"/>
  <c r="L9" i="75"/>
  <c r="L5" i="75" s="1"/>
  <c r="L9" i="82"/>
  <c r="L9" i="81"/>
  <c r="M9" i="68"/>
  <c r="L9" i="73"/>
  <c r="AG80" i="73" l="1"/>
  <c r="M9" i="85"/>
  <c r="M9" i="72"/>
  <c r="AG82" i="73"/>
  <c r="AG107" i="73" s="1"/>
  <c r="L5" i="85"/>
  <c r="AF82" i="81"/>
  <c r="AF107" i="81" s="1"/>
  <c r="AG80" i="81"/>
  <c r="L88" i="75"/>
  <c r="L97" i="75" s="1"/>
  <c r="M9" i="75"/>
  <c r="M5" i="75" s="1"/>
  <c r="M9" i="82"/>
  <c r="M9" i="81"/>
  <c r="N9" i="68"/>
  <c r="M9" i="73"/>
  <c r="N9" i="85" l="1"/>
  <c r="N9" i="72"/>
  <c r="M5" i="85"/>
  <c r="AG82" i="81"/>
  <c r="AG107" i="81" s="1"/>
  <c r="M88" i="75"/>
  <c r="M97" i="75" s="1"/>
  <c r="N9" i="75"/>
  <c r="N5" i="75" s="1"/>
  <c r="N9" i="82"/>
  <c r="N9" i="81"/>
  <c r="O9" i="68"/>
  <c r="N9" i="73"/>
  <c r="O9" i="85" l="1"/>
  <c r="O9" i="72"/>
  <c r="N5" i="85"/>
  <c r="N88" i="75"/>
  <c r="N97" i="75" s="1"/>
  <c r="O9" i="75"/>
  <c r="O5" i="75" s="1"/>
  <c r="O9" i="82"/>
  <c r="O9" i="81"/>
  <c r="P9" i="68"/>
  <c r="O9" i="73"/>
  <c r="P9" i="85" l="1"/>
  <c r="P9" i="72"/>
  <c r="O5" i="85"/>
  <c r="O88" i="75"/>
  <c r="O97" i="75" s="1"/>
  <c r="P9" i="75"/>
  <c r="P5" i="75" s="1"/>
  <c r="P9" i="82"/>
  <c r="P9" i="81"/>
  <c r="Q9" i="68"/>
  <c r="P9" i="73"/>
  <c r="Q9" i="85" l="1"/>
  <c r="Q9" i="72"/>
  <c r="P5" i="85"/>
  <c r="P88" i="75"/>
  <c r="P97" i="75" s="1"/>
  <c r="Q9" i="75"/>
  <c r="Q5" i="75" s="1"/>
  <c r="Q9" i="82"/>
  <c r="Q9" i="81"/>
  <c r="R9" i="68"/>
  <c r="Q9" i="73"/>
  <c r="R9" i="85" l="1"/>
  <c r="R9" i="72"/>
  <c r="Q5" i="85"/>
  <c r="Q88" i="75"/>
  <c r="Q97" i="75" s="1"/>
  <c r="R9" i="75"/>
  <c r="R5" i="75" s="1"/>
  <c r="R9" i="82"/>
  <c r="R9" i="81"/>
  <c r="S9" i="68"/>
  <c r="R9" i="73"/>
  <c r="S9" i="85" l="1"/>
  <c r="S9" i="72"/>
  <c r="R5" i="85"/>
  <c r="R88" i="75"/>
  <c r="R97" i="75" s="1"/>
  <c r="S9" i="75"/>
  <c r="S5" i="75" s="1"/>
  <c r="S9" i="82"/>
  <c r="S9" i="81"/>
  <c r="T9" i="68"/>
  <c r="S9" i="73"/>
  <c r="T9" i="85" l="1"/>
  <c r="T9" i="72"/>
  <c r="S5" i="85"/>
  <c r="S88" i="75"/>
  <c r="S97" i="75" s="1"/>
  <c r="T9" i="75"/>
  <c r="T5" i="75" s="1"/>
  <c r="T9" i="82"/>
  <c r="T9" i="81"/>
  <c r="U9" i="68"/>
  <c r="T9" i="73"/>
  <c r="U9" i="85" l="1"/>
  <c r="U9" i="72"/>
  <c r="T5" i="85"/>
  <c r="T88" i="75"/>
  <c r="T97" i="75" s="1"/>
  <c r="U9" i="75"/>
  <c r="U5" i="75" s="1"/>
  <c r="U9" i="82"/>
  <c r="U9" i="81"/>
  <c r="V9" i="68"/>
  <c r="U9" i="73"/>
  <c r="V9" i="85" l="1"/>
  <c r="V9" i="72"/>
  <c r="U5" i="85"/>
  <c r="U88" i="75"/>
  <c r="U97" i="75" s="1"/>
  <c r="V9" i="75"/>
  <c r="V5" i="75" s="1"/>
  <c r="V9" i="82"/>
  <c r="V9" i="81"/>
  <c r="W9" i="68"/>
  <c r="V9" i="73"/>
  <c r="W9" i="85" l="1"/>
  <c r="W9" i="72"/>
  <c r="V5" i="85"/>
  <c r="V88" i="75"/>
  <c r="V97" i="75" s="1"/>
  <c r="W9" i="75"/>
  <c r="W5" i="75" s="1"/>
  <c r="W9" i="82"/>
  <c r="W9" i="81"/>
  <c r="X9" i="68"/>
  <c r="W9" i="73"/>
  <c r="X9" i="85" l="1"/>
  <c r="X9" i="72"/>
  <c r="W5" i="85"/>
  <c r="W88" i="75"/>
  <c r="W97" i="75" s="1"/>
  <c r="X9" i="75"/>
  <c r="X5" i="75" s="1"/>
  <c r="X9" i="82"/>
  <c r="X9" i="81"/>
  <c r="Y9" i="68"/>
  <c r="X9" i="73"/>
  <c r="Y9" i="85" l="1"/>
  <c r="Y9" i="72"/>
  <c r="X5" i="85"/>
  <c r="X88" i="75"/>
  <c r="X97" i="75" s="1"/>
  <c r="Y9" i="75"/>
  <c r="Y5" i="75" s="1"/>
  <c r="Y9" i="82"/>
  <c r="Y9" i="81"/>
  <c r="Z9" i="68"/>
  <c r="Y9" i="73"/>
  <c r="Z9" i="85" l="1"/>
  <c r="Z9" i="72"/>
  <c r="Y5" i="85"/>
  <c r="Y88" i="75"/>
  <c r="Y97" i="75" s="1"/>
  <c r="Z9" i="75"/>
  <c r="Z5" i="75" s="1"/>
  <c r="Z9" i="82"/>
  <c r="Z9" i="81"/>
  <c r="AA9" i="68"/>
  <c r="Z9" i="73"/>
  <c r="AA9" i="85" l="1"/>
  <c r="AA9" i="72"/>
  <c r="Z5" i="85"/>
  <c r="Z88" i="75"/>
  <c r="Z97" i="75" s="1"/>
  <c r="AA9" i="75"/>
  <c r="AA5" i="75" s="1"/>
  <c r="AA9" i="82"/>
  <c r="AA9" i="81"/>
  <c r="AB9" i="68"/>
  <c r="AA9" i="73"/>
  <c r="AB9" i="85" l="1"/>
  <c r="AB9" i="72"/>
  <c r="AA5" i="85"/>
  <c r="AC9" i="68"/>
  <c r="AA88" i="75"/>
  <c r="AA97" i="75" s="1"/>
  <c r="AB9" i="75"/>
  <c r="AB5" i="75" s="1"/>
  <c r="AB9" i="82"/>
  <c r="AB9" i="81"/>
  <c r="AB9" i="73"/>
  <c r="AC9" i="85" l="1"/>
  <c r="AC9" i="72"/>
  <c r="AC9" i="75"/>
  <c r="AC88" i="75" s="1"/>
  <c r="AC97" i="75" s="1"/>
  <c r="AC9" i="73"/>
  <c r="AD9" i="68"/>
  <c r="AC9" i="81"/>
  <c r="AC9" i="82"/>
  <c r="AB88" i="75"/>
  <c r="AB97" i="75" s="1"/>
  <c r="AD9" i="85" l="1"/>
  <c r="AD9" i="72"/>
  <c r="AC5" i="75"/>
  <c r="AC5" i="85" s="1"/>
  <c r="AB5" i="85"/>
  <c r="AD9" i="82"/>
  <c r="AD9" i="75"/>
  <c r="AD9" i="73"/>
  <c r="AD9" i="81"/>
  <c r="AE9" i="68"/>
  <c r="C106" i="43"/>
  <c r="C107" i="43"/>
  <c r="C108" i="43"/>
  <c r="C109" i="43"/>
  <c r="C110" i="43"/>
  <c r="C111" i="43"/>
  <c r="C112" i="43"/>
  <c r="C113" i="43"/>
  <c r="A44" i="47"/>
  <c r="A45" i="47" s="1"/>
  <c r="A46" i="47" s="1"/>
  <c r="A47" i="47" s="1"/>
  <c r="A48" i="47" s="1"/>
  <c r="A49" i="47" s="1"/>
  <c r="A50" i="47" s="1"/>
  <c r="A51" i="47" s="1"/>
  <c r="A52" i="47" s="1"/>
  <c r="A53" i="47" s="1"/>
  <c r="A54" i="47" s="1"/>
  <c r="A55" i="47" s="1"/>
  <c r="AE9" i="85" l="1"/>
  <c r="AE9" i="72"/>
  <c r="AD5" i="75"/>
  <c r="AD5" i="85" s="1"/>
  <c r="AD88" i="75"/>
  <c r="AD97" i="75" s="1"/>
  <c r="AE9" i="81"/>
  <c r="AE9" i="82"/>
  <c r="AE9" i="75"/>
  <c r="AE88" i="75" s="1"/>
  <c r="AE97" i="75" s="1"/>
  <c r="AE9" i="73"/>
  <c r="AF9" i="68"/>
  <c r="G8" i="33"/>
  <c r="AF9" i="85" l="1"/>
  <c r="AF9" i="72"/>
  <c r="AE5" i="75"/>
  <c r="AE5" i="85" s="1"/>
  <c r="AF9" i="82"/>
  <c r="AF9" i="81"/>
  <c r="AF9" i="75"/>
  <c r="AF9" i="73"/>
  <c r="AG9" i="68"/>
  <c r="AG9" i="85" l="1"/>
  <c r="AG9" i="72"/>
  <c r="AF5" i="75"/>
  <c r="AF5" i="85" s="1"/>
  <c r="AF88" i="75"/>
  <c r="AF97" i="75" s="1"/>
  <c r="AG9" i="82"/>
  <c r="AG9" i="75"/>
  <c r="AG9" i="81"/>
  <c r="AG9" i="73"/>
  <c r="AG5" i="75" l="1"/>
  <c r="AG5" i="85" s="1"/>
  <c r="AG88" i="75"/>
  <c r="AG97" i="75" s="1"/>
  <c r="C14" i="43" l="1" a="1"/>
  <c r="G27" i="43"/>
  <c r="H102" i="43"/>
  <c r="C17" i="62"/>
  <c r="H11" i="62"/>
  <c r="I11" i="62"/>
  <c r="I12" i="62" s="1"/>
  <c r="G34" i="82" l="1"/>
  <c r="G33" i="82"/>
  <c r="G14" i="82"/>
  <c r="G31" i="73"/>
  <c r="G55" i="72"/>
  <c r="G19" i="72"/>
  <c r="G33" i="81"/>
  <c r="G15" i="81"/>
  <c r="G17" i="73"/>
  <c r="G55" i="82"/>
  <c r="G55" i="81"/>
  <c r="G33" i="73"/>
  <c r="G54" i="81"/>
  <c r="G32" i="73"/>
  <c r="G34" i="81"/>
  <c r="G32" i="82"/>
  <c r="G28" i="82"/>
  <c r="G30" i="73"/>
  <c r="G54" i="72"/>
  <c r="G17" i="72"/>
  <c r="G32" i="81"/>
  <c r="G14" i="81"/>
  <c r="G54" i="73"/>
  <c r="G14" i="72"/>
  <c r="G34" i="73"/>
  <c r="G19" i="81"/>
  <c r="G15" i="73"/>
  <c r="G15" i="82"/>
  <c r="G16" i="81"/>
  <c r="G31" i="82"/>
  <c r="G57" i="73"/>
  <c r="G28" i="73"/>
  <c r="G28" i="72"/>
  <c r="G16" i="72"/>
  <c r="G31" i="81"/>
  <c r="G55" i="68"/>
  <c r="G33" i="72"/>
  <c r="G17" i="82"/>
  <c r="G32" i="72"/>
  <c r="G16" i="82"/>
  <c r="G17" i="81"/>
  <c r="G30" i="72"/>
  <c r="G30" i="82"/>
  <c r="G55" i="73"/>
  <c r="G19" i="73"/>
  <c r="G34" i="72"/>
  <c r="G15" i="72"/>
  <c r="G30" i="81"/>
  <c r="G54" i="68"/>
  <c r="G19" i="82"/>
  <c r="G28" i="81"/>
  <c r="G16" i="73"/>
  <c r="G54" i="82"/>
  <c r="G31" i="72"/>
  <c r="G14" i="73"/>
  <c r="C22" i="62"/>
  <c r="G34" i="68"/>
  <c r="G16" i="68"/>
  <c r="G33" i="68"/>
  <c r="G17" i="68"/>
  <c r="G14" i="68"/>
  <c r="G32" i="68"/>
  <c r="G31" i="68"/>
  <c r="G30" i="68"/>
  <c r="G28" i="68"/>
  <c r="G15" i="68"/>
  <c r="G19" i="68"/>
  <c r="H12" i="62"/>
  <c r="H13" i="62" s="1"/>
  <c r="G57" i="82"/>
  <c r="G57" i="68"/>
  <c r="G57" i="72"/>
  <c r="G57" i="81"/>
  <c r="G78" i="73"/>
  <c r="G77" i="81"/>
  <c r="G78" i="72"/>
  <c r="G77" i="72"/>
  <c r="G79" i="72"/>
  <c r="G77" i="73"/>
  <c r="G80" i="81"/>
  <c r="G79" i="81"/>
  <c r="G79" i="73"/>
  <c r="G78" i="81"/>
  <c r="H65" i="43"/>
  <c r="H91" i="43"/>
  <c r="H92" i="43"/>
  <c r="G80" i="68"/>
  <c r="G74" i="81"/>
  <c r="G73" i="82"/>
  <c r="G69" i="72"/>
  <c r="G68" i="68"/>
  <c r="G74" i="72"/>
  <c r="G69" i="73"/>
  <c r="G78" i="68"/>
  <c r="G72" i="81"/>
  <c r="G79" i="82"/>
  <c r="G74" i="68"/>
  <c r="G72" i="73"/>
  <c r="G68" i="81"/>
  <c r="G67" i="82"/>
  <c r="G80" i="72"/>
  <c r="G79" i="68"/>
  <c r="G73" i="81"/>
  <c r="G72" i="82"/>
  <c r="G68" i="72"/>
  <c r="G67" i="68"/>
  <c r="G80" i="82"/>
  <c r="G77" i="68"/>
  <c r="G73" i="73"/>
  <c r="G69" i="81"/>
  <c r="G68" i="82"/>
  <c r="G78" i="82"/>
  <c r="G73" i="68"/>
  <c r="G67" i="81"/>
  <c r="G74" i="73"/>
  <c r="G69" i="68"/>
  <c r="G68" i="73"/>
  <c r="G77" i="82"/>
  <c r="G74" i="82"/>
  <c r="G67" i="73"/>
  <c r="G72" i="72"/>
  <c r="G80" i="73"/>
  <c r="G73" i="72"/>
  <c r="G69" i="82"/>
  <c r="G67" i="72"/>
  <c r="G72" i="68"/>
  <c r="G85" i="82"/>
  <c r="G83" i="82"/>
  <c r="G82" i="82"/>
  <c r="G64" i="82"/>
  <c r="G84" i="82"/>
  <c r="G87" i="82"/>
  <c r="G83" i="73"/>
  <c r="G82" i="72"/>
  <c r="G82" i="73"/>
  <c r="G87" i="72"/>
  <c r="G87" i="73"/>
  <c r="G85" i="68"/>
  <c r="G85" i="73"/>
  <c r="G83" i="68"/>
  <c r="G85" i="72"/>
  <c r="G84" i="68"/>
  <c r="G84" i="72"/>
  <c r="G64" i="72"/>
  <c r="G84" i="73"/>
  <c r="G83" i="72"/>
  <c r="G82" i="68"/>
  <c r="G87" i="68"/>
  <c r="G64" i="81"/>
  <c r="G83" i="81"/>
  <c r="G87" i="81"/>
  <c r="G85" i="81"/>
  <c r="G82" i="81"/>
  <c r="G84" i="81"/>
  <c r="G64" i="73"/>
  <c r="G64" i="68"/>
  <c r="C14" i="43"/>
  <c r="C3" i="73" l="1"/>
  <c r="C3" i="82"/>
  <c r="C3" i="81"/>
  <c r="C3" i="72"/>
  <c r="D13" i="33"/>
  <c r="D10" i="33"/>
  <c r="D11" i="33"/>
  <c r="D9" i="33"/>
  <c r="D12" i="33"/>
  <c r="H107" i="43"/>
  <c r="H108" i="43"/>
  <c r="H109" i="43"/>
  <c r="H110" i="43"/>
  <c r="H111" i="43"/>
  <c r="H112" i="43"/>
  <c r="H113" i="43"/>
  <c r="H106" i="43"/>
  <c r="Q80" i="72" l="1"/>
  <c r="I80" i="72"/>
  <c r="I82" i="72" l="1"/>
  <c r="I107" i="72" s="1"/>
  <c r="Q82" i="72"/>
  <c r="Q107" i="72" s="1"/>
  <c r="R80" i="72"/>
  <c r="J80" i="72"/>
  <c r="N80" i="72"/>
  <c r="AE80" i="72"/>
  <c r="O80" i="72"/>
  <c r="L80" i="72"/>
  <c r="AG80" i="72"/>
  <c r="AA80" i="72"/>
  <c r="K80" i="72"/>
  <c r="P80" i="72"/>
  <c r="M80" i="72"/>
  <c r="AF80" i="72"/>
  <c r="AD80" i="72"/>
  <c r="V80" i="72"/>
  <c r="U80" i="72"/>
  <c r="AC80" i="72"/>
  <c r="Z80" i="72"/>
  <c r="T80" i="72"/>
  <c r="W80" i="72"/>
  <c r="AB80" i="72"/>
  <c r="Y80" i="72"/>
  <c r="X80" i="72"/>
  <c r="S80" i="72"/>
  <c r="C16" i="62"/>
  <c r="J82" i="72" l="1"/>
  <c r="J107" i="72" s="1"/>
  <c r="K82" i="72"/>
  <c r="K107" i="72" s="1"/>
  <c r="AB82" i="72"/>
  <c r="AB107" i="72" s="1"/>
  <c r="AD82" i="72"/>
  <c r="AD107" i="72" s="1"/>
  <c r="Z82" i="72"/>
  <c r="Z107" i="72" s="1"/>
  <c r="Y82" i="72"/>
  <c r="Y107" i="72" s="1"/>
  <c r="O82" i="72"/>
  <c r="O107" i="72" s="1"/>
  <c r="AF82" i="72"/>
  <c r="AF107" i="72" s="1"/>
  <c r="AE82" i="72"/>
  <c r="AE107" i="72" s="1"/>
  <c r="W82" i="72"/>
  <c r="W107" i="72" s="1"/>
  <c r="M82" i="72"/>
  <c r="M107" i="72" s="1"/>
  <c r="N82" i="72"/>
  <c r="N107" i="72" s="1"/>
  <c r="T82" i="72"/>
  <c r="T107" i="72" s="1"/>
  <c r="P82" i="72"/>
  <c r="P107" i="72" s="1"/>
  <c r="R82" i="72"/>
  <c r="R107" i="72" s="1"/>
  <c r="AC82" i="72"/>
  <c r="AC107" i="72" s="1"/>
  <c r="AA82" i="72"/>
  <c r="AA107" i="72" s="1"/>
  <c r="S82" i="72"/>
  <c r="S107" i="72" s="1"/>
  <c r="U82" i="72"/>
  <c r="U107" i="72" s="1"/>
  <c r="AG82" i="72"/>
  <c r="AG107" i="72" s="1"/>
  <c r="X82" i="72"/>
  <c r="X107" i="72" s="1"/>
  <c r="V82" i="72"/>
  <c r="V107" i="72" s="1"/>
  <c r="L82" i="72"/>
  <c r="L107" i="72" s="1"/>
  <c r="A1" i="43"/>
  <c r="A1" i="33"/>
  <c r="A2" i="47" l="1"/>
  <c r="A1" i="47"/>
  <c r="A2" i="62"/>
  <c r="A1" i="62"/>
  <c r="I6" i="62"/>
  <c r="I13" i="62" l="1"/>
  <c r="J6" i="62"/>
  <c r="J11" i="62" l="1"/>
  <c r="K6" i="62"/>
  <c r="J12" i="62" l="1"/>
  <c r="J13" i="62" s="1"/>
  <c r="I15" i="62"/>
  <c r="K11" i="62"/>
  <c r="K12" i="62" s="1"/>
  <c r="K13" i="62" s="1"/>
  <c r="L6" i="62"/>
  <c r="J15" i="62" l="1"/>
  <c r="L11" i="62"/>
  <c r="M6" i="62"/>
  <c r="L12" i="62" l="1"/>
  <c r="L13" i="62" s="1"/>
  <c r="K15" i="62"/>
  <c r="M11" i="62"/>
  <c r="M12" i="62" l="1"/>
  <c r="M13" i="62" s="1"/>
  <c r="L15" i="62"/>
  <c r="N11" i="62"/>
  <c r="N12" i="62" l="1"/>
  <c r="N13" i="62" s="1"/>
  <c r="M15" i="62"/>
  <c r="O11" i="62"/>
  <c r="D21" i="62" l="1"/>
  <c r="O12" i="62"/>
  <c r="O13" i="62" s="1"/>
  <c r="P11" i="62"/>
  <c r="P12" i="62" s="1"/>
  <c r="P13" i="62" s="1"/>
  <c r="N15" i="62"/>
  <c r="Q11" i="62" l="1"/>
  <c r="Q12" i="62" s="1"/>
  <c r="Q13" i="62" s="1"/>
  <c r="O15" i="62"/>
  <c r="P15" i="62" l="1"/>
  <c r="R11" i="62"/>
  <c r="Q15" i="62" l="1"/>
  <c r="R12" i="62"/>
  <c r="R13" i="62" s="1"/>
  <c r="D22" i="62" l="1"/>
  <c r="D23" i="62" s="1"/>
  <c r="G84" i="43"/>
  <c r="G83" i="43"/>
  <c r="D16" i="62"/>
  <c r="R15" i="62"/>
  <c r="D17" i="62" s="1"/>
  <c r="D19" i="62" l="1"/>
  <c r="K71" i="75" s="1"/>
  <c r="W30" i="73" a="1"/>
  <c r="W30" i="73" s="1"/>
  <c r="Q30" i="82" a="1"/>
  <c r="Q30" i="82" s="1"/>
  <c r="AF30" i="82" a="1"/>
  <c r="AF30" i="82" s="1"/>
  <c r="AD30" i="73" a="1"/>
  <c r="AD30" i="73" s="1"/>
  <c r="W30" i="82" a="1"/>
  <c r="W30" i="82" s="1"/>
  <c r="Y30" i="82" a="1"/>
  <c r="Y30" i="82" s="1"/>
  <c r="AF30" i="73" a="1"/>
  <c r="AF30" i="73" s="1"/>
  <c r="AB30" i="73" a="1"/>
  <c r="AB30" i="73" s="1"/>
  <c r="S30" i="73" a="1"/>
  <c r="S30" i="73" s="1"/>
  <c r="AC30" i="73" a="1"/>
  <c r="AC30" i="73" s="1"/>
  <c r="L30" i="73" a="1"/>
  <c r="L30" i="73" s="1"/>
  <c r="AC30" i="82" a="1"/>
  <c r="AC30" i="82" s="1"/>
  <c r="X30" i="82" a="1"/>
  <c r="X30" i="82" s="1"/>
  <c r="T30" i="82" a="1"/>
  <c r="T30" i="82" s="1"/>
  <c r="X30" i="73" a="1"/>
  <c r="X30" i="73" s="1"/>
  <c r="AG30" i="82" a="1"/>
  <c r="AG30" i="82" s="1"/>
  <c r="P30" i="82" a="1"/>
  <c r="P30" i="82" s="1"/>
  <c r="I30" i="73" a="1"/>
  <c r="I30" i="73" s="1"/>
  <c r="O30" i="82" a="1"/>
  <c r="O30" i="82" s="1"/>
  <c r="L30" i="82" a="1"/>
  <c r="L30" i="82" s="1"/>
  <c r="R30" i="73" a="1"/>
  <c r="R30" i="73" s="1"/>
  <c r="I30" i="82" a="1"/>
  <c r="I30" i="82" s="1"/>
  <c r="AB30" i="82" a="1"/>
  <c r="AB30" i="82" s="1"/>
  <c r="AE30" i="73" a="1"/>
  <c r="AE30" i="73" s="1"/>
  <c r="Q30" i="73" a="1"/>
  <c r="Q30" i="73" s="1"/>
  <c r="O30" i="73" a="1"/>
  <c r="O30" i="73" s="1"/>
  <c r="J30" i="82" a="1"/>
  <c r="J30" i="82" s="1"/>
  <c r="AG30" i="73" a="1"/>
  <c r="AG30" i="73" s="1"/>
  <c r="Y30" i="73" a="1"/>
  <c r="Y30" i="73" s="1"/>
  <c r="Z30" i="73" a="1"/>
  <c r="Z30" i="73" s="1"/>
  <c r="M30" i="73" a="1"/>
  <c r="M30" i="73" s="1"/>
  <c r="U30" i="82" a="1"/>
  <c r="U30" i="82" s="1"/>
  <c r="AA30" i="73" a="1"/>
  <c r="AA30" i="73" s="1"/>
  <c r="N30" i="82" a="1"/>
  <c r="N30" i="82" s="1"/>
  <c r="AE30" i="82" a="1"/>
  <c r="AE30" i="82" s="1"/>
  <c r="V30" i="82" a="1"/>
  <c r="V30" i="82" s="1"/>
  <c r="AA30" i="82" a="1"/>
  <c r="AA30" i="82" s="1"/>
  <c r="M30" i="82" a="1"/>
  <c r="M30" i="82" s="1"/>
  <c r="P30" i="73" a="1"/>
  <c r="P30" i="73" s="1"/>
  <c r="AD30" i="82" a="1"/>
  <c r="AD30" i="82" s="1"/>
  <c r="K30" i="82" a="1"/>
  <c r="K30" i="82" s="1"/>
  <c r="U30" i="73" a="1"/>
  <c r="U30" i="73" s="1"/>
  <c r="Z30" i="82" a="1"/>
  <c r="Z30" i="82" s="1"/>
  <c r="T30" i="73" a="1"/>
  <c r="T30" i="73" s="1"/>
  <c r="S30" i="82" a="1"/>
  <c r="S30" i="82" s="1"/>
  <c r="J30" i="73" a="1"/>
  <c r="J30" i="73" s="1"/>
  <c r="R30" i="82" a="1"/>
  <c r="R30" i="82" s="1"/>
  <c r="N30" i="73" a="1"/>
  <c r="N30" i="73" s="1"/>
  <c r="V30" i="73" a="1"/>
  <c r="V30" i="73" s="1"/>
  <c r="K30" i="73" a="1"/>
  <c r="K30" i="73" s="1"/>
  <c r="E28" i="73"/>
  <c r="E28" i="81"/>
  <c r="E28" i="72"/>
  <c r="E28" i="68"/>
  <c r="E28" i="82"/>
  <c r="AG14" i="85"/>
  <c r="S74" i="75"/>
  <c r="L75" i="75"/>
  <c r="O33" i="75"/>
  <c r="N75" i="75"/>
  <c r="N32" i="75"/>
  <c r="K57" i="75"/>
  <c r="T60" i="75"/>
  <c r="Q32" i="75"/>
  <c r="M60" i="75"/>
  <c r="U71" i="75"/>
  <c r="P75" i="75"/>
  <c r="T43" i="75"/>
  <c r="S33" i="75"/>
  <c r="V33" i="75"/>
  <c r="R74" i="75"/>
  <c r="J60" i="75"/>
  <c r="S32" i="75"/>
  <c r="O47" i="75"/>
  <c r="P71" i="75"/>
  <c r="W33" i="75"/>
  <c r="V57" i="75"/>
  <c r="L32" i="75"/>
  <c r="T75" i="75"/>
  <c r="S61" i="75"/>
  <c r="K75" i="75"/>
  <c r="R57" i="75"/>
  <c r="R32" i="75"/>
  <c r="J74" i="75"/>
  <c r="V71" i="75"/>
  <c r="R61" i="75"/>
  <c r="J61" i="75"/>
  <c r="J75" i="75"/>
  <c r="O71" i="75"/>
  <c r="O74" i="75"/>
  <c r="N61" i="75"/>
  <c r="K61" i="75"/>
  <c r="R43" i="75"/>
  <c r="J47" i="75"/>
  <c r="S75" i="75"/>
  <c r="K60" i="75"/>
  <c r="Q74" i="75"/>
  <c r="P47" i="75"/>
  <c r="W75" i="75"/>
  <c r="W43" i="75"/>
  <c r="U32" i="75"/>
  <c r="X43" i="75"/>
  <c r="Y61" i="75"/>
  <c r="Y71" i="75"/>
  <c r="Y57" i="75"/>
  <c r="Y75" i="75"/>
  <c r="Y47" i="75"/>
  <c r="W74" i="75"/>
  <c r="W60" i="75"/>
  <c r="Z43" i="75"/>
  <c r="X74" i="75"/>
  <c r="Y60" i="75"/>
  <c r="AB71" i="75"/>
  <c r="AB61" i="75"/>
  <c r="Y74" i="75"/>
  <c r="AB75" i="75"/>
  <c r="AB47" i="75"/>
  <c r="AB33" i="75"/>
  <c r="Z74" i="75"/>
  <c r="Z32" i="75"/>
  <c r="AA32" i="75"/>
  <c r="AA60" i="75"/>
  <c r="AC47" i="75"/>
  <c r="AE43" i="75"/>
  <c r="AB60" i="75"/>
  <c r="AF71" i="75"/>
  <c r="AB32" i="75"/>
  <c r="AF47" i="75"/>
  <c r="AD47" i="75"/>
  <c r="AD57" i="75"/>
  <c r="AD61" i="75"/>
  <c r="AD74" i="75"/>
  <c r="AG75" i="75"/>
  <c r="AC32" i="75"/>
  <c r="AG57" i="75"/>
  <c r="AG61" i="75"/>
  <c r="AE32" i="75"/>
  <c r="AF60" i="75"/>
  <c r="AF32" i="75"/>
  <c r="AA46" i="75"/>
  <c r="K46" i="75"/>
  <c r="U46" i="75"/>
  <c r="AC46" i="75"/>
  <c r="M46" i="75"/>
  <c r="L46" i="75"/>
  <c r="Y46" i="75"/>
  <c r="AF46" i="75"/>
  <c r="AE46" i="75"/>
  <c r="Y29" i="75"/>
  <c r="I43" i="75"/>
  <c r="W29" i="75"/>
  <c r="L29" i="75"/>
  <c r="AG29" i="75"/>
  <c r="Z29" i="75"/>
  <c r="I75" i="75"/>
  <c r="I74" i="75"/>
  <c r="I57" i="75"/>
  <c r="T29" i="75"/>
  <c r="S29" i="75"/>
  <c r="AF29" i="75"/>
  <c r="M29" i="75"/>
  <c r="V29" i="75"/>
  <c r="I61" i="75"/>
  <c r="AC20" i="75"/>
  <c r="AF19" i="75"/>
  <c r="AC19" i="75"/>
  <c r="AD20" i="75"/>
  <c r="AD18" i="75"/>
  <c r="AE18" i="75"/>
  <c r="AF18" i="75"/>
  <c r="L20" i="75"/>
  <c r="K20" i="75"/>
  <c r="N20" i="75"/>
  <c r="O20" i="75"/>
  <c r="X20" i="75"/>
  <c r="S20" i="75"/>
  <c r="N19" i="75"/>
  <c r="M19" i="75"/>
  <c r="Z19" i="75"/>
  <c r="L19" i="75"/>
  <c r="P19" i="75"/>
  <c r="V19" i="75"/>
  <c r="Q19" i="75"/>
  <c r="R19" i="75"/>
  <c r="AB19" i="75"/>
  <c r="Y19" i="75"/>
  <c r="J19" i="75"/>
  <c r="X18" i="75"/>
  <c r="Q18" i="75"/>
  <c r="W18" i="75"/>
  <c r="S18" i="75"/>
  <c r="M18" i="75"/>
  <c r="J18" i="75"/>
  <c r="A2" i="33"/>
  <c r="S28" i="81" l="1"/>
  <c r="AE28" i="81"/>
  <c r="U28" i="81"/>
  <c r="R28" i="81"/>
  <c r="AB28" i="81"/>
  <c r="AD28" i="81"/>
  <c r="Z28" i="81"/>
  <c r="W28" i="81"/>
  <c r="O28" i="81"/>
  <c r="Y28" i="81"/>
  <c r="Q28" i="81"/>
  <c r="AF28" i="81"/>
  <c r="X28" i="81"/>
  <c r="N28" i="81"/>
  <c r="V28" i="81"/>
  <c r="T28" i="81"/>
  <c r="P28" i="81"/>
  <c r="AC28" i="81"/>
  <c r="AA28" i="81"/>
  <c r="AG28" i="81"/>
  <c r="AA18" i="75"/>
  <c r="AB20" i="75"/>
  <c r="I60" i="75"/>
  <c r="AG47" i="75"/>
  <c r="Y32" i="75"/>
  <c r="V75" i="75"/>
  <c r="O57" i="75"/>
  <c r="V61" i="75"/>
  <c r="K19" i="75"/>
  <c r="I71" i="75"/>
  <c r="O46" i="75"/>
  <c r="AF61" i="75"/>
  <c r="Z57" i="75"/>
  <c r="T57" i="75"/>
  <c r="V43" i="75"/>
  <c r="N60" i="75"/>
  <c r="K18" i="75"/>
  <c r="V20" i="75"/>
  <c r="Q29" i="75"/>
  <c r="AG46" i="75"/>
  <c r="AD71" i="75"/>
  <c r="Z71" i="75"/>
  <c r="L61" i="75"/>
  <c r="N57" i="75"/>
  <c r="N43" i="75"/>
  <c r="Z46" i="75"/>
  <c r="AE33" i="75"/>
  <c r="AB57" i="75"/>
  <c r="X47" i="75"/>
  <c r="U43" i="75"/>
  <c r="T47" i="75"/>
  <c r="S57" i="75"/>
  <c r="W19" i="75"/>
  <c r="AE19" i="75"/>
  <c r="AE29" i="75"/>
  <c r="Q46" i="75"/>
  <c r="AE57" i="75"/>
  <c r="AB43" i="75"/>
  <c r="U74" i="75"/>
  <c r="M75" i="75"/>
  <c r="L60" i="75"/>
  <c r="T71" i="75"/>
  <c r="R46" i="75"/>
  <c r="AF43" i="75"/>
  <c r="S60" i="75"/>
  <c r="W61" i="75"/>
  <c r="P18" i="75"/>
  <c r="AC29" i="75"/>
  <c r="S46" i="75"/>
  <c r="AE74" i="75"/>
  <c r="AD33" i="75"/>
  <c r="Z33" i="75"/>
  <c r="J32" i="75"/>
  <c r="M33" i="75"/>
  <c r="M74" i="75"/>
  <c r="W47" i="75"/>
  <c r="AG43" i="75"/>
  <c r="W32" i="75"/>
  <c r="U57" i="75"/>
  <c r="P43" i="75"/>
  <c r="J20" i="75"/>
  <c r="V18" i="75"/>
  <c r="Z20" i="75"/>
  <c r="R29" i="75"/>
  <c r="T46" i="75"/>
  <c r="AG33" i="75"/>
  <c r="AB74" i="75"/>
  <c r="Z47" i="75"/>
  <c r="R33" i="75"/>
  <c r="Q47" i="75"/>
  <c r="Q71" i="75"/>
  <c r="AA75" i="75"/>
  <c r="L74" i="75"/>
  <c r="U61" i="75"/>
  <c r="AA20" i="75"/>
  <c r="AC18" i="75"/>
  <c r="X29" i="75"/>
  <c r="X46" i="75"/>
  <c r="AF33" i="75"/>
  <c r="AC61" i="75"/>
  <c r="Y33" i="75"/>
  <c r="L71" i="75"/>
  <c r="L43" i="75"/>
  <c r="M71" i="75"/>
  <c r="M43" i="75"/>
  <c r="T19" i="75"/>
  <c r="T20" i="75"/>
  <c r="AB29" i="75"/>
  <c r="I18" i="75"/>
  <c r="AF57" i="75"/>
  <c r="AC33" i="75"/>
  <c r="V60" i="75"/>
  <c r="O75" i="75"/>
  <c r="R60" i="75"/>
  <c r="O61" i="75"/>
  <c r="AA19" i="75"/>
  <c r="U20" i="75"/>
  <c r="AA29" i="75"/>
  <c r="I15" i="75"/>
  <c r="F15" i="75" s="1"/>
  <c r="AG32" i="75"/>
  <c r="AC57" i="75"/>
  <c r="X33" i="75"/>
  <c r="R47" i="75"/>
  <c r="Q61" i="75"/>
  <c r="Z18" i="75"/>
  <c r="X19" i="75"/>
  <c r="Q20" i="75"/>
  <c r="AG19" i="75"/>
  <c r="AD29" i="75"/>
  <c r="I20" i="75"/>
  <c r="AG74" i="75"/>
  <c r="AF75" i="75"/>
  <c r="AC75" i="75"/>
  <c r="X60" i="75"/>
  <c r="X61" i="75"/>
  <c r="Q33" i="75"/>
  <c r="Q57" i="75"/>
  <c r="K74" i="75"/>
  <c r="P61" i="75"/>
  <c r="J43" i="75"/>
  <c r="AE61" i="75"/>
  <c r="AC60" i="75"/>
  <c r="V74" i="75"/>
  <c r="T33" i="75"/>
  <c r="M32" i="75"/>
  <c r="L47" i="75"/>
  <c r="U18" i="75"/>
  <c r="O29" i="75"/>
  <c r="AA57" i="75"/>
  <c r="N47" i="75"/>
  <c r="R18" i="75"/>
  <c r="AD19" i="75"/>
  <c r="AB46" i="75"/>
  <c r="AA61" i="75"/>
  <c r="N71" i="75"/>
  <c r="Q60" i="75"/>
  <c r="L18" i="75"/>
  <c r="AE20" i="75"/>
  <c r="J46" i="75"/>
  <c r="AD60" i="75"/>
  <c r="AA43" i="75"/>
  <c r="U33" i="75"/>
  <c r="W71" i="75"/>
  <c r="I33" i="75"/>
  <c r="AB18" i="75"/>
  <c r="U19" i="75"/>
  <c r="M20" i="75"/>
  <c r="AF20" i="75"/>
  <c r="K29" i="75"/>
  <c r="I19" i="75"/>
  <c r="AG60" i="75"/>
  <c r="AD75" i="75"/>
  <c r="AA74" i="75"/>
  <c r="AA47" i="75"/>
  <c r="X71" i="75"/>
  <c r="J57" i="75"/>
  <c r="P33" i="75"/>
  <c r="S71" i="75"/>
  <c r="W57" i="75"/>
  <c r="R71" i="75"/>
  <c r="N28" i="82"/>
  <c r="AG28" i="82"/>
  <c r="M28" i="82"/>
  <c r="AF28" i="82"/>
  <c r="L28" i="82"/>
  <c r="AE28" i="82"/>
  <c r="K28" i="82"/>
  <c r="AD28" i="82"/>
  <c r="J28" i="82"/>
  <c r="AC28" i="82"/>
  <c r="I28" i="82"/>
  <c r="AB28" i="82"/>
  <c r="AA28" i="82"/>
  <c r="Z28" i="82"/>
  <c r="Y28" i="82"/>
  <c r="X28" i="82"/>
  <c r="W28" i="82"/>
  <c r="V28" i="82"/>
  <c r="U28" i="82"/>
  <c r="T28" i="82"/>
  <c r="S28" i="82"/>
  <c r="R28" i="82"/>
  <c r="Q28" i="82"/>
  <c r="P28" i="82"/>
  <c r="O28" i="82"/>
  <c r="AC28" i="68"/>
  <c r="AC99" i="75" s="1"/>
  <c r="J28" i="68"/>
  <c r="J99" i="75" s="1"/>
  <c r="AD28" i="68"/>
  <c r="AD99" i="75" s="1"/>
  <c r="K28" i="68"/>
  <c r="K99" i="75" s="1"/>
  <c r="AE28" i="68"/>
  <c r="AF28" i="68"/>
  <c r="L28" i="68"/>
  <c r="L99" i="75" s="1"/>
  <c r="I28" i="68"/>
  <c r="I99" i="75" s="1"/>
  <c r="N28" i="68"/>
  <c r="N99" i="75" s="1"/>
  <c r="M28" i="68"/>
  <c r="M99" i="75" s="1"/>
  <c r="AG28" i="68"/>
  <c r="P28" i="68"/>
  <c r="P99" i="75" s="1"/>
  <c r="Q28" i="68"/>
  <c r="Q99" i="75" s="1"/>
  <c r="R28" i="68"/>
  <c r="R99" i="75" s="1"/>
  <c r="V28" i="68"/>
  <c r="V99" i="75" s="1"/>
  <c r="S28" i="68"/>
  <c r="S99" i="75" s="1"/>
  <c r="X28" i="68"/>
  <c r="X99" i="75" s="1"/>
  <c r="AB28" i="68"/>
  <c r="AB99" i="75" s="1"/>
  <c r="Y28" i="68"/>
  <c r="Y99" i="75" s="1"/>
  <c r="T28" i="68"/>
  <c r="T99" i="75" s="1"/>
  <c r="U28" i="68"/>
  <c r="U99" i="75" s="1"/>
  <c r="Z28" i="68"/>
  <c r="Z99" i="75" s="1"/>
  <c r="AA28" i="68"/>
  <c r="AA99" i="75" s="1"/>
  <c r="O28" i="68"/>
  <c r="O99" i="75" s="1"/>
  <c r="W28" i="68"/>
  <c r="W99" i="75" s="1"/>
  <c r="X28" i="72"/>
  <c r="W28" i="72"/>
  <c r="U28" i="72"/>
  <c r="AD28" i="72"/>
  <c r="V28" i="72"/>
  <c r="O28" i="72"/>
  <c r="K28" i="72"/>
  <c r="T28" i="72"/>
  <c r="S28" i="72"/>
  <c r="Q28" i="72"/>
  <c r="P28" i="72"/>
  <c r="J28" i="72"/>
  <c r="N28" i="72"/>
  <c r="AG28" i="72"/>
  <c r="AF28" i="72"/>
  <c r="L28" i="72"/>
  <c r="AC28" i="72"/>
  <c r="I28" i="72"/>
  <c r="R28" i="72"/>
  <c r="AB28" i="72"/>
  <c r="AE28" i="72"/>
  <c r="AA28" i="72"/>
  <c r="Z28" i="72"/>
  <c r="Y28" i="72"/>
  <c r="M28" i="72"/>
  <c r="I28" i="81"/>
  <c r="M28" i="81"/>
  <c r="L28" i="81"/>
  <c r="K28" i="81"/>
  <c r="J28" i="81"/>
  <c r="S28" i="73"/>
  <c r="R28" i="73"/>
  <c r="AG28" i="73"/>
  <c r="Q28" i="73"/>
  <c r="P28" i="73"/>
  <c r="M28" i="73"/>
  <c r="O28" i="73"/>
  <c r="N28" i="73"/>
  <c r="AF28" i="73"/>
  <c r="L28" i="73"/>
  <c r="AE28" i="73"/>
  <c r="K28" i="73"/>
  <c r="AD28" i="73"/>
  <c r="J28" i="73"/>
  <c r="AC28" i="73"/>
  <c r="I28" i="73"/>
  <c r="AB28" i="73"/>
  <c r="AA28" i="73"/>
  <c r="Z28" i="73"/>
  <c r="Y28" i="73"/>
  <c r="X28" i="73"/>
  <c r="W28" i="73"/>
  <c r="V28" i="73"/>
  <c r="U28" i="73"/>
  <c r="T28" i="73"/>
  <c r="H79" i="85"/>
  <c r="H76" i="85"/>
  <c r="H56" i="85"/>
  <c r="H64" i="85"/>
  <c r="H58" i="85"/>
  <c r="H72" i="85"/>
  <c r="H42" i="85"/>
  <c r="H65" i="85"/>
  <c r="H63" i="85"/>
  <c r="H70" i="85"/>
  <c r="H77" i="85"/>
  <c r="H75" i="85"/>
  <c r="H62" i="85"/>
  <c r="H78" i="85"/>
  <c r="H60" i="85"/>
  <c r="H74" i="85"/>
  <c r="H61" i="85"/>
  <c r="H73" i="85"/>
  <c r="H59" i="85"/>
  <c r="I32" i="75"/>
  <c r="X32" i="75"/>
  <c r="T61" i="75"/>
  <c r="R75" i="75"/>
  <c r="U75" i="75"/>
  <c r="N33" i="75"/>
  <c r="K33" i="75"/>
  <c r="O32" i="75"/>
  <c r="U60" i="75"/>
  <c r="Z75" i="75"/>
  <c r="Z60" i="75"/>
  <c r="AE75" i="75"/>
  <c r="AD32" i="75"/>
  <c r="N46" i="75"/>
  <c r="I29" i="75"/>
  <c r="I46" i="75"/>
  <c r="W20" i="75"/>
  <c r="O19" i="75"/>
  <c r="N18" i="75"/>
  <c r="S47" i="75"/>
  <c r="Q43" i="75"/>
  <c r="P74" i="75"/>
  <c r="L33" i="75"/>
  <c r="K43" i="75"/>
  <c r="N74" i="75"/>
  <c r="X75" i="75"/>
  <c r="Z61" i="75"/>
  <c r="Y18" i="75"/>
  <c r="Y20" i="75"/>
  <c r="AG18" i="75"/>
  <c r="J29" i="75"/>
  <c r="U29" i="75"/>
  <c r="W46" i="75"/>
  <c r="AF74" i="75"/>
  <c r="AD43" i="75"/>
  <c r="AC71" i="75"/>
  <c r="AA71" i="75"/>
  <c r="X57" i="75"/>
  <c r="M57" i="75"/>
  <c r="O60" i="75"/>
  <c r="J71" i="75"/>
  <c r="V47" i="75"/>
  <c r="P57" i="75"/>
  <c r="T74" i="75"/>
  <c r="J33" i="75"/>
  <c r="M47" i="75"/>
  <c r="P60" i="75"/>
  <c r="T32" i="75"/>
  <c r="K47" i="75"/>
  <c r="U47" i="75"/>
  <c r="V32" i="75"/>
  <c r="AC43" i="75"/>
  <c r="AE71" i="75"/>
  <c r="AE60" i="75"/>
  <c r="AD46" i="75"/>
  <c r="I47" i="75"/>
  <c r="N29" i="75"/>
  <c r="AG20" i="75"/>
  <c r="R20" i="75"/>
  <c r="S19" i="75"/>
  <c r="O18" i="75"/>
  <c r="T18" i="75"/>
  <c r="P20" i="75"/>
  <c r="P29" i="75"/>
  <c r="P46" i="75"/>
  <c r="V46" i="75"/>
  <c r="AG71" i="75"/>
  <c r="AE47" i="75"/>
  <c r="AC74" i="75"/>
  <c r="AA33" i="75"/>
  <c r="Y43" i="75"/>
  <c r="M61" i="75"/>
  <c r="S43" i="75"/>
  <c r="P32" i="75"/>
  <c r="Q75" i="75"/>
  <c r="K32" i="75"/>
  <c r="L57" i="75"/>
  <c r="O43" i="75"/>
  <c r="F28" i="82"/>
  <c r="F28" i="68"/>
  <c r="F28" i="72"/>
  <c r="F28" i="81"/>
  <c r="F28" i="73"/>
  <c r="F19" i="75" l="1"/>
  <c r="AE99" i="75"/>
  <c r="AF99" i="75"/>
  <c r="AG99" i="75"/>
  <c r="F29" i="75" a="1"/>
  <c r="F29" i="75" s="1"/>
  <c r="F74" i="75" a="1"/>
  <c r="F74" i="75" s="1"/>
  <c r="F46" i="75"/>
  <c r="F57" i="75"/>
  <c r="F75" i="75" a="1"/>
  <c r="F75" i="75" s="1"/>
  <c r="F71" i="75"/>
  <c r="F43" i="75"/>
  <c r="F61" i="75"/>
  <c r="F20" i="75"/>
  <c r="F60" i="75"/>
  <c r="F32" i="75" a="1"/>
  <c r="F32" i="75" s="1"/>
  <c r="F33" i="75" a="1"/>
  <c r="F33" i="75" s="1"/>
  <c r="F47" i="75"/>
  <c r="F18" i="75"/>
  <c r="L36" i="72"/>
  <c r="L44" i="75" s="1"/>
  <c r="L42" i="75"/>
  <c r="T36" i="81"/>
  <c r="T30" i="75" s="1"/>
  <c r="T28" i="75"/>
  <c r="AG36" i="81"/>
  <c r="AG30" i="75" s="1"/>
  <c r="AG28" i="75"/>
  <c r="N36" i="72"/>
  <c r="N44" i="75" s="1"/>
  <c r="N42" i="75"/>
  <c r="I36" i="68"/>
  <c r="I14" i="75"/>
  <c r="R36" i="82"/>
  <c r="R72" i="75" s="1"/>
  <c r="R70" i="75"/>
  <c r="L36" i="68"/>
  <c r="L14" i="75"/>
  <c r="AF36" i="73"/>
  <c r="AF58" i="75" s="1"/>
  <c r="AF56" i="75"/>
  <c r="AF36" i="81"/>
  <c r="AF30" i="75" s="1"/>
  <c r="AF28" i="75"/>
  <c r="Z36" i="81"/>
  <c r="Z30" i="75" s="1"/>
  <c r="Z28" i="75"/>
  <c r="Q36" i="72"/>
  <c r="Q44" i="75" s="1"/>
  <c r="Q42" i="75"/>
  <c r="Z36" i="68"/>
  <c r="Z14" i="75"/>
  <c r="I36" i="82"/>
  <c r="I72" i="75" s="1"/>
  <c r="I70" i="75"/>
  <c r="X36" i="73"/>
  <c r="X58" i="75" s="1"/>
  <c r="X56" i="75"/>
  <c r="K36" i="81"/>
  <c r="K30" i="75" s="1"/>
  <c r="K28" i="75"/>
  <c r="AE36" i="72"/>
  <c r="AE44" i="75" s="1"/>
  <c r="AE42" i="75"/>
  <c r="K36" i="72"/>
  <c r="K44" i="75" s="1"/>
  <c r="K42" i="75"/>
  <c r="N36" i="68"/>
  <c r="N14" i="75"/>
  <c r="AA36" i="82"/>
  <c r="AA72" i="75" s="1"/>
  <c r="AA70" i="75"/>
  <c r="O36" i="73"/>
  <c r="O58" i="75" s="1"/>
  <c r="O56" i="75"/>
  <c r="Q36" i="81"/>
  <c r="Q30" i="75" s="1"/>
  <c r="Q28" i="75"/>
  <c r="J36" i="72"/>
  <c r="J44" i="75" s="1"/>
  <c r="J42" i="75"/>
  <c r="R36" i="72"/>
  <c r="R44" i="75" s="1"/>
  <c r="R42" i="75"/>
  <c r="AG36" i="68"/>
  <c r="AG14" i="75"/>
  <c r="J36" i="82"/>
  <c r="J70" i="75"/>
  <c r="AD36" i="68"/>
  <c r="AD14" i="75"/>
  <c r="AB36" i="82"/>
  <c r="AB72" i="75" s="1"/>
  <c r="AB70" i="75"/>
  <c r="AE36" i="73"/>
  <c r="AE58" i="75" s="1"/>
  <c r="AE56" i="75"/>
  <c r="U36" i="81"/>
  <c r="U30" i="75" s="1"/>
  <c r="U28" i="75"/>
  <c r="V36" i="72"/>
  <c r="V44" i="75" s="1"/>
  <c r="V42" i="75"/>
  <c r="AD36" i="72"/>
  <c r="AD44" i="75" s="1"/>
  <c r="AD42" i="75"/>
  <c r="V36" i="73"/>
  <c r="V58" i="75" s="1"/>
  <c r="V56" i="75"/>
  <c r="R36" i="81"/>
  <c r="R30" i="75" s="1"/>
  <c r="R28" i="75"/>
  <c r="M36" i="72"/>
  <c r="M44" i="75" s="1"/>
  <c r="M42" i="75"/>
  <c r="T36" i="72"/>
  <c r="T44" i="75" s="1"/>
  <c r="T42" i="75"/>
  <c r="Y36" i="68"/>
  <c r="Y14" i="75"/>
  <c r="U36" i="82"/>
  <c r="U72" i="75" s="1"/>
  <c r="U70" i="75"/>
  <c r="AB36" i="73"/>
  <c r="AB58" i="75" s="1"/>
  <c r="AB56" i="75"/>
  <c r="N36" i="81"/>
  <c r="N30" i="75" s="1"/>
  <c r="N28" i="75"/>
  <c r="AC36" i="72"/>
  <c r="AC44" i="75" s="1"/>
  <c r="AC42" i="75"/>
  <c r="Y36" i="72"/>
  <c r="Y44" i="75" s="1"/>
  <c r="Y42" i="75"/>
  <c r="O36" i="68"/>
  <c r="O14" i="75"/>
  <c r="P36" i="82"/>
  <c r="P72" i="75" s="1"/>
  <c r="P70" i="75"/>
  <c r="S36" i="73"/>
  <c r="S58" i="75" s="1"/>
  <c r="S56" i="75"/>
  <c r="X36" i="81"/>
  <c r="X30" i="75" s="1"/>
  <c r="X28" i="75"/>
  <c r="AG36" i="72"/>
  <c r="AG44" i="75" s="1"/>
  <c r="AG42" i="75"/>
  <c r="AA36" i="68"/>
  <c r="AA14" i="75"/>
  <c r="AE36" i="82"/>
  <c r="AE72" i="75" s="1"/>
  <c r="AE70" i="75"/>
  <c r="T36" i="73"/>
  <c r="T58" i="75" s="1"/>
  <c r="T56" i="75"/>
  <c r="J36" i="81"/>
  <c r="J30" i="75" s="1"/>
  <c r="J28" i="75"/>
  <c r="AB36" i="72"/>
  <c r="AB44" i="75" s="1"/>
  <c r="AB42" i="75"/>
  <c r="M36" i="68"/>
  <c r="M14" i="75"/>
  <c r="X36" i="68"/>
  <c r="X14" i="75"/>
  <c r="T36" i="82"/>
  <c r="T72" i="75" s="1"/>
  <c r="T70" i="75"/>
  <c r="AF36" i="82"/>
  <c r="AF72" i="75" s="1"/>
  <c r="AF70" i="75"/>
  <c r="AB36" i="81"/>
  <c r="AB30" i="75" s="1"/>
  <c r="AB28" i="75"/>
  <c r="AF36" i="68"/>
  <c r="AF14" i="75"/>
  <c r="Y36" i="73"/>
  <c r="Y58" i="75" s="1"/>
  <c r="Y56" i="75"/>
  <c r="Q36" i="73"/>
  <c r="Q58" i="75" s="1"/>
  <c r="Q56" i="75"/>
  <c r="P36" i="81"/>
  <c r="P30" i="75" s="1"/>
  <c r="P28" i="75"/>
  <c r="O36" i="72"/>
  <c r="O44" i="75" s="1"/>
  <c r="O42" i="75"/>
  <c r="W36" i="68"/>
  <c r="W14" i="75"/>
  <c r="T36" i="68"/>
  <c r="T14" i="75"/>
  <c r="M36" i="82"/>
  <c r="M72" i="75" s="1"/>
  <c r="M70" i="75"/>
  <c r="K36" i="73"/>
  <c r="K58" i="75" s="1"/>
  <c r="K56" i="75"/>
  <c r="R36" i="73"/>
  <c r="R58" i="75" s="1"/>
  <c r="R56" i="75"/>
  <c r="M36" i="81"/>
  <c r="M30" i="75" s="1"/>
  <c r="M28" i="75"/>
  <c r="P36" i="72"/>
  <c r="P44" i="75" s="1"/>
  <c r="P42" i="75"/>
  <c r="V36" i="68"/>
  <c r="V14" i="75"/>
  <c r="Q36" i="68"/>
  <c r="Q14" i="75"/>
  <c r="L36" i="82"/>
  <c r="L72" i="75" s="1"/>
  <c r="L70" i="75"/>
  <c r="U36" i="73"/>
  <c r="U58" i="75" s="1"/>
  <c r="U56" i="75"/>
  <c r="I36" i="81"/>
  <c r="I30" i="75" s="1"/>
  <c r="I28" i="75"/>
  <c r="AA36" i="72"/>
  <c r="AA44" i="75" s="1"/>
  <c r="AA42" i="75"/>
  <c r="U36" i="68"/>
  <c r="U14" i="75"/>
  <c r="K36" i="68"/>
  <c r="K14" i="75"/>
  <c r="O36" i="82"/>
  <c r="O72" i="75" s="1"/>
  <c r="O70" i="75"/>
  <c r="I36" i="73"/>
  <c r="I58" i="75" s="1"/>
  <c r="I56" i="75"/>
  <c r="J36" i="73"/>
  <c r="J58" i="75" s="1"/>
  <c r="J56" i="75"/>
  <c r="O36" i="81"/>
  <c r="O30" i="75" s="1"/>
  <c r="O28" i="75"/>
  <c r="X36" i="72"/>
  <c r="X44" i="75" s="1"/>
  <c r="X42" i="75"/>
  <c r="P36" i="68"/>
  <c r="P14" i="75"/>
  <c r="AG36" i="82"/>
  <c r="AG72" i="75" s="1"/>
  <c r="AG70" i="75"/>
  <c r="P36" i="73"/>
  <c r="P58" i="75" s="1"/>
  <c r="P56" i="75"/>
  <c r="AD36" i="73"/>
  <c r="AD58" i="75" s="1"/>
  <c r="AD56" i="75"/>
  <c r="Y36" i="81"/>
  <c r="Y30" i="75" s="1"/>
  <c r="Y28" i="75"/>
  <c r="U36" i="72"/>
  <c r="U44" i="75" s="1"/>
  <c r="U42" i="75"/>
  <c r="R36" i="68"/>
  <c r="R14" i="75"/>
  <c r="N36" i="82"/>
  <c r="N72" i="75" s="1"/>
  <c r="N70" i="75"/>
  <c r="K36" i="82"/>
  <c r="K72" i="75" s="1"/>
  <c r="K70" i="75"/>
  <c r="AC36" i="68"/>
  <c r="AC14" i="75"/>
  <c r="AC36" i="82"/>
  <c r="AC72" i="75" s="1"/>
  <c r="AC70" i="75"/>
  <c r="N36" i="73"/>
  <c r="N58" i="75" s="1"/>
  <c r="N56" i="75"/>
  <c r="W36" i="81"/>
  <c r="W30" i="75" s="1"/>
  <c r="W28" i="75"/>
  <c r="S36" i="81"/>
  <c r="S30" i="75" s="1"/>
  <c r="S28" i="75"/>
  <c r="W36" i="72"/>
  <c r="W44" i="75" s="1"/>
  <c r="W42" i="75"/>
  <c r="J36" i="68"/>
  <c r="J14" i="75"/>
  <c r="X36" i="82"/>
  <c r="X72" i="75" s="1"/>
  <c r="X70" i="75"/>
  <c r="Y36" i="82"/>
  <c r="Y72" i="75" s="1"/>
  <c r="Y70" i="75"/>
  <c r="L36" i="73"/>
  <c r="L58" i="75" s="1"/>
  <c r="L56" i="75"/>
  <c r="AC36" i="73"/>
  <c r="AC58" i="75" s="1"/>
  <c r="AC56" i="75"/>
  <c r="AG36" i="73"/>
  <c r="AG58" i="75" s="1"/>
  <c r="AG56" i="75"/>
  <c r="Z36" i="73"/>
  <c r="Z58" i="75" s="1"/>
  <c r="Z56" i="75"/>
  <c r="AA36" i="81"/>
  <c r="AA30" i="75" s="1"/>
  <c r="AA28" i="75"/>
  <c r="Z36" i="72"/>
  <c r="Z44" i="75" s="1"/>
  <c r="Z42" i="75"/>
  <c r="S36" i="68"/>
  <c r="S14" i="75"/>
  <c r="Z36" i="82"/>
  <c r="Z72" i="75" s="1"/>
  <c r="Z70" i="75"/>
  <c r="V36" i="82"/>
  <c r="V72" i="75" s="1"/>
  <c r="V70" i="75"/>
  <c r="AA36" i="73"/>
  <c r="AA58" i="75" s="1"/>
  <c r="AA56" i="75"/>
  <c r="AE36" i="81"/>
  <c r="AE30" i="75" s="1"/>
  <c r="AE28" i="75"/>
  <c r="AD36" i="81"/>
  <c r="AD30" i="75" s="1"/>
  <c r="AD28" i="75"/>
  <c r="AF36" i="72"/>
  <c r="AF44" i="75" s="1"/>
  <c r="AF42" i="75"/>
  <c r="AB36" i="68"/>
  <c r="AB14" i="75"/>
  <c r="Q36" i="82"/>
  <c r="Q72" i="75" s="1"/>
  <c r="Q70" i="75"/>
  <c r="AD36" i="82"/>
  <c r="AD72" i="75" s="1"/>
  <c r="AD70" i="75"/>
  <c r="I36" i="72"/>
  <c r="I44" i="75" s="1"/>
  <c r="I42" i="75"/>
  <c r="W36" i="73"/>
  <c r="W58" i="75" s="1"/>
  <c r="W56" i="75"/>
  <c r="L36" i="81"/>
  <c r="L30" i="75" s="1"/>
  <c r="L28" i="75"/>
  <c r="M36" i="73"/>
  <c r="M58" i="75" s="1"/>
  <c r="M56" i="75"/>
  <c r="AC36" i="81"/>
  <c r="AC30" i="75" s="1"/>
  <c r="AC28" i="75"/>
  <c r="V36" i="81"/>
  <c r="V30" i="75" s="1"/>
  <c r="V28" i="75"/>
  <c r="S36" i="72"/>
  <c r="S44" i="75" s="1"/>
  <c r="S42" i="75"/>
  <c r="AE36" i="68"/>
  <c r="AE14" i="75"/>
  <c r="S36" i="82"/>
  <c r="S72" i="75" s="1"/>
  <c r="S70" i="75"/>
  <c r="W36" i="82"/>
  <c r="W72" i="75" s="1"/>
  <c r="W70" i="75"/>
  <c r="D99" i="75" l="1"/>
  <c r="F30" i="75" a="1"/>
  <c r="F30" i="75" s="1"/>
  <c r="AC64" i="82"/>
  <c r="AC84" i="82" s="1"/>
  <c r="AC64" i="81"/>
  <c r="AC84" i="81" s="1"/>
  <c r="AC64" i="72"/>
  <c r="AC84" i="72" s="1"/>
  <c r="AC64" i="73"/>
  <c r="AC84" i="73" s="1"/>
  <c r="AC16" i="75"/>
  <c r="P64" i="81"/>
  <c r="P64" i="72"/>
  <c r="P64" i="73"/>
  <c r="P64" i="82"/>
  <c r="P16" i="75"/>
  <c r="U64" i="73"/>
  <c r="U84" i="73" s="1"/>
  <c r="U64" i="72"/>
  <c r="U84" i="72" s="1"/>
  <c r="U64" i="82"/>
  <c r="U84" i="82" s="1"/>
  <c r="U64" i="81"/>
  <c r="U84" i="81" s="1"/>
  <c r="U16" i="75"/>
  <c r="F42" i="75"/>
  <c r="J64" i="82"/>
  <c r="J72" i="75"/>
  <c r="F72" i="75" s="1"/>
  <c r="AE64" i="73"/>
  <c r="AE84" i="73" s="1"/>
  <c r="AE64" i="81"/>
  <c r="AE84" i="81" s="1"/>
  <c r="AE64" i="82"/>
  <c r="AE84" i="82" s="1"/>
  <c r="AE64" i="72"/>
  <c r="AE84" i="72" s="1"/>
  <c r="AE16" i="75"/>
  <c r="F44" i="75"/>
  <c r="F28" i="75"/>
  <c r="O64" i="81"/>
  <c r="O84" i="81" s="1"/>
  <c r="O64" i="82"/>
  <c r="O64" i="72"/>
  <c r="O64" i="73"/>
  <c r="O16" i="75"/>
  <c r="J64" i="81"/>
  <c r="J84" i="81" s="1"/>
  <c r="J64" i="73"/>
  <c r="J64" i="72"/>
  <c r="J16" i="75"/>
  <c r="S64" i="82"/>
  <c r="S84" i="82" s="1"/>
  <c r="S64" i="72"/>
  <c r="S84" i="72" s="1"/>
  <c r="S64" i="81"/>
  <c r="S84" i="81" s="1"/>
  <c r="S64" i="73"/>
  <c r="S84" i="73" s="1"/>
  <c r="S16" i="75"/>
  <c r="AG64" i="81"/>
  <c r="AG84" i="81" s="1"/>
  <c r="AG64" i="73"/>
  <c r="AG84" i="73" s="1"/>
  <c r="AG64" i="82"/>
  <c r="AG84" i="82" s="1"/>
  <c r="AG64" i="72"/>
  <c r="AG84" i="72" s="1"/>
  <c r="AG16" i="75"/>
  <c r="L64" i="81"/>
  <c r="L84" i="81" s="1"/>
  <c r="L64" i="82"/>
  <c r="L64" i="72"/>
  <c r="L64" i="73"/>
  <c r="L16" i="75"/>
  <c r="AF64" i="81"/>
  <c r="AF84" i="81" s="1"/>
  <c r="AF64" i="73"/>
  <c r="AF84" i="73" s="1"/>
  <c r="AF64" i="82"/>
  <c r="AF84" i="82" s="1"/>
  <c r="AF64" i="72"/>
  <c r="AF84" i="72" s="1"/>
  <c r="AF16" i="75"/>
  <c r="R64" i="82"/>
  <c r="R84" i="82" s="1"/>
  <c r="R64" i="73"/>
  <c r="R84" i="73" s="1"/>
  <c r="R64" i="72"/>
  <c r="R84" i="72" s="1"/>
  <c r="R64" i="81"/>
  <c r="R84" i="81" s="1"/>
  <c r="R16" i="75"/>
  <c r="F56" i="75"/>
  <c r="F70" i="75"/>
  <c r="F14" i="75"/>
  <c r="AA64" i="82"/>
  <c r="AA84" i="82" s="1"/>
  <c r="AA64" i="72"/>
  <c r="AA84" i="72" s="1"/>
  <c r="AA64" i="73"/>
  <c r="AA84" i="73" s="1"/>
  <c r="AA64" i="81"/>
  <c r="AA84" i="81" s="1"/>
  <c r="AA16" i="75"/>
  <c r="I64" i="72"/>
  <c r="I64" i="82"/>
  <c r="I64" i="73"/>
  <c r="I64" i="81"/>
  <c r="I84" i="81" s="1"/>
  <c r="I16" i="75"/>
  <c r="K64" i="73"/>
  <c r="K64" i="72"/>
  <c r="K64" i="81"/>
  <c r="K84" i="81" s="1"/>
  <c r="K64" i="82"/>
  <c r="K16" i="75"/>
  <c r="V64" i="81"/>
  <c r="V84" i="81" s="1"/>
  <c r="V64" i="82"/>
  <c r="V84" i="82" s="1"/>
  <c r="V64" i="73"/>
  <c r="V84" i="73" s="1"/>
  <c r="V64" i="72"/>
  <c r="V84" i="72" s="1"/>
  <c r="V16" i="75"/>
  <c r="W64" i="81"/>
  <c r="W84" i="81" s="1"/>
  <c r="W64" i="82"/>
  <c r="W84" i="82" s="1"/>
  <c r="W64" i="72"/>
  <c r="W84" i="72" s="1"/>
  <c r="W64" i="73"/>
  <c r="W84" i="73" s="1"/>
  <c r="W16" i="75"/>
  <c r="Z64" i="72"/>
  <c r="Z84" i="72" s="1"/>
  <c r="Z64" i="81"/>
  <c r="Z84" i="81" s="1"/>
  <c r="Z64" i="73"/>
  <c r="Z84" i="73" s="1"/>
  <c r="Z64" i="82"/>
  <c r="Z84" i="82" s="1"/>
  <c r="Z16" i="75"/>
  <c r="AB64" i="72"/>
  <c r="AB84" i="72" s="1"/>
  <c r="AB64" i="81"/>
  <c r="AB84" i="81" s="1"/>
  <c r="AB64" i="73"/>
  <c r="AB84" i="73" s="1"/>
  <c r="AB64" i="82"/>
  <c r="AB84" i="82" s="1"/>
  <c r="AB16" i="75"/>
  <c r="X64" i="72"/>
  <c r="X84" i="72" s="1"/>
  <c r="X64" i="82"/>
  <c r="X84" i="82" s="1"/>
  <c r="X64" i="81"/>
  <c r="X84" i="81" s="1"/>
  <c r="X64" i="73"/>
  <c r="X84" i="73" s="1"/>
  <c r="X16" i="75"/>
  <c r="Y64" i="73"/>
  <c r="Y84" i="73" s="1"/>
  <c r="Y64" i="82"/>
  <c r="Y84" i="82" s="1"/>
  <c r="Y64" i="81"/>
  <c r="Y84" i="81" s="1"/>
  <c r="Y64" i="72"/>
  <c r="Y84" i="72" s="1"/>
  <c r="Y16" i="75"/>
  <c r="N64" i="82"/>
  <c r="N64" i="73"/>
  <c r="N64" i="72"/>
  <c r="N64" i="81"/>
  <c r="N84" i="81" s="1"/>
  <c r="N16" i="75"/>
  <c r="Q64" i="82"/>
  <c r="Q64" i="73"/>
  <c r="Q64" i="72"/>
  <c r="Q64" i="81"/>
  <c r="Q16" i="75"/>
  <c r="F58" i="75"/>
  <c r="T64" i="72"/>
  <c r="T84" i="72" s="1"/>
  <c r="T64" i="73"/>
  <c r="T84" i="73" s="1"/>
  <c r="T64" i="82"/>
  <c r="T84" i="82" s="1"/>
  <c r="T64" i="81"/>
  <c r="T84" i="81" s="1"/>
  <c r="T16" i="75"/>
  <c r="M64" i="82"/>
  <c r="M64" i="73"/>
  <c r="M64" i="72"/>
  <c r="M64" i="81"/>
  <c r="M84" i="81" s="1"/>
  <c r="M16" i="75"/>
  <c r="AD64" i="81"/>
  <c r="AD84" i="81" s="1"/>
  <c r="AD64" i="73"/>
  <c r="AD84" i="73" s="1"/>
  <c r="AD64" i="72"/>
  <c r="AD84" i="72" s="1"/>
  <c r="AD64" i="82"/>
  <c r="AD84" i="82" s="1"/>
  <c r="AD16" i="75"/>
  <c r="C64" i="81"/>
  <c r="C64" i="73"/>
  <c r="C15" i="75"/>
  <c r="D15" i="75" s="1"/>
  <c r="D57" i="75"/>
  <c r="D60" i="75"/>
  <c r="C18" i="75"/>
  <c r="D18" i="75" s="1"/>
  <c r="D74" i="75"/>
  <c r="D63" i="75"/>
  <c r="D61" i="75"/>
  <c r="D64" i="75"/>
  <c r="D36" i="75"/>
  <c r="D78" i="75"/>
  <c r="D22" i="75"/>
  <c r="D71" i="75"/>
  <c r="C29" i="75"/>
  <c r="D29" i="75" s="1"/>
  <c r="C35" i="75"/>
  <c r="D35" i="75" s="1"/>
  <c r="D77" i="75"/>
  <c r="C21" i="75"/>
  <c r="D21" i="75" s="1"/>
  <c r="C33" i="75"/>
  <c r="D33" i="75" s="1"/>
  <c r="C19" i="75"/>
  <c r="D19" i="75" s="1"/>
  <c r="D75" i="75"/>
  <c r="C32" i="75"/>
  <c r="D32" i="75" s="1"/>
  <c r="Q92" i="75" l="1"/>
  <c r="AB92" i="75"/>
  <c r="K92" i="75"/>
  <c r="R92" i="75"/>
  <c r="S92" i="75"/>
  <c r="Q84" i="73"/>
  <c r="K84" i="72"/>
  <c r="I84" i="73"/>
  <c r="P84" i="82"/>
  <c r="L84" i="73"/>
  <c r="M84" i="73"/>
  <c r="P84" i="72"/>
  <c r="Q84" i="72"/>
  <c r="J84" i="82"/>
  <c r="Q84" i="82"/>
  <c r="J84" i="73"/>
  <c r="I84" i="82"/>
  <c r="M84" i="72"/>
  <c r="O84" i="72"/>
  <c r="L84" i="72"/>
  <c r="O84" i="82"/>
  <c r="M84" i="82"/>
  <c r="P84" i="81"/>
  <c r="K84" i="73"/>
  <c r="J84" i="72"/>
  <c r="N84" i="72"/>
  <c r="N84" i="73"/>
  <c r="N84" i="82"/>
  <c r="I84" i="72"/>
  <c r="O84" i="73"/>
  <c r="P84" i="73"/>
  <c r="L84" i="82"/>
  <c r="Q84" i="81"/>
  <c r="K84" i="82"/>
  <c r="AD92" i="75"/>
  <c r="U92" i="75"/>
  <c r="N92" i="75"/>
  <c r="Z92" i="75"/>
  <c r="I92" i="75"/>
  <c r="AF92" i="75"/>
  <c r="J92" i="75"/>
  <c r="M92" i="75"/>
  <c r="O92" i="75"/>
  <c r="P92" i="75"/>
  <c r="Y92" i="75"/>
  <c r="W92" i="75"/>
  <c r="L92" i="75"/>
  <c r="AA92" i="75"/>
  <c r="T92" i="75"/>
  <c r="AC92" i="75"/>
  <c r="X92" i="75"/>
  <c r="V92" i="75"/>
  <c r="AG92" i="75"/>
  <c r="AE92" i="75"/>
  <c r="AD48" i="75"/>
  <c r="Z48" i="75"/>
  <c r="AG34" i="75"/>
  <c r="AE34" i="75"/>
  <c r="AE62" i="75"/>
  <c r="S62" i="75"/>
  <c r="R34" i="75"/>
  <c r="AB34" i="75"/>
  <c r="R48" i="75"/>
  <c r="S34" i="75"/>
  <c r="S48" i="75"/>
  <c r="AB76" i="75"/>
  <c r="AB48" i="75"/>
  <c r="R62" i="75"/>
  <c r="AD76" i="75"/>
  <c r="R76" i="75"/>
  <c r="S76" i="75"/>
  <c r="U34" i="75"/>
  <c r="Z76" i="75"/>
  <c r="AD62" i="75"/>
  <c r="Z62" i="75"/>
  <c r="AF48" i="75"/>
  <c r="U76" i="75"/>
  <c r="Z34" i="75"/>
  <c r="AF76" i="75"/>
  <c r="U48" i="75"/>
  <c r="AF62" i="75"/>
  <c r="J34" i="75"/>
  <c r="U62" i="75"/>
  <c r="AF34" i="75"/>
  <c r="W48" i="75"/>
  <c r="Y62" i="75"/>
  <c r="W34" i="75"/>
  <c r="AA48" i="75"/>
  <c r="O34" i="75"/>
  <c r="Y34" i="75"/>
  <c r="AA76" i="75"/>
  <c r="L34" i="75"/>
  <c r="AB62" i="75"/>
  <c r="AD34" i="75"/>
  <c r="Y48" i="75"/>
  <c r="AC62" i="75"/>
  <c r="K34" i="75"/>
  <c r="N34" i="75"/>
  <c r="W62" i="75"/>
  <c r="AA34" i="75"/>
  <c r="T76" i="75"/>
  <c r="X34" i="75"/>
  <c r="V62" i="75"/>
  <c r="AG48" i="75"/>
  <c r="AC48" i="75"/>
  <c r="I34" i="75"/>
  <c r="M34" i="75"/>
  <c r="Y76" i="75"/>
  <c r="X62" i="75"/>
  <c r="T48" i="75"/>
  <c r="X76" i="75"/>
  <c r="V76" i="75"/>
  <c r="AG76" i="75"/>
  <c r="AE48" i="75"/>
  <c r="AC34" i="75"/>
  <c r="W76" i="75"/>
  <c r="AA62" i="75"/>
  <c r="T34" i="75"/>
  <c r="V48" i="75"/>
  <c r="T62" i="75"/>
  <c r="X48" i="75"/>
  <c r="V34" i="75"/>
  <c r="AG62" i="75"/>
  <c r="AE76" i="75"/>
  <c r="AC76" i="75"/>
  <c r="H13" i="33"/>
  <c r="P48" i="75" l="1"/>
  <c r="P34" i="75"/>
  <c r="K48" i="75"/>
  <c r="J48" i="75"/>
  <c r="L76" i="75"/>
  <c r="L48" i="75"/>
  <c r="N48" i="75"/>
  <c r="O62" i="75"/>
  <c r="M62" i="75"/>
  <c r="J76" i="75"/>
  <c r="J62" i="75"/>
  <c r="N62" i="75"/>
  <c r="K62" i="75"/>
  <c r="Q62" i="75"/>
  <c r="I62" i="75"/>
  <c r="Q76" i="75"/>
  <c r="M76" i="75"/>
  <c r="P62" i="75"/>
  <c r="M48" i="75"/>
  <c r="P76" i="75"/>
  <c r="I76" i="75"/>
  <c r="Q34" i="75"/>
  <c r="Q48" i="75"/>
  <c r="K76" i="75"/>
  <c r="O76" i="75"/>
  <c r="I48" i="75"/>
  <c r="O48" i="75"/>
  <c r="L62" i="75"/>
  <c r="N76" i="75"/>
  <c r="F52" i="75"/>
  <c r="G11" i="33" s="1"/>
  <c r="F34" i="75" l="1" a="1"/>
  <c r="F34" i="75" s="1"/>
  <c r="F48" i="75"/>
  <c r="F62" i="75"/>
  <c r="F76" i="75"/>
  <c r="F66" i="75"/>
  <c r="G12" i="33" s="1"/>
  <c r="F38" i="75"/>
  <c r="G10" i="33" s="1"/>
  <c r="F24" i="75" l="1"/>
  <c r="G9" i="33" s="1"/>
  <c r="F16" i="75" a="1"/>
  <c r="F16" i="75" s="1"/>
  <c r="I13" i="33"/>
  <c r="F80" i="75" l="1"/>
  <c r="G13" i="33" s="1"/>
  <c r="D28" i="85" l="1"/>
  <c r="J67" i="33" l="1"/>
  <c r="J71" i="33"/>
  <c r="J69" i="33"/>
  <c r="J70" i="33"/>
  <c r="J68" i="33"/>
  <c r="B22" i="85" l="1"/>
  <c r="D22" i="85" s="1"/>
  <c r="B21" i="85"/>
  <c r="D21" i="85" s="1"/>
  <c r="G115" i="81"/>
  <c r="B46" i="85"/>
  <c r="D46" i="85" s="1"/>
  <c r="G116" i="81"/>
  <c r="B17" i="85"/>
  <c r="D17" i="85" s="1"/>
  <c r="B36" i="85"/>
  <c r="B19" i="85"/>
  <c r="D19" i="85" s="1"/>
  <c r="B20" i="85"/>
  <c r="D20" i="85" s="1"/>
  <c r="G113" i="81"/>
  <c r="B23" i="85"/>
  <c r="D23" i="85" s="1"/>
  <c r="B18" i="85"/>
  <c r="D18" i="85" s="1"/>
  <c r="B33" i="85"/>
  <c r="B49" i="85"/>
  <c r="D49" i="85" s="1"/>
  <c r="G114" i="81"/>
  <c r="B34" i="85"/>
  <c r="B35" i="85"/>
  <c r="D35" i="85" s="1"/>
  <c r="B51" i="85"/>
  <c r="D51" i="85" s="1"/>
  <c r="G112" i="81"/>
  <c r="G117" i="81"/>
  <c r="B47" i="85"/>
  <c r="D47" i="85" s="1"/>
  <c r="B37" i="85"/>
  <c r="D37" i="85" s="1"/>
  <c r="G111" i="81"/>
  <c r="B31" i="85"/>
  <c r="B32" i="85"/>
  <c r="B16" i="85"/>
  <c r="D16" i="85" s="1"/>
  <c r="H18" i="85" l="1"/>
  <c r="H23" i="85"/>
  <c r="H47" i="85"/>
  <c r="H46" i="85"/>
  <c r="H20" i="85"/>
  <c r="H21" i="85"/>
  <c r="H49" i="85"/>
  <c r="H16" i="85"/>
  <c r="H19" i="85"/>
  <c r="H51" i="85"/>
  <c r="H17" i="85"/>
  <c r="H22" i="85"/>
  <c r="B45" i="85"/>
  <c r="D45" i="85" s="1"/>
  <c r="B50" i="85"/>
  <c r="D50" i="85" s="1"/>
  <c r="D33" i="85"/>
  <c r="G110" i="81"/>
  <c r="B30" i="85"/>
  <c r="B48" i="85"/>
  <c r="D48" i="85" s="1"/>
  <c r="B44" i="85"/>
  <c r="D44" i="85" s="1"/>
  <c r="D31" i="85"/>
  <c r="D32" i="85"/>
  <c r="D34" i="85"/>
  <c r="D36" i="85"/>
  <c r="H35" i="85" l="1"/>
  <c r="H37" i="85"/>
  <c r="H50" i="85"/>
  <c r="H48" i="85"/>
  <c r="H44" i="85"/>
  <c r="H45" i="85"/>
  <c r="H32" i="85"/>
  <c r="H74" i="33"/>
  <c r="H73" i="33"/>
  <c r="H75" i="33"/>
  <c r="H31" i="85"/>
  <c r="H34" i="85"/>
  <c r="H36" i="85"/>
  <c r="D30" i="85"/>
  <c r="H33" i="85"/>
  <c r="H28" i="85"/>
  <c r="H30" i="85" l="1"/>
  <c r="G75" i="33" l="1"/>
  <c r="I98" i="85"/>
  <c r="K98" i="85" s="1"/>
  <c r="L75" i="33" s="1"/>
  <c r="G73" i="33"/>
  <c r="I96" i="85"/>
  <c r="K96" i="85" s="1"/>
  <c r="L73" i="33" s="1"/>
  <c r="G74" i="33"/>
  <c r="I97" i="85"/>
  <c r="AD57" i="81" l="1" a="1"/>
  <c r="AD57" i="81" s="1"/>
  <c r="AD85" i="81" s="1"/>
  <c r="AB57" i="81" a="1"/>
  <c r="AB57" i="81" s="1"/>
  <c r="AB85" i="81" s="1"/>
  <c r="AF57" i="81" a="1"/>
  <c r="AF57" i="81" s="1"/>
  <c r="AF85" i="81" s="1"/>
  <c r="V57" i="81" a="1"/>
  <c r="V57" i="81" s="1"/>
  <c r="V85" i="81" s="1"/>
  <c r="K57" i="81" a="1"/>
  <c r="K57" i="81" s="1"/>
  <c r="K85" i="81" s="1"/>
  <c r="M57" i="81" a="1"/>
  <c r="M57" i="81" s="1"/>
  <c r="M85" i="81" s="1"/>
  <c r="R57" i="81" a="1"/>
  <c r="R57" i="81" s="1"/>
  <c r="R85" i="81" s="1"/>
  <c r="Q57" i="81" a="1"/>
  <c r="Q57" i="81" s="1"/>
  <c r="Q85" i="81" s="1"/>
  <c r="AA57" i="81" a="1"/>
  <c r="AA57" i="81" s="1"/>
  <c r="AA85" i="81" s="1"/>
  <c r="L57" i="81" a="1"/>
  <c r="L57" i="81" s="1"/>
  <c r="L85" i="81" s="1"/>
  <c r="J57" i="81" a="1"/>
  <c r="J57" i="81" s="1"/>
  <c r="J85" i="81" s="1"/>
  <c r="X57" i="81" a="1"/>
  <c r="X57" i="81" s="1"/>
  <c r="X85" i="81" s="1"/>
  <c r="N57" i="81" a="1"/>
  <c r="N57" i="81" s="1"/>
  <c r="N85" i="81" s="1"/>
  <c r="T57" i="81" a="1"/>
  <c r="T57" i="81" s="1"/>
  <c r="T85" i="81" s="1"/>
  <c r="S57" i="81" a="1"/>
  <c r="S57" i="81" s="1"/>
  <c r="S85" i="81" s="1"/>
  <c r="AE57" i="81" a="1"/>
  <c r="AE57" i="81" s="1"/>
  <c r="AE85" i="81" s="1"/>
  <c r="Y57" i="81" a="1"/>
  <c r="Y57" i="81" s="1"/>
  <c r="Y85" i="81" s="1"/>
  <c r="O57" i="81" a="1"/>
  <c r="O57" i="81" s="1"/>
  <c r="O85" i="81" s="1"/>
  <c r="I57" i="81" a="1"/>
  <c r="I57" i="81" s="1"/>
  <c r="I85" i="81" s="1"/>
  <c r="P57" i="81" a="1"/>
  <c r="P57" i="81" s="1"/>
  <c r="P85" i="81" s="1"/>
  <c r="Z57" i="81" a="1"/>
  <c r="Z57" i="81" s="1"/>
  <c r="Z85" i="81" s="1"/>
  <c r="AG57" i="81" a="1"/>
  <c r="AG57" i="81" s="1"/>
  <c r="AG85" i="81" s="1"/>
  <c r="AC57" i="81" a="1"/>
  <c r="AC57" i="81" s="1"/>
  <c r="AC85" i="81" s="1"/>
  <c r="W57" i="81" a="1"/>
  <c r="W57" i="81" s="1"/>
  <c r="W85" i="81" s="1"/>
  <c r="U57" i="81" a="1"/>
  <c r="U57" i="81" s="1"/>
  <c r="U85" i="81" s="1"/>
  <c r="N35" i="75" l="1"/>
  <c r="N36" i="75" s="1"/>
  <c r="N87" i="81"/>
  <c r="N106" i="81" s="1"/>
  <c r="N108" i="81"/>
  <c r="AF35" i="75"/>
  <c r="AF36" i="75" s="1"/>
  <c r="AE12" i="85" s="1"/>
  <c r="AF108" i="81"/>
  <c r="AF87" i="81"/>
  <c r="AF106" i="81" s="1"/>
  <c r="AB35" i="75"/>
  <c r="AB36" i="75" s="1"/>
  <c r="AA12" i="85" s="1"/>
  <c r="AB87" i="81"/>
  <c r="AB106" i="81" s="1"/>
  <c r="AB108" i="81"/>
  <c r="AE35" i="75"/>
  <c r="AE36" i="75" s="1"/>
  <c r="AD12" i="85" s="1"/>
  <c r="AE87" i="81"/>
  <c r="AE106" i="81" s="1"/>
  <c r="AE108" i="81"/>
  <c r="L35" i="75"/>
  <c r="L36" i="75" s="1"/>
  <c r="L108" i="81"/>
  <c r="L87" i="81"/>
  <c r="L106" i="81" s="1"/>
  <c r="M35" i="75"/>
  <c r="M36" i="75" s="1"/>
  <c r="M108" i="81"/>
  <c r="M87" i="81"/>
  <c r="M106" i="81" s="1"/>
  <c r="W35" i="75"/>
  <c r="W36" i="75" s="1"/>
  <c r="W108" i="81"/>
  <c r="W87" i="81"/>
  <c r="W106" i="81" s="1"/>
  <c r="Z35" i="75"/>
  <c r="Z36" i="75" s="1"/>
  <c r="Z108" i="81"/>
  <c r="Z87" i="81"/>
  <c r="Z106" i="81" s="1"/>
  <c r="AD35" i="75"/>
  <c r="AD36" i="75" s="1"/>
  <c r="AC12" i="85" s="1"/>
  <c r="AD87" i="81"/>
  <c r="AD106" i="81" s="1"/>
  <c r="AD108" i="81"/>
  <c r="X35" i="75"/>
  <c r="X36" i="75" s="1"/>
  <c r="X108" i="81"/>
  <c r="X87" i="81"/>
  <c r="X106" i="81" s="1"/>
  <c r="AA35" i="75"/>
  <c r="AA36" i="75" s="1"/>
  <c r="Z12" i="85" s="1"/>
  <c r="AA108" i="81"/>
  <c r="AA87" i="81"/>
  <c r="AA106" i="81" s="1"/>
  <c r="V35" i="75"/>
  <c r="V36" i="75" s="1"/>
  <c r="V108" i="81"/>
  <c r="V87" i="81"/>
  <c r="V106" i="81" s="1"/>
  <c r="P35" i="75"/>
  <c r="P36" i="75" s="1"/>
  <c r="P87" i="81"/>
  <c r="P106" i="81" s="1"/>
  <c r="P108" i="81"/>
  <c r="Y57" i="82" a="1"/>
  <c r="Y57" i="82" s="1"/>
  <c r="Y85" i="82" s="1"/>
  <c r="N57" i="82" a="1"/>
  <c r="N57" i="82" s="1"/>
  <c r="N85" i="82" s="1"/>
  <c r="R57" i="82" a="1"/>
  <c r="R57" i="82" s="1"/>
  <c r="R85" i="82" s="1"/>
  <c r="X57" i="82" a="1"/>
  <c r="X57" i="82" s="1"/>
  <c r="X85" i="82" s="1"/>
  <c r="AC57" i="82" a="1"/>
  <c r="AC57" i="82" s="1"/>
  <c r="AC85" i="82" s="1"/>
  <c r="AB57" i="82" a="1"/>
  <c r="AB57" i="82" s="1"/>
  <c r="AB85" i="82" s="1"/>
  <c r="AD57" i="82" a="1"/>
  <c r="AD57" i="82" s="1"/>
  <c r="AD85" i="82" s="1"/>
  <c r="AF57" i="82" a="1"/>
  <c r="AF57" i="82" s="1"/>
  <c r="AF85" i="82" s="1"/>
  <c r="T57" i="82" a="1"/>
  <c r="T57" i="82" s="1"/>
  <c r="T85" i="82" s="1"/>
  <c r="Q57" i="82" a="1"/>
  <c r="Q57" i="82" s="1"/>
  <c r="Q85" i="82" s="1"/>
  <c r="K57" i="82" a="1"/>
  <c r="K57" i="82" s="1"/>
  <c r="K85" i="82" s="1"/>
  <c r="J57" i="82" a="1"/>
  <c r="J57" i="82" s="1"/>
  <c r="J85" i="82" s="1"/>
  <c r="S57" i="82" a="1"/>
  <c r="S57" i="82" s="1"/>
  <c r="S85" i="82" s="1"/>
  <c r="V57" i="82" a="1"/>
  <c r="V57" i="82" s="1"/>
  <c r="V85" i="82" s="1"/>
  <c r="AA57" i="82" a="1"/>
  <c r="AA57" i="82" s="1"/>
  <c r="AA85" i="82" s="1"/>
  <c r="W57" i="82" a="1"/>
  <c r="W57" i="82" s="1"/>
  <c r="W85" i="82" s="1"/>
  <c r="I57" i="82" a="1"/>
  <c r="I57" i="82" s="1"/>
  <c r="I85" i="82" s="1"/>
  <c r="AG57" i="82" a="1"/>
  <c r="AG57" i="82" s="1"/>
  <c r="AG85" i="82" s="1"/>
  <c r="AE57" i="82" a="1"/>
  <c r="AE57" i="82" s="1"/>
  <c r="AE85" i="82" s="1"/>
  <c r="L57" i="82" a="1"/>
  <c r="L57" i="82" s="1"/>
  <c r="L85" i="82" s="1"/>
  <c r="M57" i="82" a="1"/>
  <c r="M57" i="82" s="1"/>
  <c r="M85" i="82" s="1"/>
  <c r="U57" i="82" a="1"/>
  <c r="U57" i="82" s="1"/>
  <c r="U85" i="82" s="1"/>
  <c r="O57" i="82" a="1"/>
  <c r="O57" i="82" s="1"/>
  <c r="O85" i="82" s="1"/>
  <c r="Z57" i="82" a="1"/>
  <c r="Z57" i="82" s="1"/>
  <c r="Z85" i="82" s="1"/>
  <c r="P57" i="82" a="1"/>
  <c r="P57" i="82" s="1"/>
  <c r="P85" i="82" s="1"/>
  <c r="S35" i="75"/>
  <c r="S36" i="75" s="1"/>
  <c r="S87" i="81"/>
  <c r="S106" i="81" s="1"/>
  <c r="S108" i="81"/>
  <c r="R35" i="75"/>
  <c r="R36" i="75" s="1"/>
  <c r="R87" i="81"/>
  <c r="R106" i="81" s="1"/>
  <c r="R108" i="81"/>
  <c r="U35" i="75"/>
  <c r="U36" i="75" s="1"/>
  <c r="U87" i="81"/>
  <c r="U106" i="81" s="1"/>
  <c r="U108" i="81"/>
  <c r="AG35" i="75"/>
  <c r="AG36" i="75" s="1"/>
  <c r="AF12" i="85" s="1"/>
  <c r="AG87" i="81"/>
  <c r="AG106" i="81" s="1"/>
  <c r="AG108" i="81"/>
  <c r="I35" i="75"/>
  <c r="I108" i="81"/>
  <c r="I87" i="81"/>
  <c r="I106" i="81" s="1"/>
  <c r="AD57" i="72" a="1"/>
  <c r="AD57" i="72" s="1"/>
  <c r="AD85" i="72" s="1"/>
  <c r="M57" i="72" a="1"/>
  <c r="M57" i="72" s="1"/>
  <c r="M85" i="72" s="1"/>
  <c r="K57" i="72" a="1"/>
  <c r="K57" i="72" s="1"/>
  <c r="K85" i="72" s="1"/>
  <c r="AE57" i="72" a="1"/>
  <c r="AE57" i="72" s="1"/>
  <c r="AE85" i="72" s="1"/>
  <c r="Q57" i="72" a="1"/>
  <c r="Q57" i="72" s="1"/>
  <c r="Q85" i="72" s="1"/>
  <c r="AF57" i="72" a="1"/>
  <c r="AF57" i="72" s="1"/>
  <c r="AF85" i="72" s="1"/>
  <c r="T57" i="72" a="1"/>
  <c r="T57" i="72" s="1"/>
  <c r="T85" i="72" s="1"/>
  <c r="AG57" i="72" a="1"/>
  <c r="AG57" i="72" s="1"/>
  <c r="AG85" i="72" s="1"/>
  <c r="U57" i="72" a="1"/>
  <c r="U57" i="72" s="1"/>
  <c r="U85" i="72" s="1"/>
  <c r="AA57" i="72" a="1"/>
  <c r="AA57" i="72" s="1"/>
  <c r="AA85" i="72" s="1"/>
  <c r="AB57" i="72" a="1"/>
  <c r="AB57" i="72" s="1"/>
  <c r="AB85" i="72" s="1"/>
  <c r="N57" i="72" a="1"/>
  <c r="N57" i="72" s="1"/>
  <c r="N85" i="72" s="1"/>
  <c r="V57" i="72" a="1"/>
  <c r="V57" i="72" s="1"/>
  <c r="V85" i="72" s="1"/>
  <c r="S57" i="72" a="1"/>
  <c r="S57" i="72" s="1"/>
  <c r="S85" i="72" s="1"/>
  <c r="I57" i="72" a="1"/>
  <c r="I57" i="72" s="1"/>
  <c r="I85" i="72" s="1"/>
  <c r="W57" i="72" a="1"/>
  <c r="W57" i="72" s="1"/>
  <c r="W85" i="72" s="1"/>
  <c r="Y57" i="72" a="1"/>
  <c r="Y57" i="72" s="1"/>
  <c r="Y85" i="72" s="1"/>
  <c r="J57" i="72" a="1"/>
  <c r="J57" i="72" s="1"/>
  <c r="J85" i="72" s="1"/>
  <c r="Z57" i="72" a="1"/>
  <c r="Z57" i="72" s="1"/>
  <c r="Z85" i="72" s="1"/>
  <c r="L57" i="72" a="1"/>
  <c r="L57" i="72" s="1"/>
  <c r="L85" i="72" s="1"/>
  <c r="AC57" i="72" a="1"/>
  <c r="AC57" i="72" s="1"/>
  <c r="AC85" i="72" s="1"/>
  <c r="X57" i="72" a="1"/>
  <c r="X57" i="72" s="1"/>
  <c r="X85" i="72" s="1"/>
  <c r="R57" i="72" a="1"/>
  <c r="R57" i="72" s="1"/>
  <c r="R85" i="72" s="1"/>
  <c r="P57" i="72" a="1"/>
  <c r="P57" i="72" s="1"/>
  <c r="P85" i="72" s="1"/>
  <c r="O57" i="72" a="1"/>
  <c r="O57" i="72" s="1"/>
  <c r="O85" i="72" s="1"/>
  <c r="AC35" i="75"/>
  <c r="AC36" i="75" s="1"/>
  <c r="AB12" i="85" s="1"/>
  <c r="AC87" i="81"/>
  <c r="AC106" i="81" s="1"/>
  <c r="AC108" i="81"/>
  <c r="O35" i="75"/>
  <c r="O36" i="75" s="1"/>
  <c r="O87" i="81"/>
  <c r="O106" i="81" s="1"/>
  <c r="O108" i="81"/>
  <c r="T57" i="68" a="1"/>
  <c r="T57" i="68" s="1"/>
  <c r="T85" i="68" s="1"/>
  <c r="AF57" i="68" a="1"/>
  <c r="AF57" i="68" s="1"/>
  <c r="AF85" i="68" s="1"/>
  <c r="X57" i="68" a="1"/>
  <c r="X57" i="68" s="1"/>
  <c r="X85" i="68" s="1"/>
  <c r="Z57" i="68" a="1"/>
  <c r="Z57" i="68" s="1"/>
  <c r="Z85" i="68" s="1"/>
  <c r="AD57" i="68" a="1"/>
  <c r="AD57" i="68" s="1"/>
  <c r="AD85" i="68" s="1"/>
  <c r="AG57" i="68" a="1"/>
  <c r="AG57" i="68" s="1"/>
  <c r="AG85" i="68" s="1"/>
  <c r="W57" i="68" a="1"/>
  <c r="W57" i="68" s="1"/>
  <c r="W85" i="68" s="1"/>
  <c r="P57" i="68" a="1"/>
  <c r="P57" i="68" s="1"/>
  <c r="P85" i="68" s="1"/>
  <c r="O57" i="68" a="1"/>
  <c r="O57" i="68" s="1"/>
  <c r="O85" i="68" s="1"/>
  <c r="N57" i="68" a="1"/>
  <c r="N57" i="68" s="1"/>
  <c r="N85" i="68" s="1"/>
  <c r="M57" i="68" a="1"/>
  <c r="M57" i="68" s="1"/>
  <c r="M85" i="68" s="1"/>
  <c r="S57" i="68" a="1"/>
  <c r="S57" i="68" s="1"/>
  <c r="S85" i="68" s="1"/>
  <c r="AB57" i="68" a="1"/>
  <c r="AB57" i="68" s="1"/>
  <c r="AB85" i="68" s="1"/>
  <c r="I57" i="68" a="1"/>
  <c r="I57" i="68" s="1"/>
  <c r="I85" i="68" s="1"/>
  <c r="R57" i="68" a="1"/>
  <c r="R57" i="68" s="1"/>
  <c r="R85" i="68" s="1"/>
  <c r="J57" i="68" a="1"/>
  <c r="J57" i="68" s="1"/>
  <c r="J85" i="68" s="1"/>
  <c r="AC57" i="68" a="1"/>
  <c r="AC57" i="68" s="1"/>
  <c r="AC85" i="68" s="1"/>
  <c r="AA57" i="68" a="1"/>
  <c r="AA57" i="68" s="1"/>
  <c r="AA85" i="68" s="1"/>
  <c r="L57" i="68" a="1"/>
  <c r="L57" i="68" s="1"/>
  <c r="L85" i="68" s="1"/>
  <c r="U57" i="68" a="1"/>
  <c r="U57" i="68" s="1"/>
  <c r="U85" i="68" s="1"/>
  <c r="Y57" i="68" a="1"/>
  <c r="Y57" i="68" s="1"/>
  <c r="Y85" i="68" s="1"/>
  <c r="Q57" i="68" a="1"/>
  <c r="Q57" i="68" s="1"/>
  <c r="Q85" i="68" s="1"/>
  <c r="AE57" i="68" a="1"/>
  <c r="AE57" i="68" s="1"/>
  <c r="AE85" i="68" s="1"/>
  <c r="K57" i="68" a="1"/>
  <c r="K57" i="68" s="1"/>
  <c r="K85" i="68" s="1"/>
  <c r="V57" i="68" a="1"/>
  <c r="V57" i="68" s="1"/>
  <c r="V85" i="68" s="1"/>
  <c r="T35" i="75"/>
  <c r="T36" i="75" s="1"/>
  <c r="T87" i="81"/>
  <c r="T106" i="81" s="1"/>
  <c r="T108" i="81"/>
  <c r="J35" i="75"/>
  <c r="J36" i="75" s="1"/>
  <c r="J87" i="81"/>
  <c r="J106" i="81" s="1"/>
  <c r="J108" i="81"/>
  <c r="Q35" i="75"/>
  <c r="Q36" i="75" s="1"/>
  <c r="Q87" i="81"/>
  <c r="Q106" i="81" s="1"/>
  <c r="Q108" i="81"/>
  <c r="K35" i="75"/>
  <c r="K36" i="75" s="1"/>
  <c r="K108" i="81"/>
  <c r="K87" i="81"/>
  <c r="K106" i="81" s="1"/>
  <c r="Y35" i="75"/>
  <c r="Y36" i="75" s="1"/>
  <c r="Y108" i="81"/>
  <c r="Y87" i="81"/>
  <c r="Y106" i="81" s="1"/>
  <c r="L57" i="73" a="1"/>
  <c r="L57" i="73" s="1"/>
  <c r="L85" i="73" s="1"/>
  <c r="AA57" i="73" a="1"/>
  <c r="AA57" i="73" s="1"/>
  <c r="AA85" i="73" s="1"/>
  <c r="O57" i="73" a="1"/>
  <c r="O57" i="73" s="1"/>
  <c r="O85" i="73" s="1"/>
  <c r="M57" i="73" a="1"/>
  <c r="M57" i="73" s="1"/>
  <c r="M85" i="73" s="1"/>
  <c r="X57" i="73" a="1"/>
  <c r="X57" i="73" s="1"/>
  <c r="X85" i="73" s="1"/>
  <c r="AB57" i="73" a="1"/>
  <c r="AB57" i="73" s="1"/>
  <c r="AB85" i="73" s="1"/>
  <c r="N57" i="73" a="1"/>
  <c r="N57" i="73" s="1"/>
  <c r="N85" i="73" s="1"/>
  <c r="U57" i="73" a="1"/>
  <c r="U57" i="73" s="1"/>
  <c r="U85" i="73" s="1"/>
  <c r="P57" i="73" a="1"/>
  <c r="P57" i="73" s="1"/>
  <c r="P85" i="73" s="1"/>
  <c r="I57" i="73" a="1"/>
  <c r="I57" i="73" s="1"/>
  <c r="I85" i="73" s="1"/>
  <c r="Q57" i="73" a="1"/>
  <c r="Q57" i="73" s="1"/>
  <c r="Q85" i="73" s="1"/>
  <c r="Z57" i="73" a="1"/>
  <c r="Z57" i="73" s="1"/>
  <c r="Z85" i="73" s="1"/>
  <c r="T57" i="73" a="1"/>
  <c r="T57" i="73" s="1"/>
  <c r="T85" i="73" s="1"/>
  <c r="AE57" i="73" a="1"/>
  <c r="AE57" i="73" s="1"/>
  <c r="AE85" i="73" s="1"/>
  <c r="AD57" i="73" a="1"/>
  <c r="AD57" i="73" s="1"/>
  <c r="AD85" i="73" s="1"/>
  <c r="K57" i="73" a="1"/>
  <c r="K57" i="73" s="1"/>
  <c r="K85" i="73" s="1"/>
  <c r="Y57" i="73" a="1"/>
  <c r="Y57" i="73" s="1"/>
  <c r="Y85" i="73" s="1"/>
  <c r="V57" i="73" a="1"/>
  <c r="V57" i="73" s="1"/>
  <c r="V85" i="73" s="1"/>
  <c r="W57" i="73" a="1"/>
  <c r="W57" i="73" s="1"/>
  <c r="W85" i="73" s="1"/>
  <c r="J57" i="73" a="1"/>
  <c r="J57" i="73" s="1"/>
  <c r="J85" i="73" s="1"/>
  <c r="AC57" i="73" a="1"/>
  <c r="AC57" i="73" s="1"/>
  <c r="AC85" i="73" s="1"/>
  <c r="AF57" i="73" a="1"/>
  <c r="AF57" i="73" s="1"/>
  <c r="AF85" i="73" s="1"/>
  <c r="S57" i="73" a="1"/>
  <c r="S57" i="73" s="1"/>
  <c r="S85" i="73" s="1"/>
  <c r="AG57" i="73" a="1"/>
  <c r="AG57" i="73" s="1"/>
  <c r="AG85" i="73" s="1"/>
  <c r="R57" i="73" a="1"/>
  <c r="R57" i="73" s="1"/>
  <c r="R85" i="73" s="1"/>
  <c r="L77" i="75" l="1"/>
  <c r="L78" i="75" s="1"/>
  <c r="L108" i="82"/>
  <c r="L87" i="82"/>
  <c r="L106" i="82" s="1"/>
  <c r="J49" i="75"/>
  <c r="J50" i="75" s="1"/>
  <c r="J40" i="85" s="1"/>
  <c r="J87" i="72"/>
  <c r="J106" i="72" s="1"/>
  <c r="J108" i="72"/>
  <c r="V108" i="68"/>
  <c r="V87" i="68"/>
  <c r="V21" i="75"/>
  <c r="V22" i="75" s="1"/>
  <c r="W49" i="75"/>
  <c r="W50" i="75" s="1"/>
  <c r="W40" i="85" s="1"/>
  <c r="W87" i="72"/>
  <c r="W106" i="72" s="1"/>
  <c r="W108" i="72"/>
  <c r="W77" i="75"/>
  <c r="W78" i="75" s="1"/>
  <c r="W108" i="82"/>
  <c r="W87" i="82"/>
  <c r="W106" i="82" s="1"/>
  <c r="AE112" i="81" a="1"/>
  <c r="AE112" i="81" s="1"/>
  <c r="AE32" i="85" s="1"/>
  <c r="AE117" i="81" a="1"/>
  <c r="AE117" i="81" s="1"/>
  <c r="AE116" i="81" a="1"/>
  <c r="AE116" i="81" s="1"/>
  <c r="AE110" i="81" a="1"/>
  <c r="AE110" i="81" s="1"/>
  <c r="AE30" i="85" s="1"/>
  <c r="AE115" i="81" a="1"/>
  <c r="AE115" i="81" s="1"/>
  <c r="AE114" i="81" a="1"/>
  <c r="AE114" i="81" s="1"/>
  <c r="AE34" i="85" s="1"/>
  <c r="AE111" i="81" a="1"/>
  <c r="AE111" i="81" s="1"/>
  <c r="AE31" i="85" s="1"/>
  <c r="AE113" i="81" a="1"/>
  <c r="AE113" i="81" s="1"/>
  <c r="AE33" i="85" s="1"/>
  <c r="AE28" i="85"/>
  <c r="Y63" i="75"/>
  <c r="Y64" i="75" s="1"/>
  <c r="Y87" i="73"/>
  <c r="Y106" i="73" s="1"/>
  <c r="Y108" i="73"/>
  <c r="AC108" i="68"/>
  <c r="AC87" i="68"/>
  <c r="AC21" i="75"/>
  <c r="AC22" i="75" s="1"/>
  <c r="U49" i="75"/>
  <c r="U50" i="75" s="1"/>
  <c r="U40" i="85" s="1"/>
  <c r="U108" i="72"/>
  <c r="U87" i="72"/>
  <c r="U106" i="72" s="1"/>
  <c r="Q77" i="75"/>
  <c r="Q78" i="75" s="1"/>
  <c r="Q108" i="82"/>
  <c r="Q87" i="82"/>
  <c r="Q106" i="82" s="1"/>
  <c r="V114" i="81" a="1"/>
  <c r="V114" i="81" s="1"/>
  <c r="V34" i="85" s="1"/>
  <c r="V111" i="81" a="1"/>
  <c r="V111" i="81" s="1"/>
  <c r="V31" i="85" s="1"/>
  <c r="V117" i="81" a="1"/>
  <c r="V117" i="81" s="1"/>
  <c r="V110" i="81" a="1"/>
  <c r="V110" i="81" s="1"/>
  <c r="V30" i="85" s="1"/>
  <c r="V115" i="81" a="1"/>
  <c r="V115" i="81" s="1"/>
  <c r="V112" i="81" a="1"/>
  <c r="V112" i="81" s="1"/>
  <c r="V32" i="85" s="1"/>
  <c r="V116" i="81" a="1"/>
  <c r="V116" i="81" s="1"/>
  <c r="V113" i="81" a="1"/>
  <c r="V113" i="81" s="1"/>
  <c r="V33" i="85" s="1"/>
  <c r="V28" i="85"/>
  <c r="AE108" i="68"/>
  <c r="AE87" i="68"/>
  <c r="AE21" i="75"/>
  <c r="AE22" i="75" s="1"/>
  <c r="Y108" i="68"/>
  <c r="Y87" i="68"/>
  <c r="Y21" i="75"/>
  <c r="Y22" i="75" s="1"/>
  <c r="U115" i="81" a="1"/>
  <c r="U115" i="81" s="1"/>
  <c r="U112" i="81" a="1"/>
  <c r="U112" i="81" s="1"/>
  <c r="U32" i="85" s="1"/>
  <c r="U113" i="81" a="1"/>
  <c r="U113" i="81" s="1"/>
  <c r="U33" i="85" s="1"/>
  <c r="U117" i="81" a="1"/>
  <c r="U117" i="81" s="1"/>
  <c r="U111" i="81" a="1"/>
  <c r="U111" i="81" s="1"/>
  <c r="U31" i="85" s="1"/>
  <c r="U116" i="81" a="1"/>
  <c r="U116" i="81" s="1"/>
  <c r="U114" i="81" a="1"/>
  <c r="U114" i="81" s="1"/>
  <c r="U34" i="85" s="1"/>
  <c r="U110" i="81" a="1"/>
  <c r="U110" i="81" s="1"/>
  <c r="U30" i="85" s="1"/>
  <c r="U28" i="85"/>
  <c r="Y117" i="81" a="1"/>
  <c r="Y117" i="81" s="1"/>
  <c r="Y114" i="81" a="1"/>
  <c r="Y114" i="81" s="1"/>
  <c r="Y34" i="85" s="1"/>
  <c r="Y111" i="81" a="1"/>
  <c r="Y111" i="81" s="1"/>
  <c r="Y31" i="85" s="1"/>
  <c r="Y112" i="81" a="1"/>
  <c r="Y112" i="81" s="1"/>
  <c r="Y32" i="85" s="1"/>
  <c r="Y116" i="81" a="1"/>
  <c r="Y116" i="81" s="1"/>
  <c r="Y113" i="81" a="1"/>
  <c r="Y113" i="81" s="1"/>
  <c r="Y33" i="85" s="1"/>
  <c r="Y110" i="81" a="1"/>
  <c r="Y110" i="81" s="1"/>
  <c r="Y30" i="85" s="1"/>
  <c r="Y115" i="81" a="1"/>
  <c r="Y115" i="81" s="1"/>
  <c r="Y28" i="85"/>
  <c r="L108" i="68"/>
  <c r="L87" i="68"/>
  <c r="L21" i="75"/>
  <c r="L22" i="75" s="1"/>
  <c r="AA49" i="75"/>
  <c r="AA50" i="75" s="1"/>
  <c r="AA40" i="85" s="1"/>
  <c r="AA108" i="72"/>
  <c r="AA87" i="72"/>
  <c r="AA106" i="72" s="1"/>
  <c r="AD63" i="75"/>
  <c r="AD64" i="75" s="1"/>
  <c r="AD108" i="73"/>
  <c r="AD87" i="73"/>
  <c r="AD106" i="73" s="1"/>
  <c r="R108" i="68"/>
  <c r="R87" i="68"/>
  <c r="R21" i="75"/>
  <c r="R22" i="75" s="1"/>
  <c r="AC111" i="81" a="1"/>
  <c r="AC111" i="81" s="1"/>
  <c r="AC31" i="85" s="1"/>
  <c r="AC115" i="81" a="1"/>
  <c r="AC115" i="81" s="1"/>
  <c r="AC112" i="81" a="1"/>
  <c r="AC112" i="81" s="1"/>
  <c r="AC32" i="85" s="1"/>
  <c r="AC110" i="81" a="1"/>
  <c r="AC110" i="81" s="1"/>
  <c r="AC30" i="85" s="1"/>
  <c r="AC117" i="81" a="1"/>
  <c r="AC117" i="81" s="1"/>
  <c r="AC114" i="81" a="1"/>
  <c r="AC114" i="81" s="1"/>
  <c r="AC34" i="85" s="1"/>
  <c r="AC116" i="81" a="1"/>
  <c r="AC116" i="81" s="1"/>
  <c r="AC113" i="81" a="1"/>
  <c r="AC113" i="81" s="1"/>
  <c r="AC33" i="85" s="1"/>
  <c r="AC28" i="85"/>
  <c r="T49" i="75"/>
  <c r="T50" i="75" s="1"/>
  <c r="T40" i="85" s="1"/>
  <c r="T108" i="72"/>
  <c r="T87" i="72"/>
  <c r="T106" i="72" s="1"/>
  <c r="AF77" i="75"/>
  <c r="AF78" i="75" s="1"/>
  <c r="AF108" i="82"/>
  <c r="AF87" i="82"/>
  <c r="AF106" i="82" s="1"/>
  <c r="P108" i="68"/>
  <c r="P87" i="68"/>
  <c r="P21" i="75"/>
  <c r="P22" i="75" s="1"/>
  <c r="N63" i="75"/>
  <c r="N64" i="75" s="1"/>
  <c r="N87" i="73"/>
  <c r="N106" i="73" s="1"/>
  <c r="N108" i="73"/>
  <c r="AB63" i="75"/>
  <c r="AB64" i="75" s="1"/>
  <c r="AB87" i="73"/>
  <c r="AB106" i="73" s="1"/>
  <c r="AB108" i="73"/>
  <c r="X63" i="75"/>
  <c r="X64" i="75" s="1"/>
  <c r="X108" i="73"/>
  <c r="X87" i="73"/>
  <c r="X106" i="73" s="1"/>
  <c r="Z108" i="68"/>
  <c r="Z87" i="68"/>
  <c r="Z21" i="75"/>
  <c r="Z22" i="75" s="1"/>
  <c r="S49" i="75"/>
  <c r="S50" i="75" s="1"/>
  <c r="S40" i="85" s="1"/>
  <c r="S108" i="72"/>
  <c r="S87" i="72"/>
  <c r="S106" i="72" s="1"/>
  <c r="X113" i="81" a="1"/>
  <c r="X113" i="81" s="1"/>
  <c r="X33" i="85" s="1"/>
  <c r="X114" i="81" a="1"/>
  <c r="X114" i="81" s="1"/>
  <c r="X34" i="85" s="1"/>
  <c r="X115" i="81" a="1"/>
  <c r="X115" i="81" s="1"/>
  <c r="X117" i="81" a="1"/>
  <c r="X117" i="81" s="1"/>
  <c r="X111" i="81" a="1"/>
  <c r="X111" i="81" s="1"/>
  <c r="X31" i="85" s="1"/>
  <c r="X110" i="81" a="1"/>
  <c r="X110" i="81" s="1"/>
  <c r="X30" i="85" s="1"/>
  <c r="X112" i="81" a="1"/>
  <c r="X112" i="81" s="1"/>
  <c r="X32" i="85" s="1"/>
  <c r="X116" i="81" a="1"/>
  <c r="X116" i="81" s="1"/>
  <c r="X28" i="85"/>
  <c r="K63" i="75"/>
  <c r="K64" i="75" s="1"/>
  <c r="K87" i="73"/>
  <c r="K106" i="73" s="1"/>
  <c r="K108" i="73"/>
  <c r="I108" i="68"/>
  <c r="I87" i="68"/>
  <c r="I21" i="75"/>
  <c r="AF49" i="75"/>
  <c r="AF50" i="75" s="1"/>
  <c r="AF40" i="85" s="1"/>
  <c r="AF87" i="72"/>
  <c r="AF106" i="72" s="1"/>
  <c r="AF108" i="72"/>
  <c r="S116" i="81" a="1"/>
  <c r="S116" i="81" s="1"/>
  <c r="S111" i="81" a="1"/>
  <c r="S111" i="81" s="1"/>
  <c r="S31" i="85" s="1"/>
  <c r="S113" i="81" a="1"/>
  <c r="S113" i="81" s="1"/>
  <c r="S33" i="85" s="1"/>
  <c r="S117" i="81" a="1"/>
  <c r="S117" i="81" s="1"/>
  <c r="S110" i="81" a="1"/>
  <c r="S110" i="81" s="1"/>
  <c r="S30" i="85" s="1"/>
  <c r="S112" i="81" a="1"/>
  <c r="S112" i="81" s="1"/>
  <c r="S32" i="85" s="1"/>
  <c r="S114" i="81" a="1"/>
  <c r="S114" i="81" s="1"/>
  <c r="S34" i="85" s="1"/>
  <c r="S115" i="81" a="1"/>
  <c r="S115" i="81" s="1"/>
  <c r="S28" i="85"/>
  <c r="AD77" i="75"/>
  <c r="AD78" i="75" s="1"/>
  <c r="AD87" i="82"/>
  <c r="AD106" i="82" s="1"/>
  <c r="AD108" i="82"/>
  <c r="AD112" i="81" a="1"/>
  <c r="AD112" i="81" s="1"/>
  <c r="AD32" i="85" s="1"/>
  <c r="AD113" i="81" a="1"/>
  <c r="AD113" i="81" s="1"/>
  <c r="AD33" i="85" s="1"/>
  <c r="AD116" i="81" a="1"/>
  <c r="AD116" i="81" s="1"/>
  <c r="AD114" i="81" a="1"/>
  <c r="AD114" i="81" s="1"/>
  <c r="AD34" i="85" s="1"/>
  <c r="AD115" i="81" a="1"/>
  <c r="AD115" i="81" s="1"/>
  <c r="AD111" i="81" a="1"/>
  <c r="AD111" i="81" s="1"/>
  <c r="AD31" i="85" s="1"/>
  <c r="AD117" i="81" a="1"/>
  <c r="AD117" i="81" s="1"/>
  <c r="AD110" i="81" a="1"/>
  <c r="AD110" i="81" s="1"/>
  <c r="AD30" i="85" s="1"/>
  <c r="AD28" i="85"/>
  <c r="AF115" i="81" a="1"/>
  <c r="AF115" i="81" s="1"/>
  <c r="AF110" i="81" a="1"/>
  <c r="AF110" i="81" s="1"/>
  <c r="AF30" i="85" s="1"/>
  <c r="AF112" i="81" a="1"/>
  <c r="AF112" i="81" s="1"/>
  <c r="AF32" i="85" s="1"/>
  <c r="AF116" i="81" a="1"/>
  <c r="AF116" i="81" s="1"/>
  <c r="AF113" i="81" a="1"/>
  <c r="AF113" i="81" s="1"/>
  <c r="AF33" i="85" s="1"/>
  <c r="AF114" i="81" a="1"/>
  <c r="AF114" i="81" s="1"/>
  <c r="AF34" i="85" s="1"/>
  <c r="AF111" i="81" a="1"/>
  <c r="AF111" i="81" s="1"/>
  <c r="AF31" i="85" s="1"/>
  <c r="AF117" i="81" a="1"/>
  <c r="AF117" i="81" s="1"/>
  <c r="AF28" i="85"/>
  <c r="U63" i="75"/>
  <c r="U64" i="75" s="1"/>
  <c r="U87" i="73"/>
  <c r="U106" i="73" s="1"/>
  <c r="U108" i="73"/>
  <c r="I116" i="81" a="1"/>
  <c r="I116" i="81" s="1"/>
  <c r="I114" i="81" a="1"/>
  <c r="I114" i="81" s="1"/>
  <c r="I34" i="85" s="1"/>
  <c r="I112" i="81" a="1"/>
  <c r="I112" i="81" s="1"/>
  <c r="I32" i="85" s="1"/>
  <c r="I115" i="81" a="1"/>
  <c r="I115" i="81" s="1"/>
  <c r="I111" i="81" a="1"/>
  <c r="I111" i="81" s="1"/>
  <c r="I31" i="85" s="1"/>
  <c r="I113" i="81" a="1"/>
  <c r="I113" i="81" s="1"/>
  <c r="I33" i="85" s="1"/>
  <c r="I117" i="81" a="1"/>
  <c r="I117" i="81" s="1"/>
  <c r="I110" i="81" a="1"/>
  <c r="I110" i="81" s="1"/>
  <c r="I30" i="85" s="1"/>
  <c r="I28" i="85"/>
  <c r="AE77" i="75"/>
  <c r="AE78" i="75" s="1"/>
  <c r="AE108" i="82"/>
  <c r="AE87" i="82"/>
  <c r="AE106" i="82" s="1"/>
  <c r="M63" i="75"/>
  <c r="M64" i="75" s="1"/>
  <c r="M87" i="73"/>
  <c r="M106" i="73" s="1"/>
  <c r="M108" i="73"/>
  <c r="K108" i="68"/>
  <c r="K87" i="68"/>
  <c r="K21" i="75"/>
  <c r="K22" i="75" s="1"/>
  <c r="I77" i="75"/>
  <c r="I108" i="82"/>
  <c r="I87" i="82"/>
  <c r="I106" i="82" s="1"/>
  <c r="S63" i="75"/>
  <c r="S64" i="75" s="1"/>
  <c r="S87" i="73"/>
  <c r="S106" i="73" s="1"/>
  <c r="S108" i="73"/>
  <c r="I49" i="75"/>
  <c r="I108" i="72"/>
  <c r="I87" i="72"/>
  <c r="I106" i="72" s="1"/>
  <c r="Q108" i="68"/>
  <c r="Q87" i="68"/>
  <c r="Q21" i="75"/>
  <c r="Q22" i="75" s="1"/>
  <c r="L63" i="75"/>
  <c r="L64" i="75" s="1"/>
  <c r="L87" i="73"/>
  <c r="L106" i="73" s="1"/>
  <c r="L108" i="73"/>
  <c r="V49" i="75"/>
  <c r="V50" i="75" s="1"/>
  <c r="V40" i="85" s="1"/>
  <c r="V108" i="72"/>
  <c r="V87" i="72"/>
  <c r="V106" i="72" s="1"/>
  <c r="AA112" i="81" a="1"/>
  <c r="AA112" i="81" s="1"/>
  <c r="AA32" i="85" s="1"/>
  <c r="AA116" i="81" a="1"/>
  <c r="AA116" i="81" s="1"/>
  <c r="AA114" i="81" a="1"/>
  <c r="AA114" i="81" s="1"/>
  <c r="AA34" i="85" s="1"/>
  <c r="AA111" i="81" a="1"/>
  <c r="AA111" i="81" s="1"/>
  <c r="AA31" i="85" s="1"/>
  <c r="AA115" i="81" a="1"/>
  <c r="AA115" i="81" s="1"/>
  <c r="AA117" i="81" a="1"/>
  <c r="AA117" i="81" s="1"/>
  <c r="AA110" i="81" a="1"/>
  <c r="AA110" i="81" s="1"/>
  <c r="AA30" i="85" s="1"/>
  <c r="AA113" i="81" a="1"/>
  <c r="AA113" i="81" s="1"/>
  <c r="AA33" i="85" s="1"/>
  <c r="AA28" i="85"/>
  <c r="N49" i="75"/>
  <c r="N50" i="75" s="1"/>
  <c r="N40" i="85" s="1"/>
  <c r="N108" i="72"/>
  <c r="N87" i="72"/>
  <c r="N106" i="72" s="1"/>
  <c r="K77" i="75"/>
  <c r="K78" i="75" s="1"/>
  <c r="K87" i="82"/>
  <c r="K106" i="82" s="1"/>
  <c r="K108" i="82"/>
  <c r="AG49" i="75"/>
  <c r="AG50" i="75" s="1"/>
  <c r="AG40" i="85" s="1"/>
  <c r="AG87" i="72"/>
  <c r="AG106" i="72" s="1"/>
  <c r="AG108" i="72"/>
  <c r="AB116" i="81" a="1"/>
  <c r="AB116" i="81" s="1"/>
  <c r="AB113" i="81" a="1"/>
  <c r="AB113" i="81" s="1"/>
  <c r="AB33" i="85" s="1"/>
  <c r="AB114" i="81" a="1"/>
  <c r="AB114" i="81" s="1"/>
  <c r="AB34" i="85" s="1"/>
  <c r="AB115" i="81" a="1"/>
  <c r="AB115" i="81" s="1"/>
  <c r="AB112" i="81" a="1"/>
  <c r="AB112" i="81" s="1"/>
  <c r="AB32" i="85" s="1"/>
  <c r="AB110" i="81" a="1"/>
  <c r="AB110" i="81" s="1"/>
  <c r="AB30" i="85" s="1"/>
  <c r="AB111" i="81" a="1"/>
  <c r="AB111" i="81" s="1"/>
  <c r="AB31" i="85" s="1"/>
  <c r="AB117" i="81" a="1"/>
  <c r="AB117" i="81" s="1"/>
  <c r="AB28" i="85"/>
  <c r="T63" i="75"/>
  <c r="T64" i="75" s="1"/>
  <c r="T87" i="73"/>
  <c r="T106" i="73" s="1"/>
  <c r="T108" i="73"/>
  <c r="Q110" i="81" a="1"/>
  <c r="Q110" i="81" s="1"/>
  <c r="Q30" i="85" s="1"/>
  <c r="Q117" i="81" a="1"/>
  <c r="Q117" i="81" s="1"/>
  <c r="Q114" i="81" a="1"/>
  <c r="Q114" i="81" s="1"/>
  <c r="Q34" i="85" s="1"/>
  <c r="Q113" i="81" a="1"/>
  <c r="Q113" i="81" s="1"/>
  <c r="Q33" i="85" s="1"/>
  <c r="Q116" i="81" a="1"/>
  <c r="Q116" i="81" s="1"/>
  <c r="Q115" i="81" a="1"/>
  <c r="Q115" i="81" s="1"/>
  <c r="Q111" i="81" a="1"/>
  <c r="Q111" i="81" s="1"/>
  <c r="Q31" i="85" s="1"/>
  <c r="Q112" i="81" a="1"/>
  <c r="Q112" i="81" s="1"/>
  <c r="Q32" i="85" s="1"/>
  <c r="Q28" i="85"/>
  <c r="AB108" i="68"/>
  <c r="AB87" i="68"/>
  <c r="AB21" i="75"/>
  <c r="AB22" i="75" s="1"/>
  <c r="O49" i="75"/>
  <c r="O50" i="75" s="1"/>
  <c r="O40" i="85" s="1"/>
  <c r="O108" i="72"/>
  <c r="O87" i="72"/>
  <c r="O106" i="72" s="1"/>
  <c r="Q49" i="75"/>
  <c r="Q50" i="75" s="1"/>
  <c r="Q40" i="85" s="1"/>
  <c r="Q87" i="72"/>
  <c r="Q106" i="72" s="1"/>
  <c r="Q108" i="72"/>
  <c r="AB77" i="75"/>
  <c r="AB78" i="75" s="1"/>
  <c r="AB108" i="82"/>
  <c r="AB87" i="82"/>
  <c r="AB106" i="82" s="1"/>
  <c r="F35" i="75" a="1"/>
  <c r="F35" i="75" s="1"/>
  <c r="F39" i="75" s="1"/>
  <c r="H10" i="33" s="1"/>
  <c r="I36" i="75"/>
  <c r="F37" i="75" s="1" a="1"/>
  <c r="F37" i="75" s="1"/>
  <c r="I10" i="33" s="1"/>
  <c r="AD108" i="68"/>
  <c r="AD87" i="68"/>
  <c r="AD21" i="75"/>
  <c r="AD22" i="75" s="1"/>
  <c r="AG77" i="75"/>
  <c r="AG78" i="75" s="1"/>
  <c r="AG87" i="82"/>
  <c r="AG106" i="82" s="1"/>
  <c r="AG108" i="82"/>
  <c r="AG111" i="81" a="1"/>
  <c r="AG111" i="81" s="1"/>
  <c r="AG31" i="85" s="1"/>
  <c r="AG114" i="81" a="1"/>
  <c r="AG114" i="81" s="1"/>
  <c r="AG34" i="85" s="1"/>
  <c r="AG112" i="81" a="1"/>
  <c r="AG112" i="81" s="1"/>
  <c r="AG32" i="85" s="1"/>
  <c r="AG117" i="81" a="1"/>
  <c r="AG117" i="81" s="1"/>
  <c r="AG116" i="81" a="1"/>
  <c r="AG116" i="81" s="1"/>
  <c r="AG113" i="81" a="1"/>
  <c r="AG113" i="81" s="1"/>
  <c r="AG33" i="85" s="1"/>
  <c r="AG110" i="81" a="1"/>
  <c r="AG110" i="81" s="1"/>
  <c r="AG30" i="85" s="1"/>
  <c r="AG115" i="81" a="1"/>
  <c r="AG115" i="81" s="1"/>
  <c r="AG28" i="85"/>
  <c r="X108" i="68"/>
  <c r="X87" i="68"/>
  <c r="X21" i="75"/>
  <c r="X22" i="75" s="1"/>
  <c r="AF108" i="68"/>
  <c r="AF87" i="68"/>
  <c r="AF21" i="75"/>
  <c r="AF22" i="75" s="1"/>
  <c r="AC63" i="75"/>
  <c r="AC64" i="75" s="1"/>
  <c r="AC87" i="73"/>
  <c r="AC106" i="73" s="1"/>
  <c r="AC108" i="73"/>
  <c r="V77" i="75"/>
  <c r="V78" i="75" s="1"/>
  <c r="V108" i="82"/>
  <c r="V87" i="82"/>
  <c r="V106" i="82" s="1"/>
  <c r="U108" i="68"/>
  <c r="U87" i="68"/>
  <c r="U21" i="75"/>
  <c r="U22" i="75" s="1"/>
  <c r="O117" i="81" a="1"/>
  <c r="O117" i="81" s="1"/>
  <c r="O115" i="81" a="1"/>
  <c r="O115" i="81" s="1"/>
  <c r="O114" i="81" a="1"/>
  <c r="O114" i="81" s="1"/>
  <c r="O34" i="85" s="1"/>
  <c r="O112" i="81" a="1"/>
  <c r="O112" i="81" s="1"/>
  <c r="O32" i="85" s="1"/>
  <c r="O111" i="81" a="1"/>
  <c r="O111" i="81" s="1"/>
  <c r="O31" i="85" s="1"/>
  <c r="O110" i="81" a="1"/>
  <c r="O110" i="81" s="1"/>
  <c r="O30" i="85" s="1"/>
  <c r="O116" i="81" a="1"/>
  <c r="O116" i="81" s="1"/>
  <c r="O113" i="81" a="1"/>
  <c r="O113" i="81" s="1"/>
  <c r="O33" i="85" s="1"/>
  <c r="O28" i="85"/>
  <c r="V63" i="75"/>
  <c r="V64" i="75" s="1"/>
  <c r="V87" i="73"/>
  <c r="V106" i="73" s="1"/>
  <c r="V108" i="73"/>
  <c r="AA108" i="68"/>
  <c r="AA87" i="68"/>
  <c r="AA21" i="75"/>
  <c r="AA22" i="75" s="1"/>
  <c r="R110" i="81" a="1"/>
  <c r="R110" i="81" s="1"/>
  <c r="R30" i="85" s="1"/>
  <c r="R117" i="81" a="1"/>
  <c r="R117" i="81" s="1"/>
  <c r="R115" i="81" a="1"/>
  <c r="R115" i="81" s="1"/>
  <c r="R112" i="81" a="1"/>
  <c r="R112" i="81" s="1"/>
  <c r="R32" i="85" s="1"/>
  <c r="R111" i="81" a="1"/>
  <c r="R111" i="81" s="1"/>
  <c r="R31" i="85" s="1"/>
  <c r="R114" i="81" a="1"/>
  <c r="R114" i="81" s="1"/>
  <c r="R34" i="85" s="1"/>
  <c r="R116" i="81" a="1"/>
  <c r="R116" i="81" s="1"/>
  <c r="R113" i="81" a="1"/>
  <c r="R113" i="81" s="1"/>
  <c r="R33" i="85" s="1"/>
  <c r="R28" i="85"/>
  <c r="T77" i="75"/>
  <c r="T78" i="75" s="1"/>
  <c r="T87" i="82"/>
  <c r="T106" i="82" s="1"/>
  <c r="T108" i="82"/>
  <c r="Z63" i="75"/>
  <c r="Z64" i="75" s="1"/>
  <c r="Z87" i="73"/>
  <c r="Z106" i="73" s="1"/>
  <c r="Z108" i="73"/>
  <c r="S108" i="68"/>
  <c r="S87" i="68"/>
  <c r="S21" i="75"/>
  <c r="S22" i="75" s="1"/>
  <c r="P49" i="75"/>
  <c r="P50" i="75" s="1"/>
  <c r="P40" i="85" s="1"/>
  <c r="P108" i="72"/>
  <c r="P87" i="72"/>
  <c r="P106" i="72" s="1"/>
  <c r="AE49" i="75"/>
  <c r="AE50" i="75" s="1"/>
  <c r="AE40" i="85" s="1"/>
  <c r="AE87" i="72"/>
  <c r="AE106" i="72" s="1"/>
  <c r="AE108" i="72"/>
  <c r="P77" i="75"/>
  <c r="P78" i="75" s="1"/>
  <c r="P87" i="82"/>
  <c r="P106" i="82" s="1"/>
  <c r="P108" i="82"/>
  <c r="AC77" i="75"/>
  <c r="AC78" i="75" s="1"/>
  <c r="AC87" i="82"/>
  <c r="AC106" i="82" s="1"/>
  <c r="AC108" i="82"/>
  <c r="Z117" i="81" a="1"/>
  <c r="Z117" i="81" s="1"/>
  <c r="Z114" i="81" a="1"/>
  <c r="Z114" i="81" s="1"/>
  <c r="Z34" i="85" s="1"/>
  <c r="Z115" i="81" a="1"/>
  <c r="Z115" i="81" s="1"/>
  <c r="Z116" i="81" a="1"/>
  <c r="Z116" i="81" s="1"/>
  <c r="Z110" i="81" a="1"/>
  <c r="Z110" i="81" s="1"/>
  <c r="Z30" i="85" s="1"/>
  <c r="Z113" i="81" a="1"/>
  <c r="Z113" i="81" s="1"/>
  <c r="Z33" i="85" s="1"/>
  <c r="Z111" i="81" a="1"/>
  <c r="Z111" i="81" s="1"/>
  <c r="Z31" i="85" s="1"/>
  <c r="Z112" i="81" a="1"/>
  <c r="Z112" i="81" s="1"/>
  <c r="Z32" i="85" s="1"/>
  <c r="Z28" i="85"/>
  <c r="L49" i="75"/>
  <c r="L50" i="75" s="1"/>
  <c r="L40" i="85" s="1"/>
  <c r="L108" i="72"/>
  <c r="L87" i="72"/>
  <c r="L106" i="72" s="1"/>
  <c r="T111" i="81" a="1"/>
  <c r="T111" i="81" s="1"/>
  <c r="T31" i="85" s="1"/>
  <c r="T115" i="81" a="1"/>
  <c r="T115" i="81" s="1"/>
  <c r="T117" i="81" a="1"/>
  <c r="T117" i="81" s="1"/>
  <c r="T114" i="81" a="1"/>
  <c r="T114" i="81" s="1"/>
  <c r="T34" i="85" s="1"/>
  <c r="T110" i="81" a="1"/>
  <c r="T110" i="81" s="1"/>
  <c r="T30" i="85" s="1"/>
  <c r="T116" i="81" a="1"/>
  <c r="T116" i="81" s="1"/>
  <c r="T113" i="81" a="1"/>
  <c r="T113" i="81" s="1"/>
  <c r="T33" i="85" s="1"/>
  <c r="T112" i="81" a="1"/>
  <c r="T112" i="81" s="1"/>
  <c r="T32" i="85" s="1"/>
  <c r="T28" i="85"/>
  <c r="Z49" i="75"/>
  <c r="Z50" i="75" s="1"/>
  <c r="Z40" i="85" s="1"/>
  <c r="Z108" i="72"/>
  <c r="Z87" i="72"/>
  <c r="Z106" i="72" s="1"/>
  <c r="P111" i="81" a="1"/>
  <c r="P111" i="81" s="1"/>
  <c r="P31" i="85" s="1"/>
  <c r="P114" i="81" a="1"/>
  <c r="P114" i="81" s="1"/>
  <c r="P34" i="85" s="1"/>
  <c r="P117" i="81" a="1"/>
  <c r="P117" i="81" s="1"/>
  <c r="P113" i="81" a="1"/>
  <c r="P113" i="81" s="1"/>
  <c r="P33" i="85" s="1"/>
  <c r="P115" i="81" a="1"/>
  <c r="P115" i="81" s="1"/>
  <c r="P112" i="81" a="1"/>
  <c r="P112" i="81" s="1"/>
  <c r="P32" i="85" s="1"/>
  <c r="P110" i="81" a="1"/>
  <c r="P110" i="81" s="1"/>
  <c r="P30" i="85" s="1"/>
  <c r="P116" i="81" a="1"/>
  <c r="P116" i="81" s="1"/>
  <c r="P28" i="85"/>
  <c r="R63" i="75"/>
  <c r="R64" i="75" s="1"/>
  <c r="R87" i="73"/>
  <c r="R106" i="73" s="1"/>
  <c r="R108" i="73"/>
  <c r="Y49" i="75"/>
  <c r="Y50" i="75" s="1"/>
  <c r="Y40" i="85" s="1"/>
  <c r="Y108" i="72"/>
  <c r="Y87" i="72"/>
  <c r="Y106" i="72" s="1"/>
  <c r="AA63" i="75"/>
  <c r="AA64" i="75" s="1"/>
  <c r="AA108" i="73"/>
  <c r="AA87" i="73"/>
  <c r="AA106" i="73" s="1"/>
  <c r="AA77" i="75"/>
  <c r="AA78" i="75" s="1"/>
  <c r="AA108" i="82"/>
  <c r="AA87" i="82"/>
  <c r="AA106" i="82" s="1"/>
  <c r="T108" i="68"/>
  <c r="T87" i="68"/>
  <c r="T21" i="75"/>
  <c r="T22" i="75" s="1"/>
  <c r="AB49" i="75"/>
  <c r="AB50" i="75" s="1"/>
  <c r="AB40" i="85" s="1"/>
  <c r="AB108" i="72"/>
  <c r="AB87" i="72"/>
  <c r="AB106" i="72" s="1"/>
  <c r="J108" i="68"/>
  <c r="J87" i="68"/>
  <c r="J21" i="75"/>
  <c r="J22" i="75" s="1"/>
  <c r="AE63" i="75"/>
  <c r="AE64" i="75" s="1"/>
  <c r="AE87" i="73"/>
  <c r="AE106" i="73" s="1"/>
  <c r="AE108" i="73"/>
  <c r="Q63" i="75"/>
  <c r="Q64" i="75" s="1"/>
  <c r="Q108" i="73"/>
  <c r="Q87" i="73"/>
  <c r="Q106" i="73" s="1"/>
  <c r="M108" i="68"/>
  <c r="M87" i="68"/>
  <c r="M21" i="75"/>
  <c r="M22" i="75" s="1"/>
  <c r="R49" i="75"/>
  <c r="R50" i="75" s="1"/>
  <c r="R40" i="85" s="1"/>
  <c r="R87" i="72"/>
  <c r="R106" i="72" s="1"/>
  <c r="R108" i="72"/>
  <c r="K49" i="75"/>
  <c r="K50" i="75" s="1"/>
  <c r="K40" i="85" s="1"/>
  <c r="K87" i="72"/>
  <c r="K106" i="72" s="1"/>
  <c r="K108" i="72"/>
  <c r="Z77" i="75"/>
  <c r="Z78" i="75" s="1"/>
  <c r="Z87" i="82"/>
  <c r="Z106" i="82" s="1"/>
  <c r="Z108" i="82"/>
  <c r="X77" i="75"/>
  <c r="X78" i="75" s="1"/>
  <c r="X87" i="82"/>
  <c r="X106" i="82" s="1"/>
  <c r="X108" i="82"/>
  <c r="Y77" i="75"/>
  <c r="Y78" i="75" s="1"/>
  <c r="Y87" i="82"/>
  <c r="Y106" i="82" s="1"/>
  <c r="Y108" i="82"/>
  <c r="M113" i="81" a="1"/>
  <c r="M113" i="81" s="1"/>
  <c r="M33" i="85" s="1"/>
  <c r="M110" i="81" a="1"/>
  <c r="M110" i="81" s="1"/>
  <c r="M30" i="85" s="1"/>
  <c r="M111" i="81" a="1"/>
  <c r="M111" i="81" s="1"/>
  <c r="M31" i="85" s="1"/>
  <c r="M112" i="81" a="1"/>
  <c r="M112" i="81" s="1"/>
  <c r="M32" i="85" s="1"/>
  <c r="M116" i="81" a="1"/>
  <c r="M116" i="81" s="1"/>
  <c r="M114" i="81" a="1"/>
  <c r="M114" i="81" s="1"/>
  <c r="M34" i="85" s="1"/>
  <c r="M115" i="81" a="1"/>
  <c r="M115" i="81" s="1"/>
  <c r="M117" i="81" a="1"/>
  <c r="M117" i="81" s="1"/>
  <c r="M28" i="85"/>
  <c r="AG63" i="75"/>
  <c r="AG64" i="75" s="1"/>
  <c r="AG108" i="73"/>
  <c r="AG87" i="73"/>
  <c r="AG106" i="73" s="1"/>
  <c r="O63" i="75"/>
  <c r="O64" i="75" s="1"/>
  <c r="O87" i="73"/>
  <c r="O106" i="73" s="1"/>
  <c r="O108" i="73"/>
  <c r="L110" i="81" a="1"/>
  <c r="L110" i="81" s="1"/>
  <c r="L30" i="85" s="1"/>
  <c r="L112" i="81" a="1"/>
  <c r="L112" i="81" s="1"/>
  <c r="L32" i="85" s="1"/>
  <c r="L117" i="81" a="1"/>
  <c r="L117" i="81" s="1"/>
  <c r="L115" i="81" a="1"/>
  <c r="L115" i="81" s="1"/>
  <c r="L113" i="81" a="1"/>
  <c r="L113" i="81" s="1"/>
  <c r="L33" i="85" s="1"/>
  <c r="L111" i="81" a="1"/>
  <c r="L111" i="81" s="1"/>
  <c r="L31" i="85" s="1"/>
  <c r="L116" i="81" a="1"/>
  <c r="L116" i="81" s="1"/>
  <c r="L114" i="81" a="1"/>
  <c r="L114" i="81" s="1"/>
  <c r="L34" i="85" s="1"/>
  <c r="L28" i="85"/>
  <c r="W63" i="75"/>
  <c r="W64" i="75" s="1"/>
  <c r="W108" i="73"/>
  <c r="W87" i="73"/>
  <c r="W106" i="73" s="1"/>
  <c r="K111" i="81" a="1"/>
  <c r="K111" i="81" s="1"/>
  <c r="K31" i="85" s="1"/>
  <c r="K116" i="81" a="1"/>
  <c r="K116" i="81" s="1"/>
  <c r="K114" i="81" a="1"/>
  <c r="K114" i="81" s="1"/>
  <c r="K34" i="85" s="1"/>
  <c r="K117" i="81" a="1"/>
  <c r="K117" i="81" s="1"/>
  <c r="K113" i="81" a="1"/>
  <c r="K113" i="81" s="1"/>
  <c r="K33" i="85" s="1"/>
  <c r="K112" i="81" a="1"/>
  <c r="K112" i="81" s="1"/>
  <c r="K32" i="85" s="1"/>
  <c r="K115" i="81" a="1"/>
  <c r="K115" i="81" s="1"/>
  <c r="K110" i="81" a="1"/>
  <c r="K110" i="81" s="1"/>
  <c r="K30" i="85" s="1"/>
  <c r="K28" i="85"/>
  <c r="I63" i="75"/>
  <c r="I87" i="73"/>
  <c r="I106" i="73" s="1"/>
  <c r="I108" i="73"/>
  <c r="J113" i="81" a="1"/>
  <c r="J113" i="81" s="1"/>
  <c r="J33" i="85" s="1"/>
  <c r="J110" i="81" a="1"/>
  <c r="J110" i="81" s="1"/>
  <c r="J30" i="85" s="1"/>
  <c r="J111" i="81" a="1"/>
  <c r="J111" i="81" s="1"/>
  <c r="J31" i="85" s="1"/>
  <c r="J116" i="81" a="1"/>
  <c r="J116" i="81" s="1"/>
  <c r="J117" i="81" a="1"/>
  <c r="J117" i="81" s="1"/>
  <c r="J114" i="81" a="1"/>
  <c r="J114" i="81" s="1"/>
  <c r="J34" i="85" s="1"/>
  <c r="J115" i="81" a="1"/>
  <c r="J115" i="81" s="1"/>
  <c r="J112" i="81" a="1"/>
  <c r="J112" i="81" s="1"/>
  <c r="J32" i="85" s="1"/>
  <c r="J28" i="85"/>
  <c r="N108" i="68"/>
  <c r="N87" i="68"/>
  <c r="N21" i="75"/>
  <c r="N22" i="75" s="1"/>
  <c r="X49" i="75"/>
  <c r="X50" i="75" s="1"/>
  <c r="X40" i="85" s="1"/>
  <c r="X108" i="72"/>
  <c r="X87" i="72"/>
  <c r="X106" i="72" s="1"/>
  <c r="M49" i="75"/>
  <c r="M50" i="75" s="1"/>
  <c r="M40" i="85" s="1"/>
  <c r="M87" i="72"/>
  <c r="M106" i="72" s="1"/>
  <c r="M108" i="72"/>
  <c r="O77" i="75"/>
  <c r="O78" i="75" s="1"/>
  <c r="O87" i="82"/>
  <c r="O106" i="82" s="1"/>
  <c r="O108" i="82"/>
  <c r="R77" i="75"/>
  <c r="R78" i="75" s="1"/>
  <c r="R108" i="82"/>
  <c r="R87" i="82"/>
  <c r="R106" i="82" s="1"/>
  <c r="N113" i="81" a="1"/>
  <c r="N113" i="81" s="1"/>
  <c r="N33" i="85" s="1"/>
  <c r="N116" i="81" a="1"/>
  <c r="N116" i="81" s="1"/>
  <c r="N111" i="81" a="1"/>
  <c r="N111" i="81" s="1"/>
  <c r="N31" i="85" s="1"/>
  <c r="N114" i="81" a="1"/>
  <c r="N114" i="81" s="1"/>
  <c r="N34" i="85" s="1"/>
  <c r="N112" i="81" a="1"/>
  <c r="N112" i="81" s="1"/>
  <c r="N32" i="85" s="1"/>
  <c r="N117" i="81" a="1"/>
  <c r="N117" i="81" s="1"/>
  <c r="N115" i="81" a="1"/>
  <c r="N115" i="81" s="1"/>
  <c r="N110" i="81" a="1"/>
  <c r="N110" i="81" s="1"/>
  <c r="N30" i="85" s="1"/>
  <c r="N28" i="85"/>
  <c r="M77" i="75"/>
  <c r="M78" i="75" s="1"/>
  <c r="M87" i="82"/>
  <c r="M106" i="82" s="1"/>
  <c r="M108" i="82"/>
  <c r="W108" i="68"/>
  <c r="W87" i="68"/>
  <c r="W21" i="75"/>
  <c r="W22" i="75" s="1"/>
  <c r="AG108" i="68"/>
  <c r="AG87" i="68"/>
  <c r="AG21" i="75"/>
  <c r="AG22" i="75" s="1"/>
  <c r="AF63" i="75"/>
  <c r="AF64" i="75" s="1"/>
  <c r="AF87" i="73"/>
  <c r="AF106" i="73" s="1"/>
  <c r="AF108" i="73"/>
  <c r="J63" i="75"/>
  <c r="J64" i="75" s="1"/>
  <c r="J87" i="73"/>
  <c r="J106" i="73" s="1"/>
  <c r="J108" i="73"/>
  <c r="S77" i="75"/>
  <c r="S78" i="75" s="1"/>
  <c r="S87" i="82"/>
  <c r="S106" i="82" s="1"/>
  <c r="S108" i="82"/>
  <c r="J77" i="75"/>
  <c r="J78" i="75" s="1"/>
  <c r="J87" i="82"/>
  <c r="J106" i="82" s="1"/>
  <c r="J108" i="82"/>
  <c r="P63" i="75"/>
  <c r="P64" i="75" s="1"/>
  <c r="P108" i="73"/>
  <c r="P87" i="73"/>
  <c r="P106" i="73" s="1"/>
  <c r="O108" i="68"/>
  <c r="O87" i="68"/>
  <c r="O21" i="75"/>
  <c r="O22" i="75" s="1"/>
  <c r="AC49" i="75"/>
  <c r="AC50" i="75" s="1"/>
  <c r="AC40" i="85" s="1"/>
  <c r="AC108" i="72"/>
  <c r="AC87" i="72"/>
  <c r="AC106" i="72" s="1"/>
  <c r="AD49" i="75"/>
  <c r="AD50" i="75" s="1"/>
  <c r="AD40" i="85" s="1"/>
  <c r="AD108" i="72"/>
  <c r="AD87" i="72"/>
  <c r="AD106" i="72" s="1"/>
  <c r="U77" i="75"/>
  <c r="U78" i="75" s="1"/>
  <c r="U108" i="82"/>
  <c r="U87" i="82"/>
  <c r="U106" i="82" s="1"/>
  <c r="N77" i="75"/>
  <c r="N78" i="75" s="1"/>
  <c r="N87" i="82"/>
  <c r="N106" i="82" s="1"/>
  <c r="N108" i="82"/>
  <c r="W111" i="81" a="1"/>
  <c r="W111" i="81" s="1"/>
  <c r="W31" i="85" s="1"/>
  <c r="W110" i="81" a="1"/>
  <c r="W110" i="81" s="1"/>
  <c r="W30" i="85" s="1"/>
  <c r="W115" i="81" a="1"/>
  <c r="W115" i="81" s="1"/>
  <c r="W112" i="81" a="1"/>
  <c r="W112" i="81" s="1"/>
  <c r="W32" i="85" s="1"/>
  <c r="W116" i="81" a="1"/>
  <c r="W116" i="81" s="1"/>
  <c r="W113" i="81" a="1"/>
  <c r="W113" i="81" s="1"/>
  <c r="W33" i="85" s="1"/>
  <c r="W117" i="81" a="1"/>
  <c r="W117" i="81" s="1"/>
  <c r="W114" i="81" a="1"/>
  <c r="W114" i="81" s="1"/>
  <c r="W34" i="85" s="1"/>
  <c r="W28" i="85"/>
  <c r="Z112" i="73" l="1" a="1"/>
  <c r="Z112" i="73" s="1"/>
  <c r="Z60" i="85" s="1"/>
  <c r="Z114" i="73" a="1"/>
  <c r="Z114" i="73" s="1"/>
  <c r="Z62" i="85" s="1"/>
  <c r="Z116" i="73" a="1"/>
  <c r="Z116" i="73" s="1"/>
  <c r="Z111" i="73" a="1"/>
  <c r="Z111" i="73" s="1"/>
  <c r="Z59" i="85" s="1"/>
  <c r="Z113" i="73" a="1"/>
  <c r="Z113" i="73" s="1"/>
  <c r="Z61" i="85" s="1"/>
  <c r="Z115" i="73" a="1"/>
  <c r="Z115" i="73" s="1"/>
  <c r="Z110" i="73" a="1"/>
  <c r="Z110" i="73" s="1"/>
  <c r="Z58" i="85" s="1"/>
  <c r="Z56" i="85"/>
  <c r="Z117" i="73" a="1"/>
  <c r="Z117" i="73" s="1"/>
  <c r="S114" i="72" a="1"/>
  <c r="S114" i="72" s="1"/>
  <c r="S48" i="85" s="1"/>
  <c r="S111" i="72" a="1"/>
  <c r="S111" i="72" s="1"/>
  <c r="S45" i="85" s="1"/>
  <c r="S110" i="72" a="1"/>
  <c r="S110" i="72" s="1"/>
  <c r="S44" i="85" s="1"/>
  <c r="S42" i="85"/>
  <c r="S113" i="72" a="1"/>
  <c r="S113" i="72" s="1"/>
  <c r="S47" i="85" s="1"/>
  <c r="S116" i="72" a="1"/>
  <c r="S116" i="72" s="1"/>
  <c r="S117" i="72" a="1"/>
  <c r="S117" i="72" s="1"/>
  <c r="S112" i="72" a="1"/>
  <c r="S112" i="72" s="1"/>
  <c r="S46" i="85" s="1"/>
  <c r="S115" i="72" a="1"/>
  <c r="S115" i="72" s="1"/>
  <c r="Z36" i="85"/>
  <c r="Z35" i="85"/>
  <c r="Z37" i="85"/>
  <c r="N110" i="72" a="1"/>
  <c r="N110" i="72" s="1"/>
  <c r="N44" i="85" s="1"/>
  <c r="N114" i="72" a="1"/>
  <c r="N114" i="72" s="1"/>
  <c r="N48" i="85" s="1"/>
  <c r="N111" i="72" a="1"/>
  <c r="N111" i="72" s="1"/>
  <c r="N45" i="85" s="1"/>
  <c r="N117" i="72" a="1"/>
  <c r="N117" i="72" s="1"/>
  <c r="N115" i="72" a="1"/>
  <c r="N115" i="72" s="1"/>
  <c r="N113" i="72" a="1"/>
  <c r="N113" i="72" s="1"/>
  <c r="N47" i="85" s="1"/>
  <c r="N116" i="72" a="1"/>
  <c r="N116" i="72" s="1"/>
  <c r="N112" i="72" a="1"/>
  <c r="N112" i="72" s="1"/>
  <c r="N46" i="85" s="1"/>
  <c r="N42" i="85"/>
  <c r="I110" i="72" a="1"/>
  <c r="I110" i="72" s="1"/>
  <c r="I44" i="85" s="1"/>
  <c r="I114" i="72" a="1"/>
  <c r="I114" i="72" s="1"/>
  <c r="I48" i="85" s="1"/>
  <c r="I113" i="72" a="1"/>
  <c r="I113" i="72" s="1"/>
  <c r="I47" i="85" s="1"/>
  <c r="I42" i="85"/>
  <c r="I111" i="72" a="1"/>
  <c r="I111" i="72" s="1"/>
  <c r="I45" i="85" s="1"/>
  <c r="I112" i="72" a="1"/>
  <c r="I112" i="72" s="1"/>
  <c r="I46" i="85" s="1"/>
  <c r="I116" i="72" a="1"/>
  <c r="I116" i="72" s="1"/>
  <c r="I117" i="72" a="1"/>
  <c r="I117" i="72" s="1"/>
  <c r="I115" i="72" a="1"/>
  <c r="I115" i="72" s="1"/>
  <c r="Z106" i="68"/>
  <c r="Y14" i="85"/>
  <c r="AG106" i="68"/>
  <c r="AF14" i="85"/>
  <c r="Y116" i="72" a="1"/>
  <c r="Y116" i="72" s="1"/>
  <c r="Y115" i="72" a="1"/>
  <c r="Y115" i="72" s="1"/>
  <c r="Y114" i="72" a="1"/>
  <c r="Y114" i="72" s="1"/>
  <c r="Y48" i="85" s="1"/>
  <c r="Y42" i="85"/>
  <c r="Y110" i="72" a="1"/>
  <c r="Y110" i="72" s="1"/>
  <c r="Y44" i="85" s="1"/>
  <c r="Y111" i="72" a="1"/>
  <c r="Y111" i="72" s="1"/>
  <c r="Y45" i="85" s="1"/>
  <c r="Y117" i="72" a="1"/>
  <c r="Y117" i="72" s="1"/>
  <c r="Y113" i="72" a="1"/>
  <c r="Y113" i="72" s="1"/>
  <c r="Y47" i="85" s="1"/>
  <c r="Y112" i="72" a="1"/>
  <c r="Y112" i="72" s="1"/>
  <c r="Y46" i="85" s="1"/>
  <c r="AC111" i="82" a="1"/>
  <c r="AC111" i="82" s="1"/>
  <c r="AC73" i="85" s="1"/>
  <c r="AC70" i="85"/>
  <c r="AC117" i="82" a="1"/>
  <c r="AC117" i="82" s="1"/>
  <c r="AC114" i="82" a="1"/>
  <c r="AC114" i="82" s="1"/>
  <c r="AC76" i="85" s="1"/>
  <c r="AC110" i="82" a="1"/>
  <c r="AC110" i="82" s="1"/>
  <c r="AC72" i="85" s="1"/>
  <c r="AC113" i="82" a="1"/>
  <c r="AC113" i="82" s="1"/>
  <c r="AC75" i="85" s="1"/>
  <c r="AC112" i="82" a="1"/>
  <c r="AC112" i="82" s="1"/>
  <c r="AC74" i="85" s="1"/>
  <c r="AC116" i="82" a="1"/>
  <c r="AC116" i="82" s="1"/>
  <c r="AC115" i="82" a="1"/>
  <c r="AC115" i="82" s="1"/>
  <c r="I35" i="85"/>
  <c r="I37" i="85"/>
  <c r="I36" i="85"/>
  <c r="AD37" i="85"/>
  <c r="AD35" i="85"/>
  <c r="AD36" i="85"/>
  <c r="I22" i="75"/>
  <c r="F23" i="75" s="1" a="1"/>
  <c r="F23" i="75" s="1"/>
  <c r="I9" i="33" s="1"/>
  <c r="F21" i="75"/>
  <c r="F25" i="75" s="1"/>
  <c r="H9" i="33" s="1"/>
  <c r="Y106" i="68"/>
  <c r="X14" i="85"/>
  <c r="P106" i="68"/>
  <c r="O14" i="85"/>
  <c r="T106" i="68"/>
  <c r="S14" i="85"/>
  <c r="AD106" i="68"/>
  <c r="AC14" i="85"/>
  <c r="AF106" i="68"/>
  <c r="AE14" i="85"/>
  <c r="AF56" i="85"/>
  <c r="AF117" i="73" a="1"/>
  <c r="AF117" i="73" s="1"/>
  <c r="AF115" i="73" a="1"/>
  <c r="AF115" i="73" s="1"/>
  <c r="AF110" i="73" a="1"/>
  <c r="AF110" i="73" s="1"/>
  <c r="AF58" i="85" s="1"/>
  <c r="AF114" i="73" a="1"/>
  <c r="AF114" i="73" s="1"/>
  <c r="AF62" i="85" s="1"/>
  <c r="AF113" i="73" a="1"/>
  <c r="AF113" i="73" s="1"/>
  <c r="AF61" i="85" s="1"/>
  <c r="AF111" i="73" a="1"/>
  <c r="AF111" i="73" s="1"/>
  <c r="AF59" i="85" s="1"/>
  <c r="AF116" i="73" a="1"/>
  <c r="AF116" i="73" s="1"/>
  <c r="AF112" i="73" a="1"/>
  <c r="AF112" i="73" s="1"/>
  <c r="AF60" i="85" s="1"/>
  <c r="Q116" i="73" a="1"/>
  <c r="Q116" i="73" s="1"/>
  <c r="Q110" i="73" a="1"/>
  <c r="Q110" i="73" s="1"/>
  <c r="Q58" i="85" s="1"/>
  <c r="Q115" i="73" a="1"/>
  <c r="Q115" i="73" s="1"/>
  <c r="Q112" i="73" a="1"/>
  <c r="Q112" i="73" s="1"/>
  <c r="Q60" i="85" s="1"/>
  <c r="Q117" i="73" a="1"/>
  <c r="Q117" i="73" s="1"/>
  <c r="Q111" i="73" a="1"/>
  <c r="Q111" i="73" s="1"/>
  <c r="Q59" i="85" s="1"/>
  <c r="Q56" i="85"/>
  <c r="Q114" i="73" a="1"/>
  <c r="Q114" i="73" s="1"/>
  <c r="Q62" i="85" s="1"/>
  <c r="Q113" i="73" a="1"/>
  <c r="Q113" i="73" s="1"/>
  <c r="Q61" i="85" s="1"/>
  <c r="I106" i="68"/>
  <c r="H14" i="85"/>
  <c r="P114" i="73" a="1"/>
  <c r="P114" i="73" s="1"/>
  <c r="P62" i="85" s="1"/>
  <c r="P110" i="73" a="1"/>
  <c r="P110" i="73" s="1"/>
  <c r="P58" i="85" s="1"/>
  <c r="P56" i="85"/>
  <c r="P112" i="73" a="1"/>
  <c r="P112" i="73" s="1"/>
  <c r="P60" i="85" s="1"/>
  <c r="P115" i="73" a="1"/>
  <c r="P115" i="73" s="1"/>
  <c r="P116" i="73" a="1"/>
  <c r="P116" i="73" s="1"/>
  <c r="P113" i="73" a="1"/>
  <c r="P113" i="73" s="1"/>
  <c r="P61" i="85" s="1"/>
  <c r="P117" i="73" a="1"/>
  <c r="P117" i="73" s="1"/>
  <c r="P111" i="73" a="1"/>
  <c r="P111" i="73" s="1"/>
  <c r="P59" i="85" s="1"/>
  <c r="W106" i="68"/>
  <c r="V14" i="85"/>
  <c r="F63" i="75"/>
  <c r="F67" i="75" s="1"/>
  <c r="H12" i="33" s="1"/>
  <c r="I64" i="75"/>
  <c r="F65" i="75" s="1" a="1"/>
  <c r="F65" i="75" s="1"/>
  <c r="I12" i="33" s="1"/>
  <c r="P113" i="82" a="1"/>
  <c r="P113" i="82" s="1"/>
  <c r="P75" i="85" s="1"/>
  <c r="P112" i="82" a="1"/>
  <c r="P112" i="82" s="1"/>
  <c r="P74" i="85" s="1"/>
  <c r="P70" i="85"/>
  <c r="P110" i="82" a="1"/>
  <c r="P110" i="82" s="1"/>
  <c r="P72" i="85" s="1"/>
  <c r="P116" i="82" a="1"/>
  <c r="P116" i="82" s="1"/>
  <c r="P114" i="82" a="1"/>
  <c r="P114" i="82" s="1"/>
  <c r="P76" i="85" s="1"/>
  <c r="P115" i="82" a="1"/>
  <c r="P115" i="82" s="1"/>
  <c r="P111" i="82" a="1"/>
  <c r="P111" i="82" s="1"/>
  <c r="P73" i="85" s="1"/>
  <c r="P117" i="82" a="1"/>
  <c r="P117" i="82" s="1"/>
  <c r="O37" i="85"/>
  <c r="O36" i="85"/>
  <c r="O35" i="85"/>
  <c r="O111" i="72" a="1"/>
  <c r="O111" i="72" s="1"/>
  <c r="O45" i="85" s="1"/>
  <c r="O117" i="72" a="1"/>
  <c r="O117" i="72" s="1"/>
  <c r="O114" i="72" a="1"/>
  <c r="O114" i="72" s="1"/>
  <c r="O48" i="85" s="1"/>
  <c r="O116" i="72" a="1"/>
  <c r="O116" i="72" s="1"/>
  <c r="O42" i="85"/>
  <c r="O110" i="72" a="1"/>
  <c r="O110" i="72" s="1"/>
  <c r="O44" i="85" s="1"/>
  <c r="O113" i="72" a="1"/>
  <c r="O113" i="72" s="1"/>
  <c r="O47" i="85" s="1"/>
  <c r="O115" i="72" a="1"/>
  <c r="O115" i="72" s="1"/>
  <c r="O112" i="72" a="1"/>
  <c r="O112" i="72" s="1"/>
  <c r="O46" i="85" s="1"/>
  <c r="AA35" i="85"/>
  <c r="AA36" i="85"/>
  <c r="AA37" i="85"/>
  <c r="I112" i="82" a="1"/>
  <c r="I112" i="82" s="1"/>
  <c r="I74" i="85" s="1"/>
  <c r="I113" i="82" a="1"/>
  <c r="I113" i="82" s="1"/>
  <c r="I75" i="85" s="1"/>
  <c r="I116" i="82" a="1"/>
  <c r="I116" i="82" s="1"/>
  <c r="I110" i="82" a="1"/>
  <c r="I110" i="82" s="1"/>
  <c r="I72" i="85" s="1"/>
  <c r="I111" i="82" a="1"/>
  <c r="I111" i="82" s="1"/>
  <c r="I73" i="85" s="1"/>
  <c r="I70" i="85"/>
  <c r="I114" i="82" a="1"/>
  <c r="I114" i="82" s="1"/>
  <c r="I76" i="85" s="1"/>
  <c r="I117" i="82" a="1"/>
  <c r="I117" i="82" s="1"/>
  <c r="I115" i="82" a="1"/>
  <c r="I115" i="82" s="1"/>
  <c r="AE106" i="68"/>
  <c r="AD14" i="85"/>
  <c r="N106" i="68"/>
  <c r="M14" i="85"/>
  <c r="AG117" i="82" a="1"/>
  <c r="AG117" i="82" s="1"/>
  <c r="AG114" i="82" a="1"/>
  <c r="AG114" i="82" s="1"/>
  <c r="AG76" i="85" s="1"/>
  <c r="AG113" i="82" a="1"/>
  <c r="AG113" i="82" s="1"/>
  <c r="AG75" i="85" s="1"/>
  <c r="AG111" i="82" a="1"/>
  <c r="AG111" i="82" s="1"/>
  <c r="AG73" i="85" s="1"/>
  <c r="AG116" i="82" a="1"/>
  <c r="AG116" i="82" s="1"/>
  <c r="AG110" i="82" a="1"/>
  <c r="AG110" i="82" s="1"/>
  <c r="AG72" i="85" s="1"/>
  <c r="AG70" i="85"/>
  <c r="AG115" i="82" a="1"/>
  <c r="AG115" i="82" s="1"/>
  <c r="AG112" i="82" a="1"/>
  <c r="AG112" i="82" s="1"/>
  <c r="AG74" i="85" s="1"/>
  <c r="AA106" i="68"/>
  <c r="Z14" i="85"/>
  <c r="Q106" i="68"/>
  <c r="P14" i="85"/>
  <c r="T117" i="72" a="1"/>
  <c r="T117" i="72" s="1"/>
  <c r="T113" i="72" a="1"/>
  <c r="T113" i="72" s="1"/>
  <c r="T47" i="85" s="1"/>
  <c r="T42" i="85"/>
  <c r="T110" i="72" a="1"/>
  <c r="T110" i="72" s="1"/>
  <c r="T44" i="85" s="1"/>
  <c r="T116" i="72" a="1"/>
  <c r="T116" i="72" s="1"/>
  <c r="T112" i="72" a="1"/>
  <c r="T112" i="72" s="1"/>
  <c r="T46" i="85" s="1"/>
  <c r="T115" i="72" a="1"/>
  <c r="T115" i="72" s="1"/>
  <c r="T114" i="72" a="1"/>
  <c r="T114" i="72" s="1"/>
  <c r="T48" i="85" s="1"/>
  <c r="T111" i="72" a="1"/>
  <c r="T111" i="72" s="1"/>
  <c r="T45" i="85" s="1"/>
  <c r="AC117" i="72" a="1"/>
  <c r="AC117" i="72" s="1"/>
  <c r="AC42" i="85"/>
  <c r="AC111" i="72" a="1"/>
  <c r="AC111" i="72" s="1"/>
  <c r="AC45" i="85" s="1"/>
  <c r="AC115" i="72" a="1"/>
  <c r="AC115" i="72" s="1"/>
  <c r="AC112" i="72" a="1"/>
  <c r="AC112" i="72" s="1"/>
  <c r="AC46" i="85" s="1"/>
  <c r="AC114" i="72" a="1"/>
  <c r="AC114" i="72" s="1"/>
  <c r="AC48" i="85" s="1"/>
  <c r="AC116" i="72" a="1"/>
  <c r="AC116" i="72" s="1"/>
  <c r="AC113" i="72" a="1"/>
  <c r="AC113" i="72" s="1"/>
  <c r="AC47" i="85" s="1"/>
  <c r="AC110" i="72" a="1"/>
  <c r="AC110" i="72" s="1"/>
  <c r="AC44" i="85" s="1"/>
  <c r="M106" i="68"/>
  <c r="L14" i="85"/>
  <c r="F33" i="85"/>
  <c r="D94" i="85" s="1"/>
  <c r="G71" i="33" s="1"/>
  <c r="F31" i="85"/>
  <c r="D92" i="85" s="1"/>
  <c r="G69" i="33" s="1"/>
  <c r="W116" i="72" a="1"/>
  <c r="W116" i="72" s="1"/>
  <c r="W111" i="72" a="1"/>
  <c r="W111" i="72" s="1"/>
  <c r="W45" i="85" s="1"/>
  <c r="W42" i="85"/>
  <c r="W112" i="72" a="1"/>
  <c r="W112" i="72" s="1"/>
  <c r="W46" i="85" s="1"/>
  <c r="W110" i="72" a="1"/>
  <c r="W110" i="72" s="1"/>
  <c r="W44" i="85" s="1"/>
  <c r="W117" i="72" a="1"/>
  <c r="W117" i="72" s="1"/>
  <c r="W115" i="72" a="1"/>
  <c r="W115" i="72" s="1"/>
  <c r="W113" i="72" a="1"/>
  <c r="W113" i="72" s="1"/>
  <c r="W47" i="85" s="1"/>
  <c r="W114" i="72" a="1"/>
  <c r="W114" i="72" s="1"/>
  <c r="W48" i="85" s="1"/>
  <c r="Q116" i="72" a="1"/>
  <c r="Q116" i="72" s="1"/>
  <c r="Q42" i="85"/>
  <c r="Q114" i="72" a="1"/>
  <c r="Q114" i="72" s="1"/>
  <c r="Q48" i="85" s="1"/>
  <c r="Q115" i="72" a="1"/>
  <c r="Q115" i="72" s="1"/>
  <c r="Q111" i="72" a="1"/>
  <c r="Q111" i="72" s="1"/>
  <c r="Q45" i="85" s="1"/>
  <c r="Q113" i="72" a="1"/>
  <c r="Q113" i="72" s="1"/>
  <c r="Q47" i="85" s="1"/>
  <c r="Q110" i="72" a="1"/>
  <c r="Q110" i="72" s="1"/>
  <c r="Q44" i="85" s="1"/>
  <c r="Q117" i="72" a="1"/>
  <c r="Q117" i="72" s="1"/>
  <c r="Q112" i="72" a="1"/>
  <c r="Q112" i="72" s="1"/>
  <c r="Q46" i="85" s="1"/>
  <c r="S114" i="73" a="1"/>
  <c r="S114" i="73" s="1"/>
  <c r="S62" i="85" s="1"/>
  <c r="S116" i="73" a="1"/>
  <c r="S116" i="73" s="1"/>
  <c r="S111" i="73" a="1"/>
  <c r="S111" i="73" s="1"/>
  <c r="S59" i="85" s="1"/>
  <c r="S113" i="73" a="1"/>
  <c r="S113" i="73" s="1"/>
  <c r="S61" i="85" s="1"/>
  <c r="S56" i="85"/>
  <c r="S110" i="73" a="1"/>
  <c r="S110" i="73" s="1"/>
  <c r="S58" i="85" s="1"/>
  <c r="S112" i="73" a="1"/>
  <c r="S112" i="73" s="1"/>
  <c r="S60" i="85" s="1"/>
  <c r="S117" i="73" a="1"/>
  <c r="S117" i="73" s="1"/>
  <c r="S115" i="73" a="1"/>
  <c r="S115" i="73" s="1"/>
  <c r="L37" i="85"/>
  <c r="L35" i="85"/>
  <c r="L36" i="85"/>
  <c r="Y117" i="82" a="1"/>
  <c r="Y117" i="82" s="1"/>
  <c r="Y112" i="82" a="1"/>
  <c r="Y112" i="82" s="1"/>
  <c r="Y74" i="85" s="1"/>
  <c r="Y111" i="82" a="1"/>
  <c r="Y111" i="82" s="1"/>
  <c r="Y73" i="85" s="1"/>
  <c r="Y115" i="82" a="1"/>
  <c r="Y115" i="82" s="1"/>
  <c r="Y116" i="82" a="1"/>
  <c r="Y116" i="82" s="1"/>
  <c r="Y113" i="82" a="1"/>
  <c r="Y113" i="82" s="1"/>
  <c r="Y75" i="85" s="1"/>
  <c r="Y110" i="82" a="1"/>
  <c r="Y110" i="82" s="1"/>
  <c r="Y72" i="85" s="1"/>
  <c r="Y114" i="82" a="1"/>
  <c r="Y114" i="82" s="1"/>
  <c r="Y76" i="85" s="1"/>
  <c r="Y70" i="85"/>
  <c r="V106" i="68"/>
  <c r="U14" i="85"/>
  <c r="M42" i="85"/>
  <c r="M114" i="72" a="1"/>
  <c r="M114" i="72" s="1"/>
  <c r="M48" i="85" s="1"/>
  <c r="M117" i="72" a="1"/>
  <c r="M117" i="72" s="1"/>
  <c r="M111" i="72" a="1"/>
  <c r="M111" i="72" s="1"/>
  <c r="M45" i="85" s="1"/>
  <c r="M113" i="72" a="1"/>
  <c r="M113" i="72" s="1"/>
  <c r="M47" i="85" s="1"/>
  <c r="M116" i="72" a="1"/>
  <c r="M116" i="72" s="1"/>
  <c r="M115" i="72" a="1"/>
  <c r="M115" i="72" s="1"/>
  <c r="M110" i="72" a="1"/>
  <c r="M110" i="72" s="1"/>
  <c r="M44" i="85" s="1"/>
  <c r="M112" i="72" a="1"/>
  <c r="M112" i="72" s="1"/>
  <c r="M46" i="85" s="1"/>
  <c r="R115" i="73" a="1"/>
  <c r="R115" i="73" s="1"/>
  <c r="R110" i="73" a="1"/>
  <c r="R110" i="73" s="1"/>
  <c r="R58" i="85" s="1"/>
  <c r="R112" i="73" a="1"/>
  <c r="R112" i="73" s="1"/>
  <c r="R60" i="85" s="1"/>
  <c r="R117" i="73" a="1"/>
  <c r="R117" i="73" s="1"/>
  <c r="R114" i="73" a="1"/>
  <c r="R114" i="73" s="1"/>
  <c r="R62" i="85" s="1"/>
  <c r="R111" i="73" a="1"/>
  <c r="R111" i="73" s="1"/>
  <c r="R59" i="85" s="1"/>
  <c r="R113" i="73" a="1"/>
  <c r="R113" i="73" s="1"/>
  <c r="R61" i="85" s="1"/>
  <c r="R56" i="85"/>
  <c r="R116" i="73" a="1"/>
  <c r="R116" i="73" s="1"/>
  <c r="K115" i="73" a="1"/>
  <c r="K115" i="73" s="1"/>
  <c r="K114" i="73" a="1"/>
  <c r="K114" i="73" s="1"/>
  <c r="K62" i="85" s="1"/>
  <c r="K116" i="73" a="1"/>
  <c r="K116" i="73" s="1"/>
  <c r="K110" i="73" a="1"/>
  <c r="K110" i="73" s="1"/>
  <c r="K58" i="85" s="1"/>
  <c r="K111" i="73" a="1"/>
  <c r="K111" i="73" s="1"/>
  <c r="K59" i="85" s="1"/>
  <c r="K113" i="73" a="1"/>
  <c r="K113" i="73" s="1"/>
  <c r="K61" i="85" s="1"/>
  <c r="K117" i="73" a="1"/>
  <c r="K117" i="73" s="1"/>
  <c r="K56" i="85"/>
  <c r="K112" i="73" a="1"/>
  <c r="K112" i="73" s="1"/>
  <c r="K60" i="85" s="1"/>
  <c r="Y111" i="73" a="1"/>
  <c r="Y111" i="73" s="1"/>
  <c r="Y59" i="85" s="1"/>
  <c r="Y113" i="73" a="1"/>
  <c r="Y113" i="73" s="1"/>
  <c r="Y61" i="85" s="1"/>
  <c r="Y114" i="73" a="1"/>
  <c r="Y114" i="73" s="1"/>
  <c r="Y62" i="85" s="1"/>
  <c r="Y116" i="73" a="1"/>
  <c r="Y116" i="73" s="1"/>
  <c r="Y112" i="73" a="1"/>
  <c r="Y112" i="73" s="1"/>
  <c r="Y60" i="85" s="1"/>
  <c r="Y110" i="73" a="1"/>
  <c r="Y110" i="73" s="1"/>
  <c r="Y58" i="85" s="1"/>
  <c r="Y117" i="73" a="1"/>
  <c r="Y117" i="73" s="1"/>
  <c r="Y56" i="85"/>
  <c r="Y115" i="73" a="1"/>
  <c r="Y115" i="73" s="1"/>
  <c r="P35" i="85"/>
  <c r="P36" i="85"/>
  <c r="P37" i="85"/>
  <c r="M116" i="73" a="1"/>
  <c r="M116" i="73" s="1"/>
  <c r="M117" i="73" a="1"/>
  <c r="M117" i="73" s="1"/>
  <c r="M114" i="73" a="1"/>
  <c r="M114" i="73" s="1"/>
  <c r="M62" i="85" s="1"/>
  <c r="M113" i="73" a="1"/>
  <c r="M113" i="73" s="1"/>
  <c r="M61" i="85" s="1"/>
  <c r="M110" i="73" a="1"/>
  <c r="M110" i="73" s="1"/>
  <c r="M58" i="85" s="1"/>
  <c r="M112" i="73" a="1"/>
  <c r="M112" i="73" s="1"/>
  <c r="M60" i="85" s="1"/>
  <c r="M56" i="85"/>
  <c r="M115" i="73" a="1"/>
  <c r="M115" i="73" s="1"/>
  <c r="M111" i="73" a="1"/>
  <c r="M111" i="73" s="1"/>
  <c r="M59" i="85" s="1"/>
  <c r="U70" i="85"/>
  <c r="U110" i="82" a="1"/>
  <c r="U110" i="82" s="1"/>
  <c r="U72" i="85" s="1"/>
  <c r="U111" i="82" a="1"/>
  <c r="U111" i="82" s="1"/>
  <c r="U73" i="85" s="1"/>
  <c r="U115" i="82" a="1"/>
  <c r="U115" i="82" s="1"/>
  <c r="U112" i="82" a="1"/>
  <c r="U112" i="82" s="1"/>
  <c r="U74" i="85" s="1"/>
  <c r="U114" i="82" a="1"/>
  <c r="U114" i="82" s="1"/>
  <c r="U76" i="85" s="1"/>
  <c r="U117" i="82" a="1"/>
  <c r="U117" i="82" s="1"/>
  <c r="U116" i="82" a="1"/>
  <c r="U116" i="82" s="1"/>
  <c r="U113" i="82" a="1"/>
  <c r="U113" i="82" s="1"/>
  <c r="U75" i="85" s="1"/>
  <c r="S106" i="68"/>
  <c r="R14" i="85"/>
  <c r="Q36" i="85"/>
  <c r="Q37" i="85"/>
  <c r="Q35" i="85"/>
  <c r="L116" i="73" a="1"/>
  <c r="L116" i="73" s="1"/>
  <c r="L114" i="73" a="1"/>
  <c r="L114" i="73" s="1"/>
  <c r="L62" i="85" s="1"/>
  <c r="L56" i="85"/>
  <c r="L113" i="73" a="1"/>
  <c r="L113" i="73" s="1"/>
  <c r="L61" i="85" s="1"/>
  <c r="L115" i="73" a="1"/>
  <c r="L115" i="73" s="1"/>
  <c r="L110" i="73" a="1"/>
  <c r="L110" i="73" s="1"/>
  <c r="L58" i="85" s="1"/>
  <c r="L111" i="73" a="1"/>
  <c r="L111" i="73" s="1"/>
  <c r="L59" i="85" s="1"/>
  <c r="L117" i="73" a="1"/>
  <c r="L117" i="73" s="1"/>
  <c r="L112" i="73" a="1"/>
  <c r="L112" i="73" s="1"/>
  <c r="L60" i="85" s="1"/>
  <c r="AE117" i="82" a="1"/>
  <c r="AE117" i="82" s="1"/>
  <c r="AE114" i="82" a="1"/>
  <c r="AE114" i="82" s="1"/>
  <c r="AE76" i="85" s="1"/>
  <c r="AE110" i="82" a="1"/>
  <c r="AE110" i="82" s="1"/>
  <c r="AE72" i="85" s="1"/>
  <c r="AE116" i="82" a="1"/>
  <c r="AE116" i="82" s="1"/>
  <c r="AE113" i="82" a="1"/>
  <c r="AE113" i="82" s="1"/>
  <c r="AE75" i="85" s="1"/>
  <c r="AE115" i="82" a="1"/>
  <c r="AE115" i="82" s="1"/>
  <c r="AE112" i="82" a="1"/>
  <c r="AE112" i="82" s="1"/>
  <c r="AE74" i="85" s="1"/>
  <c r="AE70" i="85"/>
  <c r="AE111" i="82" a="1"/>
  <c r="AE111" i="82" s="1"/>
  <c r="AE73" i="85" s="1"/>
  <c r="AD115" i="72" a="1"/>
  <c r="AD115" i="72" s="1"/>
  <c r="AD111" i="72" a="1"/>
  <c r="AD111" i="72" s="1"/>
  <c r="AD45" i="85" s="1"/>
  <c r="AD116" i="72" a="1"/>
  <c r="AD116" i="72" s="1"/>
  <c r="AD113" i="72" a="1"/>
  <c r="AD113" i="72" s="1"/>
  <c r="AD47" i="85" s="1"/>
  <c r="AD114" i="72" a="1"/>
  <c r="AD114" i="72" s="1"/>
  <c r="AD48" i="85" s="1"/>
  <c r="AD117" i="72" a="1"/>
  <c r="AD117" i="72" s="1"/>
  <c r="AD42" i="85"/>
  <c r="AD110" i="72" a="1"/>
  <c r="AD110" i="72" s="1"/>
  <c r="AD44" i="85" s="1"/>
  <c r="AD112" i="72" a="1"/>
  <c r="AD112" i="72" s="1"/>
  <c r="AD46" i="85" s="1"/>
  <c r="J36" i="85"/>
  <c r="J37" i="85"/>
  <c r="J35" i="85"/>
  <c r="M35" i="85"/>
  <c r="M37" i="85"/>
  <c r="M36" i="85"/>
  <c r="R110" i="72" a="1"/>
  <c r="R110" i="72" s="1"/>
  <c r="R44" i="85" s="1"/>
  <c r="R42" i="85"/>
  <c r="R116" i="72" a="1"/>
  <c r="R116" i="72" s="1"/>
  <c r="R111" i="72" a="1"/>
  <c r="R111" i="72" s="1"/>
  <c r="R45" i="85" s="1"/>
  <c r="R112" i="72" a="1"/>
  <c r="R112" i="72" s="1"/>
  <c r="R46" i="85" s="1"/>
  <c r="R114" i="72" a="1"/>
  <c r="R114" i="72" s="1"/>
  <c r="R48" i="85" s="1"/>
  <c r="R115" i="72" a="1"/>
  <c r="R115" i="72" s="1"/>
  <c r="R117" i="72" a="1"/>
  <c r="R117" i="72" s="1"/>
  <c r="R113" i="72" a="1"/>
  <c r="R113" i="72" s="1"/>
  <c r="R47" i="85" s="1"/>
  <c r="V111" i="73" a="1"/>
  <c r="V111" i="73" s="1"/>
  <c r="V59" i="85" s="1"/>
  <c r="V115" i="73" a="1"/>
  <c r="V115" i="73" s="1"/>
  <c r="V56" i="85"/>
  <c r="V113" i="73" a="1"/>
  <c r="V113" i="73" s="1"/>
  <c r="V61" i="85" s="1"/>
  <c r="V110" i="73" a="1"/>
  <c r="V110" i="73" s="1"/>
  <c r="V58" i="85" s="1"/>
  <c r="V117" i="73" a="1"/>
  <c r="V117" i="73" s="1"/>
  <c r="V114" i="73" a="1"/>
  <c r="V114" i="73" s="1"/>
  <c r="V62" i="85" s="1"/>
  <c r="V116" i="73" a="1"/>
  <c r="V116" i="73" s="1"/>
  <c r="V112" i="73" a="1"/>
  <c r="V112" i="73" s="1"/>
  <c r="V60" i="85" s="1"/>
  <c r="K111" i="82" a="1"/>
  <c r="K111" i="82" s="1"/>
  <c r="K73" i="85" s="1"/>
  <c r="K113" i="82" a="1"/>
  <c r="K113" i="82" s="1"/>
  <c r="K75" i="85" s="1"/>
  <c r="K110" i="82" a="1"/>
  <c r="K110" i="82" s="1"/>
  <c r="K72" i="85" s="1"/>
  <c r="K112" i="82" a="1"/>
  <c r="K112" i="82" s="1"/>
  <c r="K74" i="85" s="1"/>
  <c r="K70" i="85"/>
  <c r="K114" i="82" a="1"/>
  <c r="K114" i="82" s="1"/>
  <c r="K76" i="85" s="1"/>
  <c r="K117" i="82" a="1"/>
  <c r="K117" i="82" s="1"/>
  <c r="K115" i="82" a="1"/>
  <c r="K115" i="82" s="1"/>
  <c r="K116" i="82" a="1"/>
  <c r="K116" i="82" s="1"/>
  <c r="Q113" i="82" a="1"/>
  <c r="Q113" i="82" s="1"/>
  <c r="Q75" i="85" s="1"/>
  <c r="Q117" i="82" a="1"/>
  <c r="Q117" i="82" s="1"/>
  <c r="Q110" i="82" a="1"/>
  <c r="Q110" i="82" s="1"/>
  <c r="Q72" i="85" s="1"/>
  <c r="Q114" i="82" a="1"/>
  <c r="Q114" i="82" s="1"/>
  <c r="Q76" i="85" s="1"/>
  <c r="Q116" i="82" a="1"/>
  <c r="Q116" i="82" s="1"/>
  <c r="Q112" i="82" a="1"/>
  <c r="Q112" i="82" s="1"/>
  <c r="Q74" i="85" s="1"/>
  <c r="Q115" i="82" a="1"/>
  <c r="Q115" i="82" s="1"/>
  <c r="Q111" i="82" a="1"/>
  <c r="Q111" i="82" s="1"/>
  <c r="Q73" i="85" s="1"/>
  <c r="Q70" i="85"/>
  <c r="AF37" i="85"/>
  <c r="AF35" i="85"/>
  <c r="AF36" i="85"/>
  <c r="W115" i="82" a="1"/>
  <c r="W115" i="82" s="1"/>
  <c r="W114" i="82" a="1"/>
  <c r="W114" i="82" s="1"/>
  <c r="W76" i="85" s="1"/>
  <c r="W111" i="82" a="1"/>
  <c r="W111" i="82" s="1"/>
  <c r="W73" i="85" s="1"/>
  <c r="W116" i="82" a="1"/>
  <c r="W116" i="82" s="1"/>
  <c r="W112" i="82" a="1"/>
  <c r="W112" i="82" s="1"/>
  <c r="W74" i="85" s="1"/>
  <c r="W117" i="82" a="1"/>
  <c r="W117" i="82" s="1"/>
  <c r="W113" i="82" a="1"/>
  <c r="W113" i="82" s="1"/>
  <c r="W75" i="85" s="1"/>
  <c r="W70" i="85"/>
  <c r="W110" i="82" a="1"/>
  <c r="W110" i="82" s="1"/>
  <c r="W72" i="85" s="1"/>
  <c r="F30" i="85"/>
  <c r="D91" i="85" s="1"/>
  <c r="G68" i="33" s="1"/>
  <c r="X106" i="68"/>
  <c r="W14" i="85"/>
  <c r="T116" i="82" a="1"/>
  <c r="T116" i="82" s="1"/>
  <c r="T115" i="82" a="1"/>
  <c r="T115" i="82" s="1"/>
  <c r="T113" i="82" a="1"/>
  <c r="T113" i="82" s="1"/>
  <c r="T75" i="85" s="1"/>
  <c r="T114" i="82" a="1"/>
  <c r="T114" i="82" s="1"/>
  <c r="T76" i="85" s="1"/>
  <c r="T70" i="85"/>
  <c r="T112" i="82" a="1"/>
  <c r="T112" i="82" s="1"/>
  <c r="T74" i="85" s="1"/>
  <c r="T111" i="82" a="1"/>
  <c r="T111" i="82" s="1"/>
  <c r="T73" i="85" s="1"/>
  <c r="T117" i="82" a="1"/>
  <c r="T117" i="82" s="1"/>
  <c r="T110" i="82" a="1"/>
  <c r="T110" i="82" s="1"/>
  <c r="T72" i="85" s="1"/>
  <c r="Y36" i="85"/>
  <c r="Y37" i="85"/>
  <c r="Y35" i="85"/>
  <c r="AE113" i="73" a="1"/>
  <c r="AE113" i="73" s="1"/>
  <c r="AE61" i="85" s="1"/>
  <c r="AE116" i="73" a="1"/>
  <c r="AE116" i="73" s="1"/>
  <c r="AE56" i="85"/>
  <c r="AE115" i="73" a="1"/>
  <c r="AE115" i="73" s="1"/>
  <c r="AE110" i="73" a="1"/>
  <c r="AE110" i="73" s="1"/>
  <c r="AE58" i="85" s="1"/>
  <c r="AE117" i="73" a="1"/>
  <c r="AE117" i="73" s="1"/>
  <c r="AE111" i="73" a="1"/>
  <c r="AE111" i="73" s="1"/>
  <c r="AE59" i="85" s="1"/>
  <c r="AE112" i="73" a="1"/>
  <c r="AE112" i="73" s="1"/>
  <c r="AE60" i="85" s="1"/>
  <c r="AE114" i="73" a="1"/>
  <c r="AE114" i="73" s="1"/>
  <c r="AE62" i="85" s="1"/>
  <c r="W36" i="85"/>
  <c r="W37" i="85"/>
  <c r="W35" i="85"/>
  <c r="X117" i="82" a="1"/>
  <c r="X117" i="82" s="1"/>
  <c r="X114" i="82" a="1"/>
  <c r="X114" i="82" s="1"/>
  <c r="X76" i="85" s="1"/>
  <c r="X70" i="85"/>
  <c r="X116" i="82" a="1"/>
  <c r="X116" i="82" s="1"/>
  <c r="X113" i="82" a="1"/>
  <c r="X113" i="82" s="1"/>
  <c r="X75" i="85" s="1"/>
  <c r="X110" i="82" a="1"/>
  <c r="X110" i="82" s="1"/>
  <c r="X72" i="85" s="1"/>
  <c r="X112" i="82" a="1"/>
  <c r="X112" i="82" s="1"/>
  <c r="X74" i="85" s="1"/>
  <c r="X115" i="82" a="1"/>
  <c r="X115" i="82" s="1"/>
  <c r="X111" i="82" a="1"/>
  <c r="X111" i="82" s="1"/>
  <c r="X73" i="85" s="1"/>
  <c r="T35" i="85"/>
  <c r="T36" i="85"/>
  <c r="T37" i="85"/>
  <c r="F77" i="75"/>
  <c r="F81" i="75" s="1"/>
  <c r="I78" i="75"/>
  <c r="F79" i="75" s="1" a="1"/>
  <c r="F79" i="75" s="1"/>
  <c r="U113" i="73" a="1"/>
  <c r="U113" i="73" s="1"/>
  <c r="U61" i="85" s="1"/>
  <c r="U110" i="73" a="1"/>
  <c r="U110" i="73" s="1"/>
  <c r="U58" i="85" s="1"/>
  <c r="U111" i="73" a="1"/>
  <c r="U111" i="73" s="1"/>
  <c r="U59" i="85" s="1"/>
  <c r="U56" i="85"/>
  <c r="U116" i="73" a="1"/>
  <c r="U116" i="73" s="1"/>
  <c r="U115" i="73" a="1"/>
  <c r="U115" i="73" s="1"/>
  <c r="U114" i="73" a="1"/>
  <c r="U114" i="73" s="1"/>
  <c r="U62" i="85" s="1"/>
  <c r="U117" i="73" a="1"/>
  <c r="U117" i="73" s="1"/>
  <c r="U112" i="73" a="1"/>
  <c r="U112" i="73" s="1"/>
  <c r="U60" i="85" s="1"/>
  <c r="AB111" i="73" a="1"/>
  <c r="AB111" i="73" s="1"/>
  <c r="AB59" i="85" s="1"/>
  <c r="AB116" i="73" a="1"/>
  <c r="AB116" i="73" s="1"/>
  <c r="AB117" i="73" a="1"/>
  <c r="AB117" i="73" s="1"/>
  <c r="AB112" i="73" a="1"/>
  <c r="AB112" i="73" s="1"/>
  <c r="AB60" i="85" s="1"/>
  <c r="AB115" i="73" a="1"/>
  <c r="AB115" i="73" s="1"/>
  <c r="AB56" i="85"/>
  <c r="AB113" i="73" a="1"/>
  <c r="AB113" i="73" s="1"/>
  <c r="AB61" i="85" s="1"/>
  <c r="AB114" i="73" a="1"/>
  <c r="AB114" i="73" s="1"/>
  <c r="AB62" i="85" s="1"/>
  <c r="AB110" i="73" a="1"/>
  <c r="AB110" i="73" s="1"/>
  <c r="AB58" i="85" s="1"/>
  <c r="J115" i="72" a="1"/>
  <c r="J115" i="72" s="1"/>
  <c r="J42" i="85"/>
  <c r="J116" i="72" a="1"/>
  <c r="J116" i="72" s="1"/>
  <c r="J117" i="72" a="1"/>
  <c r="J117" i="72" s="1"/>
  <c r="J110" i="72" a="1"/>
  <c r="J110" i="72" s="1"/>
  <c r="J44" i="85" s="1"/>
  <c r="J112" i="72" a="1"/>
  <c r="J112" i="72" s="1"/>
  <c r="J46" i="85" s="1"/>
  <c r="J114" i="72" a="1"/>
  <c r="J114" i="72" s="1"/>
  <c r="J48" i="85" s="1"/>
  <c r="J111" i="72" a="1"/>
  <c r="J111" i="72" s="1"/>
  <c r="J45" i="85" s="1"/>
  <c r="J113" i="72" a="1"/>
  <c r="J113" i="72" s="1"/>
  <c r="J47" i="85" s="1"/>
  <c r="AE37" i="85"/>
  <c r="AE35" i="85"/>
  <c r="AE36" i="85"/>
  <c r="X36" i="85"/>
  <c r="X37" i="85"/>
  <c r="X35" i="85"/>
  <c r="J111" i="73" a="1"/>
  <c r="J111" i="73" s="1"/>
  <c r="J59" i="85" s="1"/>
  <c r="J112" i="73" a="1"/>
  <c r="J112" i="73" s="1"/>
  <c r="J60" i="85" s="1"/>
  <c r="J116" i="73" a="1"/>
  <c r="J116" i="73" s="1"/>
  <c r="J110" i="73" a="1"/>
  <c r="J110" i="73" s="1"/>
  <c r="J58" i="85" s="1"/>
  <c r="J113" i="73" a="1"/>
  <c r="J113" i="73" s="1"/>
  <c r="J61" i="85" s="1"/>
  <c r="J114" i="73" a="1"/>
  <c r="J114" i="73" s="1"/>
  <c r="J62" i="85" s="1"/>
  <c r="J115" i="73" a="1"/>
  <c r="J115" i="73" s="1"/>
  <c r="J117" i="73" a="1"/>
  <c r="J117" i="73" s="1"/>
  <c r="J56" i="85"/>
  <c r="AA115" i="82" a="1"/>
  <c r="AA115" i="82" s="1"/>
  <c r="AA117" i="82" a="1"/>
  <c r="AA117" i="82" s="1"/>
  <c r="AA114" i="82" a="1"/>
  <c r="AA114" i="82" s="1"/>
  <c r="AA76" i="85" s="1"/>
  <c r="AA112" i="82" a="1"/>
  <c r="AA112" i="82" s="1"/>
  <c r="AA74" i="85" s="1"/>
  <c r="AA110" i="82" a="1"/>
  <c r="AA110" i="82" s="1"/>
  <c r="AA72" i="85" s="1"/>
  <c r="AA70" i="85"/>
  <c r="AA116" i="82" a="1"/>
  <c r="AA116" i="82" s="1"/>
  <c r="AA111" i="82" a="1"/>
  <c r="AA111" i="82" s="1"/>
  <c r="AA73" i="85" s="1"/>
  <c r="AA113" i="82" a="1"/>
  <c r="AA113" i="82" s="1"/>
  <c r="AA75" i="85" s="1"/>
  <c r="AA115" i="72" a="1"/>
  <c r="AA115" i="72" s="1"/>
  <c r="AA114" i="72" a="1"/>
  <c r="AA114" i="72" s="1"/>
  <c r="AA48" i="85" s="1"/>
  <c r="AA111" i="72" a="1"/>
  <c r="AA111" i="72" s="1"/>
  <c r="AA45" i="85" s="1"/>
  <c r="AA112" i="72" a="1"/>
  <c r="AA112" i="72" s="1"/>
  <c r="AA46" i="85" s="1"/>
  <c r="AA117" i="72" a="1"/>
  <c r="AA117" i="72" s="1"/>
  <c r="AA110" i="72" a="1"/>
  <c r="AA110" i="72" s="1"/>
  <c r="AA44" i="85" s="1"/>
  <c r="AA113" i="72" a="1"/>
  <c r="AA113" i="72" s="1"/>
  <c r="AA47" i="85" s="1"/>
  <c r="AA116" i="72" a="1"/>
  <c r="AA116" i="72" s="1"/>
  <c r="AA42" i="85"/>
  <c r="U116" i="72" a="1"/>
  <c r="U116" i="72" s="1"/>
  <c r="U113" i="72" a="1"/>
  <c r="U113" i="72" s="1"/>
  <c r="U47" i="85" s="1"/>
  <c r="U110" i="72" a="1"/>
  <c r="U110" i="72" s="1"/>
  <c r="U44" i="85" s="1"/>
  <c r="U117" i="72" a="1"/>
  <c r="U117" i="72" s="1"/>
  <c r="U111" i="72" a="1"/>
  <c r="U111" i="72" s="1"/>
  <c r="U45" i="85" s="1"/>
  <c r="U114" i="72" a="1"/>
  <c r="U114" i="72" s="1"/>
  <c r="U48" i="85" s="1"/>
  <c r="U112" i="72" a="1"/>
  <c r="U112" i="72" s="1"/>
  <c r="U46" i="85" s="1"/>
  <c r="U42" i="85"/>
  <c r="U115" i="72" a="1"/>
  <c r="U115" i="72" s="1"/>
  <c r="T115" i="73" a="1"/>
  <c r="T115" i="73" s="1"/>
  <c r="T113" i="73" a="1"/>
  <c r="T113" i="73" s="1"/>
  <c r="T61" i="85" s="1"/>
  <c r="T112" i="73" a="1"/>
  <c r="T112" i="73" s="1"/>
  <c r="T60" i="85" s="1"/>
  <c r="T110" i="73" a="1"/>
  <c r="T110" i="73" s="1"/>
  <c r="T58" i="85" s="1"/>
  <c r="T111" i="73" a="1"/>
  <c r="T111" i="73" s="1"/>
  <c r="T59" i="85" s="1"/>
  <c r="T56" i="85"/>
  <c r="T114" i="73" a="1"/>
  <c r="T114" i="73" s="1"/>
  <c r="T62" i="85" s="1"/>
  <c r="T117" i="73" a="1"/>
  <c r="T117" i="73" s="1"/>
  <c r="T116" i="73" a="1"/>
  <c r="T116" i="73" s="1"/>
  <c r="F49" i="75"/>
  <c r="F53" i="75" s="1"/>
  <c r="H11" i="33" s="1"/>
  <c r="I50" i="75"/>
  <c r="L106" i="68"/>
  <c r="K14" i="85"/>
  <c r="AG35" i="85"/>
  <c r="AG36" i="85"/>
  <c r="AG37" i="85"/>
  <c r="AC37" i="85"/>
  <c r="AC36" i="85"/>
  <c r="AC35" i="85"/>
  <c r="K114" i="72" a="1"/>
  <c r="K114" i="72" s="1"/>
  <c r="K48" i="85" s="1"/>
  <c r="K110" i="72" a="1"/>
  <c r="K110" i="72" s="1"/>
  <c r="K44" i="85" s="1"/>
  <c r="K112" i="72" a="1"/>
  <c r="K112" i="72" s="1"/>
  <c r="K46" i="85" s="1"/>
  <c r="K111" i="72" a="1"/>
  <c r="K111" i="72" s="1"/>
  <c r="K45" i="85" s="1"/>
  <c r="K115" i="72" a="1"/>
  <c r="K115" i="72" s="1"/>
  <c r="K116" i="72" a="1"/>
  <c r="K116" i="72" s="1"/>
  <c r="K113" i="72" a="1"/>
  <c r="K113" i="72" s="1"/>
  <c r="K47" i="85" s="1"/>
  <c r="K117" i="72" a="1"/>
  <c r="K117" i="72" s="1"/>
  <c r="K42" i="85"/>
  <c r="AG112" i="72" a="1"/>
  <c r="AG112" i="72" s="1"/>
  <c r="AG46" i="85" s="1"/>
  <c r="AG116" i="72" a="1"/>
  <c r="AG116" i="72" s="1"/>
  <c r="AG42" i="85"/>
  <c r="AG113" i="72" a="1"/>
  <c r="AG113" i="72" s="1"/>
  <c r="AG47" i="85" s="1"/>
  <c r="AG114" i="72" a="1"/>
  <c r="AG114" i="72" s="1"/>
  <c r="AG48" i="85" s="1"/>
  <c r="AG115" i="72" a="1"/>
  <c r="AG115" i="72" s="1"/>
  <c r="AG117" i="72" a="1"/>
  <c r="AG117" i="72" s="1"/>
  <c r="AG110" i="72" a="1"/>
  <c r="AG110" i="72" s="1"/>
  <c r="AG44" i="85" s="1"/>
  <c r="AG111" i="72" a="1"/>
  <c r="AG111" i="72" s="1"/>
  <c r="AG45" i="85" s="1"/>
  <c r="AD116" i="73" a="1"/>
  <c r="AD116" i="73" s="1"/>
  <c r="AD111" i="73" a="1"/>
  <c r="AD111" i="73" s="1"/>
  <c r="AD59" i="85" s="1"/>
  <c r="AD117" i="73" a="1"/>
  <c r="AD117" i="73" s="1"/>
  <c r="AD113" i="73" a="1"/>
  <c r="AD113" i="73" s="1"/>
  <c r="AD61" i="85" s="1"/>
  <c r="AD114" i="73" a="1"/>
  <c r="AD114" i="73" s="1"/>
  <c r="AD62" i="85" s="1"/>
  <c r="AD115" i="73" a="1"/>
  <c r="AD115" i="73" s="1"/>
  <c r="AD110" i="73" a="1"/>
  <c r="AD110" i="73" s="1"/>
  <c r="AD58" i="85" s="1"/>
  <c r="AD56" i="85"/>
  <c r="AD112" i="73" a="1"/>
  <c r="AD112" i="73" s="1"/>
  <c r="AD60" i="85" s="1"/>
  <c r="AF114" i="82" a="1"/>
  <c r="AF114" i="82" s="1"/>
  <c r="AF76" i="85" s="1"/>
  <c r="AF117" i="82" a="1"/>
  <c r="AF117" i="82" s="1"/>
  <c r="AF110" i="82" a="1"/>
  <c r="AF110" i="82" s="1"/>
  <c r="AF72" i="85" s="1"/>
  <c r="AF113" i="82" a="1"/>
  <c r="AF113" i="82" s="1"/>
  <c r="AF75" i="85" s="1"/>
  <c r="AF116" i="82" a="1"/>
  <c r="AF116" i="82" s="1"/>
  <c r="AF115" i="82" a="1"/>
  <c r="AF115" i="82" s="1"/>
  <c r="AF111" i="82" a="1"/>
  <c r="AF111" i="82" s="1"/>
  <c r="AF73" i="85" s="1"/>
  <c r="AF112" i="82" a="1"/>
  <c r="AF112" i="82" s="1"/>
  <c r="AF74" i="85" s="1"/>
  <c r="AF70" i="85"/>
  <c r="W112" i="73" a="1"/>
  <c r="W112" i="73" s="1"/>
  <c r="W60" i="85" s="1"/>
  <c r="W111" i="73" a="1"/>
  <c r="W111" i="73" s="1"/>
  <c r="W59" i="85" s="1"/>
  <c r="W117" i="73" a="1"/>
  <c r="W117" i="73" s="1"/>
  <c r="W114" i="73" a="1"/>
  <c r="W114" i="73" s="1"/>
  <c r="W62" i="85" s="1"/>
  <c r="W116" i="73" a="1"/>
  <c r="W116" i="73" s="1"/>
  <c r="W110" i="73" a="1"/>
  <c r="W110" i="73" s="1"/>
  <c r="W58" i="85" s="1"/>
  <c r="W115" i="73" a="1"/>
  <c r="W115" i="73" s="1"/>
  <c r="W56" i="85"/>
  <c r="W113" i="73" a="1"/>
  <c r="W113" i="73" s="1"/>
  <c r="W61" i="85" s="1"/>
  <c r="Z115" i="72" a="1"/>
  <c r="Z115" i="72" s="1"/>
  <c r="Z111" i="72" a="1"/>
  <c r="Z111" i="72" s="1"/>
  <c r="Z45" i="85" s="1"/>
  <c r="Z117" i="72" a="1"/>
  <c r="Z117" i="72" s="1"/>
  <c r="Z116" i="72" a="1"/>
  <c r="Z116" i="72" s="1"/>
  <c r="Z114" i="72" a="1"/>
  <c r="Z114" i="72" s="1"/>
  <c r="Z48" i="85" s="1"/>
  <c r="Z113" i="72" a="1"/>
  <c r="Z113" i="72" s="1"/>
  <c r="Z47" i="85" s="1"/>
  <c r="Z110" i="72" a="1"/>
  <c r="Z110" i="72" s="1"/>
  <c r="Z44" i="85" s="1"/>
  <c r="Z112" i="72" a="1"/>
  <c r="Z112" i="72" s="1"/>
  <c r="Z46" i="85" s="1"/>
  <c r="Z42" i="85"/>
  <c r="U37" i="85"/>
  <c r="U35" i="85"/>
  <c r="U36" i="85"/>
  <c r="O106" i="68"/>
  <c r="N14" i="85"/>
  <c r="F32" i="85"/>
  <c r="D93" i="85" s="1"/>
  <c r="G70" i="33" s="1"/>
  <c r="AC106" i="68"/>
  <c r="AB14" i="85"/>
  <c r="AD114" i="82" a="1"/>
  <c r="AD114" i="82" s="1"/>
  <c r="AD76" i="85" s="1"/>
  <c r="AD110" i="82" a="1"/>
  <c r="AD110" i="82" s="1"/>
  <c r="AD72" i="85" s="1"/>
  <c r="AD113" i="82" a="1"/>
  <c r="AD113" i="82" s="1"/>
  <c r="AD75" i="85" s="1"/>
  <c r="AD116" i="82" a="1"/>
  <c r="AD116" i="82" s="1"/>
  <c r="AD112" i="82" a="1"/>
  <c r="AD112" i="82" s="1"/>
  <c r="AD74" i="85" s="1"/>
  <c r="AD115" i="82" a="1"/>
  <c r="AD115" i="82" s="1"/>
  <c r="AD70" i="85"/>
  <c r="AD111" i="82" a="1"/>
  <c r="AD111" i="82" s="1"/>
  <c r="AD73" i="85" s="1"/>
  <c r="AD117" i="82" a="1"/>
  <c r="AD117" i="82" s="1"/>
  <c r="K35" i="85"/>
  <c r="K37" i="85"/>
  <c r="K36" i="85"/>
  <c r="O115" i="73" a="1"/>
  <c r="O115" i="73" s="1"/>
  <c r="O117" i="73" a="1"/>
  <c r="O117" i="73" s="1"/>
  <c r="O113" i="73" a="1"/>
  <c r="O113" i="73" s="1"/>
  <c r="O61" i="85" s="1"/>
  <c r="O114" i="73" a="1"/>
  <c r="O114" i="73" s="1"/>
  <c r="O62" i="85" s="1"/>
  <c r="O56" i="85"/>
  <c r="O110" i="73" a="1"/>
  <c r="O110" i="73" s="1"/>
  <c r="O58" i="85" s="1"/>
  <c r="O112" i="73" a="1"/>
  <c r="O112" i="73" s="1"/>
  <c r="O60" i="85" s="1"/>
  <c r="O111" i="73" a="1"/>
  <c r="O111" i="73" s="1"/>
  <c r="O59" i="85" s="1"/>
  <c r="O116" i="73" a="1"/>
  <c r="O116" i="73" s="1"/>
  <c r="L111" i="72" a="1"/>
  <c r="L111" i="72" s="1"/>
  <c r="L45" i="85" s="1"/>
  <c r="L116" i="72" a="1"/>
  <c r="L116" i="72" s="1"/>
  <c r="L110" i="72" a="1"/>
  <c r="L110" i="72" s="1"/>
  <c r="L44" i="85" s="1"/>
  <c r="L114" i="72" a="1"/>
  <c r="L114" i="72" s="1"/>
  <c r="L48" i="85" s="1"/>
  <c r="L117" i="72" a="1"/>
  <c r="L117" i="72" s="1"/>
  <c r="L112" i="72" a="1"/>
  <c r="L112" i="72" s="1"/>
  <c r="L46" i="85" s="1"/>
  <c r="L113" i="72" a="1"/>
  <c r="L113" i="72" s="1"/>
  <c r="L47" i="85" s="1"/>
  <c r="L115" i="72" a="1"/>
  <c r="L115" i="72" s="1"/>
  <c r="L42" i="85"/>
  <c r="R35" i="85"/>
  <c r="R36" i="85"/>
  <c r="R37" i="85"/>
  <c r="AB106" i="68"/>
  <c r="AA14" i="85"/>
  <c r="K106" i="68"/>
  <c r="J14" i="85"/>
  <c r="L70" i="85"/>
  <c r="L114" i="82" a="1"/>
  <c r="L114" i="82" s="1"/>
  <c r="L76" i="85" s="1"/>
  <c r="L116" i="82" a="1"/>
  <c r="L116" i="82" s="1"/>
  <c r="L117" i="82" a="1"/>
  <c r="L117" i="82" s="1"/>
  <c r="L111" i="82" a="1"/>
  <c r="L111" i="82" s="1"/>
  <c r="L73" i="85" s="1"/>
  <c r="L110" i="82" a="1"/>
  <c r="L110" i="82" s="1"/>
  <c r="L72" i="85" s="1"/>
  <c r="L113" i="82" a="1"/>
  <c r="L113" i="82" s="1"/>
  <c r="L75" i="85" s="1"/>
  <c r="L112" i="82" a="1"/>
  <c r="L112" i="82" s="1"/>
  <c r="L74" i="85" s="1"/>
  <c r="L115" i="82" a="1"/>
  <c r="L115" i="82" s="1"/>
  <c r="R113" i="82" a="1"/>
  <c r="R113" i="82" s="1"/>
  <c r="R75" i="85" s="1"/>
  <c r="R112" i="82" a="1"/>
  <c r="R112" i="82" s="1"/>
  <c r="R74" i="85" s="1"/>
  <c r="R115" i="82" a="1"/>
  <c r="R115" i="82" s="1"/>
  <c r="R114" i="82" a="1"/>
  <c r="R114" i="82" s="1"/>
  <c r="R76" i="85" s="1"/>
  <c r="R117" i="82" a="1"/>
  <c r="R117" i="82" s="1"/>
  <c r="R70" i="85"/>
  <c r="R111" i="82" a="1"/>
  <c r="R111" i="82" s="1"/>
  <c r="R73" i="85" s="1"/>
  <c r="R110" i="82" a="1"/>
  <c r="R110" i="82" s="1"/>
  <c r="R72" i="85" s="1"/>
  <c r="R116" i="82" a="1"/>
  <c r="R116" i="82" s="1"/>
  <c r="AF111" i="72" a="1"/>
  <c r="AF111" i="72" s="1"/>
  <c r="AF45" i="85" s="1"/>
  <c r="AF117" i="72" a="1"/>
  <c r="AF117" i="72" s="1"/>
  <c r="AF114" i="72" a="1"/>
  <c r="AF114" i="72" s="1"/>
  <c r="AF48" i="85" s="1"/>
  <c r="AF110" i="72" a="1"/>
  <c r="AF110" i="72" s="1"/>
  <c r="AF44" i="85" s="1"/>
  <c r="AF113" i="72" a="1"/>
  <c r="AF113" i="72" s="1"/>
  <c r="AF47" i="85" s="1"/>
  <c r="AF112" i="72" a="1"/>
  <c r="AF112" i="72" s="1"/>
  <c r="AF46" i="85" s="1"/>
  <c r="AF115" i="72" a="1"/>
  <c r="AF115" i="72" s="1"/>
  <c r="AF116" i="72" a="1"/>
  <c r="AF116" i="72" s="1"/>
  <c r="AF42" i="85"/>
  <c r="O117" i="82" a="1"/>
  <c r="O117" i="82" s="1"/>
  <c r="O114" i="82" a="1"/>
  <c r="O114" i="82" s="1"/>
  <c r="O76" i="85" s="1"/>
  <c r="O111" i="82" a="1"/>
  <c r="O111" i="82" s="1"/>
  <c r="O73" i="85" s="1"/>
  <c r="O115" i="82" a="1"/>
  <c r="O115" i="82" s="1"/>
  <c r="O70" i="85"/>
  <c r="O110" i="82" a="1"/>
  <c r="O110" i="82" s="1"/>
  <c r="O72" i="85" s="1"/>
  <c r="O113" i="82" a="1"/>
  <c r="O113" i="82" s="1"/>
  <c r="O75" i="85" s="1"/>
  <c r="O116" i="82" a="1"/>
  <c r="O116" i="82" s="1"/>
  <c r="O112" i="82" a="1"/>
  <c r="O112" i="82" s="1"/>
  <c r="O74" i="85" s="1"/>
  <c r="X115" i="73" a="1"/>
  <c r="X115" i="73" s="1"/>
  <c r="X113" i="73" a="1"/>
  <c r="X113" i="73" s="1"/>
  <c r="X61" i="85" s="1"/>
  <c r="X56" i="85"/>
  <c r="X117" i="73" a="1"/>
  <c r="X117" i="73" s="1"/>
  <c r="X110" i="73" a="1"/>
  <c r="X110" i="73" s="1"/>
  <c r="X58" i="85" s="1"/>
  <c r="X114" i="73" a="1"/>
  <c r="X114" i="73" s="1"/>
  <c r="X62" i="85" s="1"/>
  <c r="X116" i="73" a="1"/>
  <c r="X116" i="73" s="1"/>
  <c r="X112" i="73" a="1"/>
  <c r="X112" i="73" s="1"/>
  <c r="X60" i="85" s="1"/>
  <c r="X111" i="73" a="1"/>
  <c r="X111" i="73" s="1"/>
  <c r="X59" i="85" s="1"/>
  <c r="I112" i="73" a="1"/>
  <c r="I112" i="73" s="1"/>
  <c r="I60" i="85" s="1"/>
  <c r="I113" i="73" a="1"/>
  <c r="I113" i="73" s="1"/>
  <c r="I61" i="85" s="1"/>
  <c r="I114" i="73" a="1"/>
  <c r="I114" i="73" s="1"/>
  <c r="I62" i="85" s="1"/>
  <c r="I110" i="73" a="1"/>
  <c r="I110" i="73" s="1"/>
  <c r="I58" i="85" s="1"/>
  <c r="I117" i="73" a="1"/>
  <c r="I117" i="73" s="1"/>
  <c r="I116" i="73" a="1"/>
  <c r="I116" i="73" s="1"/>
  <c r="I115" i="73" a="1"/>
  <c r="I115" i="73" s="1"/>
  <c r="I111" i="73" a="1"/>
  <c r="I111" i="73" s="1"/>
  <c r="I59" i="85" s="1"/>
  <c r="I56" i="85"/>
  <c r="M114" i="82" a="1"/>
  <c r="M114" i="82" s="1"/>
  <c r="M76" i="85" s="1"/>
  <c r="M110" i="82" a="1"/>
  <c r="M110" i="82" s="1"/>
  <c r="M72" i="85" s="1"/>
  <c r="M116" i="82" a="1"/>
  <c r="M116" i="82" s="1"/>
  <c r="M117" i="82" a="1"/>
  <c r="M117" i="82" s="1"/>
  <c r="M115" i="82" a="1"/>
  <c r="M115" i="82" s="1"/>
  <c r="M113" i="82" a="1"/>
  <c r="M113" i="82" s="1"/>
  <c r="M75" i="85" s="1"/>
  <c r="M112" i="82" a="1"/>
  <c r="M112" i="82" s="1"/>
  <c r="M74" i="85" s="1"/>
  <c r="M70" i="85"/>
  <c r="M111" i="82" a="1"/>
  <c r="M111" i="82" s="1"/>
  <c r="M73" i="85" s="1"/>
  <c r="AB36" i="85"/>
  <c r="AB35" i="85"/>
  <c r="AB37" i="85"/>
  <c r="J116" i="82" a="1"/>
  <c r="J116" i="82" s="1"/>
  <c r="J70" i="85"/>
  <c r="J112" i="82" a="1"/>
  <c r="J112" i="82" s="1"/>
  <c r="J74" i="85" s="1"/>
  <c r="J117" i="82" a="1"/>
  <c r="J117" i="82" s="1"/>
  <c r="J113" i="82" a="1"/>
  <c r="J113" i="82" s="1"/>
  <c r="J75" i="85" s="1"/>
  <c r="J114" i="82" a="1"/>
  <c r="J114" i="82" s="1"/>
  <c r="J76" i="85" s="1"/>
  <c r="J111" i="82" a="1"/>
  <c r="J111" i="82" s="1"/>
  <c r="J73" i="85" s="1"/>
  <c r="J110" i="82" a="1"/>
  <c r="J110" i="82" s="1"/>
  <c r="J72" i="85" s="1"/>
  <c r="J115" i="82" a="1"/>
  <c r="J115" i="82" s="1"/>
  <c r="Z111" i="82" a="1"/>
  <c r="Z111" i="82" s="1"/>
  <c r="Z73" i="85" s="1"/>
  <c r="Z115" i="82" a="1"/>
  <c r="Z115" i="82" s="1"/>
  <c r="Z117" i="82" a="1"/>
  <c r="Z117" i="82" s="1"/>
  <c r="Z112" i="82" a="1"/>
  <c r="Z112" i="82" s="1"/>
  <c r="Z74" i="85" s="1"/>
  <c r="Z110" i="82" a="1"/>
  <c r="Z110" i="82" s="1"/>
  <c r="Z72" i="85" s="1"/>
  <c r="Z113" i="82" a="1"/>
  <c r="Z113" i="82" s="1"/>
  <c r="Z75" i="85" s="1"/>
  <c r="Z114" i="82" a="1"/>
  <c r="Z114" i="82" s="1"/>
  <c r="Z76" i="85" s="1"/>
  <c r="Z116" i="82" a="1"/>
  <c r="Z116" i="82" s="1"/>
  <c r="Z70" i="85"/>
  <c r="AB111" i="72" a="1"/>
  <c r="AB111" i="72" s="1"/>
  <c r="AB45" i="85" s="1"/>
  <c r="AB113" i="72" a="1"/>
  <c r="AB113" i="72" s="1"/>
  <c r="AB47" i="85" s="1"/>
  <c r="AB114" i="72" a="1"/>
  <c r="AB114" i="72" s="1"/>
  <c r="AB48" i="85" s="1"/>
  <c r="AB112" i="72" a="1"/>
  <c r="AB112" i="72" s="1"/>
  <c r="AB46" i="85" s="1"/>
  <c r="AB110" i="72" a="1"/>
  <c r="AB110" i="72" s="1"/>
  <c r="AB44" i="85" s="1"/>
  <c r="AB117" i="72" a="1"/>
  <c r="AB117" i="72" s="1"/>
  <c r="AB115" i="72" a="1"/>
  <c r="AB115" i="72" s="1"/>
  <c r="AB116" i="72" a="1"/>
  <c r="AB116" i="72" s="1"/>
  <c r="AB42" i="85"/>
  <c r="P114" i="72" a="1"/>
  <c r="P114" i="72" s="1"/>
  <c r="P48" i="85" s="1"/>
  <c r="P116" i="72" a="1"/>
  <c r="P116" i="72" s="1"/>
  <c r="P117" i="72" a="1"/>
  <c r="P117" i="72" s="1"/>
  <c r="P110" i="72" a="1"/>
  <c r="P110" i="72" s="1"/>
  <c r="P44" i="85" s="1"/>
  <c r="P115" i="72" a="1"/>
  <c r="P115" i="72" s="1"/>
  <c r="P113" i="72" a="1"/>
  <c r="P113" i="72" s="1"/>
  <c r="P47" i="85" s="1"/>
  <c r="P112" i="72" a="1"/>
  <c r="P112" i="72" s="1"/>
  <c r="P46" i="85" s="1"/>
  <c r="P42" i="85"/>
  <c r="P111" i="72" a="1"/>
  <c r="P111" i="72" s="1"/>
  <c r="P45" i="85" s="1"/>
  <c r="V115" i="82" a="1"/>
  <c r="V115" i="82" s="1"/>
  <c r="V111" i="82" a="1"/>
  <c r="V111" i="82" s="1"/>
  <c r="V73" i="85" s="1"/>
  <c r="V117" i="82" a="1"/>
  <c r="V117" i="82" s="1"/>
  <c r="V110" i="82" a="1"/>
  <c r="V110" i="82" s="1"/>
  <c r="V72" i="85" s="1"/>
  <c r="V70" i="85"/>
  <c r="V112" i="82" a="1"/>
  <c r="V112" i="82" s="1"/>
  <c r="V74" i="85" s="1"/>
  <c r="V116" i="82" a="1"/>
  <c r="V116" i="82" s="1"/>
  <c r="V114" i="82" a="1"/>
  <c r="V114" i="82" s="1"/>
  <c r="V76" i="85" s="1"/>
  <c r="V113" i="82" a="1"/>
  <c r="V113" i="82" s="1"/>
  <c r="V75" i="85" s="1"/>
  <c r="V117" i="72" a="1"/>
  <c r="V117" i="72" s="1"/>
  <c r="V114" i="72" a="1"/>
  <c r="V114" i="72" s="1"/>
  <c r="V48" i="85" s="1"/>
  <c r="V111" i="72" a="1"/>
  <c r="V111" i="72" s="1"/>
  <c r="V45" i="85" s="1"/>
  <c r="V42" i="85"/>
  <c r="V115" i="72" a="1"/>
  <c r="V115" i="72" s="1"/>
  <c r="V112" i="72" a="1"/>
  <c r="V112" i="72" s="1"/>
  <c r="V46" i="85" s="1"/>
  <c r="V113" i="72" a="1"/>
  <c r="V113" i="72" s="1"/>
  <c r="V47" i="85" s="1"/>
  <c r="V110" i="72" a="1"/>
  <c r="V110" i="72" s="1"/>
  <c r="V44" i="85" s="1"/>
  <c r="V116" i="72" a="1"/>
  <c r="V116" i="72" s="1"/>
  <c r="N117" i="73" a="1"/>
  <c r="N117" i="73" s="1"/>
  <c r="N56" i="85"/>
  <c r="N113" i="73" a="1"/>
  <c r="N113" i="73" s="1"/>
  <c r="N61" i="85" s="1"/>
  <c r="N116" i="73" a="1"/>
  <c r="N116" i="73" s="1"/>
  <c r="N114" i="73" a="1"/>
  <c r="N114" i="73" s="1"/>
  <c r="N62" i="85" s="1"/>
  <c r="N111" i="73" a="1"/>
  <c r="N111" i="73" s="1"/>
  <c r="N59" i="85" s="1"/>
  <c r="N110" i="73" a="1"/>
  <c r="N110" i="73" s="1"/>
  <c r="N58" i="85" s="1"/>
  <c r="N115" i="73" a="1"/>
  <c r="N115" i="73" s="1"/>
  <c r="N112" i="73" a="1"/>
  <c r="N112" i="73" s="1"/>
  <c r="N60" i="85" s="1"/>
  <c r="N37" i="85"/>
  <c r="N36" i="85"/>
  <c r="N35" i="85"/>
  <c r="S110" i="82" a="1"/>
  <c r="S110" i="82" s="1"/>
  <c r="S72" i="85" s="1"/>
  <c r="S70" i="85"/>
  <c r="S114" i="82" a="1"/>
  <c r="S114" i="82" s="1"/>
  <c r="S76" i="85" s="1"/>
  <c r="S111" i="82" a="1"/>
  <c r="S111" i="82" s="1"/>
  <c r="S73" i="85" s="1"/>
  <c r="S117" i="82" a="1"/>
  <c r="S117" i="82" s="1"/>
  <c r="S116" i="82" a="1"/>
  <c r="S116" i="82" s="1"/>
  <c r="S115" i="82" a="1"/>
  <c r="S115" i="82" s="1"/>
  <c r="S113" i="82" a="1"/>
  <c r="S113" i="82" s="1"/>
  <c r="S75" i="85" s="1"/>
  <c r="S112" i="82" a="1"/>
  <c r="S112" i="82" s="1"/>
  <c r="S74" i="85" s="1"/>
  <c r="AC111" i="73" a="1"/>
  <c r="AC111" i="73" s="1"/>
  <c r="AC59" i="85" s="1"/>
  <c r="AC116" i="73" a="1"/>
  <c r="AC116" i="73" s="1"/>
  <c r="AC113" i="73" a="1"/>
  <c r="AC113" i="73" s="1"/>
  <c r="AC61" i="85" s="1"/>
  <c r="AC115" i="73" a="1"/>
  <c r="AC115" i="73" s="1"/>
  <c r="AC110" i="73" a="1"/>
  <c r="AC110" i="73" s="1"/>
  <c r="AC58" i="85" s="1"/>
  <c r="AC117" i="73" a="1"/>
  <c r="AC117" i="73" s="1"/>
  <c r="AC112" i="73" a="1"/>
  <c r="AC112" i="73" s="1"/>
  <c r="AC60" i="85" s="1"/>
  <c r="AC114" i="73" a="1"/>
  <c r="AC114" i="73" s="1"/>
  <c r="AC62" i="85" s="1"/>
  <c r="AC56" i="85"/>
  <c r="F28" i="85"/>
  <c r="D90" i="85" s="1"/>
  <c r="G67" i="33" s="1"/>
  <c r="AA113" i="73" a="1"/>
  <c r="AA113" i="73" s="1"/>
  <c r="AA61" i="85" s="1"/>
  <c r="AA111" i="73" a="1"/>
  <c r="AA111" i="73" s="1"/>
  <c r="AA59" i="85" s="1"/>
  <c r="AA56" i="85"/>
  <c r="AA112" i="73" a="1"/>
  <c r="AA112" i="73" s="1"/>
  <c r="AA60" i="85" s="1"/>
  <c r="AA114" i="73" a="1"/>
  <c r="AA114" i="73" s="1"/>
  <c r="AA62" i="85" s="1"/>
  <c r="AA116" i="73" a="1"/>
  <c r="AA116" i="73" s="1"/>
  <c r="AA110" i="73" a="1"/>
  <c r="AA110" i="73" s="1"/>
  <c r="AA58" i="85" s="1"/>
  <c r="AA117" i="73" a="1"/>
  <c r="AA117" i="73" s="1"/>
  <c r="AA115" i="73" a="1"/>
  <c r="AA115" i="73" s="1"/>
  <c r="AB117" i="82" a="1"/>
  <c r="AB117" i="82" s="1"/>
  <c r="AB110" i="82" a="1"/>
  <c r="AB110" i="82" s="1"/>
  <c r="AB72" i="85" s="1"/>
  <c r="AB114" i="82" a="1"/>
  <c r="AB114" i="82" s="1"/>
  <c r="AB76" i="85" s="1"/>
  <c r="AB70" i="85"/>
  <c r="AB115" i="82" a="1"/>
  <c r="AB115" i="82" s="1"/>
  <c r="AB113" i="82" a="1"/>
  <c r="AB113" i="82" s="1"/>
  <c r="AB75" i="85" s="1"/>
  <c r="AB111" i="82" a="1"/>
  <c r="AB111" i="82" s="1"/>
  <c r="AB73" i="85" s="1"/>
  <c r="AB112" i="82" a="1"/>
  <c r="AB112" i="82" s="1"/>
  <c r="AB74" i="85" s="1"/>
  <c r="AB116" i="82" a="1"/>
  <c r="AB116" i="82" s="1"/>
  <c r="F34" i="85"/>
  <c r="D95" i="85" s="1"/>
  <c r="G72" i="33" s="1"/>
  <c r="X116" i="72" a="1"/>
  <c r="X116" i="72" s="1"/>
  <c r="X112" i="72" a="1"/>
  <c r="X112" i="72" s="1"/>
  <c r="X46" i="85" s="1"/>
  <c r="X117" i="72" a="1"/>
  <c r="X117" i="72" s="1"/>
  <c r="X114" i="72" a="1"/>
  <c r="X114" i="72" s="1"/>
  <c r="X48" i="85" s="1"/>
  <c r="X113" i="72" a="1"/>
  <c r="X113" i="72" s="1"/>
  <c r="X47" i="85" s="1"/>
  <c r="X110" i="72" a="1"/>
  <c r="X110" i="72" s="1"/>
  <c r="X44" i="85" s="1"/>
  <c r="X111" i="72" a="1"/>
  <c r="X111" i="72" s="1"/>
  <c r="X45" i="85" s="1"/>
  <c r="X42" i="85"/>
  <c r="X115" i="72" a="1"/>
  <c r="X115" i="72" s="1"/>
  <c r="J106" i="68"/>
  <c r="I14" i="85"/>
  <c r="AE114" i="72" a="1"/>
  <c r="AE114" i="72" s="1"/>
  <c r="AE48" i="85" s="1"/>
  <c r="AE117" i="72" a="1"/>
  <c r="AE117" i="72" s="1"/>
  <c r="AE113" i="72" a="1"/>
  <c r="AE113" i="72" s="1"/>
  <c r="AE47" i="85" s="1"/>
  <c r="AE111" i="72" a="1"/>
  <c r="AE111" i="72" s="1"/>
  <c r="AE45" i="85" s="1"/>
  <c r="AE116" i="72" a="1"/>
  <c r="AE116" i="72" s="1"/>
  <c r="AE42" i="85"/>
  <c r="AE115" i="72" a="1"/>
  <c r="AE115" i="72" s="1"/>
  <c r="AE110" i="72" a="1"/>
  <c r="AE110" i="72" s="1"/>
  <c r="AE44" i="85" s="1"/>
  <c r="AE112" i="72" a="1"/>
  <c r="AE112" i="72" s="1"/>
  <c r="AE46" i="85" s="1"/>
  <c r="U106" i="68"/>
  <c r="T14" i="85"/>
  <c r="N113" i="82" a="1"/>
  <c r="N113" i="82" s="1"/>
  <c r="N75" i="85" s="1"/>
  <c r="N116" i="82" a="1"/>
  <c r="N116" i="82" s="1"/>
  <c r="N114" i="82" a="1"/>
  <c r="N114" i="82" s="1"/>
  <c r="N76" i="85" s="1"/>
  <c r="N112" i="82" a="1"/>
  <c r="N112" i="82" s="1"/>
  <c r="N74" i="85" s="1"/>
  <c r="N70" i="85"/>
  <c r="N117" i="82" a="1"/>
  <c r="N117" i="82" s="1"/>
  <c r="N111" i="82" a="1"/>
  <c r="N111" i="82" s="1"/>
  <c r="N73" i="85" s="1"/>
  <c r="N115" i="82" a="1"/>
  <c r="N115" i="82" s="1"/>
  <c r="N110" i="82" a="1"/>
  <c r="N110" i="82" s="1"/>
  <c r="N72" i="85" s="1"/>
  <c r="AG111" i="73" a="1"/>
  <c r="AG111" i="73" s="1"/>
  <c r="AG59" i="85" s="1"/>
  <c r="AG56" i="85"/>
  <c r="AG117" i="73" a="1"/>
  <c r="AG117" i="73" s="1"/>
  <c r="AG116" i="73" a="1"/>
  <c r="AG116" i="73" s="1"/>
  <c r="AG115" i="73" a="1"/>
  <c r="AG115" i="73" s="1"/>
  <c r="AG112" i="73" a="1"/>
  <c r="AG112" i="73" s="1"/>
  <c r="AG60" i="85" s="1"/>
  <c r="AG113" i="73" a="1"/>
  <c r="AG113" i="73" s="1"/>
  <c r="AG61" i="85" s="1"/>
  <c r="AG110" i="73" a="1"/>
  <c r="AG110" i="73" s="1"/>
  <c r="AG58" i="85" s="1"/>
  <c r="AG114" i="73" a="1"/>
  <c r="AG114" i="73" s="1"/>
  <c r="AG62" i="85" s="1"/>
  <c r="S36" i="85"/>
  <c r="S35" i="85"/>
  <c r="S37" i="85"/>
  <c r="R106" i="68"/>
  <c r="Q14" i="85"/>
  <c r="V35" i="85"/>
  <c r="V37" i="85"/>
  <c r="V36" i="85"/>
  <c r="F76" i="85" l="1"/>
  <c r="J72" i="33" s="1"/>
  <c r="X65" i="85"/>
  <c r="X63" i="85"/>
  <c r="X64" i="85"/>
  <c r="F75" i="85"/>
  <c r="J78" i="85"/>
  <c r="J77" i="85"/>
  <c r="J79" i="85"/>
  <c r="AF78" i="85"/>
  <c r="AF77" i="85"/>
  <c r="AF79" i="85"/>
  <c r="V64" i="85"/>
  <c r="V63" i="85"/>
  <c r="V65" i="85"/>
  <c r="O49" i="85"/>
  <c r="O51" i="85"/>
  <c r="O50" i="85"/>
  <c r="AE49" i="85"/>
  <c r="AE51" i="85"/>
  <c r="AE50" i="85"/>
  <c r="F61" i="85"/>
  <c r="F94" i="85" s="1"/>
  <c r="I71" i="33" s="1"/>
  <c r="AD77" i="85"/>
  <c r="AD79" i="85"/>
  <c r="AD78" i="85"/>
  <c r="J49" i="85"/>
  <c r="J51" i="85"/>
  <c r="J50" i="85"/>
  <c r="T49" i="85"/>
  <c r="T51" i="85"/>
  <c r="T50" i="85"/>
  <c r="W111" i="68" a="1"/>
  <c r="W111" i="68" s="1"/>
  <c r="W17" i="85" s="1"/>
  <c r="W112" i="68" a="1"/>
  <c r="W112" i="68" s="1"/>
  <c r="W18" i="85" s="1"/>
  <c r="W115" i="68" a="1"/>
  <c r="W115" i="68" s="1"/>
  <c r="W116" i="68" a="1"/>
  <c r="W116" i="68" s="1"/>
  <c r="W114" i="68" a="1"/>
  <c r="W114" i="68" s="1"/>
  <c r="W20" i="85" s="1"/>
  <c r="W117" i="68" a="1"/>
  <c r="W117" i="68" s="1"/>
  <c r="W110" i="68" a="1"/>
  <c r="W110" i="68" s="1"/>
  <c r="W16" i="85" s="1"/>
  <c r="W113" i="68" a="1"/>
  <c r="W113" i="68" s="1"/>
  <c r="W19" i="85" s="1"/>
  <c r="F72" i="85"/>
  <c r="P77" i="85"/>
  <c r="P79" i="85"/>
  <c r="P78" i="85"/>
  <c r="O63" i="85"/>
  <c r="O65" i="85"/>
  <c r="O64" i="85"/>
  <c r="Q49" i="85"/>
  <c r="Q51" i="85"/>
  <c r="Q50" i="85"/>
  <c r="R64" i="85"/>
  <c r="R65" i="85"/>
  <c r="R63" i="85"/>
  <c r="F46" i="85"/>
  <c r="E93" i="85" s="1"/>
  <c r="H70" i="33" s="1"/>
  <c r="F59" i="85"/>
  <c r="F92" i="85" s="1"/>
  <c r="I69" i="33" s="1"/>
  <c r="AG49" i="85"/>
  <c r="AG51" i="85"/>
  <c r="AG50" i="85"/>
  <c r="F45" i="85"/>
  <c r="E92" i="85" s="1"/>
  <c r="H69" i="33" s="1"/>
  <c r="I65" i="85"/>
  <c r="I63" i="85"/>
  <c r="I64" i="85"/>
  <c r="R78" i="85"/>
  <c r="R79" i="85"/>
  <c r="R77" i="85"/>
  <c r="F44" i="85"/>
  <c r="E91" i="85" s="1"/>
  <c r="H68" i="33" s="1"/>
  <c r="L77" i="85"/>
  <c r="L79" i="85"/>
  <c r="L78" i="85"/>
  <c r="Y110" i="68" a="1"/>
  <c r="Y110" i="68" s="1"/>
  <c r="Y16" i="85" s="1"/>
  <c r="Y115" i="68" a="1"/>
  <c r="Y115" i="68" s="1"/>
  <c r="Y113" i="68" a="1"/>
  <c r="Y113" i="68" s="1"/>
  <c r="Y19" i="85" s="1"/>
  <c r="Y111" i="68" a="1"/>
  <c r="Y111" i="68" s="1"/>
  <c r="Y17" i="85" s="1"/>
  <c r="Y112" i="68" a="1"/>
  <c r="Y112" i="68" s="1"/>
  <c r="Y18" i="85" s="1"/>
  <c r="Y114" i="68" a="1"/>
  <c r="Y114" i="68" s="1"/>
  <c r="Y20" i="85" s="1"/>
  <c r="Y116" i="68" a="1"/>
  <c r="Y116" i="68" s="1"/>
  <c r="Y117" i="68" a="1"/>
  <c r="Y117" i="68" s="1"/>
  <c r="R51" i="85"/>
  <c r="R49" i="85"/>
  <c r="R50" i="85"/>
  <c r="N110" i="68" a="1"/>
  <c r="N110" i="68" s="1"/>
  <c r="N16" i="85" s="1"/>
  <c r="N112" i="68" a="1"/>
  <c r="N112" i="68" s="1"/>
  <c r="N18" i="85" s="1"/>
  <c r="N116" i="68" a="1"/>
  <c r="N116" i="68" s="1"/>
  <c r="N115" i="68" a="1"/>
  <c r="N115" i="68" s="1"/>
  <c r="N114" i="68" a="1"/>
  <c r="N114" i="68" s="1"/>
  <c r="N20" i="85" s="1"/>
  <c r="N117" i="68" a="1"/>
  <c r="N117" i="68" s="1"/>
  <c r="N111" i="68" a="1"/>
  <c r="N111" i="68" s="1"/>
  <c r="N17" i="85" s="1"/>
  <c r="N113" i="68" a="1"/>
  <c r="N113" i="68" s="1"/>
  <c r="N19" i="85" s="1"/>
  <c r="AB78" i="85"/>
  <c r="AB79" i="85"/>
  <c r="AB77" i="85"/>
  <c r="AC64" i="85"/>
  <c r="AC63" i="85"/>
  <c r="AC65" i="85"/>
  <c r="K79" i="85"/>
  <c r="K77" i="85"/>
  <c r="K78" i="85"/>
  <c r="AD49" i="85"/>
  <c r="AD51" i="85"/>
  <c r="AD50" i="85"/>
  <c r="AF116" i="68" a="1"/>
  <c r="AF116" i="68" s="1"/>
  <c r="AF114" i="68" a="1"/>
  <c r="AF114" i="68" s="1"/>
  <c r="AF20" i="85" s="1"/>
  <c r="AF111" i="68" a="1"/>
  <c r="AF111" i="68" s="1"/>
  <c r="AF17" i="85" s="1"/>
  <c r="AF113" i="68" a="1"/>
  <c r="AF113" i="68" s="1"/>
  <c r="AF19" i="85" s="1"/>
  <c r="AF112" i="68" a="1"/>
  <c r="AF112" i="68" s="1"/>
  <c r="AF18" i="85" s="1"/>
  <c r="AF117" i="68" a="1"/>
  <c r="AF117" i="68" s="1"/>
  <c r="AF110" i="68" a="1"/>
  <c r="AF110" i="68" s="1"/>
  <c r="AF16" i="85" s="1"/>
  <c r="AF115" i="68" a="1"/>
  <c r="AF115" i="68" s="1"/>
  <c r="R114" i="68" a="1"/>
  <c r="R114" i="68" s="1"/>
  <c r="R20" i="85" s="1"/>
  <c r="R113" i="68" a="1"/>
  <c r="R113" i="68" s="1"/>
  <c r="R19" i="85" s="1"/>
  <c r="R110" i="68" a="1"/>
  <c r="R110" i="68" s="1"/>
  <c r="R16" i="85" s="1"/>
  <c r="R111" i="68" a="1"/>
  <c r="R111" i="68" s="1"/>
  <c r="R17" i="85" s="1"/>
  <c r="R112" i="68" a="1"/>
  <c r="R112" i="68" s="1"/>
  <c r="R18" i="85" s="1"/>
  <c r="R116" i="68" a="1"/>
  <c r="R116" i="68" s="1"/>
  <c r="R117" i="68" a="1"/>
  <c r="R117" i="68" s="1"/>
  <c r="R115" i="68" a="1"/>
  <c r="R115" i="68" s="1"/>
  <c r="O77" i="85"/>
  <c r="O79" i="85"/>
  <c r="O78" i="85"/>
  <c r="N49" i="85"/>
  <c r="N51" i="85"/>
  <c r="N50" i="85"/>
  <c r="Z63" i="85"/>
  <c r="Z65" i="85"/>
  <c r="Z64" i="85"/>
  <c r="P51" i="85"/>
  <c r="P49" i="85"/>
  <c r="P50" i="85"/>
  <c r="K115" i="68" a="1"/>
  <c r="K115" i="68" s="1"/>
  <c r="K112" i="68" a="1"/>
  <c r="K112" i="68" s="1"/>
  <c r="K18" i="85" s="1"/>
  <c r="K116" i="68" a="1"/>
  <c r="K116" i="68" s="1"/>
  <c r="K113" i="68" a="1"/>
  <c r="K113" i="68" s="1"/>
  <c r="K19" i="85" s="1"/>
  <c r="K110" i="68" a="1"/>
  <c r="K110" i="68" s="1"/>
  <c r="K16" i="85" s="1"/>
  <c r="K117" i="68" a="1"/>
  <c r="K117" i="68" s="1"/>
  <c r="K111" i="68" a="1"/>
  <c r="K111" i="68" s="1"/>
  <c r="K17" i="85" s="1"/>
  <c r="K114" i="68" a="1"/>
  <c r="K114" i="68" s="1"/>
  <c r="K20" i="85" s="1"/>
  <c r="I49" i="85"/>
  <c r="I51" i="85"/>
  <c r="I50" i="85"/>
  <c r="S51" i="85"/>
  <c r="S49" i="85"/>
  <c r="S50" i="85"/>
  <c r="U65" i="85"/>
  <c r="U64" i="85"/>
  <c r="U63" i="85"/>
  <c r="T79" i="85"/>
  <c r="T78" i="85"/>
  <c r="T77" i="85"/>
  <c r="N63" i="85"/>
  <c r="N64" i="85"/>
  <c r="N65" i="85"/>
  <c r="F60" i="85"/>
  <c r="F93" i="85" s="1"/>
  <c r="I70" i="33" s="1"/>
  <c r="AE63" i="85"/>
  <c r="AE65" i="85"/>
  <c r="AE64" i="85"/>
  <c r="Z49" i="85"/>
  <c r="Z51" i="85"/>
  <c r="Z50" i="85"/>
  <c r="AE114" i="68" a="1"/>
  <c r="AE114" i="68" s="1"/>
  <c r="AE20" i="85" s="1"/>
  <c r="AE110" i="68" a="1"/>
  <c r="AE110" i="68" s="1"/>
  <c r="AE16" i="85" s="1"/>
  <c r="AE117" i="68" a="1"/>
  <c r="AE117" i="68" s="1"/>
  <c r="AE115" i="68" a="1"/>
  <c r="AE115" i="68" s="1"/>
  <c r="AE111" i="68" a="1"/>
  <c r="AE111" i="68" s="1"/>
  <c r="AE17" i="85" s="1"/>
  <c r="AE112" i="68" a="1"/>
  <c r="AE112" i="68" s="1"/>
  <c r="AE18" i="85" s="1"/>
  <c r="AE113" i="68" a="1"/>
  <c r="AE113" i="68" s="1"/>
  <c r="AE19" i="85" s="1"/>
  <c r="AE116" i="68" a="1"/>
  <c r="AE116" i="68" s="1"/>
  <c r="V78" i="85"/>
  <c r="V77" i="85"/>
  <c r="V79" i="85"/>
  <c r="K49" i="85"/>
  <c r="K51" i="85"/>
  <c r="K50" i="85"/>
  <c r="K63" i="85"/>
  <c r="K64" i="85"/>
  <c r="K65" i="85"/>
  <c r="I78" i="85"/>
  <c r="I79" i="85"/>
  <c r="I77" i="85"/>
  <c r="Y51" i="85"/>
  <c r="Y49" i="85"/>
  <c r="Y50" i="85"/>
  <c r="U51" i="85"/>
  <c r="U49" i="85"/>
  <c r="U50" i="85"/>
  <c r="Z111" i="68" a="1"/>
  <c r="Z111" i="68" s="1"/>
  <c r="Z17" i="85" s="1"/>
  <c r="Z114" i="68" a="1"/>
  <c r="Z114" i="68" s="1"/>
  <c r="Z20" i="85" s="1"/>
  <c r="Z110" i="68" a="1"/>
  <c r="Z110" i="68" s="1"/>
  <c r="Z16" i="85" s="1"/>
  <c r="Z115" i="68" a="1"/>
  <c r="Z115" i="68" s="1"/>
  <c r="Z116" i="68" a="1"/>
  <c r="Z116" i="68" s="1"/>
  <c r="Z112" i="68" a="1"/>
  <c r="Z112" i="68" s="1"/>
  <c r="Z18" i="85" s="1"/>
  <c r="Z117" i="68" a="1"/>
  <c r="Z117" i="68" s="1"/>
  <c r="Z113" i="68" a="1"/>
  <c r="Z113" i="68" s="1"/>
  <c r="Z19" i="85" s="1"/>
  <c r="AA114" i="68" a="1"/>
  <c r="AA114" i="68" s="1"/>
  <c r="AA20" i="85" s="1"/>
  <c r="AA111" i="68" a="1"/>
  <c r="AA111" i="68" s="1"/>
  <c r="AA17" i="85" s="1"/>
  <c r="AA113" i="68" a="1"/>
  <c r="AA113" i="68" s="1"/>
  <c r="AA19" i="85" s="1"/>
  <c r="AA115" i="68" a="1"/>
  <c r="AA115" i="68" s="1"/>
  <c r="AA116" i="68" a="1"/>
  <c r="AA116" i="68" s="1"/>
  <c r="AA110" i="68" a="1"/>
  <c r="AA110" i="68" s="1"/>
  <c r="AA16" i="85" s="1"/>
  <c r="AA112" i="68" a="1"/>
  <c r="AA112" i="68" s="1"/>
  <c r="AA18" i="85" s="1"/>
  <c r="AA117" i="68" a="1"/>
  <c r="AA117" i="68" s="1"/>
  <c r="F14" i="85"/>
  <c r="C90" i="85" s="1"/>
  <c r="V51" i="85"/>
  <c r="V49" i="85"/>
  <c r="V50" i="85"/>
  <c r="Y78" i="85"/>
  <c r="Y79" i="85"/>
  <c r="Y77" i="85"/>
  <c r="I115" i="68" a="1"/>
  <c r="I115" i="68" s="1"/>
  <c r="I112" i="68" a="1"/>
  <c r="I112" i="68" s="1"/>
  <c r="I18" i="85" s="1"/>
  <c r="I116" i="68" a="1"/>
  <c r="I116" i="68" s="1"/>
  <c r="I110" i="68" a="1"/>
  <c r="I110" i="68" s="1"/>
  <c r="I16" i="85" s="1"/>
  <c r="I117" i="68" a="1"/>
  <c r="I117" i="68" s="1"/>
  <c r="I111" i="68" a="1"/>
  <c r="I111" i="68" s="1"/>
  <c r="I17" i="85" s="1"/>
  <c r="I114" i="68" a="1"/>
  <c r="I114" i="68" s="1"/>
  <c r="I20" i="85" s="1"/>
  <c r="I113" i="68" a="1"/>
  <c r="I113" i="68" s="1"/>
  <c r="I19" i="85" s="1"/>
  <c r="F74" i="85"/>
  <c r="AD113" i="68" a="1"/>
  <c r="AD113" i="68" s="1"/>
  <c r="AD19" i="85" s="1"/>
  <c r="AD110" i="68" a="1"/>
  <c r="AD110" i="68" s="1"/>
  <c r="AD16" i="85" s="1"/>
  <c r="AD116" i="68" a="1"/>
  <c r="AD116" i="68" s="1"/>
  <c r="AD117" i="68" a="1"/>
  <c r="AD117" i="68" s="1"/>
  <c r="AD112" i="68" a="1"/>
  <c r="AD112" i="68" s="1"/>
  <c r="AD18" i="85" s="1"/>
  <c r="AD115" i="68" a="1"/>
  <c r="AD115" i="68" s="1"/>
  <c r="AD111" i="68" a="1"/>
  <c r="AD111" i="68" s="1"/>
  <c r="AD17" i="85" s="1"/>
  <c r="AD114" i="68" a="1"/>
  <c r="AD114" i="68" s="1"/>
  <c r="AD20" i="85" s="1"/>
  <c r="Q79" i="85"/>
  <c r="Q77" i="85"/>
  <c r="Q78" i="85"/>
  <c r="AA79" i="85"/>
  <c r="AA78" i="85"/>
  <c r="AA77" i="85"/>
  <c r="T114" i="68" a="1"/>
  <c r="T114" i="68" s="1"/>
  <c r="T20" i="85" s="1"/>
  <c r="T112" i="68" a="1"/>
  <c r="T112" i="68" s="1"/>
  <c r="T18" i="85" s="1"/>
  <c r="T117" i="68" a="1"/>
  <c r="T117" i="68" s="1"/>
  <c r="T115" i="68" a="1"/>
  <c r="T115" i="68" s="1"/>
  <c r="T111" i="68" a="1"/>
  <c r="T111" i="68" s="1"/>
  <c r="T17" i="85" s="1"/>
  <c r="T116" i="68" a="1"/>
  <c r="T116" i="68" s="1"/>
  <c r="T113" i="68" a="1"/>
  <c r="T113" i="68" s="1"/>
  <c r="T19" i="85" s="1"/>
  <c r="T110" i="68" a="1"/>
  <c r="T110" i="68" s="1"/>
  <c r="T16" i="85" s="1"/>
  <c r="M65" i="85"/>
  <c r="M63" i="85"/>
  <c r="M64" i="85"/>
  <c r="M51" i="85"/>
  <c r="M49" i="85"/>
  <c r="M50" i="85"/>
  <c r="X116" i="68" a="1"/>
  <c r="X116" i="68" s="1"/>
  <c r="X114" i="68" a="1"/>
  <c r="X114" i="68" s="1"/>
  <c r="X20" i="85" s="1"/>
  <c r="X113" i="68" a="1"/>
  <c r="X113" i="68" s="1"/>
  <c r="X19" i="85" s="1"/>
  <c r="X112" i="68" a="1"/>
  <c r="X112" i="68" s="1"/>
  <c r="X18" i="85" s="1"/>
  <c r="X111" i="68" a="1"/>
  <c r="X111" i="68" s="1"/>
  <c r="X17" i="85" s="1"/>
  <c r="X117" i="68" a="1"/>
  <c r="X117" i="68" s="1"/>
  <c r="X110" i="68" a="1"/>
  <c r="X110" i="68" s="1"/>
  <c r="X16" i="85" s="1"/>
  <c r="X115" i="68" a="1"/>
  <c r="X115" i="68" s="1"/>
  <c r="Q64" i="85"/>
  <c r="Q65" i="85"/>
  <c r="Q63" i="85"/>
  <c r="AF49" i="85"/>
  <c r="AF51" i="85"/>
  <c r="AF50" i="85"/>
  <c r="AD65" i="85"/>
  <c r="AD63" i="85"/>
  <c r="AD64" i="85"/>
  <c r="AB63" i="85"/>
  <c r="AB64" i="85"/>
  <c r="AB65" i="85"/>
  <c r="X77" i="85"/>
  <c r="X79" i="85"/>
  <c r="X78" i="85"/>
  <c r="S112" i="68" a="1"/>
  <c r="S112" i="68" s="1"/>
  <c r="S18" i="85" s="1"/>
  <c r="S115" i="68" a="1"/>
  <c r="S115" i="68" s="1"/>
  <c r="S114" i="68" a="1"/>
  <c r="S114" i="68" s="1"/>
  <c r="S20" i="85" s="1"/>
  <c r="S116" i="68" a="1"/>
  <c r="S116" i="68" s="1"/>
  <c r="S117" i="68" a="1"/>
  <c r="S117" i="68" s="1"/>
  <c r="S111" i="68" a="1"/>
  <c r="S111" i="68" s="1"/>
  <c r="S17" i="85" s="1"/>
  <c r="S113" i="68" a="1"/>
  <c r="S113" i="68" s="1"/>
  <c r="S19" i="85" s="1"/>
  <c r="S110" i="68" a="1"/>
  <c r="S110" i="68" s="1"/>
  <c r="S16" i="85" s="1"/>
  <c r="V113" i="68" a="1"/>
  <c r="V113" i="68" s="1"/>
  <c r="V19" i="85" s="1"/>
  <c r="V110" i="68" a="1"/>
  <c r="V110" i="68" s="1"/>
  <c r="V16" i="85" s="1"/>
  <c r="V112" i="68" a="1"/>
  <c r="V112" i="68" s="1"/>
  <c r="V18" i="85" s="1"/>
  <c r="V114" i="68" a="1"/>
  <c r="V114" i="68" s="1"/>
  <c r="V20" i="85" s="1"/>
  <c r="V116" i="68" a="1"/>
  <c r="V116" i="68" s="1"/>
  <c r="V111" i="68" a="1"/>
  <c r="V111" i="68" s="1"/>
  <c r="V17" i="85" s="1"/>
  <c r="V117" i="68" a="1"/>
  <c r="V117" i="68" s="1"/>
  <c r="V115" i="68" a="1"/>
  <c r="V115" i="68" s="1"/>
  <c r="P63" i="85"/>
  <c r="P65" i="85"/>
  <c r="P64" i="85"/>
  <c r="F36" i="85"/>
  <c r="F37" i="85"/>
  <c r="Z79" i="85"/>
  <c r="Z77" i="85"/>
  <c r="Z78" i="85"/>
  <c r="O117" i="68" a="1"/>
  <c r="O117" i="68" s="1"/>
  <c r="O112" i="68" a="1"/>
  <c r="O112" i="68" s="1"/>
  <c r="O18" i="85" s="1"/>
  <c r="O111" i="68" a="1"/>
  <c r="O111" i="68" s="1"/>
  <c r="O17" i="85" s="1"/>
  <c r="O113" i="68" a="1"/>
  <c r="O113" i="68" s="1"/>
  <c r="O19" i="85" s="1"/>
  <c r="O110" i="68" a="1"/>
  <c r="O110" i="68" s="1"/>
  <c r="O16" i="85" s="1"/>
  <c r="O115" i="68" a="1"/>
  <c r="O115" i="68" s="1"/>
  <c r="O114" i="68" a="1"/>
  <c r="O114" i="68" s="1"/>
  <c r="O20" i="85" s="1"/>
  <c r="O116" i="68" a="1"/>
  <c r="O116" i="68" s="1"/>
  <c r="U79" i="85"/>
  <c r="U78" i="85"/>
  <c r="U77" i="85"/>
  <c r="AG78" i="85"/>
  <c r="AG77" i="85"/>
  <c r="AG79" i="85"/>
  <c r="F56" i="85"/>
  <c r="F90" i="85" s="1"/>
  <c r="I67" i="33" s="1"/>
  <c r="F42" i="85"/>
  <c r="E90" i="85" s="1"/>
  <c r="H67" i="33" s="1"/>
  <c r="L51" i="85"/>
  <c r="L49" i="85"/>
  <c r="L50" i="85"/>
  <c r="F48" i="85"/>
  <c r="E95" i="85" s="1"/>
  <c r="H72" i="33" s="1"/>
  <c r="J63" i="85"/>
  <c r="J65" i="85"/>
  <c r="J64" i="85"/>
  <c r="S63" i="85"/>
  <c r="S65" i="85"/>
  <c r="S64" i="85"/>
  <c r="F62" i="85"/>
  <c r="N79" i="85"/>
  <c r="N78" i="85"/>
  <c r="N77" i="85"/>
  <c r="W64" i="85"/>
  <c r="W65" i="85"/>
  <c r="W63" i="85"/>
  <c r="AA51" i="85"/>
  <c r="AA49" i="85"/>
  <c r="AA50" i="85"/>
  <c r="AE77" i="85"/>
  <c r="AE79" i="85"/>
  <c r="AE78" i="85"/>
  <c r="J115" i="68" a="1"/>
  <c r="J115" i="68" s="1"/>
  <c r="J112" i="68" a="1"/>
  <c r="J112" i="68" s="1"/>
  <c r="J18" i="85" s="1"/>
  <c r="J113" i="68" a="1"/>
  <c r="J113" i="68" s="1"/>
  <c r="J19" i="85" s="1"/>
  <c r="J116" i="68" a="1"/>
  <c r="J116" i="68" s="1"/>
  <c r="J110" i="68" a="1"/>
  <c r="J110" i="68" s="1"/>
  <c r="J16" i="85" s="1"/>
  <c r="J111" i="68" a="1"/>
  <c r="J111" i="68" s="1"/>
  <c r="J17" i="85" s="1"/>
  <c r="J117" i="68" a="1"/>
  <c r="J117" i="68" s="1"/>
  <c r="J114" i="68" a="1"/>
  <c r="J114" i="68" s="1"/>
  <c r="J20" i="85" s="1"/>
  <c r="AA64" i="85"/>
  <c r="AA65" i="85"/>
  <c r="AA63" i="85"/>
  <c r="AC112" i="68" a="1"/>
  <c r="AC112" i="68" s="1"/>
  <c r="AC18" i="85" s="1"/>
  <c r="AC113" i="68" a="1"/>
  <c r="AC113" i="68" s="1"/>
  <c r="AC19" i="85" s="1"/>
  <c r="AC117" i="68" a="1"/>
  <c r="AC117" i="68" s="1"/>
  <c r="AC111" i="68" a="1"/>
  <c r="AC111" i="68" s="1"/>
  <c r="AC17" i="85" s="1"/>
  <c r="AC114" i="68" a="1"/>
  <c r="AC114" i="68" s="1"/>
  <c r="AC20" i="85" s="1"/>
  <c r="AC115" i="68" a="1"/>
  <c r="AC115" i="68" s="1"/>
  <c r="AC116" i="68" a="1"/>
  <c r="AC116" i="68" s="1"/>
  <c r="AC110" i="68" a="1"/>
  <c r="AC110" i="68" s="1"/>
  <c r="AC16" i="85" s="1"/>
  <c r="Y64" i="85"/>
  <c r="Y65" i="85"/>
  <c r="Y63" i="85"/>
  <c r="F70" i="85"/>
  <c r="AF63" i="85"/>
  <c r="AF64" i="85"/>
  <c r="AF65" i="85"/>
  <c r="F35" i="85"/>
  <c r="AG117" i="68" a="1"/>
  <c r="AG117" i="68" s="1"/>
  <c r="AG112" i="68" a="1"/>
  <c r="AG112" i="68" s="1"/>
  <c r="AG18" i="85" s="1"/>
  <c r="AG116" i="68" a="1"/>
  <c r="AG116" i="68" s="1"/>
  <c r="AG111" i="68" a="1"/>
  <c r="AG111" i="68" s="1"/>
  <c r="AG17" i="85" s="1"/>
  <c r="AG115" i="68" a="1"/>
  <c r="AG115" i="68" s="1"/>
  <c r="AG113" i="68" a="1"/>
  <c r="AG113" i="68" s="1"/>
  <c r="AG19" i="85" s="1"/>
  <c r="AG114" i="68" a="1"/>
  <c r="AG114" i="68" s="1"/>
  <c r="AG20" i="85" s="1"/>
  <c r="AG110" i="68" a="1"/>
  <c r="AG110" i="68" s="1"/>
  <c r="AG16" i="85" s="1"/>
  <c r="AB111" i="68" a="1"/>
  <c r="AB111" i="68" s="1"/>
  <c r="AB17" i="85" s="1"/>
  <c r="AB115" i="68" a="1"/>
  <c r="AB115" i="68" s="1"/>
  <c r="AB114" i="68" a="1"/>
  <c r="AB114" i="68" s="1"/>
  <c r="AB20" i="85" s="1"/>
  <c r="AB112" i="68" a="1"/>
  <c r="AB112" i="68" s="1"/>
  <c r="AB18" i="85" s="1"/>
  <c r="AB113" i="68" a="1"/>
  <c r="AB113" i="68" s="1"/>
  <c r="AB19" i="85" s="1"/>
  <c r="AB117" i="68" a="1"/>
  <c r="AB117" i="68" s="1"/>
  <c r="AB116" i="68" a="1"/>
  <c r="AB116" i="68" s="1"/>
  <c r="AB110" i="68" a="1"/>
  <c r="AB110" i="68" s="1"/>
  <c r="AB16" i="85" s="1"/>
  <c r="AC49" i="85"/>
  <c r="AC51" i="85"/>
  <c r="AC50" i="85"/>
  <c r="U116" i="68" a="1"/>
  <c r="U116" i="68" s="1"/>
  <c r="U112" i="68" a="1"/>
  <c r="U112" i="68" s="1"/>
  <c r="U18" i="85" s="1"/>
  <c r="U110" i="68" a="1"/>
  <c r="U110" i="68" s="1"/>
  <c r="U16" i="85" s="1"/>
  <c r="U111" i="68" a="1"/>
  <c r="U111" i="68" s="1"/>
  <c r="U17" i="85" s="1"/>
  <c r="U117" i="68" a="1"/>
  <c r="U117" i="68" s="1"/>
  <c r="U114" i="68" a="1"/>
  <c r="U114" i="68" s="1"/>
  <c r="U20" i="85" s="1"/>
  <c r="U113" i="68" a="1"/>
  <c r="U113" i="68" s="1"/>
  <c r="U19" i="85" s="1"/>
  <c r="U115" i="68" a="1"/>
  <c r="U115" i="68" s="1"/>
  <c r="AB51" i="85"/>
  <c r="AB49" i="85"/>
  <c r="AB50" i="85"/>
  <c r="L64" i="85"/>
  <c r="L63" i="85"/>
  <c r="L65" i="85"/>
  <c r="F47" i="85"/>
  <c r="E94" i="85" s="1"/>
  <c r="H71" i="33" s="1"/>
  <c r="L115" i="68" a="1"/>
  <c r="L115" i="68" s="1"/>
  <c r="L113" i="68" a="1"/>
  <c r="L113" i="68" s="1"/>
  <c r="L19" i="85" s="1"/>
  <c r="L111" i="68" a="1"/>
  <c r="L111" i="68" s="1"/>
  <c r="L17" i="85" s="1"/>
  <c r="L117" i="68" a="1"/>
  <c r="L117" i="68" s="1"/>
  <c r="L114" i="68" a="1"/>
  <c r="L114" i="68" s="1"/>
  <c r="L20" i="85" s="1"/>
  <c r="L112" i="68" a="1"/>
  <c r="L112" i="68" s="1"/>
  <c r="L18" i="85" s="1"/>
  <c r="L116" i="68" a="1"/>
  <c r="L116" i="68" s="1"/>
  <c r="L110" i="68" a="1"/>
  <c r="L110" i="68" s="1"/>
  <c r="L16" i="85" s="1"/>
  <c r="P117" i="68" a="1"/>
  <c r="P117" i="68" s="1"/>
  <c r="P110" i="68" a="1"/>
  <c r="P110" i="68" s="1"/>
  <c r="P16" i="85" s="1"/>
  <c r="P111" i="68" a="1"/>
  <c r="P111" i="68" s="1"/>
  <c r="P17" i="85" s="1"/>
  <c r="P112" i="68" a="1"/>
  <c r="P112" i="68" s="1"/>
  <c r="P18" i="85" s="1"/>
  <c r="P115" i="68" a="1"/>
  <c r="P115" i="68" s="1"/>
  <c r="P114" i="68" a="1"/>
  <c r="P114" i="68" s="1"/>
  <c r="P20" i="85" s="1"/>
  <c r="P116" i="68" a="1"/>
  <c r="P116" i="68" s="1"/>
  <c r="P113" i="68" a="1"/>
  <c r="P113" i="68" s="1"/>
  <c r="P19" i="85" s="1"/>
  <c r="F58" i="85"/>
  <c r="F91" i="85" s="1"/>
  <c r="I68" i="33" s="1"/>
  <c r="I40" i="85"/>
  <c r="F51" i="75" a="1"/>
  <c r="F51" i="75" s="1"/>
  <c r="I11" i="33" s="1"/>
  <c r="G18" i="33" s="1"/>
  <c r="W49" i="85"/>
  <c r="W51" i="85"/>
  <c r="W50" i="85"/>
  <c r="AG64" i="85"/>
  <c r="AG63" i="85"/>
  <c r="AG65" i="85"/>
  <c r="X51" i="85"/>
  <c r="X49" i="85"/>
  <c r="X50" i="85"/>
  <c r="S77" i="85"/>
  <c r="S78" i="85"/>
  <c r="S79" i="85"/>
  <c r="M78" i="85"/>
  <c r="M77" i="85"/>
  <c r="M79" i="85"/>
  <c r="T65" i="85"/>
  <c r="T63" i="85"/>
  <c r="T64" i="85"/>
  <c r="W77" i="85"/>
  <c r="W78" i="85"/>
  <c r="W79" i="85"/>
  <c r="M115" i="68" a="1"/>
  <c r="M115" i="68" s="1"/>
  <c r="M113" i="68" a="1"/>
  <c r="M113" i="68" s="1"/>
  <c r="M19" i="85" s="1"/>
  <c r="M110" i="68" a="1"/>
  <c r="M110" i="68" s="1"/>
  <c r="M16" i="85" s="1"/>
  <c r="M116" i="68" a="1"/>
  <c r="M116" i="68" s="1"/>
  <c r="M111" i="68" a="1"/>
  <c r="M111" i="68" s="1"/>
  <c r="M17" i="85" s="1"/>
  <c r="M114" i="68" a="1"/>
  <c r="M114" i="68" s="1"/>
  <c r="M20" i="85" s="1"/>
  <c r="M112" i="68" a="1"/>
  <c r="M112" i="68" s="1"/>
  <c r="M18" i="85" s="1"/>
  <c r="M117" i="68" a="1"/>
  <c r="M117" i="68" s="1"/>
  <c r="Q111" i="68" a="1"/>
  <c r="Q111" i="68" s="1"/>
  <c r="Q17" i="85" s="1"/>
  <c r="Q114" i="68" a="1"/>
  <c r="Q114" i="68" s="1"/>
  <c r="Q20" i="85" s="1"/>
  <c r="Q117" i="68" a="1"/>
  <c r="Q117" i="68" s="1"/>
  <c r="Q115" i="68" a="1"/>
  <c r="Q115" i="68" s="1"/>
  <c r="Q112" i="68" a="1"/>
  <c r="Q112" i="68" s="1"/>
  <c r="Q18" i="85" s="1"/>
  <c r="Q110" i="68" a="1"/>
  <c r="Q110" i="68" s="1"/>
  <c r="Q16" i="85" s="1"/>
  <c r="Q116" i="68" a="1"/>
  <c r="Q116" i="68" s="1"/>
  <c r="Q113" i="68" a="1"/>
  <c r="Q113" i="68" s="1"/>
  <c r="Q19" i="85" s="1"/>
  <c r="F73" i="85"/>
  <c r="AC79" i="85"/>
  <c r="AC77" i="85"/>
  <c r="AC78" i="85"/>
  <c r="F95" i="85" l="1"/>
  <c r="I72" i="33" s="1"/>
  <c r="D18" i="33"/>
  <c r="C18" i="33"/>
  <c r="C26" i="33" s="1"/>
  <c r="I31" i="33" s="1"/>
  <c r="M22" i="85"/>
  <c r="M23" i="85"/>
  <c r="M21" i="85"/>
  <c r="W22" i="85"/>
  <c r="W23" i="85"/>
  <c r="W21" i="85"/>
  <c r="F16" i="85"/>
  <c r="C91" i="85" s="1"/>
  <c r="F50" i="85"/>
  <c r="F65" i="85"/>
  <c r="F49" i="85"/>
  <c r="F78" i="85"/>
  <c r="F17" i="85"/>
  <c r="C92" i="85" s="1"/>
  <c r="L22" i="85"/>
  <c r="L23" i="85"/>
  <c r="L21" i="85"/>
  <c r="X23" i="85"/>
  <c r="X22" i="85"/>
  <c r="X21" i="85"/>
  <c r="J22" i="85"/>
  <c r="J21" i="85"/>
  <c r="J23" i="85"/>
  <c r="R22" i="85"/>
  <c r="R21" i="85"/>
  <c r="R23" i="85"/>
  <c r="F51" i="85"/>
  <c r="AA22" i="85"/>
  <c r="AA21" i="85"/>
  <c r="AA23" i="85"/>
  <c r="F19" i="85"/>
  <c r="C94" i="85" s="1"/>
  <c r="T23" i="85"/>
  <c r="T21" i="85"/>
  <c r="T22" i="85"/>
  <c r="F18" i="85"/>
  <c r="C93" i="85" s="1"/>
  <c r="Y21" i="85"/>
  <c r="Y23" i="85"/>
  <c r="Y22" i="85"/>
  <c r="AF21" i="85"/>
  <c r="AF22" i="85"/>
  <c r="AF23" i="85"/>
  <c r="AB23" i="85"/>
  <c r="AB22" i="85"/>
  <c r="AB21" i="85"/>
  <c r="F64" i="85"/>
  <c r="F20" i="85"/>
  <c r="C95" i="85" s="1"/>
  <c r="Z23" i="85"/>
  <c r="Z21" i="85"/>
  <c r="Z22" i="85"/>
  <c r="P22" i="85"/>
  <c r="P21" i="85"/>
  <c r="P23" i="85"/>
  <c r="U23" i="85"/>
  <c r="U21" i="85"/>
  <c r="U22" i="85"/>
  <c r="F67" i="33"/>
  <c r="I90" i="85"/>
  <c r="K90" i="85" s="1"/>
  <c r="L67" i="33" s="1"/>
  <c r="F63" i="85"/>
  <c r="I73" i="33" s="1"/>
  <c r="F77" i="85"/>
  <c r="J73" i="33" s="1"/>
  <c r="O23" i="85"/>
  <c r="O21" i="85"/>
  <c r="O22" i="85"/>
  <c r="F79" i="85"/>
  <c r="S21" i="85"/>
  <c r="S22" i="85"/>
  <c r="S23" i="85"/>
  <c r="I21" i="85"/>
  <c r="I23" i="85"/>
  <c r="I22" i="85"/>
  <c r="Q21" i="85"/>
  <c r="Q23" i="85"/>
  <c r="Q22" i="85"/>
  <c r="V22" i="85"/>
  <c r="V23" i="85"/>
  <c r="V21" i="85"/>
  <c r="K22" i="85"/>
  <c r="K23" i="85"/>
  <c r="K21" i="85"/>
  <c r="AC21" i="85"/>
  <c r="AC22" i="85"/>
  <c r="AC23" i="85"/>
  <c r="AG21" i="85"/>
  <c r="AG23" i="85"/>
  <c r="AG22" i="85"/>
  <c r="AD21" i="85"/>
  <c r="AD23" i="85"/>
  <c r="AD22" i="85"/>
  <c r="AE22" i="85"/>
  <c r="AE23" i="85"/>
  <c r="AE21" i="85"/>
  <c r="N22" i="85"/>
  <c r="N23" i="85"/>
  <c r="N21" i="85"/>
  <c r="F31" i="33" l="1"/>
  <c r="G30" i="33"/>
  <c r="G31" i="33"/>
  <c r="J30" i="33"/>
  <c r="J31" i="33"/>
  <c r="A91" i="75"/>
  <c r="AA91" i="75" s="1" a="1"/>
  <c r="AA91" i="75" s="1"/>
  <c r="F30" i="33"/>
  <c r="H30" i="33"/>
  <c r="I30" i="33"/>
  <c r="H31" i="33"/>
  <c r="K91" i="75" a="1"/>
  <c r="K91" i="75" s="1"/>
  <c r="AG91" i="75" a="1"/>
  <c r="AG91" i="75" s="1"/>
  <c r="L91" i="75" a="1"/>
  <c r="L91" i="75" s="1"/>
  <c r="H91" i="75"/>
  <c r="F68" i="33"/>
  <c r="I91" i="85"/>
  <c r="K91" i="85" s="1"/>
  <c r="L68" i="33" s="1"/>
  <c r="F72" i="33"/>
  <c r="I95" i="85"/>
  <c r="K95" i="85" s="1"/>
  <c r="L72" i="33" s="1"/>
  <c r="F23" i="85"/>
  <c r="F70" i="33"/>
  <c r="I93" i="85"/>
  <c r="K93" i="85" s="1"/>
  <c r="L70" i="33" s="1"/>
  <c r="F22" i="85"/>
  <c r="F21" i="85"/>
  <c r="F69" i="33"/>
  <c r="I92" i="85"/>
  <c r="K92" i="85" s="1"/>
  <c r="L69" i="33" s="1"/>
  <c r="F71" i="33"/>
  <c r="I94" i="85"/>
  <c r="K94" i="85" s="1"/>
  <c r="L71" i="33" s="1"/>
  <c r="Z91" i="75" l="1" a="1"/>
  <c r="Z91" i="75" s="1"/>
  <c r="AD91" i="75" a="1"/>
  <c r="AD91" i="75" s="1"/>
  <c r="J91" i="75" a="1"/>
  <c r="J91" i="75" s="1"/>
  <c r="AC91" i="75" a="1"/>
  <c r="AC91" i="75" s="1"/>
  <c r="N91" i="75" a="1"/>
  <c r="N91" i="75" s="1"/>
  <c r="AF91" i="75" a="1"/>
  <c r="AF91" i="75" s="1"/>
  <c r="L31" i="33"/>
  <c r="W91" i="75" a="1"/>
  <c r="W91" i="75" s="1"/>
  <c r="AB91" i="75" a="1"/>
  <c r="AB91" i="75" s="1"/>
  <c r="X91" i="75" a="1"/>
  <c r="X91" i="75" s="1"/>
  <c r="I91" i="75" a="1"/>
  <c r="I91" i="75" s="1"/>
  <c r="AE91" i="75" a="1"/>
  <c r="AE91" i="75" s="1"/>
  <c r="P91" i="75" a="1"/>
  <c r="P91" i="75" s="1"/>
  <c r="Y91" i="75" a="1"/>
  <c r="Y91" i="75" s="1"/>
  <c r="T91" i="75" a="1"/>
  <c r="T91" i="75" s="1"/>
  <c r="R91" i="75" a="1"/>
  <c r="R91" i="75" s="1"/>
  <c r="S91" i="75" a="1"/>
  <c r="S91" i="75" s="1"/>
  <c r="V91" i="75" a="1"/>
  <c r="V91" i="75" s="1"/>
  <c r="L30" i="33"/>
  <c r="O91" i="75" a="1"/>
  <c r="O91" i="75" s="1"/>
  <c r="M91" i="75" a="1"/>
  <c r="M91" i="75" s="1"/>
  <c r="U91" i="75" a="1"/>
  <c r="U91" i="75" s="1"/>
  <c r="Q91" i="75" a="1"/>
  <c r="Q91" i="7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<sst xmlns="http://schemas.openxmlformats.org/spreadsheetml/2006/main" count="1659" uniqueCount="671">
  <si>
    <t>Description</t>
  </si>
  <si>
    <t>Option</t>
  </si>
  <si>
    <t>Opex</t>
  </si>
  <si>
    <t>Powercor</t>
  </si>
  <si>
    <t>Network resilience</t>
  </si>
  <si>
    <t>Enabling solar exports</t>
  </si>
  <si>
    <t>Communication</t>
  </si>
  <si>
    <t>Information accessibility</t>
  </si>
  <si>
    <t>VCR</t>
  </si>
  <si>
    <t>Customer value of time - residential</t>
  </si>
  <si>
    <t>Customer value of time - business</t>
  </si>
  <si>
    <t>Business:</t>
  </si>
  <si>
    <t xml:space="preserve">Descripton: </t>
  </si>
  <si>
    <t xml:space="preserve">Date of cost inputs: </t>
  </si>
  <si>
    <t>Reliability in worst-served areas</t>
  </si>
  <si>
    <t>Aesthetics</t>
  </si>
  <si>
    <t>SUMMARY</t>
  </si>
  <si>
    <t>Capex</t>
  </si>
  <si>
    <t>Other</t>
  </si>
  <si>
    <t>2026-27</t>
  </si>
  <si>
    <t>2028-29</t>
  </si>
  <si>
    <t>2027-28</t>
  </si>
  <si>
    <t>2029-30</t>
  </si>
  <si>
    <t>Energy</t>
  </si>
  <si>
    <t>Preferred option:</t>
  </si>
  <si>
    <t>Units</t>
  </si>
  <si>
    <t>Dollar inputs - month</t>
  </si>
  <si>
    <t>Dollar inputs - year</t>
  </si>
  <si>
    <t>Preferred Option</t>
  </si>
  <si>
    <t>Expenditure forecast</t>
  </si>
  <si>
    <t>Capital expenditure</t>
  </si>
  <si>
    <t>Operating expenditure</t>
  </si>
  <si>
    <t>Output dollars</t>
  </si>
  <si>
    <t>per minute customer time</t>
  </si>
  <si>
    <t>per customer impacted</t>
  </si>
  <si>
    <t>Actual/forecast CPI (June to June)</t>
  </si>
  <si>
    <t>December</t>
  </si>
  <si>
    <t>CY</t>
  </si>
  <si>
    <t>FY</t>
  </si>
  <si>
    <t>COSTS</t>
  </si>
  <si>
    <t>MWh</t>
  </si>
  <si>
    <t>Business</t>
  </si>
  <si>
    <t>CitiPower</t>
  </si>
  <si>
    <t>United Energy</t>
  </si>
  <si>
    <t>Project</t>
  </si>
  <si>
    <t>June</t>
  </si>
  <si>
    <t>Input dollars</t>
  </si>
  <si>
    <t>2025-26</t>
  </si>
  <si>
    <t>Customers impacted</t>
  </si>
  <si>
    <t>Type</t>
  </si>
  <si>
    <t>- Select -</t>
  </si>
  <si>
    <t>select &gt;</t>
  </si>
  <si>
    <t>DATA</t>
  </si>
  <si>
    <t>Include</t>
  </si>
  <si>
    <t>per MWh</t>
  </si>
  <si>
    <t>Benefits</t>
  </si>
  <si>
    <t>Other benefits</t>
  </si>
  <si>
    <t>OTHER BENEFITS</t>
  </si>
  <si>
    <t>&lt; Enter description &gt;</t>
  </si>
  <si>
    <t>No change to existing practices</t>
  </si>
  <si>
    <r>
      <t>Reduction in CO</t>
    </r>
    <r>
      <rPr>
        <vertAlign val="subscript"/>
        <sz val="8.5"/>
        <color theme="1"/>
        <rFont val="Calibri"/>
        <family val="2"/>
      </rPr>
      <t>2</t>
    </r>
    <r>
      <rPr>
        <sz val="10"/>
        <color theme="1"/>
        <rFont val="Calibri"/>
        <family val="2"/>
        <scheme val="minor"/>
      </rPr>
      <t xml:space="preserve"> emissions</t>
    </r>
  </si>
  <si>
    <t>Carbon</t>
  </si>
  <si>
    <t>VCR date</t>
  </si>
  <si>
    <t>$/kWh</t>
  </si>
  <si>
    <t>$/MWh</t>
  </si>
  <si>
    <t>[output_dollars]</t>
  </si>
  <si>
    <t>[start]</t>
  </si>
  <si>
    <t>[real_disc]</t>
  </si>
  <si>
    <t>[vcr_date]</t>
  </si>
  <si>
    <t>Value</t>
  </si>
  <si>
    <t>Asset life (yrs)</t>
  </si>
  <si>
    <t>[input_dollars]</t>
  </si>
  <si>
    <t>Other benefits date</t>
  </si>
  <si>
    <t>[custval_date]</t>
  </si>
  <si>
    <r>
      <t>Value of CO</t>
    </r>
    <r>
      <rPr>
        <vertAlign val="subscript"/>
        <sz val="8.5"/>
        <color theme="1"/>
        <rFont val="Calibri"/>
        <family val="2"/>
      </rPr>
      <t>2</t>
    </r>
    <r>
      <rPr>
        <sz val="10"/>
        <color theme="1"/>
        <rFont val="Calibri"/>
        <family val="2"/>
        <scheme val="minor"/>
      </rPr>
      <t xml:space="preserve"> reductions</t>
    </r>
  </si>
  <si>
    <t>HY ending</t>
  </si>
  <si>
    <t>FY ending</t>
  </si>
  <si>
    <t>Actual cumulative HY escalation</t>
  </si>
  <si>
    <t>Conversion from input dollars to output dollars</t>
  </si>
  <si>
    <t>per customer</t>
  </si>
  <si>
    <t>per customer minute</t>
  </si>
  <si>
    <t>Options</t>
  </si>
  <si>
    <t>Flag to include</t>
  </si>
  <si>
    <t>Customer minutes</t>
  </si>
  <si>
    <t>Not used</t>
  </si>
  <si>
    <t>Value of benefits</t>
  </si>
  <si>
    <t>Categories</t>
  </si>
  <si>
    <t>DROPDOWN LISTS</t>
  </si>
  <si>
    <t>Short categ</t>
  </si>
  <si>
    <t>PREFERRED OPTION</t>
  </si>
  <si>
    <t>Not used options</t>
  </si>
  <si>
    <t>CONSOLIDATED</t>
  </si>
  <si>
    <t>Annualised capex</t>
  </si>
  <si>
    <t>Count</t>
  </si>
  <si>
    <t>2030-31</t>
  </si>
  <si>
    <t>2031-32</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</si>
  <si>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</si>
  <si>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</si>
  <si>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</si>
  <si>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</si>
  <si>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</si>
  <si>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</si>
  <si>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</si>
  <si>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</si>
  <si>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</si>
  <si>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</si>
  <si>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</si>
  <si>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Unserved energy</t>
  </si>
  <si>
    <t>UnRepl</t>
  </si>
  <si>
    <t>Unplanned replacement</t>
  </si>
  <si>
    <t>Fire</t>
  </si>
  <si>
    <t>Defined value</t>
  </si>
  <si>
    <t>Safety - Single fatality or serious injury ^</t>
  </si>
  <si>
    <t>Safety - Multiple fatality or serious injury ^</t>
  </si>
  <si>
    <t>^ Public or employee</t>
  </si>
  <si>
    <t>Safety consequence</t>
  </si>
  <si>
    <t>Environmental consequence</t>
  </si>
  <si>
    <t>Unplanned replacements</t>
  </si>
  <si>
    <t>Other benefits 1</t>
  </si>
  <si>
    <t>Other benefits 2</t>
  </si>
  <si>
    <t>NPV</t>
  </si>
  <si>
    <t>INVESTMENT &amp; OPERATING COST</t>
  </si>
  <si>
    <t>Risks mitigated vs base case</t>
  </si>
  <si>
    <t>Other benefits value</t>
  </si>
  <si>
    <t>Energy at risk (weighted)</t>
  </si>
  <si>
    <t>Energy at risk value</t>
  </si>
  <si>
    <t>Total other benefits</t>
  </si>
  <si>
    <t>$/customer</t>
  </si>
  <si>
    <r>
      <t>Value of CO</t>
    </r>
    <r>
      <rPr>
        <i/>
        <vertAlign val="subscript"/>
        <sz val="7.65"/>
        <color theme="1" tint="0.499984740745262"/>
        <rFont val="Calibri"/>
        <family val="2"/>
      </rPr>
      <t>2</t>
    </r>
    <r>
      <rPr>
        <i/>
        <sz val="9"/>
        <color theme="1" tint="0.499984740745262"/>
        <rFont val="Calibri"/>
        <family val="2"/>
        <scheme val="minor"/>
      </rPr>
      <t xml:space="preserve"> reductions</t>
    </r>
  </si>
  <si>
    <t>Year end</t>
  </si>
  <si>
    <r>
      <t>Value of reduction in CO</t>
    </r>
    <r>
      <rPr>
        <vertAlign val="subscript"/>
        <sz val="8.5"/>
        <color theme="1"/>
        <rFont val="Calibri"/>
        <family val="2"/>
      </rPr>
      <t>2</t>
    </r>
    <r>
      <rPr>
        <sz val="10"/>
        <color theme="1"/>
        <rFont val="Calibri"/>
        <family val="2"/>
        <scheme val="minor"/>
      </rPr>
      <t xml:space="preserve"> emissions</t>
    </r>
  </si>
  <si>
    <t>OPTION 2</t>
  </si>
  <si>
    <t>Option 2</t>
  </si>
  <si>
    <t>Option 3</t>
  </si>
  <si>
    <t>Option 4</t>
  </si>
  <si>
    <t>OPTION 4</t>
  </si>
  <si>
    <t>OPTION 3</t>
  </si>
  <si>
    <t>CP</t>
  </si>
  <si>
    <t>PA</t>
  </si>
  <si>
    <t>Commercial</t>
  </si>
  <si>
    <t>UE</t>
  </si>
  <si>
    <t>Industrial</t>
  </si>
  <si>
    <t>Agricultural</t>
  </si>
  <si>
    <t>Ballarat North</t>
  </si>
  <si>
    <t>Risk mitigated</t>
  </si>
  <si>
    <t>Domestic</t>
  </si>
  <si>
    <t>Others</t>
  </si>
  <si>
    <t>Total</t>
  </si>
  <si>
    <t>OPTION 1 (base case)</t>
  </si>
  <si>
    <t>Option 1 (base case)</t>
  </si>
  <si>
    <t>Option1</t>
  </si>
  <si>
    <t>Option2</t>
  </si>
  <si>
    <t>Option3</t>
  </si>
  <si>
    <t>Option4</t>
  </si>
  <si>
    <t>Value of statistical life</t>
  </si>
  <si>
    <t>Risks</t>
  </si>
  <si>
    <t>RISK ASSUMPTIONS</t>
  </si>
  <si>
    <t>PoF (major)</t>
  </si>
  <si>
    <t>PoF (reparable)</t>
  </si>
  <si>
    <t>PV</t>
  </si>
  <si>
    <t>Option 5</t>
  </si>
  <si>
    <t>Option5</t>
  </si>
  <si>
    <t>Cumulative capex</t>
  </si>
  <si>
    <t>Total annualised capex</t>
  </si>
  <si>
    <t>CHART</t>
  </si>
  <si>
    <t>RESULTS</t>
  </si>
  <si>
    <t>Conversions</t>
  </si>
  <si>
    <t>thous_conv</t>
  </si>
  <si>
    <t>mill_conv</t>
  </si>
  <si>
    <t>Enter asset life</t>
  </si>
  <si>
    <t>Message</t>
  </si>
  <si>
    <t>Value of injury</t>
  </si>
  <si>
    <t>Probability</t>
  </si>
  <si>
    <t>Safety (fatality)</t>
  </si>
  <si>
    <t>Safety (injury)</t>
  </si>
  <si>
    <t>Major failure (replace)</t>
  </si>
  <si>
    <t>Minor failure (repair)</t>
  </si>
  <si>
    <t>Premium for failure</t>
  </si>
  <si>
    <t>Total risk cost</t>
  </si>
  <si>
    <t>&lt; Other risk - enter description &gt;</t>
  </si>
  <si>
    <t>SAFETY</t>
  </si>
  <si>
    <t>UNPLANNED REPLACEMENT/REPAIR</t>
  </si>
  <si>
    <t>ENVIRONMENTAL</t>
  </si>
  <si>
    <t>CUSTOMER VALUE</t>
  </si>
  <si>
    <t>Safety from bushfire (REFCL declared areas)</t>
  </si>
  <si>
    <t>Safety from bushfire (electric line construction areas)</t>
  </si>
  <si>
    <t>DF selected</t>
  </si>
  <si>
    <t>Incident type</t>
  </si>
  <si>
    <t>Timing &amp; WACC</t>
  </si>
  <si>
    <t>Pre-tax real WACC</t>
  </si>
  <si>
    <t>Description/comment</t>
  </si>
  <si>
    <t>OPTION 5</t>
  </si>
  <si>
    <t>Convert from input dollars</t>
  </si>
  <si>
    <t>To output dollars</t>
  </si>
  <si>
    <t>Net benefits</t>
  </si>
  <si>
    <t>PV of costs</t>
  </si>
  <si>
    <t>PV of benefits</t>
  </si>
  <si>
    <t>Error message</t>
  </si>
  <si>
    <t>Remove inputs prior to start year</t>
  </si>
  <si>
    <t>First year</t>
  </si>
  <si>
    <t>Discount factor</t>
  </si>
  <si>
    <t>Analysis period</t>
  </si>
  <si>
    <t>Analysis period (years)</t>
  </si>
  <si>
    <t>[years]\</t>
  </si>
  <si>
    <t>First capex year</t>
  </si>
  <si>
    <t>Text</t>
  </si>
  <si>
    <t>Option included</t>
  </si>
  <si>
    <t>ESCALATION &amp; OTHER</t>
  </si>
  <si>
    <t>CHART DATA</t>
  </si>
  <si>
    <t>customers</t>
  </si>
  <si>
    <t>$/customer min</t>
  </si>
  <si>
    <t>mins</t>
  </si>
  <si>
    <t>(after DF)</t>
  </si>
  <si>
    <t>!</t>
  </si>
  <si>
    <t>FIRST YEAR</t>
  </si>
  <si>
    <r>
      <t>!!</t>
    </r>
    <r>
      <rPr>
        <b/>
        <sz val="8"/>
        <color theme="1"/>
        <rFont val="Verdana"/>
        <family val="2"/>
      </rPr>
      <t xml:space="preserve">  </t>
    </r>
    <r>
      <rPr>
        <sz val="10"/>
        <color theme="1"/>
        <rFont val="Verdana"/>
        <family val="2"/>
      </rPr>
      <t>Capex asset life required !!</t>
    </r>
  </si>
  <si>
    <t>Convert from VCR date</t>
  </si>
  <si>
    <t>To input dollars</t>
  </si>
  <si>
    <t>VCR escalation</t>
  </si>
  <si>
    <t>2023 VCR ($/MWh)</t>
  </si>
  <si>
    <t>SENSITIVITIES</t>
  </si>
  <si>
    <t>Sensitivities</t>
  </si>
  <si>
    <t>Preferred option</t>
  </si>
  <si>
    <t>None</t>
  </si>
  <si>
    <t>Sensitivity</t>
  </si>
  <si>
    <t>For conditional formatting of preferred option on Summary :</t>
  </si>
  <si>
    <t>SENSITIVITY CALCULATIONS</t>
  </si>
  <si>
    <t>Compliance project</t>
  </si>
  <si>
    <t>Compliance</t>
  </si>
  <si>
    <t>Yes</t>
  </si>
  <si>
    <t>No</t>
  </si>
  <si>
    <t>Flags for compliance project</t>
  </si>
  <si>
    <t>Max</t>
  </si>
  <si>
    <t>Preferred</t>
  </si>
  <si>
    <t>CP:</t>
  </si>
  <si>
    <t>PAL:</t>
  </si>
  <si>
    <t>UE:</t>
  </si>
  <si>
    <t>Capex and risk ($M, 2026)</t>
  </si>
  <si>
    <t>Energy at risk</t>
  </si>
  <si>
    <t>Capex first year</t>
  </si>
  <si>
    <t>2024-25</t>
  </si>
  <si>
    <t>Expenditure starts</t>
  </si>
  <si>
    <t>Start_year</t>
  </si>
  <si>
    <t>Value of expected unserved energy ($M, 2026)</t>
  </si>
  <si>
    <r>
      <t>Value of CO</t>
    </r>
    <r>
      <rPr>
        <vertAlign val="subscript"/>
        <sz val="8.5"/>
        <color theme="1"/>
        <rFont val="Calibri"/>
        <family val="2"/>
      </rPr>
      <t>2</t>
    </r>
    <r>
      <rPr>
        <sz val="10"/>
        <color theme="1"/>
        <rFont val="Calibri"/>
        <family val="2"/>
        <scheme val="minor"/>
      </rPr>
      <t xml:space="preserve"> reductions input date</t>
    </r>
  </si>
  <si>
    <t>Total benefits</t>
  </si>
  <si>
    <t>Regulatory proposal 2026-31</t>
  </si>
  <si>
    <t>Model number:</t>
  </si>
  <si>
    <t>WORKINGS - COSTS</t>
  </si>
  <si>
    <t>1. Scope of Works</t>
  </si>
  <si>
    <t>2. Cost Build Up</t>
  </si>
  <si>
    <t>Volume</t>
  </si>
  <si>
    <t>Cost per Unit</t>
  </si>
  <si>
    <t>Indicative Cost</t>
  </si>
  <si>
    <t>New Line - km</t>
  </si>
  <si>
    <t>New U/G - km</t>
  </si>
  <si>
    <t>Reconductor Line - km</t>
  </si>
  <si>
    <t>No. remote Sw</t>
  </si>
  <si>
    <t>No. Remote ACR's</t>
  </si>
  <si>
    <t>No. Regulator</t>
  </si>
  <si>
    <t>WORKINGS - BENEFITS</t>
  </si>
  <si>
    <t xml:space="preserve">1. Worst Served Customer History </t>
  </si>
  <si>
    <t>Worst-served customers are often those located in isolated pockets of the network, and towards the end of long radial rural lines, where no alternate back feed supply is available. We have identified customers who are consistently among our worst served, experiencing high numbers of interruptions and extended outage durations.</t>
  </si>
  <si>
    <t xml:space="preserve">Worst served customers are defined as those experiencing 8 outages or more, and 700 minutes (~12 hours) off supply on average p.a. over a three-year period. This is roughly 3 times more than the typical rural customer. The thresholds used to identify worst served customers includeds the impacts of MED’s. </t>
  </si>
  <si>
    <t>Note: the GSL level for reliability is approximately 9 outages and 18 hours – a high bar, meaning many worst-served customers are often not eligible to receive compensation through the GSL scheme</t>
  </si>
  <si>
    <t>Thresholds</t>
  </si>
  <si>
    <t>Rural Short</t>
  </si>
  <si>
    <t>Rural Long</t>
  </si>
  <si>
    <t>SAIFI</t>
  </si>
  <si>
    <t>SAIDI</t>
  </si>
  <si>
    <t>All data is averaged over 5 Years.</t>
  </si>
  <si>
    <t>Customers In Benefit Area</t>
  </si>
  <si>
    <t>Feeder</t>
  </si>
  <si>
    <t>Feeder Category</t>
  </si>
  <si>
    <t>No of NMI's</t>
  </si>
  <si>
    <t>5 Yr Avg SAIFI</t>
  </si>
  <si>
    <t>5 Yr Avg SAIDI</t>
  </si>
  <si>
    <t>5 Yr Avg Cust Int</t>
  </si>
  <si>
    <t>5 Yr Avg CMOS</t>
  </si>
  <si>
    <t>Avg CAIDI</t>
  </si>
  <si>
    <t>Energy Not Supplied</t>
  </si>
  <si>
    <t>Total Energy Not Supplied</t>
  </si>
  <si>
    <t>BAN003</t>
  </si>
  <si>
    <t>All WSC Outages</t>
  </si>
  <si>
    <t>1. MWh Reliability Calulator - Converts Cust Affected and Customer Minutes to Energy Lost</t>
  </si>
  <si>
    <t>2021-2026 Incentive Rate Calculation</t>
  </si>
  <si>
    <t>Urban</t>
  </si>
  <si>
    <t>VCR $/MWh</t>
  </si>
  <si>
    <t>CPI</t>
  </si>
  <si>
    <t>w_n</t>
  </si>
  <si>
    <t>Energy Supplied MWh</t>
  </si>
  <si>
    <t>Revenue $</t>
  </si>
  <si>
    <t>MAIFI</t>
  </si>
  <si>
    <t>Incentive Rate</t>
  </si>
  <si>
    <t>ir - SAIDI</t>
  </si>
  <si>
    <t>ir - SAIFI</t>
  </si>
  <si>
    <t>ir - MAIFI (% of SAIFI)</t>
  </si>
  <si>
    <t>Value of Reliability Calulations</t>
  </si>
  <si>
    <t>2022-2026 Smoothed Revenue $m</t>
  </si>
  <si>
    <t>$ per Unit</t>
  </si>
  <si>
    <t>Cust</t>
  </si>
  <si>
    <t>$ per Outage Type</t>
  </si>
  <si>
    <t>SAIDI - $ per CMOS</t>
  </si>
  <si>
    <t>SAIFI - $ per Sustained Cust</t>
  </si>
  <si>
    <t>MAIFI - $ per Momentary Cust</t>
  </si>
  <si>
    <t>MWh by Outage Type</t>
  </si>
  <si>
    <t>MWh per CMOS</t>
  </si>
  <si>
    <t>MWh per Sustained Cust</t>
  </si>
  <si>
    <t>MWh per Momentary Cust Int</t>
  </si>
  <si>
    <t>2. Worst Served Customer Improvements</t>
  </si>
  <si>
    <t>It is proposed to install a tie line between BAN003 and WND024 feeder to allow for the transfer of customers between the two feeders. The transfer will be completed using remote controlled switch equipment on the two feeders. Works will include the installation of 3km of new overhead HV, 5.2km of upgrades to existing HV overhead lines, the installation of one voltage regulator and the installation of 3 remote controllable switch devices.</t>
  </si>
  <si>
    <t xml:space="preserve">SAIDI/SAIFI Improvement from installing the tie line is influnenced by a number of factors. These include l;ocation of fault, capacity of tie to pick up load tranmsfer, operational restictions due temprary network re-configurations, REFCl opeerating mode and restictions. </t>
  </si>
  <si>
    <t>Factors to consider</t>
  </si>
  <si>
    <r>
      <rPr>
        <b/>
        <sz val="10"/>
        <color theme="1"/>
        <rFont val="Calibri"/>
        <family val="2"/>
        <scheme val="minor"/>
      </rPr>
      <t>Transfer Capacity</t>
    </r>
    <r>
      <rPr>
        <sz val="10"/>
        <color theme="1"/>
        <rFont val="Calibri"/>
        <family val="2"/>
        <scheme val="minor"/>
      </rPr>
      <t xml:space="preserve">
Ability of healthy tie feeder to pickup transfer. 
(% time unable to transfer)</t>
    </r>
  </si>
  <si>
    <r>
      <rPr>
        <b/>
        <sz val="10"/>
        <color theme="1"/>
        <rFont val="Calibri"/>
        <family val="2"/>
        <scheme val="minor"/>
      </rPr>
      <t>Operational Constraints</t>
    </r>
    <r>
      <rPr>
        <sz val="10"/>
        <color theme="1"/>
        <rFont val="Calibri"/>
        <family val="2"/>
        <scheme val="minor"/>
      </rPr>
      <t xml:space="preserve">
Restriction on the ability to transfer customers as the system is switch abormally. Reclose suppression for tree clearing or live line work. Ability to complete auto transfer between Zone Substations.
(% time restriction in place)</t>
    </r>
  </si>
  <si>
    <t>Reliability Improvement</t>
  </si>
  <si>
    <t>No. Customers to Benefit</t>
  </si>
  <si>
    <t>SAIFI Improvements</t>
  </si>
  <si>
    <t>SAIDI Improvements</t>
  </si>
  <si>
    <t>Cust Int saving</t>
  </si>
  <si>
    <t>CMOS Saving</t>
  </si>
  <si>
    <t>Energy Not Supplied Saved</t>
  </si>
  <si>
    <t>WSC Benefits</t>
  </si>
  <si>
    <t>Benefit Summary</t>
  </si>
  <si>
    <t>WSC Cust Benefit</t>
  </si>
  <si>
    <t>Reliability Benefit</t>
  </si>
  <si>
    <t>Incremental reliability in worst-served areas</t>
  </si>
  <si>
    <t>Incremental network resilience (domestic)</t>
  </si>
  <si>
    <t>Incremental network resilience (commercial)</t>
  </si>
  <si>
    <t>Incremental network resilience (industrial)</t>
  </si>
  <si>
    <t>Incremental network resilience (agricultural)</t>
  </si>
  <si>
    <t>Incremental network resilience (others)</t>
  </si>
  <si>
    <t>Customer value per kWh of storage capacity in local community:</t>
  </si>
  <si>
    <t>Proportion</t>
  </si>
  <si>
    <t>BAN weighted average</t>
  </si>
  <si>
    <t>BAN003-WND024 Tie upgrade</t>
  </si>
  <si>
    <r>
      <t>·</t>
    </r>
    <r>
      <rPr>
        <sz val="7"/>
        <color theme="1"/>
        <rFont val="Times New Roman"/>
        <family val="1"/>
      </rPr>
      <t xml:space="preserve">         </t>
    </r>
    <r>
      <rPr>
        <sz val="10"/>
        <color theme="1"/>
        <rFont val="Calibri"/>
        <family val="2"/>
      </rPr>
      <t>Install new HV OH line to link BAN003 and WND024. Lyonville Pole 181A to Trentham P258A, approximately - 3km.</t>
    </r>
  </si>
  <si>
    <r>
      <t>·</t>
    </r>
    <r>
      <rPr>
        <sz val="7"/>
        <color theme="1"/>
        <rFont val="Times New Roman"/>
        <family val="1"/>
      </rPr>
      <t xml:space="preserve">         </t>
    </r>
    <r>
      <rPr>
        <sz val="10"/>
        <color theme="1"/>
        <rFont val="Calibri"/>
        <family val="2"/>
      </rPr>
      <t xml:space="preserve">Upgrade existing OH line Lyonville Pole 166 to Pole 184, approximately - 3.7km. </t>
    </r>
  </si>
  <si>
    <r>
      <t>·</t>
    </r>
    <r>
      <rPr>
        <sz val="7"/>
        <color theme="1"/>
        <rFont val="Times New Roman"/>
        <family val="1"/>
      </rPr>
      <t xml:space="preserve">         </t>
    </r>
    <r>
      <rPr>
        <sz val="10"/>
        <color theme="1"/>
        <rFont val="Calibri"/>
        <family val="2"/>
      </rPr>
      <t>Upgrade existing OH line Trentham Pole 244 to Trentham Pole 262 approximately - 1.5km.</t>
    </r>
  </si>
  <si>
    <r>
      <t>·</t>
    </r>
    <r>
      <rPr>
        <sz val="7"/>
        <color theme="1"/>
        <rFont val="Times New Roman"/>
        <family val="1"/>
      </rPr>
      <t xml:space="preserve">         </t>
    </r>
    <r>
      <rPr>
        <sz val="10"/>
        <color theme="1"/>
        <rFont val="Calibri"/>
        <family val="2"/>
      </rPr>
      <t xml:space="preserve">Upgrade existing HV UG cable Lyonville Pole 124 to Pole 125A – approximately 300 metres. </t>
    </r>
  </si>
  <si>
    <r>
      <t>·</t>
    </r>
    <r>
      <rPr>
        <sz val="7"/>
        <color theme="1"/>
        <rFont val="Times New Roman"/>
        <family val="1"/>
      </rPr>
      <t xml:space="preserve">         </t>
    </r>
    <r>
      <rPr>
        <sz val="10"/>
        <color theme="1"/>
        <rFont val="Calibri"/>
        <family val="2"/>
      </rPr>
      <t xml:space="preserve">Install one voltage regulator on WND024 near Trentham Pole 182. </t>
    </r>
  </si>
  <si>
    <r>
      <t>·</t>
    </r>
    <r>
      <rPr>
        <sz val="7"/>
        <color theme="1"/>
        <rFont val="Times New Roman"/>
        <family val="1"/>
      </rPr>
      <t xml:space="preserve">         </t>
    </r>
    <r>
      <rPr>
        <sz val="10"/>
        <color theme="1"/>
        <rFont val="Calibri"/>
        <family val="2"/>
      </rPr>
      <t>Replace RCSW Trentham P215 S# 26444 with NOJA</t>
    </r>
    <r>
      <rPr>
        <sz val="10"/>
        <color theme="1"/>
        <rFont val="Symbol"/>
        <family val="1"/>
        <charset val="2"/>
      </rPr>
      <t xml:space="preserve"> ACR</t>
    </r>
  </si>
  <si>
    <r>
      <t>·</t>
    </r>
    <r>
      <rPr>
        <sz val="7"/>
        <color theme="1"/>
        <rFont val="Times New Roman"/>
        <family val="1"/>
      </rPr>
      <t xml:space="preserve">         </t>
    </r>
    <r>
      <rPr>
        <sz val="10"/>
        <color theme="1"/>
        <rFont val="Calibri"/>
        <family val="2"/>
      </rPr>
      <t>New NOJA ACR on open point between BAN003 and WND024.</t>
    </r>
  </si>
  <si>
    <r>
      <t>·</t>
    </r>
    <r>
      <rPr>
        <sz val="7"/>
        <color theme="1"/>
        <rFont val="Times New Roman"/>
        <family val="1"/>
      </rPr>
      <t xml:space="preserve">         </t>
    </r>
    <r>
      <rPr>
        <sz val="10"/>
        <color theme="1"/>
        <rFont val="Calibri"/>
        <family val="2"/>
      </rPr>
      <t>New NOJA at Lyonville Pole 136 SW# 65072.</t>
    </r>
  </si>
  <si>
    <t>WND024</t>
  </si>
  <si>
    <r>
      <rPr>
        <b/>
        <sz val="10"/>
        <color theme="1"/>
        <rFont val="Calibri"/>
        <family val="2"/>
        <scheme val="minor"/>
      </rPr>
      <t>Fault Location</t>
    </r>
    <r>
      <rPr>
        <sz val="10"/>
        <color theme="1"/>
        <rFont val="Calibri"/>
        <family val="2"/>
        <scheme val="minor"/>
      </rPr>
      <t xml:space="preserve">
Fault is within transfer zone</t>
    </r>
  </si>
  <si>
    <r>
      <rPr>
        <b/>
        <sz val="10"/>
        <color theme="1"/>
        <rFont val="Calibri"/>
        <family val="2"/>
        <scheme val="minor"/>
      </rPr>
      <t xml:space="preserve">REFCL Operation Mode (Fire v's Non Fire season)
</t>
    </r>
    <r>
      <rPr>
        <sz val="10"/>
        <color theme="1"/>
        <rFont val="Calibri"/>
        <family val="2"/>
        <scheme val="minor"/>
      </rPr>
      <t>Electricity safety Acr specifies requirement for certain sections of the network to be protected by REFCL's during the declared fire danger period. This restrictions limits duration/time of temporary transfers.
(% Time restriction in place)</t>
    </r>
  </si>
  <si>
    <t>WSC</t>
  </si>
  <si>
    <t>Capex profile</t>
  </si>
  <si>
    <t>Resilience Outages &gt; 12 Hrs Improvement</t>
  </si>
  <si>
    <t>Resilience Outages &gt; 12 Hrs benefits</t>
  </si>
  <si>
    <t>Resilience Benefit</t>
  </si>
  <si>
    <t>Resilience Outages &gt; 12 Hrs</t>
  </si>
  <si>
    <t>BAN003 - WND024 Tie</t>
  </si>
  <si>
    <t>Install diesel generator microgrid in Trentham township</t>
  </si>
  <si>
    <t>Install BESS + diesel generator microgrid in Trentham township</t>
  </si>
  <si>
    <t>Install BAN003 to WND024 tie line</t>
  </si>
  <si>
    <t>Diesel generator microgrid</t>
  </si>
  <si>
    <t>Network average outage duration due to bushfire</t>
  </si>
  <si>
    <t>hours</t>
  </si>
  <si>
    <t>Supply Point</t>
  </si>
  <si>
    <t>NMI</t>
  </si>
  <si>
    <t>Order</t>
  </si>
  <si>
    <t>Order Type</t>
  </si>
  <si>
    <t>Order Location</t>
  </si>
  <si>
    <t>Customer Substation</t>
  </si>
  <si>
    <t>Cust Int Start Time</t>
  </si>
  <si>
    <t>Cust Int End Time</t>
  </si>
  <si>
    <t>Cause</t>
  </si>
  <si>
    <t>SubCause</t>
  </si>
  <si>
    <t>Order Comments</t>
  </si>
  <si>
    <t>Order
Count</t>
  </si>
  <si>
    <t>Unplanned
Ord Count Sust</t>
  </si>
  <si>
    <t>Ord Count
Momentary</t>
  </si>
  <si>
    <t>Cust Int
Duration</t>
  </si>
  <si>
    <t>Unplanned
Cust Int Dur</t>
  </si>
  <si>
    <t>Inside Micrograd</t>
  </si>
  <si>
    <t>Year</t>
  </si>
  <si>
    <t>ESC Exclusions</t>
  </si>
  <si>
    <t>Average reliability (used for energy at risk)</t>
  </si>
  <si>
    <t>F-11395-b</t>
  </si>
  <si>
    <t>switching</t>
  </si>
  <si>
    <t>WND024 fdr CB</t>
  </si>
  <si>
    <t>MARKET ST P3</t>
  </si>
  <si>
    <t>10/02/2018  18:31</t>
  </si>
  <si>
    <t>10/02/2018  19:07</t>
  </si>
  <si>
    <t>Weather</t>
  </si>
  <si>
    <t>Lightning</t>
  </si>
  <si>
    <t>WND24 unknown. WND23 wire down Redesdale P55,crew reports 3 bays down in the the paddocks. Approx 2-3 bays HV Conductor down ATL getting extra resources. COMPLETE . . . . ..</t>
  </si>
  <si>
    <t>Out</t>
  </si>
  <si>
    <t>Annual outage mintues</t>
  </si>
  <si>
    <t>F-11472-b</t>
  </si>
  <si>
    <t>13340-59 22kV ACR TRENTHAM P147 ACR</t>
  </si>
  <si>
    <t>19/02/2018  18:07</t>
  </si>
  <si>
    <t>20/02/2018  01:30</t>
  </si>
  <si>
    <t>Vegetation</t>
  </si>
  <si>
    <t>Tree Council Resp- code compliant</t>
  </si>
  <si>
    <t>Trees down across O/H conductors at Trentham P225 . . . . . . ..</t>
  </si>
  <si>
    <t>F-11563-b</t>
  </si>
  <si>
    <t>26/02/2018  11:55</t>
  </si>
  <si>
    <t>26/02/2018  13:12</t>
  </si>
  <si>
    <t>Branch Centre phase and road side phase East Tylden P18 Lis#  980543 . . . . . ..</t>
  </si>
  <si>
    <t>26/02/2018  13:51</t>
  </si>
  <si>
    <t>26/02/2018  13:55</t>
  </si>
  <si>
    <t>26/02/2018  14:26</t>
  </si>
  <si>
    <t>26/02/2018  14:35</t>
  </si>
  <si>
    <t>F-11769-b</t>
  </si>
  <si>
    <t>17/03/2018  03:18</t>
  </si>
  <si>
    <t>17/03/2018  04:57</t>
  </si>
  <si>
    <t>Unknown</t>
  </si>
  <si>
    <t>No Cause Found</t>
  </si>
  <si>
    <t>COMPLETE . . . . . . ..</t>
  </si>
  <si>
    <t>AER MED SAIDI Exceeded 17 Mar 2018 Powercor</t>
  </si>
  <si>
    <t>Worst served</t>
  </si>
  <si>
    <t>F-12198-b</t>
  </si>
  <si>
    <t>14/04/2018  15:14</t>
  </si>
  <si>
    <t>14/04/2018  15:49</t>
  </si>
  <si>
    <t>ETR:Tree through power line at KYNETON train stationREJECT:A dditional Resource RequiredSend job to Jay REARDONETR:Tree t hrough power line at KYNETON train stationETR:Tree through p ower line at KYNETON train station . . . ..</t>
  </si>
  <si>
    <t>Annual outage minutes for outages &lt;12h</t>
  </si>
  <si>
    <t>F-250-d</t>
  </si>
  <si>
    <t>21609-59 GIS on KYNETON LOCAL P5</t>
  </si>
  <si>
    <t>17/12/2018  17:43</t>
  </si>
  <si>
    <t>17/12/2018  18:30</t>
  </si>
  <si>
    <t>Third Party</t>
  </si>
  <si>
    <t>Vehicle impact</t>
  </si>
  <si>
    <t>Car into pole Kyneton Springhill Rd, broken ties, leaning po le, public safety.Kyneton Springhill Rd P3 lis 982978 . . . . . ..</t>
  </si>
  <si>
    <t>Annual outage minutes for outages &lt;12h exceeding 500 mins</t>
  </si>
  <si>
    <t>F-15217-b</t>
  </si>
  <si>
    <t>18/01/2019  14:11</t>
  </si>
  <si>
    <t>18/01/2019  17:55</t>
  </si>
  <si>
    <t>ETR:Truck trailer hit pole Trentham Rd KYNETON SouthREJECT:E TR:Truck trailer hit pole Trentham Rd KYNETON SouthETR:Truck  trailer hit pole Trentham Rd KYNETON SouthETR:Truck trailer  hit pole Trentham Rd KYNETON SouthETR:Truck trailer hit pol e Trentham Rd KYNETON South . . ..</t>
  </si>
  <si>
    <t>Annual outage hours for outages &lt;12h exceeding 500 mins</t>
  </si>
  <si>
    <t>F-15434-b</t>
  </si>
  <si>
    <t>30/01/2019  16:18</t>
  </si>
  <si>
    <t>30/01/2019  16:53</t>
  </si>
  <si>
    <t>REJECT:Additional Resource RequiredPass on to Ross BakerTREE  BROUGHT DOWN WIRE OFF XARM AT LIS 908192REJECT:Additional R esource Required Pole 8 lis 908192 fiddlers green req fog in s steel tie flex and reconnect servicRelated to 1223854-1 (W ire down)REPAIR:Replaced hv insulator and flex at txCOMPLETE :Replaced hv insulator and hv flex. Tied conductor back in a ll ok. ..</t>
  </si>
  <si>
    <t>F-15461-b</t>
  </si>
  <si>
    <t>30/01/2019  17:40</t>
  </si>
  <si>
    <t>30/01/2019  20:06</t>
  </si>
  <si>
    <t>Storm activity</t>
  </si>
  <si>
    <t>F-15935-b</t>
  </si>
  <si>
    <t>09/02/2019  19:13</t>
  </si>
  <si>
    <t>09/02/2019  19:35</t>
  </si>
  <si>
    <t>Equip Fail</t>
  </si>
  <si>
    <t>Insulation Failure</t>
  </si>
  <si>
    <t>REPAIR:Changed HV insulated dropper burnt outCOMPLETE . . . . . . ..</t>
  </si>
  <si>
    <t>Resilience</t>
  </si>
  <si>
    <t>F-16071-b</t>
  </si>
  <si>
    <t>20/02/2019  17:18</t>
  </si>
  <si>
    <t>20/02/2019  18:05</t>
  </si>
  <si>
    <t>U/G cable, Joint, Termination failure</t>
  </si>
  <si>
    <t>REJECT:Additional Resource RequiredAppear to have U/G fault.  Req more resources ..Phil Robinson and esc manager advise c ustomers will be off supply till 11.00 21/2. Generator being  organised for tomorow 21/2.Spoken with phil 9:30 - still aw aiting gennieJob issued to Derek Russell.As per Phil Robinso n they have not located the fault yet and the customers coul d be off until 22/02. Phil has advised to move the ETR out t o 2000 21/02. Crew will keep us informed if its going to run over.</t>
  </si>
  <si>
    <t>Annual outage minutes for outages &gt;=12h</t>
  </si>
  <si>
    <t>F-16599-b</t>
  </si>
  <si>
    <t>29/03/2019  18:02</t>
  </si>
  <si>
    <t>29/03/2019  21:34</t>
  </si>
  <si>
    <t>Loose connection</t>
  </si>
  <si>
    <t>Burnt D 41625 GAC SW EAST TYLDEN P2 lis 905812COMPLETE . . . . . . ..</t>
  </si>
  <si>
    <t>Annual outage minutes 12&gt;t&gt;24 hours</t>
  </si>
  <si>
    <t>F-17323-b</t>
  </si>
  <si>
    <t>29/05/2019  09:13</t>
  </si>
  <si>
    <t>29/05/2019  11:52</t>
  </si>
  <si>
    <t>Bark/Branch</t>
  </si>
  <si>
    <t>Bark across 22KV O/H in Cosmo Rd P9 LIS 916927 HV LLC burnt off at Park Cnr of Drummond St LIS 906993. . . . . . ..</t>
  </si>
  <si>
    <t>Annual outage minutes &gt;24 hours</t>
  </si>
  <si>
    <t>J-192735-b</t>
  </si>
  <si>
    <t>31/05/2019  17:22</t>
  </si>
  <si>
    <t>31/05/2019  17:27</t>
  </si>
  <si>
    <t>TEMP FIXED D LOOP .  CREW RETURNING TO REPLACE G AND B 1/5 . . . . . . ..</t>
  </si>
  <si>
    <t>Annual outage minutes &gt;72 hours</t>
  </si>
  <si>
    <t>F-17878-b</t>
  </si>
  <si>
    <t>22/07/2019  13:49</t>
  </si>
  <si>
    <t>22/07/2019  22:06</t>
  </si>
  <si>
    <t>Wind</t>
  </si>
  <si>
    <t>Trentham P147 ACR tripped to lockout. Large tree brought dow n conductors at Trentham P220, LIS 906715.REJECT:REPAIR:Repl aced p218 &amp; p220 Trentham line and replaced 5 bays of hv con ductor from p217 to p222 Trentham line.COMPLETE . . . ..</t>
  </si>
  <si>
    <t>F-18723-b</t>
  </si>
  <si>
    <t>WND022 fdr CB</t>
  </si>
  <si>
    <t>13/10/2019  18:45</t>
  </si>
  <si>
    <t>13/10/2019  19:25</t>
  </si>
  <si>
    <t>Conductor clashing</t>
  </si>
  <si>
    <t>Poss HVI, LEI Phil Clayden 0416 146 599 will attend . . . . . . ..</t>
  </si>
  <si>
    <t>Residential resilience hours at 2x VCR (12-24h)</t>
  </si>
  <si>
    <t>F-19346-b</t>
  </si>
  <si>
    <t>21/11/2019  14:54</t>
  </si>
  <si>
    <t>21/11/2019  18:21</t>
  </si>
  <si>
    <t>. . . . . . . ..</t>
  </si>
  <si>
    <t>ESC: MED SAIFI &amp; SAIDI Exceeded 21 Nov 2019 Powercor</t>
  </si>
  <si>
    <t>Residential resilience hours at 1.5x VCR (&gt;24h)</t>
  </si>
  <si>
    <t>F-20182-b</t>
  </si>
  <si>
    <t>07/01/2020  02:39</t>
  </si>
  <si>
    <t>07/01/2020  02:57</t>
  </si>
  <si>
    <t>Auto Resolved</t>
  </si>
  <si>
    <t>REPAIR:Line restored by opsCOMPLETE . . . . . . ..</t>
  </si>
  <si>
    <t>AER: REFCL Bush fire Mitigation Jan 2020</t>
  </si>
  <si>
    <t>F-20354-b</t>
  </si>
  <si>
    <t>restoration</t>
  </si>
  <si>
    <t>15/01/2020  16:21</t>
  </si>
  <si>
    <t>15/01/2020  18:03</t>
  </si>
  <si>
    <t>Outage Split for REFCL Bush fire Mitigation Exclusion -  Ord er F-20354-b covers WND024 to18336-Trentham Kyneton Tie P18 ACR and Order 1436483-1 covers 18336-Trentham Kyneton Tie P1 8 ACRto End . . . ..</t>
  </si>
  <si>
    <t>Business resilience hours at 1.5x VCR (12-24h)</t>
  </si>
  <si>
    <t>15/01/2020  19:13</t>
  </si>
  <si>
    <t>15/01/2020  19:17</t>
  </si>
  <si>
    <t>Business resilience hours at 0.5x VCR (&gt;72 hours)</t>
  </si>
  <si>
    <t>1391103-1</t>
  </si>
  <si>
    <t>626 BLACKWOOD ROAD,NEWBURY,VIC,3458</t>
  </si>
  <si>
    <t>01/02/2020  10:29</t>
  </si>
  <si>
    <t>01/02/2020  10:56</t>
  </si>
  <si>
    <t>Related to F-20981-b. Outage Split for REFCL Busfire Mitigat ion Exclusion - this outage covers WND024 CB to 13883 Blackw ood ACR P18 and Order F-20981-b cover 13883 Blackwood ACR P1 8 to END . . . ..</t>
  </si>
  <si>
    <t>AER: REFCL Bush fire Mitigation Feb 2020</t>
  </si>
  <si>
    <t>F-21805-b</t>
  </si>
  <si>
    <t>01/03/2020  02:36</t>
  </si>
  <si>
    <t>01/03/2020  02:47</t>
  </si>
  <si>
    <t>AER: REFCL Bush fire Mitigation Mar 2020</t>
  </si>
  <si>
    <t>F-22000-b</t>
  </si>
  <si>
    <t>15/03/2020  00:18</t>
  </si>
  <si>
    <t>15/03/2020  00:37</t>
  </si>
  <si>
    <t>ETR:Feeder stayed in when tried by Operations Complete recei ved but not processed as no Restore . . . . . ..</t>
  </si>
  <si>
    <t>F-22621-b</t>
  </si>
  <si>
    <t>01/05/2020  10:20</t>
  </si>
  <si>
    <t>01/05/2020  10:31</t>
  </si>
  <si>
    <t>Pole Fire</t>
  </si>
  <si>
    <t>Salt/dust pollution</t>
  </si>
  <si>
    <t>Pole fire  Caddys iso due to faulty HV Earths.  See F-22620- b &amp; F-22621-b . . . . . ..</t>
  </si>
  <si>
    <t>01/05/2020  11:21</t>
  </si>
  <si>
    <t>01/05/2020  11:23</t>
  </si>
  <si>
    <t>01/05/2020  11:24</t>
  </si>
  <si>
    <t>01/05/2020  11:34</t>
  </si>
  <si>
    <t>F-26356-b</t>
  </si>
  <si>
    <t>23/01/2021  15:09</t>
  </si>
  <si>
    <t>23/01/2021  16:05</t>
  </si>
  <si>
    <t>AER: REFCL Bush fire Mitigation Jan 2021</t>
  </si>
  <si>
    <t>23/01/2021  16:07</t>
  </si>
  <si>
    <t>23/01/2021  16:20</t>
  </si>
  <si>
    <t>23/01/2021  16:21</t>
  </si>
  <si>
    <t>23/01/2021  16:38</t>
  </si>
  <si>
    <t>F-28060-b</t>
  </si>
  <si>
    <t>09/06/2021  16:15</t>
  </si>
  <si>
    <t>09/06/2021  17:10</t>
  </si>
  <si>
    <t>Complete received but not processed as no RestoreConductors replaced between P98-105. Crew currently removing trees on T ylden Line - In process of energising backbone up to SW 2644 4 - Line being patrolled from ACR 2899 (Top end of Kyneton)W ork complete. . . ..</t>
  </si>
  <si>
    <t>AER: MED SAIDI Exceeded 9 Jun 2021 Powercor</t>
  </si>
  <si>
    <t>09/06/2021  17:50</t>
  </si>
  <si>
    <t>09/06/2021  17:53</t>
  </si>
  <si>
    <t>09/06/2021  19:22</t>
  </si>
  <si>
    <t>12/06/2021  16:27</t>
  </si>
  <si>
    <t>F-29436-b</t>
  </si>
  <si>
    <t>30/09/2021  19:02</t>
  </si>
  <si>
    <t>30/09/2021  20:38</t>
  </si>
  <si>
    <t>Patrolled, no cause found. Storm activity in area. . IT fron t door request submitted to close this job. . . . . . ..</t>
  </si>
  <si>
    <t>F-30031-b</t>
  </si>
  <si>
    <t>29/10/2021  06:10</t>
  </si>
  <si>
    <t>29/10/2021  15:50</t>
  </si>
  <si>
    <t>ESC: MED SAIDI Exceeded 29th Oct Powercor</t>
  </si>
  <si>
    <t>F-30761-b</t>
  </si>
  <si>
    <t>01/12/2021  22:41</t>
  </si>
  <si>
    <t>02/12/2021  01:56</t>
  </si>
  <si>
    <t>F-31390-b</t>
  </si>
  <si>
    <t>05/01/2022  01:24</t>
  </si>
  <si>
    <t>05/01/2022  03:42</t>
  </si>
  <si>
    <t>COMPLETE:Patrolled Line. No apparent cause. Supply back on . . . . . . ..</t>
  </si>
  <si>
    <t>ESC: MED SAIDI Exceeded 5th Jan 2022 Powercor</t>
  </si>
  <si>
    <t>F-31914-b</t>
  </si>
  <si>
    <t>13/01/2022  20:23</t>
  </si>
  <si>
    <t>13/01/2022  23:44</t>
  </si>
  <si>
    <t>LLFlex found burnt off Red phase incomming isol Trentham P14 7 ACR . . . . . ..</t>
  </si>
  <si>
    <t>F-32501-b</t>
  </si>
  <si>
    <t>27/01/2022  20:24</t>
  </si>
  <si>
    <t>27/01/2022  23:24</t>
  </si>
  <si>
    <t>COMPLETE:Patrolled and patrolled. Turned REFCL off and the f dr stayed in. . . . . . ..</t>
  </si>
  <si>
    <t>ESC: MED SAIDI Exceeded 27th Jan 2022 Powercor</t>
  </si>
  <si>
    <t>1714703-1</t>
  </si>
  <si>
    <t>SPECIAL SCHOOL,MARTIN STREET,BLACKWOOD,VIC,3458</t>
  </si>
  <si>
    <t>09/02/2022  15:36</t>
  </si>
  <si>
    <t>09/02/2022  17:26</t>
  </si>
  <si>
    <t>Order Split for REFCL Bushfire Mitigation Exemption refer to  Order F-33041-b . . . . . ..
Bark flashed over at RAHILLS RD 14. No damage.</t>
  </si>
  <si>
    <t>F-33236-b</t>
  </si>
  <si>
    <t>23/02/2022  21:34</t>
  </si>
  <si>
    <t>23/02/2022  23:12</t>
  </si>
  <si>
    <t>Order split for REFCL Bushfire Mitigation Exemption - refer Order 1720734-1 for split outage.COMPLETE:Patrolled Feeder n othing found ,switched Feeder back in conjunction with Opera tionsloosen tie on LIS 907222 / SIMMONS REEF 8" . . . ..</t>
  </si>
  <si>
    <t>AER: REFCL Bushfire Mitigation Feb 2022</t>
  </si>
  <si>
    <t>F-33326-b</t>
  </si>
  <si>
    <t>27/02/2022  22:45</t>
  </si>
  <si>
    <t>27/02/2022  23:13</t>
  </si>
  <si>
    <t>Order split for REFCL Bushfire Mitigation Exemption - refer Order 1721204-1 for split outage.Sectionalised and restored with no Cause found.loosen tie on LIS 907222 / SIMMONS REEF 8" . . . ..</t>
  </si>
  <si>
    <t>F-33353-b</t>
  </si>
  <si>
    <t>01/03/2022  03:39</t>
  </si>
  <si>
    <t>01/03/2022  04:13</t>
  </si>
  <si>
    <t>Order split for REFCL Bushfire Mitigation Exemption - refer Order 1724267-1. Sectionalised and Restored....Unknown; Day time Patrol Required; 3rd Lockout in 1 weekETR:Patrolling Fe eder for OperationsREPAIR:Disconnected 2 x Blown LA s at Tre ntham-Kyneton Tie P6 S/S, also removed bark at Blue Mount P5  LIS#906955. Operations made aware of both findings after a Patrol of WND024 backbone &amp; unfused spurs.COMPLETE - Repaire d surge divertor at LIS 907236loosen tie on LIS 907222 / SIMMONS REEF 8"</t>
  </si>
  <si>
    <t>AER: REFCL Bushfire Mitigation Mar 2022</t>
  </si>
  <si>
    <t>F-33406-b</t>
  </si>
  <si>
    <t>01/03/2022  21:43</t>
  </si>
  <si>
    <t>01/03/2022  21:59</t>
  </si>
  <si>
    <t>Order split for REFCL Bushfire Mitigation Exemption - refer Order 1724352-1 for split outage. . . . . . ..</t>
  </si>
  <si>
    <t>F-33483-b</t>
  </si>
  <si>
    <t>04/03/2022  20:59</t>
  </si>
  <si>
    <t>04/03/2022  21:16</t>
  </si>
  <si>
    <t>Order split for REFCL Bushfire Mitigation Exemption - refer Order 1726157-1 for split outage. SCHEDULE:Order not receive d in Click; try again. If problem persists, contact Service Desk.ETR:Storm around Blackwood. Sectionalise and see what w e can findCOMPLETE:Ongoing fault that doesn t want to be loc ated. Holds in when switched.loosen tie on LIS 907222 / SIMM ONS REEF 8" ..</t>
  </si>
  <si>
    <t>04/03/2022  21:22</t>
  </si>
  <si>
    <t>04/03/2022  21:37</t>
  </si>
  <si>
    <t>F-33512-b-S</t>
  </si>
  <si>
    <t>05/03/2022  21:37</t>
  </si>
  <si>
    <t>05/03/2022  21:55</t>
  </si>
  <si>
    <t>Order split for REFCL Bushfire Mitigation Exemption - refer Order 1726490-1 for split outage.loosen tie on LIS 907222 / SIMMONS REEF 8 . . . . ..</t>
  </si>
  <si>
    <t>F-33539-b</t>
  </si>
  <si>
    <t>07/03/2022  23:10</t>
  </si>
  <si>
    <t>08/03/2022  01:01</t>
  </si>
  <si>
    <t>Order split for REFCL Bushfire Mitigation Exemption - refer Order 1727215-1 for split outage.COMPLETE:Patrolled WND24 Fd r  no apparent cause found supply restored.loosen tie on LIS  907222 / SIMMONS REEF 8 . . . ..</t>
  </si>
  <si>
    <t>F-35900-b</t>
  </si>
  <si>
    <t>17/09/2022  06:10</t>
  </si>
  <si>
    <t>17/09/2022  06:31</t>
  </si>
  <si>
    <t>AER: REFCL Bush fire Mitigation Excemption Sept 2022 order s plit see  for sub fault at Central Rd P5, oms 1805501-1, blo wn red phase fuse, ncf. . . . . ..</t>
  </si>
  <si>
    <t>F-36211-b</t>
  </si>
  <si>
    <t>12/10/2022  10:23</t>
  </si>
  <si>
    <t>12/10/2022  10:51</t>
  </si>
  <si>
    <t>NAO informed - tree down on conductor LIS 917607 . . . . . . ..</t>
  </si>
  <si>
    <t>12/10/2022  14:28</t>
  </si>
  <si>
    <t>1815256-1</t>
  </si>
  <si>
    <t>13/10/2022  12:36</t>
  </si>
  <si>
    <t>13/10/2022  14:12</t>
  </si>
  <si>
    <t>Related F-36248-b, 1815251-1,1815253-1,1815252-1, 1815255-1,  1815249-1 . . . . . ..</t>
  </si>
  <si>
    <t>F-38525-b</t>
  </si>
  <si>
    <t>02/02/2023  16:53</t>
  </si>
  <si>
    <t>02/02/2023  17:18</t>
  </si>
  <si>
    <t>COMPLETE:Removed bark at pole 221. Lis 906710 . . . . . . ..</t>
  </si>
  <si>
    <t>02/02/2023  17:19</t>
  </si>
  <si>
    <t>02/02/2023  19:08</t>
  </si>
  <si>
    <t>02/02/2023  19:09</t>
  </si>
  <si>
    <t>02/02/2023  19:25</t>
  </si>
  <si>
    <t>F-41294-b</t>
  </si>
  <si>
    <t>08/09/2023  09:29</t>
  </si>
  <si>
    <t>08/09/2023  10:55</t>
  </si>
  <si>
    <t>ESC: MED 8/9/23</t>
  </si>
  <si>
    <t>Solar generation demand modifier</t>
  </si>
  <si>
    <t>5 year average historical outages (hours/annum, total)</t>
  </si>
  <si>
    <t>Microgrid average daily demand (MW)</t>
  </si>
  <si>
    <t>MW</t>
  </si>
  <si>
    <t>Solar corrected average daily demand (MW)</t>
  </si>
  <si>
    <t>Wind escalation</t>
  </si>
  <si>
    <t>Annual likelihood that fire will cause outage</t>
  </si>
  <si>
    <t>Ratio to 2022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</si>
  <si>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</si>
  <si>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</si>
  <si>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</si>
  <si>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</si>
  <si>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</si>
  <si>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</si>
  <si>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</si>
  <si>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</si>
  <si>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</si>
  <si>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</si>
  <si>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</si>
  <si>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</si>
  <si>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</si>
  <si>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</si>
  <si>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</si>
  <si>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</si>
  <si>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</si>
  <si>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</si>
  <si>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</si>
  <si>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12&lt;t&lt;24</t>
  </si>
  <si>
    <t>&gt;24</t>
  </si>
  <si>
    <t>&gt;72</t>
  </si>
  <si>
    <t>Outage tiers</t>
  </si>
  <si>
    <t>BESS lease</t>
  </si>
  <si>
    <t>Microgrid CAPEX (exc BESS)</t>
  </si>
  <si>
    <t>BESS CAPEX</t>
  </si>
  <si>
    <t>Microgrid reliability data</t>
  </si>
  <si>
    <t>Microgrid  energy at risk</t>
  </si>
  <si>
    <t>WORKINGS - RISKS</t>
  </si>
  <si>
    <t>Reduction due to microgrid</t>
  </si>
  <si>
    <t>FLAGS</t>
  </si>
  <si>
    <t>Worst served customers BAN-WND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</si>
</sst>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4" formatCode="_-&quot;$&quot;* #,##0.00_-;\-&quot;$&quot;* #,##0.00_-;_-&quot;$&quot;* &quot;-&quot;??_-;_-@_-"/>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69" formatCode="&quot;$&quot;#,##0.00"/>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7" formatCode="#,##0.00;[Red]\ \-#,##0.00;\ &quot;-&quot;"/>
    <numFmt numFmtId="178" formatCode="#,##0.0;[Red]\ \(#,##0.0\);\ &quot;-&quot;"/>
    <numFmt numFmtId="179" formatCode="#,##0.0;[Red]\ \-#,##0.0;\ &quot;-&quot;"/>
    <numFmt numFmtId="180" formatCode="&quot;$&quot;#,##0;\ \-&quot;$&quot;#,##0;\ &quot;-&quot;"/>
    <numFmt numFmtId="181" formatCode="0;\ \-0;\ &quot;&quot;"/>
    <numFmt numFmtId="182" formatCode="#,##0.00000;[Red]\ \-#,##0.00000;\ &quot;-&quot;"/>
    <numFmt numFmtId="183" formatCode="0;\ \-0;\ &quot;-&quot;"/>
    <numFmt numFmtId="184" formatCode="#,##0.000000;\ \-#,##0.000000;\ &quot;-&quot;"/>
    <numFmt numFmtId="185" formatCode="#,##0;\ \-#,##0;\ &quot;-&quot;"/>
    <numFmt numFmtId="186" formatCode="&quot;year &quot;#"/>
    <numFmt numFmtId="187" formatCode="#,##0.0000000;[Red]\ \-#,##0.0000000;\ &quot;-&quot;"/>
    <numFmt numFmtId="188" formatCode="&quot;$&quot;&quot;m&quot;\ mmm\ yyyy"/>
    <numFmt numFmtId="189" formatCode="\+0%;[Red]\ \ \-0%;\ &quot;-&quot;"/>
    <numFmt numFmtId="190" formatCode="#,##0.00_ ;[Red]\-#,##0.00\ "/>
    <numFmt numFmtId="191" formatCode="#,##0.0;[Red]\ \-#,##0.0;\ &quot;&quot;"/>
    <numFmt numFmtId="192" formatCode="0.000000000000000"/>
    <numFmt numFmtId="193" formatCode="0%;[Red]\ \ \-0%;\ &quot;-&quot;"/>
    <numFmt numFmtId="194" formatCode="dd\ mmmm\ yyyy"/>
    <numFmt numFmtId="195" formatCode="mmm\ yyyy"/>
    <numFmt numFmtId="196" formatCode="_-* #,##0_-;\-* #,##0_-;_-* &quot;-&quot;??_-;_-@_-"/>
    <numFmt numFmtId="197" formatCode="_-&quot;$&quot;* #,##0_-;\-&quot;$&quot;* #,##0_-;_-&quot;$&quot;* &quot;-&quot;??_-;_-@_-"/>
    <numFmt numFmtId="198" formatCode="_(* #,##0.00_);_(* \(#,##0.00\);_(* &quot;-&quot;??_);_(@_)"/>
    <numFmt numFmtId="199" formatCode="_-* #,##0.0000000_-;\-* #,##0.0000000_-;_-* &quot;-&quot;??_-;_-@_-"/>
    <numFmt numFmtId="200" formatCode="0.00000"/>
    <numFmt numFmtId="201" formatCode="&quot;$&quot;#,##0.0"/>
    <numFmt numFmtId="202" formatCode="0.0%"/>
    <numFmt numFmtId="203" formatCode="#,##0;\-\ #,##0"/>
  </numFmts>
  <fonts count="107" x14ac:knownFonts="1">
    <font>
      <sz val="10"/>
      <color theme="1"/>
      <name val="Verdana"/>
      <family val="2"/>
    </font>
    <font>
      <sz val="10"/>
      <color theme="1"/>
      <name val="Calibri"/>
      <family val="2"/>
    </font>
    <font>
      <sz val="10"/>
      <color theme="1"/>
      <name val="Calibri"/>
      <family val="2"/>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i/>
      <sz val="10"/>
      <color theme="1"/>
      <name val="Calibri"/>
      <family val="2"/>
      <scheme val="minor"/>
    </font>
    <font>
      <b/>
      <sz val="11"/>
      <name val="Calibri"/>
      <family val="2"/>
      <scheme val="minor"/>
    </font>
    <font>
      <b/>
      <i/>
      <sz val="12"/>
      <color rgb="FFFF0000"/>
      <name val="Calibri"/>
      <family val="2"/>
      <scheme val="minor"/>
    </font>
    <font>
      <sz val="8"/>
      <color theme="1"/>
      <name val="Calibri"/>
      <family val="2"/>
    </font>
    <font>
      <i/>
      <vertAlign val="subscript"/>
      <sz val="7.65"/>
      <color theme="1" tint="0.499984740745262"/>
      <name val="Calibri"/>
      <family val="2"/>
    </font>
    <font>
      <sz val="10"/>
      <color indexed="8"/>
      <name val="Calibri"/>
      <family val="2"/>
      <scheme val="minor"/>
    </font>
    <font>
      <b/>
      <sz val="10"/>
      <color theme="0"/>
      <name val="Calibri"/>
      <family val="2"/>
      <scheme val="minor"/>
    </font>
    <font>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sz val="8"/>
      <name val="Verdana"/>
      <family val="2"/>
    </font>
    <font>
      <sz val="10"/>
      <color theme="1"/>
      <name val="Verdana"/>
      <family val="2"/>
    </font>
    <font>
      <i/>
      <sz val="9"/>
      <color theme="1"/>
      <name val="Calibri"/>
      <family val="2"/>
      <scheme val="minor"/>
    </font>
    <font>
      <i/>
      <sz val="9"/>
      <color theme="1" tint="0.34998626667073579"/>
      <name val="Calibri"/>
      <family val="2"/>
      <scheme val="minor"/>
    </font>
    <font>
      <sz val="9"/>
      <color theme="1"/>
      <name val="Calibri"/>
      <family val="2"/>
    </font>
    <font>
      <b/>
      <sz val="9"/>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
      <sz val="10"/>
      <color indexed="9"/>
      <name val="Calibri"/>
      <family val="2"/>
    </font>
    <font>
      <sz val="9"/>
      <color rgb="FFFFFFFF"/>
      <name val="Calibri"/>
      <family val="2"/>
      <scheme val="minor"/>
    </font>
    <font>
      <b/>
      <sz val="10"/>
      <color theme="1"/>
      <name val="Calibri"/>
      <family val="2"/>
    </font>
    <font>
      <b/>
      <sz val="14"/>
      <color theme="1"/>
      <name val="Calibri"/>
      <family val="2"/>
    </font>
    <font>
      <sz val="10"/>
      <color rgb="FF000000"/>
      <name val="Calibri"/>
      <family val="2"/>
    </font>
    <font>
      <b/>
      <sz val="10"/>
      <color rgb="FF000000"/>
      <name val="Calibri"/>
      <family val="2"/>
    </font>
    <font>
      <sz val="11"/>
      <color rgb="FF006100"/>
      <name val="Calibri"/>
      <family val="2"/>
      <scheme val="minor"/>
    </font>
    <font>
      <sz val="10"/>
      <color rgb="FF006100"/>
      <name val="Calibri"/>
      <family val="2"/>
      <scheme val="minor"/>
    </font>
    <font>
      <sz val="8"/>
      <color theme="1"/>
      <name val="Arial"/>
      <family val="2"/>
    </font>
    <font>
      <b/>
      <sz val="10"/>
      <name val="Calibri"/>
      <family val="2"/>
    </font>
    <font>
      <sz val="10"/>
      <color theme="1"/>
      <name val="Symbol"/>
      <family val="1"/>
      <charset val="2"/>
    </font>
    <font>
      <sz val="7"/>
      <color theme="1"/>
      <name val="Times New Roman"/>
      <family val="1"/>
    </font>
    <font>
      <sz val="8"/>
      <name val="Arial"/>
      <family val="2"/>
    </font>
  </fonts>
  <fills count="29">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bgColor indexed="64"/>
      </patternFill>
    </fill>
    <fill>
      <patternFill patternType="solid">
        <fgColor rgb="FF00215B"/>
        <bgColor indexed="64"/>
      </patternFill>
    </fill>
    <fill>
      <patternFill patternType="solid">
        <fgColor rgb="FFC6EFCE"/>
      </patternFill>
    </fill>
    <fill>
      <patternFill patternType="solid">
        <fgColor rgb="FFCC33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66"/>
        <bgColor indexed="64"/>
      </patternFill>
    </fill>
    <fill>
      <patternFill patternType="solid">
        <fgColor indexed="49"/>
      </patternFill>
    </fill>
    <fill>
      <patternFill patternType="solid">
        <fgColor theme="4" tint="-0.249977111117893"/>
        <bgColor indexed="64"/>
      </patternFill>
    </fill>
  </fills>
  <borders count="72">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style="hair">
        <color auto="1"/>
      </left>
      <right style="hair">
        <color auto="1"/>
      </right>
      <top/>
      <bottom style="hair">
        <color auto="1"/>
      </bottom>
      <diagonal/>
    </border>
    <border>
      <left/>
      <right/>
      <top style="hair">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auto="1"/>
      </bottom>
      <diagonal/>
    </border>
    <border>
      <left style="thick">
        <color auto="1"/>
      </left>
      <right/>
      <top style="thin">
        <color rgb="FF999999"/>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diagonal/>
    </border>
    <border>
      <left style="thick">
        <color auto="1"/>
      </left>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auto="1"/>
      </left>
      <right/>
      <top/>
      <bottom style="thick">
        <color auto="1"/>
      </bottom>
      <diagonal/>
    </border>
    <border>
      <left style="thin">
        <color auto="1"/>
      </left>
      <right/>
      <top/>
      <bottom/>
      <diagonal/>
    </border>
    <border>
      <left/>
      <right style="thin">
        <color auto="1"/>
      </right>
      <top/>
      <bottom/>
      <diagonal/>
    </border>
    <border>
      <left style="thick">
        <color auto="1"/>
      </left>
      <right/>
      <top style="thick">
        <color auto="1"/>
      </top>
      <bottom style="thin">
        <color auto="1"/>
      </bottom>
      <diagonal/>
    </border>
    <border>
      <left/>
      <right style="medium">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bottom/>
      <diagonal/>
    </border>
    <border>
      <left style="thick">
        <color auto="1"/>
      </left>
      <right/>
      <top style="thin">
        <color auto="1"/>
      </top>
      <bottom/>
      <diagonal/>
    </border>
    <border>
      <left/>
      <right style="medium">
        <color auto="1"/>
      </right>
      <top style="thin">
        <color auto="1"/>
      </top>
      <bottom/>
      <diagonal/>
    </border>
    <border>
      <left/>
      <right style="thick">
        <color auto="1"/>
      </right>
      <top style="thin">
        <color auto="1"/>
      </top>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ck">
        <color auto="1"/>
      </right>
      <top/>
      <bottom style="thick">
        <color auto="1"/>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diagonal/>
    </border>
    <border>
      <left style="thin">
        <color indexed="18"/>
      </left>
      <right style="thin">
        <color indexed="18"/>
      </right>
      <top style="thin">
        <color indexed="18"/>
      </top>
      <bottom/>
      <diagonal/>
    </border>
    <border>
      <left/>
      <right/>
      <top style="hair">
        <color auto="1"/>
      </top>
      <bottom style="hair">
        <color auto="1"/>
      </bottom>
      <diagonal/>
    </border>
    <border>
      <left style="thin">
        <color indexed="64"/>
      </left>
      <right/>
      <top style="thick">
        <color indexed="64"/>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bottom style="thick">
        <color indexed="64"/>
      </bottom>
      <diagonal/>
    </border>
    <border>
      <left/>
      <right style="thick">
        <color indexed="64"/>
      </right>
      <top style="thin">
        <color auto="1"/>
      </top>
      <bottom style="thin">
        <color auto="1"/>
      </bottom>
      <diagonal/>
    </border>
  </borders>
  <cellStyleXfs count="43">
    <xf numFmtId="0" fontId="0" fillId="0" borderId="0"/>
    <xf numFmtId="0" fontId="7" fillId="0" borderId="0"/>
    <xf numFmtId="0" fontId="3" fillId="2" borderId="1" applyNumberFormat="0" applyAlignment="0">
      <alignment horizontal="right"/>
      <protection locked="0"/>
    </xf>
    <xf numFmtId="164" fontId="4" fillId="0" borderId="0" applyFont="0" applyFill="0" applyBorder="0" applyAlignment="0" applyProtection="0"/>
    <xf numFmtId="165" fontId="5" fillId="3" borderId="2" applyAlignment="0"/>
    <xf numFmtId="0" fontId="15" fillId="0" borderId="0" applyNumberFormat="0"/>
    <xf numFmtId="0" fontId="6" fillId="0" borderId="3" applyNumberFormat="0" applyAlignment="0"/>
    <xf numFmtId="0" fontId="4" fillId="0" borderId="4" applyNumberFormat="0" applyFont="0" applyFill="0" applyAlignment="0"/>
    <xf numFmtId="0" fontId="6" fillId="0" borderId="0"/>
    <xf numFmtId="0" fontId="7" fillId="1" borderId="0"/>
    <xf numFmtId="0" fontId="8" fillId="4" borderId="5" applyNumberFormat="0" applyAlignment="0"/>
    <xf numFmtId="0" fontId="9" fillId="5" borderId="3" applyNumberFormat="0">
      <alignment horizontal="centerContinuous" vertical="center" wrapText="1"/>
    </xf>
    <xf numFmtId="0" fontId="10" fillId="4" borderId="6" applyNumberFormat="0" applyAlignment="0"/>
    <xf numFmtId="0" fontId="11" fillId="0" borderId="0" applyNumberFormat="0"/>
    <xf numFmtId="0" fontId="13" fillId="7" borderId="0"/>
    <xf numFmtId="0" fontId="14" fillId="0" borderId="0"/>
    <xf numFmtId="166" fontId="12" fillId="6" borderId="0"/>
    <xf numFmtId="166" fontId="16" fillId="6" borderId="0"/>
    <xf numFmtId="0" fontId="17" fillId="0" borderId="0"/>
    <xf numFmtId="9" fontId="20" fillId="0" borderId="0" applyFont="0" applyFill="0" applyBorder="0" applyAlignment="0" applyProtection="0"/>
    <xf numFmtId="0" fontId="20" fillId="0" borderId="0"/>
    <xf numFmtId="0" fontId="30" fillId="9" borderId="0" applyNumberFormat="0">
      <alignment horizontal="center"/>
    </xf>
    <xf numFmtId="170" fontId="23" fillId="0" borderId="8" applyNumberFormat="0" applyProtection="0">
      <alignment horizontal="right"/>
    </xf>
    <xf numFmtId="10" fontId="29" fillId="2" borderId="0" applyNumberFormat="0" applyAlignment="0" applyProtection="0"/>
    <xf numFmtId="10" fontId="49" fillId="12" borderId="0" applyNumberFormat="0" applyBorder="0" applyAlignment="0" applyProtection="0"/>
    <xf numFmtId="0" fontId="6" fillId="0" borderId="0"/>
    <xf numFmtId="0" fontId="81" fillId="0" borderId="0"/>
    <xf numFmtId="9" fontId="81" fillId="0" borderId="0" applyFont="0" applyFill="0" applyBorder="0" applyAlignment="0" applyProtection="0"/>
    <xf numFmtId="0" fontId="20" fillId="0" borderId="0"/>
    <xf numFmtId="44"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20" fillId="0" borderId="0"/>
    <xf numFmtId="198" fontId="6" fillId="0" borderId="0" applyFont="0" applyFill="0" applyBorder="0" applyAlignment="0" applyProtection="0"/>
    <xf numFmtId="0" fontId="100" fillId="17" borderId="0" applyNumberFormat="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 fontId="106" fillId="27" borderId="63" applyNumberFormat="0" applyProtection="0">
      <alignment horizontal="left" vertical="center" indent="1"/>
    </xf>
    <xf numFmtId="4" fontId="106" fillId="27" borderId="63" applyNumberFormat="0" applyProtection="0">
      <alignment horizontal="left" vertical="center" indent="1"/>
    </xf>
    <xf numFmtId="4" fontId="106" fillId="0" borderId="63" applyNumberFormat="0" applyProtection="0">
      <alignment horizontal="right" vertical="center"/>
    </xf>
  </cellStyleXfs>
  <cellXfs count="583">
    <xf numFmtId="0" fontId="0" fillId="0" borderId="0" xfId="0"/>
    <xf numFmtId="0" fontId="17" fillId="0" borderId="0" xfId="18"/>
    <xf numFmtId="0" fontId="17" fillId="0" borderId="0" xfId="18" applyAlignment="1">
      <alignment horizontal="right"/>
    </xf>
    <xf numFmtId="0" fontId="19" fillId="0" borderId="0" xfId="18" applyFont="1"/>
    <xf numFmtId="0" fontId="18" fillId="0" borderId="0" xfId="18" applyFont="1" applyAlignment="1">
      <alignment vertical="center"/>
    </xf>
    <xf numFmtId="0" fontId="22" fillId="0" borderId="0" xfId="18" applyFont="1"/>
    <xf numFmtId="0" fontId="17" fillId="0" borderId="0" xfId="18" applyFont="1"/>
    <xf numFmtId="0" fontId="17" fillId="0" borderId="0" xfId="18" applyFont="1" applyAlignment="1">
      <alignment horizontal="right"/>
    </xf>
    <xf numFmtId="0" fontId="17" fillId="0" borderId="0" xfId="0" applyFont="1"/>
    <xf numFmtId="0" fontId="24" fillId="0" borderId="0" xfId="8" applyFont="1" applyFill="1" applyBorder="1"/>
    <xf numFmtId="0" fontId="25" fillId="0" borderId="0" xfId="0" applyFont="1"/>
    <xf numFmtId="166" fontId="27" fillId="8" borderId="0" xfId="16" applyFont="1" applyFill="1"/>
    <xf numFmtId="0" fontId="17" fillId="0" borderId="0" xfId="18" applyAlignment="1">
      <alignment horizontal="left"/>
    </xf>
    <xf numFmtId="0" fontId="29" fillId="2" borderId="0" xfId="0" applyFont="1" applyFill="1"/>
    <xf numFmtId="0" fontId="19" fillId="0" borderId="0" xfId="0" applyFont="1"/>
    <xf numFmtId="166" fontId="27" fillId="10" borderId="0" xfId="16" applyFont="1" applyFill="1"/>
    <xf numFmtId="0" fontId="21" fillId="11" borderId="0" xfId="18" applyFont="1" applyFill="1" applyAlignment="1">
      <alignment vertical="center"/>
    </xf>
    <xf numFmtId="0" fontId="21" fillId="11" borderId="0" xfId="18" applyFont="1" applyFill="1" applyAlignment="1">
      <alignment horizontal="right" vertical="center"/>
    </xf>
    <xf numFmtId="0" fontId="26" fillId="11" borderId="0" xfId="18" applyFont="1" applyFill="1" applyAlignment="1">
      <alignment vertical="center"/>
    </xf>
    <xf numFmtId="166" fontId="33" fillId="10" borderId="0" xfId="16" applyFont="1" applyFill="1"/>
    <xf numFmtId="166" fontId="34" fillId="10" borderId="0" xfId="16" applyFont="1" applyFill="1" applyAlignment="1">
      <alignment horizontal="right"/>
    </xf>
    <xf numFmtId="0" fontId="17" fillId="0" borderId="0" xfId="0" applyFont="1" applyAlignment="1">
      <alignment horizontal="left"/>
    </xf>
    <xf numFmtId="0" fontId="23" fillId="0" borderId="0" xfId="18" applyFont="1"/>
    <xf numFmtId="0" fontId="17" fillId="2" borderId="0" xfId="0" applyFont="1" applyFill="1"/>
    <xf numFmtId="172" fontId="17" fillId="0" borderId="0" xfId="0" applyNumberFormat="1" applyFont="1"/>
    <xf numFmtId="172" fontId="17" fillId="2" borderId="0" xfId="0" applyNumberFormat="1" applyFont="1" applyFill="1" applyAlignment="1">
      <alignment horizontal="left"/>
    </xf>
    <xf numFmtId="0" fontId="19" fillId="0" borderId="0" xfId="18" applyFont="1" applyAlignment="1">
      <alignment horizontal="left"/>
    </xf>
    <xf numFmtId="0" fontId="17" fillId="2" borderId="0" xfId="0" quotePrefix="1" applyFont="1" applyFill="1"/>
    <xf numFmtId="0" fontId="17" fillId="0" borderId="0" xfId="18" applyFont="1" applyAlignment="1">
      <alignment horizontal="left"/>
    </xf>
    <xf numFmtId="0" fontId="19" fillId="0" borderId="7" xfId="18" applyFont="1" applyBorder="1" applyAlignment="1">
      <alignment horizontal="left"/>
    </xf>
    <xf numFmtId="0" fontId="19" fillId="0" borderId="7" xfId="18" applyFont="1" applyBorder="1"/>
    <xf numFmtId="167" fontId="18" fillId="0" borderId="0" xfId="18" applyNumberFormat="1" applyFont="1" applyFill="1" applyBorder="1" applyAlignment="1">
      <alignment horizontal="right" vertical="center"/>
    </xf>
    <xf numFmtId="167" fontId="29" fillId="2" borderId="8" xfId="18" applyNumberFormat="1" applyFont="1" applyFill="1" applyBorder="1" applyAlignment="1">
      <alignment horizontal="right" vertical="center"/>
    </xf>
    <xf numFmtId="0" fontId="36" fillId="0" borderId="0" xfId="8" applyFont="1" applyFill="1"/>
    <xf numFmtId="0" fontId="37" fillId="0" borderId="0" xfId="18" applyFont="1"/>
    <xf numFmtId="0" fontId="36" fillId="0" borderId="0" xfId="8" applyFont="1" applyFill="1" applyBorder="1"/>
    <xf numFmtId="0" fontId="17" fillId="13" borderId="4" xfId="18" applyFont="1" applyFill="1" applyBorder="1" applyAlignment="1">
      <alignment horizontal="left"/>
    </xf>
    <xf numFmtId="1" fontId="29" fillId="2" borderId="0" xfId="18" quotePrefix="1" applyNumberFormat="1" applyFont="1" applyFill="1" applyAlignment="1">
      <alignment horizontal="center"/>
    </xf>
    <xf numFmtId="166" fontId="40" fillId="0" borderId="0" xfId="18" applyNumberFormat="1" applyFont="1" applyAlignment="1">
      <alignment horizontal="left"/>
    </xf>
    <xf numFmtId="0" fontId="19" fillId="0" borderId="0" xfId="18" applyFont="1" applyBorder="1"/>
    <xf numFmtId="10" fontId="29" fillId="2" borderId="0" xfId="23" applyNumberFormat="1"/>
    <xf numFmtId="0" fontId="23" fillId="0" borderId="0" xfId="18" applyFont="1" applyBorder="1"/>
    <xf numFmtId="171" fontId="35" fillId="2" borderId="0" xfId="18" applyNumberFormat="1" applyFont="1" applyFill="1" applyBorder="1" applyAlignment="1">
      <alignment horizontal="right"/>
    </xf>
    <xf numFmtId="14" fontId="17" fillId="0" borderId="0" xfId="0" applyNumberFormat="1" applyFont="1"/>
    <xf numFmtId="1" fontId="17" fillId="2" borderId="0" xfId="0" applyNumberFormat="1" applyFont="1" applyFill="1" applyAlignment="1">
      <alignment horizontal="left"/>
    </xf>
    <xf numFmtId="14" fontId="19" fillId="0" borderId="7" xfId="18" applyNumberFormat="1" applyFont="1" applyBorder="1"/>
    <xf numFmtId="0" fontId="42" fillId="0" borderId="7" xfId="18" quotePrefix="1" applyFont="1" applyBorder="1" applyAlignment="1">
      <alignment horizontal="left"/>
    </xf>
    <xf numFmtId="14" fontId="39" fillId="2" borderId="7" xfId="23" applyNumberFormat="1" applyFont="1" applyBorder="1"/>
    <xf numFmtId="166" fontId="27" fillId="10" borderId="0" xfId="16" applyFont="1" applyFill="1" applyAlignment="1">
      <alignment horizontal="left"/>
    </xf>
    <xf numFmtId="0" fontId="0" fillId="0" borderId="0" xfId="0" applyAlignment="1">
      <alignment horizontal="left"/>
    </xf>
    <xf numFmtId="168" fontId="32" fillId="0" borderId="7" xfId="18" applyNumberFormat="1" applyFont="1" applyBorder="1" applyAlignment="1">
      <alignment horizontal="left" vertical="center"/>
    </xf>
    <xf numFmtId="0" fontId="23" fillId="0" borderId="0" xfId="18" applyFont="1" applyAlignment="1">
      <alignment horizontal="left"/>
    </xf>
    <xf numFmtId="167" fontId="32" fillId="0" borderId="4" xfId="18" applyNumberFormat="1" applyFont="1" applyFill="1" applyBorder="1" applyAlignment="1">
      <alignment horizontal="right" vertical="center"/>
    </xf>
    <xf numFmtId="0" fontId="19" fillId="0" borderId="7" xfId="0" applyFont="1" applyBorder="1"/>
    <xf numFmtId="168" fontId="43" fillId="10" borderId="0" xfId="18" applyNumberFormat="1" applyFont="1" applyFill="1" applyAlignment="1">
      <alignment horizontal="center" vertical="center"/>
    </xf>
    <xf numFmtId="0" fontId="19" fillId="0" borderId="7" xfId="0" applyFont="1" applyBorder="1" applyAlignment="1">
      <alignment horizontal="right"/>
    </xf>
    <xf numFmtId="166" fontId="44" fillId="10" borderId="0" xfId="16" applyFont="1" applyFill="1"/>
    <xf numFmtId="0" fontId="29" fillId="2" borderId="0" xfId="18" applyFont="1" applyFill="1" applyAlignment="1">
      <alignment horizontal="left"/>
    </xf>
    <xf numFmtId="167" fontId="18" fillId="0" borderId="0" xfId="18" applyNumberFormat="1" applyFont="1" applyFill="1" applyBorder="1" applyAlignment="1">
      <alignment horizontal="left" vertical="center"/>
    </xf>
    <xf numFmtId="0" fontId="17" fillId="0" borderId="7" xfId="0" applyFont="1" applyBorder="1"/>
    <xf numFmtId="172" fontId="29" fillId="2" borderId="9" xfId="18" quotePrefix="1" applyNumberFormat="1" applyFont="1" applyFill="1" applyBorder="1" applyAlignment="1">
      <alignment horizontal="left"/>
    </xf>
    <xf numFmtId="0" fontId="18" fillId="0" borderId="0" xfId="18" applyFont="1" applyAlignment="1">
      <alignment horizontal="left" vertical="top"/>
    </xf>
    <xf numFmtId="168" fontId="17" fillId="0" borderId="0" xfId="18" applyNumberFormat="1" applyFill="1" applyAlignment="1">
      <alignment horizontal="left"/>
    </xf>
    <xf numFmtId="172" fontId="17" fillId="2" borderId="0" xfId="0" quotePrefix="1" applyNumberFormat="1" applyFont="1" applyFill="1" applyAlignment="1">
      <alignment horizontal="left"/>
    </xf>
    <xf numFmtId="0" fontId="17" fillId="0" borderId="0" xfId="18" applyBorder="1"/>
    <xf numFmtId="0" fontId="47" fillId="0" borderId="0" xfId="0" applyFont="1" applyAlignment="1">
      <alignment horizontal="right"/>
    </xf>
    <xf numFmtId="0" fontId="45" fillId="0" borderId="0" xfId="0" applyFont="1" applyAlignment="1">
      <alignment horizontal="left" indent="1"/>
    </xf>
    <xf numFmtId="168" fontId="23" fillId="0" borderId="8" xfId="22" applyNumberFormat="1" applyAlignment="1">
      <alignment horizontal="right"/>
    </xf>
    <xf numFmtId="0" fontId="48" fillId="0" borderId="0" xfId="18" quotePrefix="1" applyFont="1" applyAlignment="1">
      <alignment horizontal="left"/>
    </xf>
    <xf numFmtId="168" fontId="46" fillId="0" borderId="0" xfId="23" applyNumberFormat="1" applyFont="1" applyFill="1" applyAlignment="1">
      <alignment horizontal="right"/>
    </xf>
    <xf numFmtId="0" fontId="19" fillId="0" borderId="7" xfId="18" applyFont="1" applyBorder="1" applyAlignment="1">
      <alignment horizontal="right"/>
    </xf>
    <xf numFmtId="0" fontId="46" fillId="0" borderId="0" xfId="18" applyFont="1" applyAlignment="1">
      <alignment horizontal="left" indent="1"/>
    </xf>
    <xf numFmtId="0" fontId="17" fillId="0" borderId="0" xfId="18" applyAlignment="1">
      <alignment horizontal="left" vertical="top" wrapText="1"/>
    </xf>
    <xf numFmtId="0" fontId="19" fillId="0" borderId="7" xfId="18" applyFont="1" applyBorder="1" applyAlignment="1">
      <alignment horizontal="left" vertical="top"/>
    </xf>
    <xf numFmtId="0" fontId="17" fillId="0" borderId="7" xfId="18" applyBorder="1" applyAlignment="1">
      <alignment horizontal="left" vertical="top"/>
    </xf>
    <xf numFmtId="0" fontId="19" fillId="0" borderId="0" xfId="0" applyFont="1" applyFill="1" applyBorder="1" applyAlignment="1"/>
    <xf numFmtId="14" fontId="17" fillId="0" borderId="0" xfId="18" applyNumberFormat="1" applyFont="1" applyBorder="1"/>
    <xf numFmtId="14" fontId="17" fillId="0" borderId="7" xfId="18" applyNumberFormat="1" applyFont="1" applyBorder="1"/>
    <xf numFmtId="14" fontId="29" fillId="2" borderId="0" xfId="18" applyNumberFormat="1" applyFont="1" applyFill="1" applyBorder="1"/>
    <xf numFmtId="10" fontId="36" fillId="0" borderId="0" xfId="23" applyNumberFormat="1" applyFont="1" applyFill="1"/>
    <xf numFmtId="0" fontId="23" fillId="0" borderId="0" xfId="18" applyFont="1" applyFill="1"/>
    <xf numFmtId="0" fontId="23" fillId="0" borderId="0" xfId="18" applyFont="1" applyFill="1" applyBorder="1"/>
    <xf numFmtId="0" fontId="28" fillId="0" borderId="0" xfId="0" applyFont="1"/>
    <xf numFmtId="166" fontId="33" fillId="10" borderId="0" xfId="16" applyFont="1" applyFill="1" applyAlignment="1">
      <alignment horizontal="center"/>
    </xf>
    <xf numFmtId="0" fontId="25" fillId="0" borderId="0" xfId="0" applyFont="1" applyAlignment="1">
      <alignment horizontal="center"/>
    </xf>
    <xf numFmtId="176" fontId="18" fillId="0" borderId="0" xfId="18" applyNumberFormat="1" applyFont="1" applyFill="1" applyBorder="1" applyAlignment="1">
      <alignment horizontal="right" vertical="center"/>
    </xf>
    <xf numFmtId="49" fontId="17" fillId="2" borderId="0" xfId="0" applyNumberFormat="1" applyFont="1" applyFill="1" applyAlignment="1">
      <alignment horizontal="left"/>
    </xf>
    <xf numFmtId="0" fontId="17" fillId="0" borderId="0" xfId="0" applyNumberFormat="1" applyFont="1" applyFill="1" applyAlignment="1">
      <alignment horizontal="left"/>
    </xf>
    <xf numFmtId="0" fontId="52" fillId="0" borderId="7" xfId="18" applyFont="1" applyBorder="1"/>
    <xf numFmtId="0" fontId="53" fillId="0" borderId="7" xfId="18" applyFont="1" applyFill="1" applyBorder="1" applyAlignment="1">
      <alignment vertical="center"/>
    </xf>
    <xf numFmtId="0" fontId="38" fillId="0" borderId="7" xfId="18" applyFont="1" applyFill="1" applyBorder="1" applyAlignment="1">
      <alignment vertical="center"/>
    </xf>
    <xf numFmtId="0" fontId="17" fillId="0" borderId="0" xfId="18" applyFont="1" applyFill="1" applyAlignment="1">
      <alignment horizontal="left" vertical="top" wrapText="1"/>
    </xf>
    <xf numFmtId="173" fontId="17" fillId="0" borderId="0" xfId="18" applyNumberFormat="1" applyFont="1" applyAlignment="1"/>
    <xf numFmtId="0" fontId="23" fillId="13" borderId="8" xfId="22" applyNumberFormat="1" applyFill="1" applyAlignment="1">
      <alignment horizontal="left"/>
    </xf>
    <xf numFmtId="0" fontId="54" fillId="0" borderId="0" xfId="18" applyFont="1"/>
    <xf numFmtId="167" fontId="36" fillId="2" borderId="0" xfId="18" applyNumberFormat="1" applyFont="1" applyFill="1" applyBorder="1" applyAlignment="1">
      <alignment horizontal="right" vertical="center"/>
    </xf>
    <xf numFmtId="177" fontId="36" fillId="2" borderId="0" xfId="18" applyNumberFormat="1" applyFont="1" applyFill="1" applyBorder="1" applyAlignment="1">
      <alignment horizontal="right" vertical="center"/>
    </xf>
    <xf numFmtId="173" fontId="18" fillId="0" borderId="0" xfId="18" applyNumberFormat="1" applyFont="1" applyFill="1" applyBorder="1" applyAlignment="1">
      <alignment horizontal="right" vertical="center"/>
    </xf>
    <xf numFmtId="0" fontId="41" fillId="0" borderId="0" xfId="8" applyFont="1" applyFill="1" applyBorder="1"/>
    <xf numFmtId="175" fontId="47" fillId="0" borderId="0" xfId="18" applyNumberFormat="1" applyFont="1" applyFill="1" applyBorder="1" applyAlignment="1">
      <alignment horizontal="right" vertical="center"/>
    </xf>
    <xf numFmtId="0" fontId="41" fillId="0" borderId="0" xfId="8" applyFont="1" applyFill="1" applyBorder="1" applyAlignment="1">
      <alignment horizontal="center"/>
    </xf>
    <xf numFmtId="0" fontId="47" fillId="0" borderId="0" xfId="18" applyFont="1" applyAlignment="1">
      <alignment horizontal="right"/>
    </xf>
    <xf numFmtId="49" fontId="17" fillId="0" borderId="0" xfId="0" applyNumberFormat="1" applyFont="1"/>
    <xf numFmtId="178" fontId="17" fillId="0" borderId="0" xfId="18" applyNumberFormat="1" applyFont="1" applyFill="1" applyAlignment="1">
      <alignment vertical="top" wrapText="1"/>
    </xf>
    <xf numFmtId="178" fontId="18" fillId="13" borderId="0" xfId="18" applyNumberFormat="1" applyFont="1" applyFill="1" applyBorder="1" applyAlignment="1">
      <alignment horizontal="right" vertical="center"/>
    </xf>
    <xf numFmtId="179" fontId="18" fillId="0" borderId="0" xfId="18" applyNumberFormat="1" applyFont="1" applyFill="1" applyBorder="1" applyAlignment="1">
      <alignment horizontal="right" vertical="center"/>
    </xf>
    <xf numFmtId="176" fontId="32" fillId="0" borderId="0" xfId="18" applyNumberFormat="1" applyFont="1" applyFill="1" applyBorder="1" applyAlignment="1">
      <alignment horizontal="right" vertical="center"/>
    </xf>
    <xf numFmtId="0" fontId="51" fillId="0" borderId="0" xfId="0" applyFont="1"/>
    <xf numFmtId="167" fontId="32" fillId="0" borderId="0" xfId="18" applyNumberFormat="1" applyFont="1" applyFill="1" applyBorder="1" applyAlignment="1">
      <alignment horizontal="right" vertical="center"/>
    </xf>
    <xf numFmtId="166" fontId="40" fillId="0" borderId="4" xfId="18" applyNumberFormat="1" applyFont="1" applyBorder="1" applyAlignment="1">
      <alignment horizontal="left"/>
    </xf>
    <xf numFmtId="0" fontId="17" fillId="0" borderId="4" xfId="18" applyBorder="1"/>
    <xf numFmtId="0" fontId="53" fillId="0" borderId="0" xfId="18" applyFont="1" applyFill="1" applyBorder="1" applyAlignment="1">
      <alignment vertical="center"/>
    </xf>
    <xf numFmtId="170" fontId="23" fillId="0" borderId="8" xfId="22" applyNumberFormat="1" applyAlignment="1">
      <alignment horizontal="right"/>
    </xf>
    <xf numFmtId="0" fontId="36" fillId="0" borderId="0" xfId="8" applyFont="1"/>
    <xf numFmtId="0" fontId="50" fillId="0" borderId="0" xfId="8" applyFont="1"/>
    <xf numFmtId="0" fontId="41" fillId="0" borderId="0" xfId="8" applyFont="1"/>
    <xf numFmtId="175" fontId="47" fillId="0" borderId="0" xfId="18" applyNumberFormat="1" applyFont="1" applyAlignment="1">
      <alignment horizontal="right" vertical="center"/>
    </xf>
    <xf numFmtId="0" fontId="24" fillId="0" borderId="0" xfId="8" applyFont="1"/>
    <xf numFmtId="167" fontId="18" fillId="0" borderId="0" xfId="18" applyNumberFormat="1" applyFont="1" applyAlignment="1">
      <alignment horizontal="right" vertical="center"/>
    </xf>
    <xf numFmtId="0" fontId="53" fillId="0" borderId="7" xfId="18" applyFont="1" applyBorder="1" applyAlignment="1">
      <alignment vertical="center"/>
    </xf>
    <xf numFmtId="0" fontId="38" fillId="0" borderId="7" xfId="18" applyFont="1" applyBorder="1" applyAlignment="1">
      <alignment vertical="center"/>
    </xf>
    <xf numFmtId="0" fontId="38" fillId="0" borderId="7" xfId="18" applyFont="1" applyBorder="1" applyAlignment="1">
      <alignment horizontal="right" vertical="center"/>
    </xf>
    <xf numFmtId="167" fontId="18" fillId="0" borderId="0" xfId="18" applyNumberFormat="1" applyFont="1" applyAlignment="1">
      <alignment horizontal="left" vertical="center"/>
    </xf>
    <xf numFmtId="0" fontId="24" fillId="0" borderId="0" xfId="8" applyFont="1" applyAlignment="1">
      <alignment horizontal="left"/>
    </xf>
    <xf numFmtId="0" fontId="19" fillId="0" borderId="4" xfId="0" applyFont="1" applyFill="1" applyBorder="1" applyAlignment="1">
      <alignment horizontal="left"/>
    </xf>
    <xf numFmtId="0" fontId="57" fillId="0" borderId="0" xfId="18" applyFont="1"/>
    <xf numFmtId="0" fontId="17" fillId="0" borderId="0" xfId="20" applyFont="1"/>
    <xf numFmtId="0" fontId="17" fillId="0" borderId="0" xfId="20" applyFont="1" applyAlignment="1">
      <alignment horizontal="center"/>
    </xf>
    <xf numFmtId="0" fontId="47" fillId="0" borderId="0" xfId="20" applyFont="1" applyAlignment="1">
      <alignment horizontal="right"/>
    </xf>
    <xf numFmtId="0" fontId="20" fillId="0" borderId="0" xfId="20"/>
    <xf numFmtId="0" fontId="17" fillId="2" borderId="0" xfId="20" applyFont="1" applyFill="1"/>
    <xf numFmtId="180" fontId="23" fillId="0" borderId="8" xfId="22" applyNumberFormat="1">
      <alignment horizontal="right"/>
    </xf>
    <xf numFmtId="167" fontId="17" fillId="0" borderId="0" xfId="18" applyNumberFormat="1" applyFont="1" applyFill="1" applyBorder="1" applyAlignment="1">
      <alignment horizontal="right" vertical="center"/>
    </xf>
    <xf numFmtId="167" fontId="17" fillId="14" borderId="0" xfId="18" applyNumberFormat="1" applyFont="1" applyFill="1" applyBorder="1" applyAlignment="1">
      <alignment horizontal="right" vertical="center"/>
    </xf>
    <xf numFmtId="0" fontId="60" fillId="0" borderId="0" xfId="18" applyFont="1" applyAlignment="1">
      <alignment horizontal="left" indent="1"/>
    </xf>
    <xf numFmtId="49" fontId="17" fillId="0" borderId="0" xfId="18" applyNumberFormat="1"/>
    <xf numFmtId="182" fontId="29" fillId="2" borderId="8" xfId="18" applyNumberFormat="1" applyFont="1" applyFill="1" applyBorder="1" applyAlignment="1">
      <alignment horizontal="right" vertical="center"/>
    </xf>
    <xf numFmtId="176" fontId="17" fillId="0" borderId="0" xfId="18" applyNumberFormat="1"/>
    <xf numFmtId="166" fontId="40" fillId="0" borderId="0" xfId="18" applyNumberFormat="1" applyFont="1" applyBorder="1" applyAlignment="1">
      <alignment horizontal="left"/>
    </xf>
    <xf numFmtId="2" fontId="17" fillId="0" borderId="0" xfId="18" applyNumberFormat="1"/>
    <xf numFmtId="178" fontId="32" fillId="0" borderId="0" xfId="18" applyNumberFormat="1" applyFont="1" applyFill="1" applyBorder="1" applyAlignment="1">
      <alignment horizontal="right" vertical="center"/>
    </xf>
    <xf numFmtId="178" fontId="61" fillId="0" borderId="0" xfId="18" applyNumberFormat="1" applyFont="1" applyFill="1" applyBorder="1" applyAlignment="1">
      <alignment horizontal="right" vertical="center"/>
    </xf>
    <xf numFmtId="0" fontId="26" fillId="11" borderId="0" xfId="18" applyFont="1" applyFill="1" applyAlignment="1">
      <alignment horizontal="right" vertical="center"/>
    </xf>
    <xf numFmtId="167" fontId="18" fillId="0" borderId="4" xfId="18" applyNumberFormat="1" applyFont="1" applyFill="1" applyBorder="1" applyAlignment="1">
      <alignment horizontal="right" vertical="center"/>
    </xf>
    <xf numFmtId="0" fontId="17" fillId="0" borderId="4" xfId="0" applyFont="1" applyFill="1" applyBorder="1" applyAlignment="1">
      <alignment horizontal="left"/>
    </xf>
    <xf numFmtId="0" fontId="17" fillId="2" borderId="0" xfId="18" applyFill="1"/>
    <xf numFmtId="14" fontId="62" fillId="0" borderId="0" xfId="0" applyNumberFormat="1" applyFont="1"/>
    <xf numFmtId="0" fontId="61" fillId="0" borderId="0" xfId="18" applyFont="1" applyAlignment="1">
      <alignment vertical="center"/>
    </xf>
    <xf numFmtId="167" fontId="29" fillId="2" borderId="0" xfId="18" applyNumberFormat="1" applyFont="1" applyFill="1" applyAlignment="1">
      <alignment horizontal="right" vertical="center"/>
    </xf>
    <xf numFmtId="167" fontId="0" fillId="0" borderId="0" xfId="0" applyNumberFormat="1"/>
    <xf numFmtId="167" fontId="25" fillId="0" borderId="0" xfId="0" applyNumberFormat="1" applyFont="1"/>
    <xf numFmtId="0" fontId="47" fillId="2" borderId="0" xfId="18" applyFont="1" applyFill="1" applyAlignment="1">
      <alignment horizontal="right"/>
    </xf>
    <xf numFmtId="0" fontId="19" fillId="0" borderId="0" xfId="18" applyFont="1" applyBorder="1" applyAlignment="1">
      <alignment horizontal="center"/>
    </xf>
    <xf numFmtId="167" fontId="36" fillId="2" borderId="0" xfId="18" applyNumberFormat="1" applyFont="1" applyFill="1" applyBorder="1" applyAlignment="1">
      <alignment horizontal="left" vertical="center"/>
    </xf>
    <xf numFmtId="170" fontId="29" fillId="2" borderId="0" xfId="23" applyNumberFormat="1" applyAlignment="1">
      <alignment horizontal="right"/>
    </xf>
    <xf numFmtId="183" fontId="49" fillId="2" borderId="0" xfId="24" applyNumberFormat="1" applyFill="1" applyAlignment="1">
      <alignment horizontal="right"/>
    </xf>
    <xf numFmtId="0" fontId="19" fillId="0" borderId="7" xfId="0" applyFont="1" applyBorder="1" applyAlignment="1">
      <alignment horizontal="left"/>
    </xf>
    <xf numFmtId="0" fontId="19" fillId="0" borderId="7" xfId="0" applyFont="1" applyBorder="1" applyAlignment="1">
      <alignment horizontal="center"/>
    </xf>
    <xf numFmtId="170" fontId="23" fillId="0" borderId="8" xfId="22" applyNumberFormat="1">
      <alignment horizontal="right"/>
    </xf>
    <xf numFmtId="9" fontId="29" fillId="2" borderId="0" xfId="23" applyNumberFormat="1" applyAlignment="1">
      <alignment horizontal="right"/>
    </xf>
    <xf numFmtId="175" fontId="47" fillId="0" borderId="0" xfId="18" applyNumberFormat="1" applyFont="1" applyFill="1" applyBorder="1" applyAlignment="1">
      <alignment horizontal="left" vertical="center"/>
    </xf>
    <xf numFmtId="0" fontId="19" fillId="0" borderId="0" xfId="0" applyFont="1" applyBorder="1" applyAlignment="1">
      <alignment horizontal="center"/>
    </xf>
    <xf numFmtId="184" fontId="29" fillId="2" borderId="8" xfId="23" applyNumberFormat="1" applyBorder="1" applyAlignment="1">
      <alignment horizontal="right"/>
    </xf>
    <xf numFmtId="184" fontId="29" fillId="2" borderId="10" xfId="23" applyNumberFormat="1" applyBorder="1" applyAlignment="1">
      <alignment horizontal="right"/>
    </xf>
    <xf numFmtId="170" fontId="29" fillId="2" borderId="0" xfId="23" applyNumberFormat="1" applyBorder="1" applyAlignment="1">
      <alignment horizontal="right"/>
    </xf>
    <xf numFmtId="185" fontId="29" fillId="2" borderId="10" xfId="23" applyNumberFormat="1" applyBorder="1" applyAlignment="1">
      <alignment horizontal="center"/>
    </xf>
    <xf numFmtId="169" fontId="17" fillId="0" borderId="0" xfId="0" applyNumberFormat="1" applyFont="1"/>
    <xf numFmtId="0" fontId="36" fillId="0" borderId="0" xfId="18" applyFont="1"/>
    <xf numFmtId="179" fontId="29" fillId="2" borderId="8" xfId="18" applyNumberFormat="1" applyFont="1" applyFill="1" applyBorder="1" applyAlignment="1">
      <alignment horizontal="right" vertical="center"/>
    </xf>
    <xf numFmtId="187" fontId="29" fillId="2" borderId="8" xfId="18" applyNumberFormat="1" applyFont="1" applyFill="1" applyBorder="1" applyAlignment="1">
      <alignment horizontal="right" vertical="center"/>
    </xf>
    <xf numFmtId="179" fontId="32" fillId="0" borderId="0" xfId="18" applyNumberFormat="1" applyFont="1" applyFill="1" applyBorder="1" applyAlignment="1">
      <alignment horizontal="right" vertical="center"/>
    </xf>
    <xf numFmtId="0" fontId="17" fillId="0" borderId="7" xfId="18" applyBorder="1"/>
    <xf numFmtId="0" fontId="18" fillId="0" borderId="11" xfId="18" applyFont="1" applyBorder="1" applyAlignment="1">
      <alignment vertical="center"/>
    </xf>
    <xf numFmtId="0" fontId="17" fillId="0" borderId="11" xfId="18" applyBorder="1"/>
    <xf numFmtId="173" fontId="18" fillId="0" borderId="11" xfId="18" applyNumberFormat="1" applyFont="1" applyFill="1" applyBorder="1" applyAlignment="1">
      <alignment horizontal="right" vertical="center"/>
    </xf>
    <xf numFmtId="167" fontId="18" fillId="0" borderId="11" xfId="18" applyNumberFormat="1" applyFont="1" applyFill="1" applyBorder="1" applyAlignment="1">
      <alignment horizontal="right" vertical="center"/>
    </xf>
    <xf numFmtId="167" fontId="18" fillId="0" borderId="11" xfId="18" applyNumberFormat="1" applyFont="1" applyBorder="1" applyAlignment="1">
      <alignment horizontal="right" vertical="center"/>
    </xf>
    <xf numFmtId="0" fontId="57" fillId="0" borderId="11" xfId="0" applyFont="1" applyFill="1" applyBorder="1" applyAlignment="1"/>
    <xf numFmtId="166" fontId="40" fillId="0" borderId="11" xfId="18" applyNumberFormat="1" applyFont="1" applyBorder="1" applyAlignment="1">
      <alignment horizontal="left"/>
    </xf>
    <xf numFmtId="167" fontId="32" fillId="0" borderId="11" xfId="18" applyNumberFormat="1" applyFont="1" applyFill="1" applyBorder="1" applyAlignment="1">
      <alignment horizontal="right" vertical="center"/>
    </xf>
    <xf numFmtId="0" fontId="17" fillId="0" borderId="11" xfId="0" applyFont="1" applyFill="1" applyBorder="1" applyAlignment="1"/>
    <xf numFmtId="0" fontId="26" fillId="15" borderId="0" xfId="18" applyFont="1" applyFill="1" applyAlignment="1">
      <alignment vertical="center"/>
    </xf>
    <xf numFmtId="0" fontId="26" fillId="15" borderId="0" xfId="18" applyFont="1" applyFill="1" applyAlignment="1">
      <alignment horizontal="right" vertical="center"/>
    </xf>
    <xf numFmtId="0" fontId="21" fillId="15" borderId="0" xfId="18" applyFont="1" applyFill="1" applyAlignment="1">
      <alignment horizontal="right" vertical="center"/>
    </xf>
    <xf numFmtId="188" fontId="17" fillId="0" borderId="7" xfId="18" applyNumberFormat="1" applyFill="1" applyBorder="1" applyAlignment="1">
      <alignment horizontal="center"/>
    </xf>
    <xf numFmtId="188" fontId="17" fillId="0" borderId="7" xfId="18" applyNumberFormat="1" applyFill="1" applyBorder="1" applyAlignment="1">
      <alignment horizontal="left"/>
    </xf>
    <xf numFmtId="179" fontId="17" fillId="0" borderId="0" xfId="0" applyNumberFormat="1" applyFont="1"/>
    <xf numFmtId="186" fontId="17" fillId="0" borderId="0" xfId="18" applyNumberFormat="1" applyAlignment="1">
      <alignment horizontal="left"/>
    </xf>
    <xf numFmtId="171" fontId="41" fillId="0" borderId="0" xfId="8" applyNumberFormat="1" applyFont="1"/>
    <xf numFmtId="1" fontId="41" fillId="0" borderId="0" xfId="8" applyNumberFormat="1" applyFont="1"/>
    <xf numFmtId="167" fontId="24" fillId="0" borderId="0" xfId="8" applyNumberFormat="1" applyFont="1"/>
    <xf numFmtId="167" fontId="24" fillId="0" borderId="0" xfId="8" applyNumberFormat="1" applyFont="1" applyAlignment="1">
      <alignment horizontal="right"/>
    </xf>
    <xf numFmtId="0" fontId="24" fillId="0" borderId="7" xfId="8" applyFont="1" applyBorder="1" applyAlignment="1">
      <alignment horizontal="left"/>
    </xf>
    <xf numFmtId="0" fontId="25" fillId="0" borderId="7" xfId="0" applyFont="1" applyBorder="1" applyAlignment="1">
      <alignment horizontal="center"/>
    </xf>
    <xf numFmtId="0" fontId="25" fillId="0" borderId="7" xfId="0" applyFont="1" applyBorder="1"/>
    <xf numFmtId="0" fontId="63" fillId="0" borderId="12" xfId="0" applyFont="1" applyBorder="1"/>
    <xf numFmtId="0" fontId="24" fillId="2" borderId="0" xfId="8" applyFont="1" applyFill="1" applyAlignment="1">
      <alignment horizontal="left"/>
    </xf>
    <xf numFmtId="2" fontId="17" fillId="2" borderId="0" xfId="18" applyNumberFormat="1" applyFill="1"/>
    <xf numFmtId="2" fontId="23" fillId="0" borderId="8" xfId="22" applyNumberFormat="1" applyAlignment="1">
      <alignment horizontal="left"/>
    </xf>
    <xf numFmtId="168" fontId="64" fillId="10" borderId="0" xfId="18" applyNumberFormat="1" applyFont="1" applyFill="1" applyAlignment="1">
      <alignment horizontal="center" vertical="center"/>
    </xf>
    <xf numFmtId="0" fontId="22" fillId="0" borderId="0" xfId="18" applyFont="1" applyAlignment="1">
      <alignment horizontal="left" indent="1"/>
    </xf>
    <xf numFmtId="0" fontId="17" fillId="0" borderId="0" xfId="18" applyFont="1" applyAlignment="1"/>
    <xf numFmtId="168" fontId="64" fillId="10" borderId="0" xfId="18" applyNumberFormat="1" applyFont="1" applyFill="1" applyAlignment="1">
      <alignment horizontal="left" vertical="center"/>
    </xf>
    <xf numFmtId="0" fontId="65" fillId="0" borderId="0" xfId="18" applyFont="1"/>
    <xf numFmtId="0" fontId="66" fillId="0" borderId="7" xfId="18" applyFont="1" applyFill="1" applyBorder="1" applyAlignment="1">
      <alignment vertical="center"/>
    </xf>
    <xf numFmtId="0" fontId="67" fillId="0" borderId="0" xfId="18" applyFont="1"/>
    <xf numFmtId="0" fontId="62" fillId="0" borderId="0" xfId="0" applyFont="1"/>
    <xf numFmtId="168" fontId="67" fillId="0" borderId="0" xfId="18" applyNumberFormat="1" applyFont="1" applyFill="1" applyAlignment="1">
      <alignment horizontal="left"/>
    </xf>
    <xf numFmtId="0" fontId="66" fillId="0" borderId="0" xfId="18" applyFont="1" applyFill="1" applyBorder="1" applyAlignment="1">
      <alignment vertical="center"/>
    </xf>
    <xf numFmtId="168" fontId="68" fillId="0" borderId="0" xfId="18" applyNumberFormat="1" applyFont="1" applyFill="1" applyAlignment="1">
      <alignment horizontal="left"/>
    </xf>
    <xf numFmtId="168" fontId="69" fillId="0" borderId="0" xfId="18" applyNumberFormat="1" applyFont="1" applyAlignment="1">
      <alignment horizontal="left" vertical="center"/>
    </xf>
    <xf numFmtId="0" fontId="66" fillId="0" borderId="0" xfId="18" applyFont="1" applyFill="1" applyBorder="1" applyAlignment="1">
      <alignment horizontal="left" vertical="center"/>
    </xf>
    <xf numFmtId="0" fontId="67" fillId="0" borderId="0" xfId="18" applyFont="1" applyAlignment="1">
      <alignment horizontal="left"/>
    </xf>
    <xf numFmtId="0" fontId="70" fillId="0" borderId="0" xfId="18" applyFont="1" applyAlignment="1">
      <alignment horizontal="left" vertical="center"/>
    </xf>
    <xf numFmtId="0" fontId="69" fillId="0" borderId="0" xfId="18" applyFont="1" applyAlignment="1">
      <alignment horizontal="left" vertical="center"/>
    </xf>
    <xf numFmtId="168" fontId="69" fillId="0" borderId="11" xfId="18" applyNumberFormat="1" applyFont="1" applyBorder="1" applyAlignment="1">
      <alignment horizontal="left" vertical="center"/>
    </xf>
    <xf numFmtId="168" fontId="71" fillId="0" borderId="0" xfId="18" applyNumberFormat="1" applyFont="1" applyAlignment="1">
      <alignment horizontal="left" vertical="center"/>
    </xf>
    <xf numFmtId="168" fontId="69" fillId="0" borderId="0" xfId="18" applyNumberFormat="1" applyFont="1" applyBorder="1" applyAlignment="1">
      <alignment horizontal="left" vertical="center"/>
    </xf>
    <xf numFmtId="0" fontId="72" fillId="0" borderId="0" xfId="0" applyFont="1"/>
    <xf numFmtId="0" fontId="48" fillId="0" borderId="0" xfId="18" applyFont="1"/>
    <xf numFmtId="0" fontId="73" fillId="11" borderId="0" xfId="18" applyFont="1" applyFill="1" applyAlignment="1">
      <alignment horizontal="right" vertical="center"/>
    </xf>
    <xf numFmtId="167" fontId="69" fillId="0" borderId="0" xfId="18" applyNumberFormat="1" applyFont="1" applyAlignment="1">
      <alignment horizontal="right" vertical="center"/>
    </xf>
    <xf numFmtId="0" fontId="66" fillId="0" borderId="7" xfId="18" applyFont="1" applyBorder="1" applyAlignment="1">
      <alignment horizontal="right" vertical="center"/>
    </xf>
    <xf numFmtId="166" fontId="75" fillId="10" borderId="0" xfId="16" applyFont="1" applyFill="1" applyAlignment="1">
      <alignment horizontal="right"/>
    </xf>
    <xf numFmtId="0" fontId="74" fillId="0" borderId="0" xfId="8" applyFont="1" applyAlignment="1">
      <alignment horizontal="right"/>
    </xf>
    <xf numFmtId="168" fontId="69" fillId="0" borderId="0" xfId="18" applyNumberFormat="1" applyFont="1" applyAlignment="1">
      <alignment horizontal="right" vertical="center"/>
    </xf>
    <xf numFmtId="168" fontId="71" fillId="0" borderId="0" xfId="18" applyNumberFormat="1" applyFont="1" applyAlignment="1">
      <alignment horizontal="right" vertical="center"/>
    </xf>
    <xf numFmtId="168" fontId="69" fillId="0" borderId="4" xfId="18" applyNumberFormat="1" applyFont="1" applyBorder="1" applyAlignment="1">
      <alignment horizontal="right" vertical="center"/>
    </xf>
    <xf numFmtId="0" fontId="67" fillId="0" borderId="0" xfId="18" applyFont="1" applyAlignment="1">
      <alignment horizontal="right"/>
    </xf>
    <xf numFmtId="0" fontId="67" fillId="0" borderId="0" xfId="0" applyFont="1" applyAlignment="1">
      <alignment horizontal="right"/>
    </xf>
    <xf numFmtId="0" fontId="76" fillId="0" borderId="0" xfId="18" applyFont="1" applyAlignment="1">
      <alignment vertical="center"/>
    </xf>
    <xf numFmtId="0" fontId="28" fillId="0" borderId="0" xfId="18" applyFont="1"/>
    <xf numFmtId="178" fontId="76" fillId="0" borderId="0" xfId="18" applyNumberFormat="1" applyFont="1" applyFill="1" applyBorder="1" applyAlignment="1">
      <alignment horizontal="right" vertical="center"/>
    </xf>
    <xf numFmtId="167" fontId="50" fillId="0" borderId="0" xfId="8" applyNumberFormat="1" applyFont="1"/>
    <xf numFmtId="166" fontId="77" fillId="0" borderId="0" xfId="18" applyNumberFormat="1" applyFont="1" applyAlignment="1">
      <alignment horizontal="left"/>
    </xf>
    <xf numFmtId="0" fontId="78" fillId="0" borderId="11" xfId="0" applyFont="1" applyFill="1" applyBorder="1" applyAlignment="1"/>
    <xf numFmtId="166" fontId="77" fillId="0" borderId="11" xfId="18" applyNumberFormat="1" applyFont="1" applyBorder="1" applyAlignment="1">
      <alignment horizontal="left"/>
    </xf>
    <xf numFmtId="0" fontId="28" fillId="0" borderId="11" xfId="18" applyFont="1" applyBorder="1" applyAlignment="1">
      <alignment horizontal="right"/>
    </xf>
    <xf numFmtId="0" fontId="79" fillId="0" borderId="0" xfId="18" applyFont="1"/>
    <xf numFmtId="0" fontId="0" fillId="2" borderId="0" xfId="0" applyFill="1"/>
    <xf numFmtId="168" fontId="46" fillId="0" borderId="0" xfId="23" applyNumberFormat="1" applyFont="1" applyFill="1" applyAlignment="1">
      <alignment horizontal="left"/>
    </xf>
    <xf numFmtId="173" fontId="17" fillId="0" borderId="0" xfId="18" applyNumberFormat="1" applyFont="1" applyBorder="1" applyAlignment="1"/>
    <xf numFmtId="174" fontId="17" fillId="0" borderId="0" xfId="18" applyNumberFormat="1"/>
    <xf numFmtId="189" fontId="17" fillId="0" borderId="0" xfId="18" applyNumberFormat="1"/>
    <xf numFmtId="190" fontId="17" fillId="0" borderId="0" xfId="0" applyNumberFormat="1" applyFont="1"/>
    <xf numFmtId="0" fontId="38" fillId="0" borderId="0" xfId="18" applyFont="1" applyBorder="1" applyAlignment="1">
      <alignment vertical="center"/>
    </xf>
    <xf numFmtId="0" fontId="38" fillId="0" borderId="0" xfId="18" applyFont="1" applyBorder="1" applyAlignment="1">
      <alignment horizontal="right" vertical="center"/>
    </xf>
    <xf numFmtId="0" fontId="17" fillId="0" borderId="0" xfId="18" applyFont="1" applyFill="1" applyBorder="1" applyAlignment="1">
      <alignment horizontal="left" vertical="top" wrapText="1"/>
    </xf>
    <xf numFmtId="167" fontId="17" fillId="0" borderId="0" xfId="18" applyNumberFormat="1"/>
    <xf numFmtId="0" fontId="81" fillId="0" borderId="0" xfId="0" applyFont="1"/>
    <xf numFmtId="172" fontId="17" fillId="0" borderId="0" xfId="0" applyNumberFormat="1" applyFont="1" applyFill="1" applyAlignment="1">
      <alignment horizontal="left"/>
    </xf>
    <xf numFmtId="0" fontId="0" fillId="0" borderId="0" xfId="0" applyFill="1"/>
    <xf numFmtId="9" fontId="17" fillId="0" borderId="0" xfId="18" applyNumberFormat="1"/>
    <xf numFmtId="0" fontId="36" fillId="0" borderId="0" xfId="18" applyFont="1" applyBorder="1" applyAlignment="1">
      <alignment vertical="center"/>
    </xf>
    <xf numFmtId="189" fontId="17" fillId="0" borderId="0" xfId="18" applyNumberFormat="1" applyFont="1"/>
    <xf numFmtId="171" fontId="41" fillId="0" borderId="0" xfId="8" applyNumberFormat="1" applyFont="1" applyAlignment="1">
      <alignment horizontal="right"/>
    </xf>
    <xf numFmtId="0" fontId="17" fillId="0" borderId="0" xfId="0" applyFont="1" applyFill="1"/>
    <xf numFmtId="0" fontId="19" fillId="0" borderId="7" xfId="0" applyFont="1" applyFill="1" applyBorder="1"/>
    <xf numFmtId="0" fontId="19" fillId="0" borderId="7" xfId="0" applyFont="1" applyFill="1" applyBorder="1" applyAlignment="1">
      <alignment horizontal="right"/>
    </xf>
    <xf numFmtId="0" fontId="19" fillId="0" borderId="0" xfId="0" applyFont="1" applyFill="1"/>
    <xf numFmtId="0" fontId="82" fillId="0" borderId="0" xfId="0" applyFont="1"/>
    <xf numFmtId="185" fontId="17" fillId="0" borderId="0" xfId="0" applyNumberFormat="1" applyFont="1" applyAlignment="1">
      <alignment horizontal="left"/>
    </xf>
    <xf numFmtId="0" fontId="19" fillId="0" borderId="0" xfId="0" applyFont="1" applyFill="1" applyBorder="1" applyAlignment="1">
      <alignment horizontal="right"/>
    </xf>
    <xf numFmtId="0" fontId="17" fillId="0" borderId="0" xfId="0" applyFont="1" applyBorder="1"/>
    <xf numFmtId="181" fontId="17" fillId="0" borderId="0" xfId="0" applyNumberFormat="1" applyFont="1" applyFill="1" applyAlignment="1">
      <alignment horizontal="left"/>
    </xf>
    <xf numFmtId="181" fontId="17" fillId="0" borderId="14" xfId="0" applyNumberFormat="1" applyFont="1" applyFill="1" applyBorder="1" applyAlignment="1">
      <alignment horizontal="left"/>
    </xf>
    <xf numFmtId="191" fontId="17" fillId="0" borderId="0" xfId="0" applyNumberFormat="1" applyFont="1" applyFill="1" applyAlignment="1">
      <alignment horizontal="center"/>
    </xf>
    <xf numFmtId="0" fontId="83" fillId="0" borderId="0" xfId="0" applyFont="1"/>
    <xf numFmtId="167" fontId="18" fillId="0" borderId="0" xfId="18" applyNumberFormat="1" applyFont="1" applyFill="1" applyAlignment="1">
      <alignment horizontal="left" vertical="center"/>
    </xf>
    <xf numFmtId="166" fontId="40" fillId="0" borderId="0" xfId="18" applyNumberFormat="1" applyFont="1" applyFill="1" applyAlignment="1">
      <alignment horizontal="left"/>
    </xf>
    <xf numFmtId="0" fontId="17" fillId="0" borderId="0" xfId="18" applyFill="1" applyAlignment="1">
      <alignment horizontal="right"/>
    </xf>
    <xf numFmtId="168" fontId="69" fillId="0" borderId="0" xfId="18" applyNumberFormat="1" applyFont="1" applyFill="1" applyAlignment="1">
      <alignment horizontal="right" vertical="center"/>
    </xf>
    <xf numFmtId="167" fontId="18" fillId="0" borderId="0" xfId="18" applyNumberFormat="1" applyFont="1" applyFill="1" applyAlignment="1">
      <alignment horizontal="right" vertical="center"/>
    </xf>
    <xf numFmtId="191" fontId="18" fillId="0" borderId="11" xfId="18" applyNumberFormat="1" applyFont="1" applyBorder="1" applyAlignment="1">
      <alignment horizontal="right" vertical="center"/>
    </xf>
    <xf numFmtId="191" fontId="18" fillId="0" borderId="0" xfId="18" applyNumberFormat="1" applyFont="1" applyBorder="1" applyAlignment="1">
      <alignment horizontal="right" vertical="center"/>
    </xf>
    <xf numFmtId="0" fontId="17" fillId="0" borderId="0" xfId="0" applyFont="1" applyAlignment="1">
      <alignment horizontal="center"/>
    </xf>
    <xf numFmtId="0" fontId="81" fillId="0" borderId="0" xfId="0" applyFont="1" applyAlignment="1">
      <alignment horizontal="center"/>
    </xf>
    <xf numFmtId="0" fontId="17" fillId="0" borderId="7" xfId="0" applyFont="1" applyBorder="1" applyAlignment="1">
      <alignment horizontal="center"/>
    </xf>
    <xf numFmtId="179" fontId="18" fillId="0" borderId="11" xfId="18" applyNumberFormat="1" applyFont="1" applyBorder="1" applyAlignment="1">
      <alignment horizontal="right" vertical="center"/>
    </xf>
    <xf numFmtId="179" fontId="18" fillId="0" borderId="0" xfId="18" applyNumberFormat="1" applyFont="1" applyBorder="1" applyAlignment="1">
      <alignment horizontal="right" vertical="center"/>
    </xf>
    <xf numFmtId="179" fontId="17" fillId="0" borderId="0" xfId="0" applyNumberFormat="1" applyFont="1" applyFill="1" applyBorder="1"/>
    <xf numFmtId="181" fontId="84" fillId="0" borderId="0" xfId="0" applyNumberFormat="1" applyFont="1" applyFill="1" applyAlignment="1">
      <alignment horizontal="center"/>
    </xf>
    <xf numFmtId="179" fontId="25" fillId="0" borderId="0" xfId="0" applyNumberFormat="1" applyFont="1"/>
    <xf numFmtId="0" fontId="17" fillId="0" borderId="7" xfId="0" applyFont="1" applyBorder="1" applyAlignment="1"/>
    <xf numFmtId="0" fontId="29" fillId="2" borderId="0" xfId="18" applyFont="1" applyFill="1"/>
    <xf numFmtId="181" fontId="19" fillId="0" borderId="14" xfId="0" applyNumberFormat="1" applyFont="1" applyFill="1" applyBorder="1" applyAlignment="1">
      <alignment horizontal="left"/>
    </xf>
    <xf numFmtId="191" fontId="32" fillId="0" borderId="11" xfId="18" applyNumberFormat="1" applyFont="1" applyBorder="1" applyAlignment="1">
      <alignment horizontal="right" vertical="center"/>
    </xf>
    <xf numFmtId="0" fontId="19" fillId="0" borderId="7" xfId="0" applyFont="1" applyFill="1" applyBorder="1" applyAlignment="1">
      <alignment horizontal="center"/>
    </xf>
    <xf numFmtId="191" fontId="85" fillId="0" borderId="14" xfId="0" applyNumberFormat="1" applyFont="1" applyFill="1" applyBorder="1" applyAlignment="1">
      <alignment horizontal="center"/>
    </xf>
    <xf numFmtId="188" fontId="25" fillId="0" borderId="7" xfId="18" applyNumberFormat="1" applyFont="1" applyFill="1" applyBorder="1" applyAlignment="1">
      <alignment horizontal="left"/>
    </xf>
    <xf numFmtId="0" fontId="32" fillId="0" borderId="0" xfId="18" applyFont="1" applyAlignment="1">
      <alignment horizontal="left" vertical="top"/>
    </xf>
    <xf numFmtId="0" fontId="39" fillId="2" borderId="0" xfId="0" applyFont="1" applyFill="1"/>
    <xf numFmtId="192" fontId="0" fillId="0" borderId="0" xfId="0" applyNumberFormat="1"/>
    <xf numFmtId="167" fontId="17" fillId="0" borderId="0" xfId="18" applyNumberFormat="1" applyAlignment="1">
      <alignment horizontal="right"/>
    </xf>
    <xf numFmtId="168" fontId="25" fillId="0" borderId="0" xfId="0" applyNumberFormat="1" applyFont="1"/>
    <xf numFmtId="0" fontId="25" fillId="0" borderId="0" xfId="0" applyFont="1" applyAlignment="1">
      <alignment wrapText="1"/>
    </xf>
    <xf numFmtId="168" fontId="29" fillId="2" borderId="0" xfId="24" applyNumberFormat="1" applyFont="1" applyFill="1" applyAlignment="1">
      <alignment horizontal="left" vertical="center"/>
    </xf>
    <xf numFmtId="179" fontId="18" fillId="0" borderId="0" xfId="18" applyNumberFormat="1" applyFont="1" applyAlignment="1">
      <alignment horizontal="right" vertical="center"/>
    </xf>
    <xf numFmtId="0" fontId="17" fillId="0" borderId="7" xfId="18" applyFont="1" applyBorder="1"/>
    <xf numFmtId="0" fontId="82" fillId="0" borderId="7" xfId="18" applyFont="1" applyBorder="1"/>
    <xf numFmtId="183" fontId="17" fillId="0" borderId="0" xfId="18" applyNumberFormat="1" applyAlignment="1">
      <alignment horizontal="left"/>
    </xf>
    <xf numFmtId="193" fontId="17" fillId="0" borderId="0" xfId="18" applyNumberFormat="1"/>
    <xf numFmtId="10" fontId="29" fillId="2" borderId="0" xfId="24" quotePrefix="1" applyNumberFormat="1" applyFont="1" applyFill="1"/>
    <xf numFmtId="168" fontId="29" fillId="2" borderId="0" xfId="24" applyNumberFormat="1" applyFont="1" applyFill="1" applyAlignment="1">
      <alignment horizontal="right"/>
    </xf>
    <xf numFmtId="0" fontId="29" fillId="2" borderId="0" xfId="24" applyNumberFormat="1" applyFont="1" applyFill="1"/>
    <xf numFmtId="168" fontId="29" fillId="2" borderId="0" xfId="24" applyNumberFormat="1" applyFont="1" applyFill="1" applyAlignment="1">
      <alignment horizontal="right" vertical="center"/>
    </xf>
    <xf numFmtId="170" fontId="29" fillId="2" borderId="0" xfId="24" applyNumberFormat="1" applyFont="1" applyFill="1" applyBorder="1" applyAlignment="1">
      <alignment horizontal="right"/>
    </xf>
    <xf numFmtId="169" fontId="29" fillId="2" borderId="0" xfId="24" applyNumberFormat="1" applyFont="1" applyFill="1" applyBorder="1" applyAlignment="1">
      <alignment horizontal="right"/>
    </xf>
    <xf numFmtId="189" fontId="29" fillId="2" borderId="0" xfId="23" applyNumberFormat="1" applyAlignment="1">
      <alignment horizontal="right"/>
    </xf>
    <xf numFmtId="189" fontId="39" fillId="2" borderId="0" xfId="23" applyNumberFormat="1" applyFont="1" applyAlignment="1">
      <alignment horizontal="right"/>
    </xf>
    <xf numFmtId="0" fontId="20" fillId="16" borderId="0" xfId="20" applyFill="1"/>
    <xf numFmtId="0" fontId="86" fillId="0" borderId="0" xfId="20" applyFont="1"/>
    <xf numFmtId="0" fontId="87" fillId="0" borderId="0" xfId="20" applyFont="1"/>
    <xf numFmtId="0" fontId="88" fillId="0" borderId="0" xfId="20" applyFont="1"/>
    <xf numFmtId="0" fontId="89" fillId="0" borderId="0" xfId="20" applyFont="1"/>
    <xf numFmtId="0" fontId="90" fillId="0" borderId="0" xfId="20" applyFont="1"/>
    <xf numFmtId="0" fontId="91" fillId="0" borderId="0" xfId="20" applyFont="1"/>
    <xf numFmtId="194" fontId="92" fillId="0" borderId="0" xfId="20" applyNumberFormat="1" applyFont="1" applyAlignment="1">
      <alignment horizontal="left"/>
    </xf>
    <xf numFmtId="0" fontId="93" fillId="0" borderId="0" xfId="20" applyFont="1"/>
    <xf numFmtId="195" fontId="94" fillId="10" borderId="0" xfId="16" applyNumberFormat="1" applyFont="1" applyFill="1" applyAlignment="1">
      <alignment horizontal="right"/>
    </xf>
    <xf numFmtId="195" fontId="95" fillId="15" borderId="0" xfId="18" applyNumberFormat="1" applyFont="1" applyFill="1" applyAlignment="1">
      <alignment horizontal="right" vertical="center"/>
    </xf>
    <xf numFmtId="168" fontId="29" fillId="2" borderId="0" xfId="23" applyNumberFormat="1" applyAlignment="1">
      <alignment horizontal="right"/>
    </xf>
    <xf numFmtId="0" fontId="17" fillId="0" borderId="0" xfId="0" applyFont="1" applyAlignment="1">
      <alignment horizontal="left" indent="2"/>
    </xf>
    <xf numFmtId="0" fontId="97" fillId="0" borderId="0" xfId="18" applyFont="1"/>
    <xf numFmtId="0" fontId="26" fillId="18" borderId="0" xfId="18" applyFont="1" applyFill="1" applyAlignment="1">
      <alignment vertical="center"/>
    </xf>
    <xf numFmtId="0" fontId="59" fillId="8" borderId="0" xfId="18" applyFont="1" applyFill="1"/>
    <xf numFmtId="0" fontId="58" fillId="8" borderId="0" xfId="18" applyFont="1" applyFill="1"/>
    <xf numFmtId="0" fontId="2" fillId="2" borderId="16" xfId="0" applyFont="1" applyFill="1" applyBorder="1" applyAlignment="1">
      <alignment vertical="center" wrapText="1"/>
    </xf>
    <xf numFmtId="0" fontId="96" fillId="2" borderId="17" xfId="0" applyFont="1" applyFill="1" applyBorder="1" applyAlignment="1">
      <alignment vertical="center" wrapText="1"/>
    </xf>
    <xf numFmtId="0" fontId="2" fillId="0" borderId="18" xfId="0" applyFont="1" applyBorder="1" applyAlignment="1">
      <alignment vertical="center" wrapText="1"/>
    </xf>
    <xf numFmtId="0" fontId="98" fillId="0" borderId="19" xfId="0" applyFont="1" applyBorder="1" applyAlignment="1">
      <alignment horizontal="center" vertical="center" wrapText="1"/>
    </xf>
    <xf numFmtId="0" fontId="96" fillId="0" borderId="18" xfId="0" applyFont="1" applyBorder="1" applyAlignment="1">
      <alignment vertical="center" wrapText="1"/>
    </xf>
    <xf numFmtId="0" fontId="59" fillId="0" borderId="0" xfId="18" applyFont="1"/>
    <xf numFmtId="0" fontId="58" fillId="0" borderId="0" xfId="18" applyFont="1"/>
    <xf numFmtId="43" fontId="19" fillId="0" borderId="0" xfId="31" applyFont="1"/>
    <xf numFmtId="43" fontId="17" fillId="0" borderId="0" xfId="31" applyFont="1"/>
    <xf numFmtId="0" fontId="17" fillId="0" borderId="20" xfId="0" applyFont="1" applyBorder="1"/>
    <xf numFmtId="0" fontId="17" fillId="0" borderId="21" xfId="0" applyFont="1" applyBorder="1"/>
    <xf numFmtId="0" fontId="17" fillId="0" borderId="22" xfId="0" applyFont="1" applyBorder="1"/>
    <xf numFmtId="0" fontId="17" fillId="0" borderId="23" xfId="0" applyFont="1" applyBorder="1"/>
    <xf numFmtId="43" fontId="17" fillId="0" borderId="23" xfId="0" applyNumberFormat="1" applyFont="1" applyBorder="1"/>
    <xf numFmtId="0" fontId="17" fillId="0" borderId="24" xfId="0" applyFont="1" applyBorder="1"/>
    <xf numFmtId="0" fontId="59" fillId="0" borderId="0" xfId="0" applyFont="1"/>
    <xf numFmtId="0" fontId="17" fillId="0" borderId="25" xfId="0" applyFont="1" applyBorder="1"/>
    <xf numFmtId="0" fontId="17" fillId="0" borderId="3" xfId="0" applyFont="1" applyBorder="1"/>
    <xf numFmtId="0" fontId="17" fillId="0" borderId="26" xfId="0" applyFont="1" applyBorder="1"/>
    <xf numFmtId="0" fontId="17" fillId="0" borderId="27" xfId="0" applyFont="1" applyBorder="1"/>
    <xf numFmtId="0" fontId="20" fillId="0" borderId="0" xfId="34"/>
    <xf numFmtId="196" fontId="17" fillId="19" borderId="3" xfId="31" applyNumberFormat="1" applyFont="1" applyFill="1" applyBorder="1" applyAlignment="1">
      <alignment horizontal="center"/>
    </xf>
    <xf numFmtId="43" fontId="17" fillId="19" borderId="3" xfId="31" applyFont="1" applyFill="1" applyBorder="1"/>
    <xf numFmtId="196" fontId="17" fillId="19" borderId="3" xfId="31" applyNumberFormat="1" applyFont="1" applyFill="1" applyBorder="1"/>
    <xf numFmtId="43" fontId="17" fillId="19" borderId="3" xfId="31" applyFont="1" applyFill="1" applyBorder="1" applyAlignment="1"/>
    <xf numFmtId="43" fontId="59" fillId="0" borderId="26" xfId="31" applyFont="1" applyBorder="1"/>
    <xf numFmtId="43" fontId="17" fillId="0" borderId="27" xfId="31" applyFont="1" applyBorder="1"/>
    <xf numFmtId="0" fontId="17" fillId="0" borderId="28" xfId="0" applyFont="1" applyBorder="1"/>
    <xf numFmtId="0" fontId="17" fillId="19" borderId="3" xfId="0" applyFont="1" applyFill="1" applyBorder="1"/>
    <xf numFmtId="0" fontId="17" fillId="0" borderId="29" xfId="0" applyFont="1" applyBorder="1"/>
    <xf numFmtId="0" fontId="17" fillId="0" borderId="30" xfId="0" applyFont="1" applyBorder="1"/>
    <xf numFmtId="0" fontId="17" fillId="0" borderId="31" xfId="0" applyFont="1" applyBorder="1"/>
    <xf numFmtId="196" fontId="17" fillId="0" borderId="31" xfId="0" applyNumberFormat="1" applyFont="1" applyBorder="1"/>
    <xf numFmtId="1" fontId="17" fillId="0" borderId="31" xfId="0" applyNumberFormat="1" applyFont="1" applyBorder="1"/>
    <xf numFmtId="1" fontId="17" fillId="0" borderId="32" xfId="0" applyNumberFormat="1" applyFont="1" applyBorder="1"/>
    <xf numFmtId="1" fontId="17" fillId="0" borderId="0" xfId="0" applyNumberFormat="1" applyFont="1"/>
    <xf numFmtId="0" fontId="17" fillId="20" borderId="33" xfId="0" applyFont="1" applyFill="1" applyBorder="1"/>
    <xf numFmtId="196" fontId="17" fillId="20" borderId="34" xfId="0" applyNumberFormat="1" applyFont="1" applyFill="1" applyBorder="1"/>
    <xf numFmtId="196" fontId="17" fillId="20" borderId="35" xfId="31" applyNumberFormat="1" applyFont="1" applyFill="1" applyBorder="1"/>
    <xf numFmtId="43" fontId="17" fillId="0" borderId="3" xfId="31" applyFont="1" applyBorder="1" applyAlignment="1"/>
    <xf numFmtId="43" fontId="17" fillId="0" borderId="26" xfId="31" applyFont="1" applyBorder="1"/>
    <xf numFmtId="0" fontId="17" fillId="20" borderId="36" xfId="0" applyFont="1" applyFill="1" applyBorder="1"/>
    <xf numFmtId="196" fontId="17" fillId="20" borderId="37" xfId="0" applyNumberFormat="1" applyFont="1" applyFill="1" applyBorder="1"/>
    <xf numFmtId="196" fontId="17" fillId="20" borderId="38" xfId="31" applyNumberFormat="1" applyFont="1" applyFill="1" applyBorder="1"/>
    <xf numFmtId="0" fontId="17" fillId="0" borderId="39" xfId="0" applyFont="1" applyBorder="1"/>
    <xf numFmtId="0" fontId="19" fillId="21" borderId="33" xfId="0" applyFont="1" applyFill="1" applyBorder="1"/>
    <xf numFmtId="0" fontId="17" fillId="21" borderId="4" xfId="0" applyFont="1" applyFill="1" applyBorder="1"/>
    <xf numFmtId="0" fontId="17" fillId="21" borderId="34" xfId="0" applyFont="1" applyFill="1" applyBorder="1"/>
    <xf numFmtId="0" fontId="19" fillId="21" borderId="40" xfId="0" applyFont="1" applyFill="1" applyBorder="1"/>
    <xf numFmtId="0" fontId="17" fillId="21" borderId="0" xfId="0" applyFont="1" applyFill="1"/>
    <xf numFmtId="0" fontId="17" fillId="21" borderId="41" xfId="0" applyFont="1" applyFill="1" applyBorder="1"/>
    <xf numFmtId="0" fontId="17" fillId="21" borderId="40" xfId="0" applyFont="1" applyFill="1" applyBorder="1"/>
    <xf numFmtId="197" fontId="36" fillId="21" borderId="0" xfId="32" applyNumberFormat="1" applyFont="1" applyFill="1" applyBorder="1" applyAlignment="1">
      <alignment horizontal="right"/>
    </xf>
    <xf numFmtId="197" fontId="36" fillId="21" borderId="41" xfId="32" applyNumberFormat="1" applyFont="1" applyFill="1" applyBorder="1" applyAlignment="1">
      <alignment horizontal="right"/>
    </xf>
    <xf numFmtId="2" fontId="36" fillId="21" borderId="0" xfId="0" applyNumberFormat="1" applyFont="1" applyFill="1" applyAlignment="1">
      <alignment horizontal="right"/>
    </xf>
    <xf numFmtId="2" fontId="36" fillId="21" borderId="41" xfId="0" applyNumberFormat="1" applyFont="1" applyFill="1" applyBorder="1" applyAlignment="1">
      <alignment horizontal="right"/>
    </xf>
    <xf numFmtId="1" fontId="36" fillId="21" borderId="0" xfId="0" applyNumberFormat="1" applyFont="1" applyFill="1" applyAlignment="1">
      <alignment horizontal="right"/>
    </xf>
    <xf numFmtId="1" fontId="36" fillId="21" borderId="41" xfId="0" applyNumberFormat="1" applyFont="1" applyFill="1" applyBorder="1" applyAlignment="1">
      <alignment horizontal="right"/>
    </xf>
    <xf numFmtId="196" fontId="36" fillId="21" borderId="0" xfId="31" applyNumberFormat="1" applyFont="1" applyFill="1" applyBorder="1" applyAlignment="1">
      <alignment horizontal="right"/>
    </xf>
    <xf numFmtId="196" fontId="36" fillId="21" borderId="41" xfId="31" applyNumberFormat="1" applyFont="1" applyFill="1" applyBorder="1" applyAlignment="1">
      <alignment horizontal="right"/>
    </xf>
    <xf numFmtId="196" fontId="36" fillId="21" borderId="0" xfId="35" applyNumberFormat="1" applyFont="1" applyFill="1" applyBorder="1" applyAlignment="1">
      <alignment horizontal="right"/>
    </xf>
    <xf numFmtId="196" fontId="36" fillId="21" borderId="41" xfId="35" applyNumberFormat="1" applyFont="1" applyFill="1" applyBorder="1" applyAlignment="1">
      <alignment horizontal="right"/>
    </xf>
    <xf numFmtId="171" fontId="36" fillId="21" borderId="0" xfId="0" applyNumberFormat="1" applyFont="1" applyFill="1" applyAlignment="1">
      <alignment horizontal="right"/>
    </xf>
    <xf numFmtId="171" fontId="36" fillId="21" borderId="41" xfId="0" applyNumberFormat="1" applyFont="1" applyFill="1" applyBorder="1" applyAlignment="1">
      <alignment horizontal="right"/>
    </xf>
    <xf numFmtId="199" fontId="17" fillId="0" borderId="0" xfId="31" applyNumberFormat="1" applyFont="1"/>
    <xf numFmtId="0" fontId="36" fillId="22" borderId="40" xfId="0" applyFont="1" applyFill="1" applyBorder="1"/>
    <xf numFmtId="200" fontId="101" fillId="22" borderId="0" xfId="36" applyNumberFormat="1" applyFont="1" applyFill="1" applyBorder="1" applyAlignment="1">
      <alignment horizontal="right"/>
    </xf>
    <xf numFmtId="200" fontId="101" fillId="22" borderId="41" xfId="36" applyNumberFormat="1" applyFont="1" applyFill="1" applyBorder="1" applyAlignment="1">
      <alignment horizontal="right"/>
    </xf>
    <xf numFmtId="9" fontId="36" fillId="21" borderId="36" xfId="0" applyNumberFormat="1" applyFont="1" applyFill="1" applyBorder="1"/>
    <xf numFmtId="0" fontId="17" fillId="21" borderId="7" xfId="0" applyFont="1" applyFill="1" applyBorder="1"/>
    <xf numFmtId="0" fontId="17" fillId="21" borderId="37" xfId="0" applyFont="1" applyFill="1" applyBorder="1"/>
    <xf numFmtId="9" fontId="38" fillId="23" borderId="33" xfId="0" applyNumberFormat="1" applyFont="1" applyFill="1" applyBorder="1"/>
    <xf numFmtId="0" fontId="17" fillId="23" borderId="4" xfId="0" applyFont="1" applyFill="1" applyBorder="1"/>
    <xf numFmtId="0" fontId="17" fillId="23" borderId="34" xfId="0" applyFont="1" applyFill="1" applyBorder="1"/>
    <xf numFmtId="9" fontId="36" fillId="23" borderId="40" xfId="0" applyNumberFormat="1" applyFont="1" applyFill="1" applyBorder="1"/>
    <xf numFmtId="0" fontId="17" fillId="23" borderId="0" xfId="0" applyFont="1" applyFill="1"/>
    <xf numFmtId="0" fontId="17" fillId="23" borderId="41" xfId="0" applyFont="1" applyFill="1" applyBorder="1"/>
    <xf numFmtId="44" fontId="17" fillId="23" borderId="0" xfId="32" applyFont="1" applyFill="1" applyBorder="1"/>
    <xf numFmtId="44" fontId="17" fillId="23" borderId="41" xfId="32" applyFont="1" applyFill="1" applyBorder="1"/>
    <xf numFmtId="0" fontId="17" fillId="24" borderId="40" xfId="0" applyFont="1" applyFill="1" applyBorder="1"/>
    <xf numFmtId="197" fontId="17" fillId="24" borderId="0" xfId="32" applyNumberFormat="1" applyFont="1" applyFill="1" applyBorder="1"/>
    <xf numFmtId="197" fontId="17" fillId="24" borderId="41" xfId="32" applyNumberFormat="1" applyFont="1" applyFill="1" applyBorder="1"/>
    <xf numFmtId="0" fontId="17" fillId="23" borderId="40" xfId="0" applyFont="1" applyFill="1" applyBorder="1"/>
    <xf numFmtId="196" fontId="17" fillId="23" borderId="0" xfId="31" applyNumberFormat="1" applyFont="1" applyFill="1" applyBorder="1"/>
    <xf numFmtId="196" fontId="17" fillId="23" borderId="41" xfId="31" applyNumberFormat="1" applyFont="1" applyFill="1" applyBorder="1"/>
    <xf numFmtId="0" fontId="17" fillId="23" borderId="36" xfId="0" applyFont="1" applyFill="1" applyBorder="1"/>
    <xf numFmtId="196" fontId="17" fillId="23" borderId="7" xfId="31" applyNumberFormat="1" applyFont="1" applyFill="1" applyBorder="1"/>
    <xf numFmtId="196" fontId="17" fillId="23" borderId="37" xfId="31" applyNumberFormat="1" applyFont="1" applyFill="1" applyBorder="1"/>
    <xf numFmtId="0" fontId="19" fillId="25" borderId="33" xfId="0" applyFont="1" applyFill="1" applyBorder="1"/>
    <xf numFmtId="0" fontId="17" fillId="25" borderId="4" xfId="0" applyFont="1" applyFill="1" applyBorder="1"/>
    <xf numFmtId="0" fontId="17" fillId="25" borderId="34" xfId="0" applyFont="1" applyFill="1" applyBorder="1"/>
    <xf numFmtId="0" fontId="17" fillId="25" borderId="40" xfId="0" applyFont="1" applyFill="1" applyBorder="1"/>
    <xf numFmtId="0" fontId="17" fillId="25" borderId="0" xfId="0" applyFont="1" applyFill="1"/>
    <xf numFmtId="0" fontId="17" fillId="25" borderId="41" xfId="0" applyFont="1" applyFill="1" applyBorder="1"/>
    <xf numFmtId="0" fontId="17" fillId="19" borderId="40" xfId="0" applyFont="1" applyFill="1" applyBorder="1"/>
    <xf numFmtId="44" fontId="17" fillId="19" borderId="0" xfId="0" applyNumberFormat="1" applyFont="1" applyFill="1"/>
    <xf numFmtId="44" fontId="17" fillId="19" borderId="41" xfId="0" applyNumberFormat="1" applyFont="1" applyFill="1" applyBorder="1"/>
    <xf numFmtId="0" fontId="17" fillId="25" borderId="36" xfId="0" applyFont="1" applyFill="1" applyBorder="1"/>
    <xf numFmtId="44" fontId="17" fillId="25" borderId="7" xfId="0" applyNumberFormat="1" applyFont="1" applyFill="1" applyBorder="1"/>
    <xf numFmtId="44" fontId="17" fillId="25" borderId="37" xfId="0" applyNumberFormat="1" applyFont="1" applyFill="1" applyBorder="1"/>
    <xf numFmtId="0" fontId="19" fillId="2" borderId="33" xfId="0" applyFont="1" applyFill="1" applyBorder="1"/>
    <xf numFmtId="0" fontId="17" fillId="2" borderId="4" xfId="0" applyFont="1" applyFill="1" applyBorder="1"/>
    <xf numFmtId="0" fontId="17" fillId="2" borderId="34" xfId="0" applyFont="1" applyFill="1" applyBorder="1"/>
    <xf numFmtId="0" fontId="17" fillId="2" borderId="40" xfId="0" applyFont="1" applyFill="1" applyBorder="1"/>
    <xf numFmtId="0" fontId="17" fillId="2" borderId="0" xfId="0" applyFont="1" applyFill="1" applyAlignment="1">
      <alignment horizontal="center"/>
    </xf>
    <xf numFmtId="0" fontId="17" fillId="2" borderId="41" xfId="0" applyFont="1" applyFill="1" applyBorder="1" applyAlignment="1">
      <alignment horizontal="center"/>
    </xf>
    <xf numFmtId="0" fontId="17" fillId="26" borderId="40" xfId="0" applyFont="1" applyFill="1" applyBorder="1"/>
    <xf numFmtId="199" fontId="17" fillId="26" borderId="0" xfId="31" applyNumberFormat="1" applyFont="1" applyFill="1" applyBorder="1"/>
    <xf numFmtId="199" fontId="17" fillId="26" borderId="41" xfId="31" applyNumberFormat="1" applyFont="1" applyFill="1" applyBorder="1"/>
    <xf numFmtId="0" fontId="17" fillId="2" borderId="36" xfId="0" applyFont="1" applyFill="1" applyBorder="1"/>
    <xf numFmtId="0" fontId="17" fillId="2" borderId="7" xfId="0" applyFont="1" applyFill="1" applyBorder="1"/>
    <xf numFmtId="0" fontId="17" fillId="2" borderId="37" xfId="0" applyFont="1" applyFill="1" applyBorder="1"/>
    <xf numFmtId="43" fontId="17" fillId="0" borderId="0" xfId="18" applyNumberFormat="1"/>
    <xf numFmtId="0" fontId="17" fillId="0" borderId="42" xfId="18" applyBorder="1" applyAlignment="1">
      <alignment horizontal="center"/>
    </xf>
    <xf numFmtId="0" fontId="0" fillId="0" borderId="43" xfId="0" applyBorder="1" applyAlignment="1">
      <alignment horizontal="center"/>
    </xf>
    <xf numFmtId="0" fontId="17" fillId="0" borderId="44" xfId="18" applyBorder="1" applyAlignment="1">
      <alignment horizontal="center"/>
    </xf>
    <xf numFmtId="0" fontId="0" fillId="0" borderId="45" xfId="0" applyBorder="1" applyAlignment="1">
      <alignment horizontal="center"/>
    </xf>
    <xf numFmtId="0" fontId="19" fillId="0" borderId="46" xfId="0" applyFont="1" applyBorder="1" applyAlignment="1">
      <alignment horizontal="center" wrapText="1"/>
    </xf>
    <xf numFmtId="0" fontId="19" fillId="0" borderId="47" xfId="0" applyFont="1" applyBorder="1" applyAlignment="1">
      <alignment horizontal="center" wrapText="1"/>
    </xf>
    <xf numFmtId="0" fontId="19" fillId="0" borderId="12" xfId="0" applyFont="1" applyBorder="1" applyAlignment="1">
      <alignment horizontal="center" wrapText="1"/>
    </xf>
    <xf numFmtId="0" fontId="19" fillId="0" borderId="48" xfId="0" applyFont="1" applyBorder="1" applyAlignment="1">
      <alignment horizontal="center" wrapText="1"/>
    </xf>
    <xf numFmtId="0" fontId="0" fillId="0" borderId="0" xfId="0"/>
    <xf numFmtId="9" fontId="17" fillId="19" borderId="46" xfId="33" applyFont="1" applyFill="1" applyBorder="1" applyAlignment="1">
      <alignment horizontal="center" wrapText="1"/>
    </xf>
    <xf numFmtId="9" fontId="17" fillId="19" borderId="47" xfId="33" applyFont="1" applyFill="1" applyBorder="1" applyAlignment="1">
      <alignment horizontal="center" wrapText="1"/>
    </xf>
    <xf numFmtId="9" fontId="17" fillId="19" borderId="12" xfId="33" applyFont="1" applyFill="1" applyBorder="1" applyAlignment="1">
      <alignment horizontal="center" wrapText="1"/>
    </xf>
    <xf numFmtId="9" fontId="17" fillId="19" borderId="48" xfId="33" applyFont="1" applyFill="1" applyBorder="1" applyAlignment="1">
      <alignment horizontal="center" wrapText="1"/>
    </xf>
    <xf numFmtId="9" fontId="17" fillId="19" borderId="50" xfId="33" applyFont="1" applyFill="1" applyBorder="1" applyAlignment="1">
      <alignment horizontal="center" wrapText="1"/>
    </xf>
    <xf numFmtId="9" fontId="17" fillId="19" borderId="51" xfId="33" applyFont="1" applyFill="1" applyBorder="1" applyAlignment="1">
      <alignment horizontal="center" wrapText="1"/>
    </xf>
    <xf numFmtId="9" fontId="17" fillId="19" borderId="4" xfId="33" applyFont="1" applyFill="1" applyBorder="1" applyAlignment="1">
      <alignment horizontal="center" wrapText="1"/>
    </xf>
    <xf numFmtId="9" fontId="17" fillId="19" borderId="52" xfId="33" applyFont="1" applyFill="1" applyBorder="1" applyAlignment="1">
      <alignment horizontal="center" wrapText="1"/>
    </xf>
    <xf numFmtId="9" fontId="19" fillId="19" borderId="53" xfId="33" applyFont="1" applyFill="1" applyBorder="1" applyAlignment="1">
      <alignment horizontal="center" wrapText="1"/>
    </xf>
    <xf numFmtId="9" fontId="19" fillId="19" borderId="54" xfId="33" applyFont="1" applyFill="1" applyBorder="1" applyAlignment="1">
      <alignment horizontal="center" wrapText="1"/>
    </xf>
    <xf numFmtId="9" fontId="19" fillId="19" borderId="55" xfId="33" applyFont="1" applyFill="1" applyBorder="1" applyAlignment="1">
      <alignment horizontal="center" wrapText="1"/>
    </xf>
    <xf numFmtId="9" fontId="19" fillId="19" borderId="56" xfId="33" applyFont="1" applyFill="1" applyBorder="1" applyAlignment="1">
      <alignment horizontal="center" wrapText="1"/>
    </xf>
    <xf numFmtId="0" fontId="17" fillId="0" borderId="57" xfId="18" applyBorder="1"/>
    <xf numFmtId="43" fontId="17" fillId="0" borderId="58" xfId="18" applyNumberFormat="1" applyBorder="1"/>
    <xf numFmtId="0" fontId="17" fillId="0" borderId="58" xfId="18" applyBorder="1"/>
    <xf numFmtId="0" fontId="17" fillId="0" borderId="59" xfId="18" applyBorder="1"/>
    <xf numFmtId="0" fontId="19" fillId="0" borderId="25" xfId="0" applyFont="1" applyBorder="1"/>
    <xf numFmtId="0" fontId="19" fillId="0" borderId="3" xfId="0" applyFont="1" applyBorder="1"/>
    <xf numFmtId="9" fontId="19" fillId="0" borderId="3" xfId="33" applyFont="1" applyBorder="1"/>
    <xf numFmtId="9" fontId="17" fillId="19" borderId="3" xfId="33" applyFont="1" applyFill="1" applyBorder="1" applyAlignment="1">
      <alignment horizontal="center"/>
    </xf>
    <xf numFmtId="196" fontId="17" fillId="0" borderId="3" xfId="31" applyNumberFormat="1" applyFont="1" applyBorder="1"/>
    <xf numFmtId="43" fontId="17" fillId="0" borderId="27" xfId="37" applyFont="1" applyBorder="1"/>
    <xf numFmtId="0" fontId="17" fillId="0" borderId="28" xfId="18" applyBorder="1"/>
    <xf numFmtId="0" fontId="17" fillId="0" borderId="49" xfId="18" applyBorder="1"/>
    <xf numFmtId="0" fontId="17" fillId="0" borderId="46" xfId="18" applyBorder="1"/>
    <xf numFmtId="43" fontId="17" fillId="0" borderId="12" xfId="18" applyNumberFormat="1" applyBorder="1"/>
    <xf numFmtId="0" fontId="17" fillId="0" borderId="12" xfId="18" applyBorder="1"/>
    <xf numFmtId="0" fontId="17" fillId="0" borderId="48" xfId="18" applyBorder="1"/>
    <xf numFmtId="0" fontId="102" fillId="0" borderId="0" xfId="0" applyFont="1"/>
    <xf numFmtId="1" fontId="102" fillId="0" borderId="0" xfId="0" applyNumberFormat="1" applyFont="1"/>
    <xf numFmtId="1" fontId="17" fillId="0" borderId="28" xfId="0" applyNumberFormat="1" applyFont="1" applyBorder="1"/>
    <xf numFmtId="1" fontId="17" fillId="0" borderId="49" xfId="0" applyNumberFormat="1" applyFont="1" applyBorder="1"/>
    <xf numFmtId="0" fontId="19" fillId="0" borderId="27" xfId="0" applyFont="1" applyBorder="1"/>
    <xf numFmtId="9" fontId="17" fillId="0" borderId="3" xfId="33" applyFont="1" applyBorder="1"/>
    <xf numFmtId="0" fontId="17" fillId="0" borderId="49" xfId="0" applyFont="1" applyBorder="1"/>
    <xf numFmtId="0" fontId="19" fillId="0" borderId="46" xfId="18" applyFont="1" applyBorder="1"/>
    <xf numFmtId="43" fontId="19" fillId="0" borderId="12" xfId="18" applyNumberFormat="1" applyFont="1" applyBorder="1"/>
    <xf numFmtId="0" fontId="19" fillId="0" borderId="12" xfId="18" applyFont="1" applyBorder="1"/>
    <xf numFmtId="0" fontId="19" fillId="0" borderId="48" xfId="18" applyFont="1" applyBorder="1"/>
    <xf numFmtId="0" fontId="17" fillId="0" borderId="25" xfId="18" applyBorder="1"/>
    <xf numFmtId="0" fontId="19" fillId="0" borderId="3" xfId="18" applyFont="1" applyBorder="1"/>
    <xf numFmtId="0" fontId="19" fillId="0" borderId="27" xfId="18" applyFont="1" applyBorder="1"/>
    <xf numFmtId="196" fontId="17" fillId="0" borderId="3" xfId="0" applyNumberFormat="1" applyFont="1" applyBorder="1"/>
    <xf numFmtId="0" fontId="17" fillId="0" borderId="3" xfId="18" applyBorder="1"/>
    <xf numFmtId="0" fontId="17" fillId="0" borderId="27" xfId="18" applyBorder="1"/>
    <xf numFmtId="0" fontId="19" fillId="0" borderId="25" xfId="18" applyFont="1" applyBorder="1"/>
    <xf numFmtId="0" fontId="17" fillId="0" borderId="50" xfId="18" applyBorder="1"/>
    <xf numFmtId="0" fontId="17" fillId="0" borderId="52" xfId="18" applyBorder="1"/>
    <xf numFmtId="43" fontId="17" fillId="0" borderId="3" xfId="38" applyFont="1" applyBorder="1"/>
    <xf numFmtId="0" fontId="17" fillId="0" borderId="39" xfId="18" applyBorder="1"/>
    <xf numFmtId="0" fontId="17" fillId="0" borderId="20" xfId="18" applyBorder="1"/>
    <xf numFmtId="43" fontId="17" fillId="0" borderId="61" xfId="39" applyFont="1" applyBorder="1"/>
    <xf numFmtId="0" fontId="17" fillId="0" borderId="62" xfId="18" applyBorder="1"/>
    <xf numFmtId="169" fontId="23" fillId="0" borderId="8" xfId="22" applyNumberFormat="1">
      <alignment horizontal="right"/>
    </xf>
    <xf numFmtId="177" fontId="29" fillId="2" borderId="8" xfId="18" applyNumberFormat="1" applyFont="1" applyFill="1" applyBorder="1" applyAlignment="1">
      <alignment horizontal="right" vertical="center"/>
    </xf>
    <xf numFmtId="43" fontId="29" fillId="2" borderId="8" xfId="31" applyFont="1" applyFill="1" applyBorder="1" applyAlignment="1">
      <alignment horizontal="right" vertical="center"/>
    </xf>
    <xf numFmtId="197" fontId="17" fillId="0" borderId="0" xfId="32" applyNumberFormat="1" applyFont="1"/>
    <xf numFmtId="202" fontId="17" fillId="0" borderId="0" xfId="0" applyNumberFormat="1" applyFont="1" applyAlignment="1">
      <alignment horizontal="right"/>
    </xf>
    <xf numFmtId="185" fontId="23" fillId="0" borderId="0" xfId="22" applyNumberFormat="1" applyBorder="1" applyAlignment="1">
      <alignment horizontal="left"/>
    </xf>
    <xf numFmtId="185" fontId="103" fillId="0" borderId="7" xfId="22" applyNumberFormat="1" applyFont="1" applyBorder="1" applyAlignment="1">
      <alignment horizontal="left"/>
    </xf>
    <xf numFmtId="185" fontId="103" fillId="0" borderId="7" xfId="22" applyNumberFormat="1" applyFont="1" applyBorder="1" applyAlignment="1">
      <alignment horizontal="right"/>
    </xf>
    <xf numFmtId="185" fontId="103" fillId="0" borderId="0" xfId="22" applyNumberFormat="1" applyFont="1" applyBorder="1" applyAlignment="1">
      <alignment horizontal="left"/>
    </xf>
    <xf numFmtId="9" fontId="29" fillId="2" borderId="0" xfId="24" applyNumberFormat="1" applyFont="1" applyFill="1" applyBorder="1" applyAlignment="1">
      <alignment horizontal="right"/>
    </xf>
    <xf numFmtId="201" fontId="17" fillId="0" borderId="0" xfId="18" applyNumberFormat="1"/>
    <xf numFmtId="185" fontId="98" fillId="0" borderId="19" xfId="0" applyNumberFormat="1" applyFont="1" applyBorder="1" applyAlignment="1">
      <alignment vertical="center" wrapText="1"/>
    </xf>
    <xf numFmtId="185" fontId="99" fillId="0" borderId="19" xfId="0" applyNumberFormat="1" applyFont="1" applyBorder="1" applyAlignment="1">
      <alignment vertical="center" wrapText="1"/>
    </xf>
    <xf numFmtId="0" fontId="17" fillId="0" borderId="7" xfId="20" applyFont="1" applyBorder="1" applyAlignment="1">
      <alignment horizontal="center"/>
    </xf>
    <xf numFmtId="0" fontId="104" fillId="0" borderId="0" xfId="0" applyFont="1" applyAlignment="1">
      <alignment horizontal="left" vertical="center" indent="1"/>
    </xf>
    <xf numFmtId="0" fontId="17" fillId="0" borderId="0" xfId="18" applyAlignment="1">
      <alignment wrapText="1"/>
    </xf>
    <xf numFmtId="0" fontId="0" fillId="0" borderId="0" xfId="0" applyAlignment="1">
      <alignment wrapText="1"/>
    </xf>
    <xf numFmtId="0" fontId="17" fillId="0" borderId="0" xfId="0" applyFont="1"/>
    <xf numFmtId="0" fontId="17" fillId="0" borderId="0" xfId="0" applyFont="1"/>
    <xf numFmtId="0" fontId="0" fillId="0" borderId="0" xfId="0"/>
    <xf numFmtId="0" fontId="17" fillId="0" borderId="0" xfId="0" applyFont="1"/>
    <xf numFmtId="167" fontId="29" fillId="2" borderId="0" xfId="18" applyNumberFormat="1" applyFont="1" applyFill="1"/>
    <xf numFmtId="43" fontId="29" fillId="2" borderId="8" xfId="31" applyNumberFormat="1" applyFont="1" applyFill="1" applyBorder="1" applyAlignment="1">
      <alignment horizontal="right" vertical="center"/>
    </xf>
    <xf numFmtId="0" fontId="19" fillId="15" borderId="0" xfId="0" applyFont="1" applyFill="1"/>
    <xf numFmtId="0" fontId="17" fillId="0" borderId="66" xfId="0" applyFont="1" applyFill="1" applyBorder="1"/>
    <xf numFmtId="0" fontId="19" fillId="15" borderId="3" xfId="0" applyFont="1" applyFill="1" applyBorder="1"/>
    <xf numFmtId="0" fontId="17" fillId="2" borderId="3" xfId="0" applyFont="1" applyFill="1" applyBorder="1"/>
    <xf numFmtId="0" fontId="58" fillId="28" borderId="65" xfId="40" quotePrefix="1" applyNumberFormat="1" applyFont="1" applyFill="1" applyBorder="1">
      <alignment horizontal="left" vertical="center" indent="1"/>
    </xf>
    <xf numFmtId="0" fontId="58" fillId="28" borderId="65" xfId="40" quotePrefix="1" applyNumberFormat="1" applyFont="1" applyFill="1" applyBorder="1" applyAlignment="1">
      <alignment horizontal="left" vertical="center"/>
    </xf>
    <xf numFmtId="0" fontId="58" fillId="28" borderId="65" xfId="41" quotePrefix="1" applyNumberFormat="1" applyFont="1" applyFill="1" applyBorder="1" applyAlignment="1">
      <alignment horizontal="left" vertical="center" wrapText="1" indent="1"/>
    </xf>
    <xf numFmtId="0" fontId="58" fillId="28" borderId="64" xfId="41" applyNumberFormat="1" applyFont="1" applyFill="1" applyBorder="1" applyAlignment="1">
      <alignment horizontal="left" vertical="center" wrapText="1" indent="1"/>
    </xf>
    <xf numFmtId="0" fontId="36" fillId="0" borderId="66" xfId="41" quotePrefix="1" applyNumberFormat="1" applyFont="1" applyFill="1" applyBorder="1">
      <alignment horizontal="left" vertical="center" indent="1"/>
    </xf>
    <xf numFmtId="0" fontId="36" fillId="0" borderId="66" xfId="41" quotePrefix="1" applyNumberFormat="1" applyFont="1" applyFill="1" applyBorder="1" applyAlignment="1">
      <alignment horizontal="left" vertical="center"/>
    </xf>
    <xf numFmtId="3" fontId="36" fillId="0" borderId="66" xfId="42" applyNumberFormat="1" applyFont="1" applyFill="1" applyBorder="1">
      <alignment horizontal="right" vertical="center"/>
    </xf>
    <xf numFmtId="203" fontId="36" fillId="0" borderId="66" xfId="42" applyNumberFormat="1" applyFont="1" applyFill="1" applyBorder="1">
      <alignment horizontal="right" vertical="center"/>
    </xf>
    <xf numFmtId="166" fontId="44" fillId="8" borderId="0" xfId="16" applyFont="1" applyFill="1"/>
    <xf numFmtId="0" fontId="22" fillId="0" borderId="0" xfId="0" applyFont="1"/>
    <xf numFmtId="43" fontId="17" fillId="0" borderId="0" xfId="18" applyNumberFormat="1" applyFont="1"/>
    <xf numFmtId="9" fontId="29" fillId="2" borderId="0" xfId="23" applyNumberFormat="1" applyFont="1" applyAlignment="1">
      <alignment vertical="center"/>
    </xf>
    <xf numFmtId="0" fontId="29" fillId="2" borderId="0" xfId="23" applyNumberFormat="1" applyFont="1" applyAlignment="1">
      <alignment vertical="center"/>
    </xf>
    <xf numFmtId="174" fontId="29" fillId="2" borderId="0" xfId="23" applyNumberFormat="1" applyFont="1" applyAlignment="1">
      <alignment horizontal="right" vertical="center"/>
    </xf>
    <xf numFmtId="0" fontId="36" fillId="0" borderId="0" xfId="18" applyFont="1" applyAlignment="1">
      <alignment vertical="center"/>
    </xf>
    <xf numFmtId="0" fontId="38" fillId="0" borderId="0" xfId="18" applyFont="1" applyAlignment="1">
      <alignment vertical="center"/>
    </xf>
    <xf numFmtId="0" fontId="29" fillId="2" borderId="0" xfId="23" applyNumberFormat="1"/>
    <xf numFmtId="2" fontId="23" fillId="0" borderId="8" xfId="22" applyNumberFormat="1">
      <alignment horizontal="right"/>
    </xf>
    <xf numFmtId="0" fontId="17" fillId="0" borderId="66" xfId="18" applyFont="1" applyBorder="1"/>
    <xf numFmtId="43" fontId="17" fillId="0" borderId="66" xfId="18" applyNumberFormat="1" applyFont="1" applyBorder="1"/>
    <xf numFmtId="0" fontId="17" fillId="0" borderId="67" xfId="0" applyFont="1" applyBorder="1"/>
    <xf numFmtId="0" fontId="17" fillId="0" borderId="68" xfId="0" applyFont="1" applyBorder="1"/>
    <xf numFmtId="43" fontId="17" fillId="0" borderId="68" xfId="31" applyFont="1" applyBorder="1"/>
    <xf numFmtId="0" fontId="17" fillId="0" borderId="69" xfId="0" applyFont="1" applyBorder="1"/>
    <xf numFmtId="1" fontId="17" fillId="0" borderId="69" xfId="0" applyNumberFormat="1" applyFont="1" applyBorder="1"/>
    <xf numFmtId="0" fontId="17" fillId="0" borderId="70" xfId="0" applyFont="1" applyBorder="1"/>
    <xf numFmtId="0" fontId="17" fillId="0" borderId="45" xfId="0" applyFont="1" applyBorder="1"/>
    <xf numFmtId="0" fontId="17" fillId="0" borderId="71" xfId="0" applyFont="1" applyBorder="1"/>
    <xf numFmtId="43" fontId="17" fillId="0" borderId="71" xfId="31" applyFont="1" applyBorder="1"/>
    <xf numFmtId="0" fontId="17" fillId="0" borderId="62" xfId="0" applyFont="1" applyBorder="1"/>
    <xf numFmtId="0" fontId="90" fillId="0" borderId="0" xfId="20" applyNumberFormat="1" applyFont="1" applyAlignment="1">
      <alignment horizontal="left"/>
    </xf>
    <xf numFmtId="0" fontId="17" fillId="13" borderId="4" xfId="18" applyFont="1" applyFill="1" applyBorder="1" applyAlignment="1">
      <alignment horizontal="left" vertical="top"/>
    </xf>
    <xf numFmtId="0" fontId="17" fillId="0" borderId="4" xfId="18" applyFont="1" applyFill="1" applyBorder="1" applyAlignment="1">
      <alignment horizontal="left" vertical="top" wrapText="1"/>
    </xf>
    <xf numFmtId="0" fontId="0" fillId="0" borderId="4" xfId="0" applyBorder="1" applyAlignment="1">
      <alignment horizontal="left" vertical="top" wrapText="1"/>
    </xf>
    <xf numFmtId="0" fontId="17" fillId="0" borderId="0" xfId="18" applyFont="1" applyFill="1" applyBorder="1" applyAlignment="1">
      <alignment horizontal="left" vertical="top" wrapText="1"/>
    </xf>
    <xf numFmtId="0" fontId="0" fillId="0" borderId="0" xfId="0" applyBorder="1" applyAlignment="1">
      <alignment horizontal="left" vertical="top" wrapText="1"/>
    </xf>
    <xf numFmtId="185" fontId="29" fillId="2" borderId="13" xfId="23" applyNumberFormat="1" applyFill="1" applyBorder="1" applyAlignment="1">
      <alignment horizontal="left"/>
    </xf>
    <xf numFmtId="185" fontId="29" fillId="2" borderId="14" xfId="23" applyNumberFormat="1" applyFill="1" applyBorder="1" applyAlignment="1">
      <alignment horizontal="left"/>
    </xf>
    <xf numFmtId="185" fontId="29" fillId="2" borderId="15" xfId="23" applyNumberFormat="1" applyFill="1" applyBorder="1" applyAlignment="1">
      <alignment horizontal="left"/>
    </xf>
    <xf numFmtId="0" fontId="39" fillId="2" borderId="0" xfId="0" applyFont="1" applyFill="1" applyAlignment="1">
      <alignment horizontal="left"/>
    </xf>
    <xf numFmtId="0" fontId="29" fillId="2" borderId="0" xfId="24" applyNumberFormat="1" applyFont="1" applyFill="1" applyBorder="1" applyAlignment="1">
      <alignment horizontal="left" vertical="top"/>
    </xf>
    <xf numFmtId="0" fontId="29" fillId="2" borderId="0" xfId="18" applyFont="1" applyFill="1" applyAlignment="1">
      <alignment horizontal="left" vertical="top"/>
    </xf>
    <xf numFmtId="0" fontId="17" fillId="0" borderId="0" xfId="18" applyAlignment="1">
      <alignment wrapText="1"/>
    </xf>
    <xf numFmtId="0" fontId="0" fillId="0" borderId="0" xfId="0" applyAlignment="1">
      <alignment wrapText="1"/>
    </xf>
    <xf numFmtId="0" fontId="17" fillId="0" borderId="0" xfId="0" applyFont="1" applyAlignment="1">
      <alignment vertical="center" wrapText="1"/>
    </xf>
    <xf numFmtId="0" fontId="17" fillId="0" borderId="0" xfId="0" applyFont="1" applyAlignment="1">
      <alignment wrapText="1"/>
    </xf>
    <xf numFmtId="0" fontId="17" fillId="0" borderId="0" xfId="0" applyFont="1"/>
    <xf numFmtId="0" fontId="0" fillId="0" borderId="0" xfId="0"/>
    <xf numFmtId="0" fontId="0" fillId="0" borderId="49" xfId="0" applyBorder="1"/>
    <xf numFmtId="0" fontId="19" fillId="0" borderId="26" xfId="18" applyFont="1" applyBorder="1" applyAlignment="1">
      <alignment horizontal="center"/>
    </xf>
    <xf numFmtId="0" fontId="0" fillId="0" borderId="12" xfId="0" applyBorder="1" applyAlignment="1">
      <alignment horizontal="center"/>
    </xf>
    <xf numFmtId="0" fontId="0" fillId="0" borderId="60" xfId="0" applyBorder="1" applyAlignment="1">
      <alignment horizontal="center"/>
    </xf>
    <xf numFmtId="0" fontId="19" fillId="0" borderId="0" xfId="18" applyFont="1" applyAlignment="1">
      <alignment wrapText="1"/>
    </xf>
    <xf numFmtId="0" fontId="51" fillId="0" borderId="0" xfId="0" applyFont="1" applyAlignment="1">
      <alignment wrapText="1"/>
    </xf>
  </cellXfs>
  <cellStyles count="43">
    <cellStyle name="Assumption" xfId="23" xr:uid="{E21B85CB-AE39-493C-90CF-A6033D394DF7}"/>
    <cellStyle name="Base_Input" xfId="12" xr:uid="{00000000-0005-0000-0000-000000000000}"/>
    <cellStyle name="Comma" xfId="31" builtinId="3"/>
    <cellStyle name="Comma [0] 2" xfId="3" xr:uid="{00000000-0005-0000-0000-000002000000}"/>
    <cellStyle name="Comma 2" xfId="30" xr:uid="{50BDA386-AB13-404C-8C84-0EDF43721243}"/>
    <cellStyle name="Comma 2 2" xfId="35" xr:uid="{403FCD7D-43D9-475B-AC0A-3D3C5C8FFF89}"/>
    <cellStyle name="Comma 4" xfId="37" xr:uid="{D9C4B31E-191B-4F3F-B017-F431454FEAF3}"/>
    <cellStyle name="Comma 6" xfId="38" xr:uid="{385E8E05-C0F7-4D16-9DB3-02740F95294D}"/>
    <cellStyle name="Comma 8" xfId="39" xr:uid="{F8C52BD2-5831-4FDB-8FA5-3673875EB8C4}"/>
    <cellStyle name="Currency" xfId="32" builtinId="4"/>
    <cellStyle name="Currency 2 2" xfId="29" xr:uid="{F29057D5-5718-441F-8CAD-00B1D320E1EF}"/>
    <cellStyle name="Empty_Cell" xfId="9" xr:uid="{00000000-0005-0000-0000-000004000000}"/>
    <cellStyle name="Explanatory Text" xfId="1" builtinId="53" customBuiltin="1"/>
    <cellStyle name="Fixed_input" xfId="24" xr:uid="{0B0B930C-107A-4F05-8A3E-C5F6EECE17A8}"/>
    <cellStyle name="Flag" xfId="4" xr:uid="{00000000-0005-0000-0000-000006000000}"/>
    <cellStyle name="Good 2" xfId="36" xr:uid="{2CD90793-0400-4E80-9258-8B1B42493A8A}"/>
    <cellStyle name="Header1" xfId="16" xr:uid="{00000000-0005-0000-0000-000007000000}"/>
    <cellStyle name="Header1A" xfId="17" xr:uid="{00000000-0005-0000-0000-000008000000}"/>
    <cellStyle name="Header2" xfId="14" xr:uid="{00000000-0005-0000-0000-000009000000}"/>
    <cellStyle name="Header3" xfId="5" xr:uid="{00000000-0005-0000-0000-00000A000000}"/>
    <cellStyle name="Header4" xfId="15" xr:uid="{00000000-0005-0000-0000-00000B000000}"/>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8" xr:uid="{59EBAEB1-13C8-4373-8DB4-B4C525DCEC98}"/>
    <cellStyle name="Normal 2 2" xfId="25" xr:uid="{D49C4081-9D03-4C8F-8778-34555D4B3E0F}"/>
    <cellStyle name="Normal 3" xfId="20" xr:uid="{9D4C47DD-E890-4097-9475-8567B8B53D92}"/>
    <cellStyle name="Normal 3 2" xfId="26" xr:uid="{50613177-AD5A-4CE0-A391-A4160267F944}"/>
    <cellStyle name="Normal 4" xfId="34" xr:uid="{A9B2204C-F7A5-4CB2-96C9-904E80D868A5}"/>
    <cellStyle name="Normal 8" xfId="28" xr:uid="{A72DEBFF-D704-40A2-B10B-0D568324BDB3}"/>
    <cellStyle name="Offsheet" xfId="10" xr:uid="{00000000-0005-0000-0000-000012000000}"/>
    <cellStyle name="Percent" xfId="33" builtinId="5"/>
    <cellStyle name="Percent 2" xfId="19" xr:uid="{39961233-90E2-46DE-A48A-52E8009F685E}"/>
    <cellStyle name="Percent 2 2" xfId="27" xr:uid="{E4F6E093-BFA5-41AA-B689-F440D86C5D1D}"/>
    <cellStyle name="Result" xfId="22" xr:uid="{6557DBFB-C674-4413-A044-F9C12EE60C25}"/>
    <cellStyle name="SAPBEXchaText" xfId="40" xr:uid="{9F4FF224-F2EC-47FF-A055-50FF4867C6F4}"/>
    <cellStyle name="SAPBEXstdData" xfId="42" xr:uid="{C5125AA9-AD0A-4367-95B6-21F76B8CB6A5}"/>
    <cellStyle name="SAPBEXstdItem" xfId="41" xr:uid="{D03B8914-7FFD-4445-8D37-DB86694F9211}"/>
    <cellStyle name="Table_Heading" xfId="11" xr:uid="{00000000-0005-0000-0000-000013000000}"/>
    <cellStyle name="Unit" xfId="13" xr:uid="{00000000-0005-0000-0000-000014000000}"/>
    <cellStyle name="Units" xfId="21" xr:uid="{1AB48B31-3307-411F-96E5-E0E849D0DDE8}"/>
    <cellStyle name="User_Input_Actual" xfId="2" xr:uid="{00000000-0005-0000-0000-000015000000}"/>
  </cellStyles>
  <dxfs count="26">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1" tint="0.499984740745262"/>
      </font>
    </dxf>
    <dxf>
      <font>
        <color theme="1" tint="0.499984740745262"/>
      </font>
    </dxf>
    <dxf>
      <font>
        <color rgb="FFFF0000"/>
      </font>
    </dxf>
    <dxf>
      <font>
        <color theme="1" tint="0.499984740745262"/>
      </font>
    </dxf>
    <dxf>
      <font>
        <color theme="1" tint="0.499984740745262"/>
      </font>
    </dxf>
    <dxf>
      <font>
        <color theme="1" tint="0.499984740745262"/>
      </font>
    </dxf>
    <dxf>
      <font>
        <b val="0"/>
        <i val="0"/>
        <color theme="1" tint="0.34998626667073579"/>
      </font>
    </dxf>
    <dxf>
      <fill>
        <patternFill>
          <bgColor rgb="FFCCFFFF"/>
        </patternFill>
      </fill>
    </dxf>
    <dxf>
      <font>
        <color theme="0" tint="-0.24994659260841701"/>
      </font>
    </dxf>
    <dxf>
      <font>
        <color theme="0"/>
      </font>
    </dxf>
    <dxf>
      <font>
        <color theme="0"/>
      </font>
    </dxf>
    <dxf>
      <font>
        <color theme="0"/>
      </font>
    </dxf>
  </dxfs>
  <tableStyles count="0" defaultTableStyle="TableStyleMedium2" defaultPivotStyle="PivotStyleMedium9"/>
  <colors>
    <mruColors>
      <color rgb="FFFFFFCC"/>
      <color rgb="FF002060"/>
      <color rgb="FF66FFFF"/>
      <color rgb="FF00215B"/>
      <color rgb="FF3333FF"/>
      <color rgb="FFF2F2F2"/>
      <color rgb="FFFABFA8"/>
      <color rgb="FF882B3C"/>
      <color rgb="FFEE2A2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419270833333327E-2"/>
          <c:y val="9.2846486361162939E-2"/>
          <c:w val="0.89336527777777774"/>
          <c:h val="0.71628514056224879"/>
        </c:manualLayout>
      </c:layout>
      <c:lineChart>
        <c:grouping val="standard"/>
        <c:varyColors val="0"/>
        <c:ser>
          <c:idx val="0"/>
          <c:order val="0"/>
          <c:tx>
            <c:strRef>
              <c:f>Consol!$H$91</c:f>
              <c:strCache>
                <c:ptCount val="1"/>
                <c:pt idx="0">
                  <c:v>Option 4 annualised capex</c:v>
                </c:pt>
              </c:strCache>
            </c:strRef>
          </c:tx>
          <c:spPr>
            <a:ln w="28575" cap="rnd">
              <a:solidFill>
                <a:srgbClr val="EE2A24"/>
              </a:solidFill>
              <a:round/>
            </a:ln>
            <a:effectLst/>
          </c:spPr>
          <c:marker>
            <c:symbol val="none"/>
          </c:marker>
          <c:cat>
            <c:strRef>
              <c:f>Consol!$I$88:$W$88</c:f>
              <c:strCache>
                <c:ptCount val="15"/>
                <c:pt idx="0">
                  <c:v>FY27</c:v>
                </c:pt>
                <c:pt idx="1">
                  <c:v>FY28</c:v>
                </c:pt>
                <c:pt idx="2">
                  <c:v>FY29</c:v>
                </c:pt>
                <c:pt idx="3">
                  <c:v>FY30</c:v>
                </c:pt>
                <c:pt idx="4">
                  <c:v>FY31</c:v>
                </c:pt>
                <c:pt idx="5">
                  <c:v>FY32</c:v>
                </c:pt>
                <c:pt idx="6">
                  <c:v>FY33</c:v>
                </c:pt>
                <c:pt idx="7">
                  <c:v>FY34</c:v>
                </c:pt>
                <c:pt idx="8">
                  <c:v>FY35</c:v>
                </c:pt>
                <c:pt idx="9">
                  <c:v>FY36</c:v>
                </c:pt>
                <c:pt idx="10">
                  <c:v>FY37</c:v>
                </c:pt>
                <c:pt idx="11">
                  <c:v>FY38</c:v>
                </c:pt>
                <c:pt idx="12">
                  <c:v>FY39</c:v>
                </c:pt>
                <c:pt idx="13">
                  <c:v>FY40</c:v>
                </c:pt>
                <c:pt idx="14">
                  <c:v>FY41</c:v>
                </c:pt>
              </c:strCache>
            </c:strRef>
          </c:cat>
          <c:val>
            <c:numRef>
              <c:f>Consol!$I$91:$R$91</c:f>
              <c:numCache>
                <c:formatCode>#,##0.0;[Red]\ \-#,##0.0;\ "-"</c:formatCode>
                <c:ptCount val="10"/>
                <c:pt idx="0">
                  <c:v>0.15017163671993394</c:v>
                </c:pt>
                <c:pt idx="1">
                  <c:v>0.15017163671993394</c:v>
                </c:pt>
                <c:pt idx="2">
                  <c:v>0.15017163671993394</c:v>
                </c:pt>
                <c:pt idx="3">
                  <c:v>0.15017163671993394</c:v>
                </c:pt>
                <c:pt idx="4">
                  <c:v>0.15017163671993394</c:v>
                </c:pt>
                <c:pt idx="5">
                  <c:v>0.15017163671993394</c:v>
                </c:pt>
                <c:pt idx="6">
                  <c:v>0.15017163671993394</c:v>
                </c:pt>
                <c:pt idx="7">
                  <c:v>0.15017163671993394</c:v>
                </c:pt>
                <c:pt idx="8">
                  <c:v>0.15017163671993394</c:v>
                </c:pt>
                <c:pt idx="9">
                  <c:v>0.15017163671993394</c:v>
                </c:pt>
              </c:numCache>
            </c:numRef>
          </c:val>
          <c:smooth val="0"/>
          <c:extLst>
            <c:ext xmlns:c16="http://schemas.microsoft.com/office/drawing/2014/chart" uri="{C3380CC4-5D6E-409C-BE32-E72D297353CC}">
              <c16:uniqueId val="{00000001-CB80-440B-9C44-4F49152E2503}"/>
            </c:ext>
          </c:extLst>
        </c:ser>
        <c:ser>
          <c:idx val="1"/>
          <c:order val="1"/>
          <c:tx>
            <c:strRef>
              <c:f>Consol!$H$92</c:f>
              <c:strCache>
                <c:ptCount val="1"/>
                <c:pt idx="0">
                  <c:v>Option 1 (base case) risk cost</c:v>
                </c:pt>
              </c:strCache>
            </c:strRef>
          </c:tx>
          <c:spPr>
            <a:ln w="28575" cap="rnd">
              <a:solidFill>
                <a:srgbClr val="FABFA8"/>
              </a:solidFill>
              <a:round/>
            </a:ln>
            <a:effectLst/>
          </c:spPr>
          <c:marker>
            <c:symbol val="none"/>
          </c:marker>
          <c:cat>
            <c:strRef>
              <c:f>Consol!$I$88:$W$88</c:f>
              <c:strCache>
                <c:ptCount val="15"/>
                <c:pt idx="0">
                  <c:v>FY27</c:v>
                </c:pt>
                <c:pt idx="1">
                  <c:v>FY28</c:v>
                </c:pt>
                <c:pt idx="2">
                  <c:v>FY29</c:v>
                </c:pt>
                <c:pt idx="3">
                  <c:v>FY30</c:v>
                </c:pt>
                <c:pt idx="4">
                  <c:v>FY31</c:v>
                </c:pt>
                <c:pt idx="5">
                  <c:v>FY32</c:v>
                </c:pt>
                <c:pt idx="6">
                  <c:v>FY33</c:v>
                </c:pt>
                <c:pt idx="7">
                  <c:v>FY34</c:v>
                </c:pt>
                <c:pt idx="8">
                  <c:v>FY35</c:v>
                </c:pt>
                <c:pt idx="9">
                  <c:v>FY36</c:v>
                </c:pt>
                <c:pt idx="10">
                  <c:v>FY37</c:v>
                </c:pt>
                <c:pt idx="11">
                  <c:v>FY38</c:v>
                </c:pt>
                <c:pt idx="12">
                  <c:v>FY39</c:v>
                </c:pt>
                <c:pt idx="13">
                  <c:v>FY40</c:v>
                </c:pt>
                <c:pt idx="14">
                  <c:v>FY41</c:v>
                </c:pt>
              </c:strCache>
            </c:strRef>
          </c:cat>
          <c:val>
            <c:numRef>
              <c:f>Consol!$I$92:$R$92</c:f>
              <c:numCache>
                <c:formatCode>#,##0.0;[Red]\ \-#,##0.0;\ "-"</c:formatCode>
                <c:ptCount val="10"/>
                <c:pt idx="0">
                  <c:v>3.9397754823051923</c:v>
                </c:pt>
                <c:pt idx="1">
                  <c:v>4.0362093667855765</c:v>
                </c:pt>
                <c:pt idx="2">
                  <c:v>4.132639311490478</c:v>
                </c:pt>
                <c:pt idx="3">
                  <c:v>4.2290725380283574</c:v>
                </c:pt>
                <c:pt idx="4">
                  <c:v>4.3255048938758538</c:v>
                </c:pt>
                <c:pt idx="5">
                  <c:v>4.2953697836584555</c:v>
                </c:pt>
                <c:pt idx="6">
                  <c:v>4.2652363951229413</c:v>
                </c:pt>
                <c:pt idx="7">
                  <c:v>4.2351010524587895</c:v>
                </c:pt>
                <c:pt idx="8">
                  <c:v>4.2049657097946369</c:v>
                </c:pt>
                <c:pt idx="9">
                  <c:v>4.1748303671304852</c:v>
                </c:pt>
              </c:numCache>
            </c:numRef>
          </c:val>
          <c:smooth val="0"/>
          <c:extLst>
            <c:ext xmlns:c16="http://schemas.microsoft.com/office/drawing/2014/chart" uri="{C3380CC4-5D6E-409C-BE32-E72D297353CC}">
              <c16:uniqueId val="{00000003-CB80-440B-9C44-4F49152E2503}"/>
            </c:ext>
          </c:extLst>
        </c:ser>
        <c:dLbls>
          <c:showLegendKey val="0"/>
          <c:showVal val="0"/>
          <c:showCatName val="0"/>
          <c:showSerName val="0"/>
          <c:showPercent val="0"/>
          <c:showBubbleSize val="0"/>
        </c:dLbls>
        <c:smooth val="0"/>
        <c:axId val="1578026431"/>
        <c:axId val="1578022271"/>
      </c:lineChart>
      <c:catAx>
        <c:axId val="1578026431"/>
        <c:scaling>
          <c:orientation val="minMax"/>
        </c:scaling>
        <c:delete val="0"/>
        <c:axPos val="b"/>
        <c:numFmt formatCode="General" sourceLinked="1"/>
        <c:majorTickMark val="out"/>
        <c:minorTickMark val="none"/>
        <c:tickLblPos val="nextTo"/>
        <c:spPr>
          <a:noFill/>
          <a:ln w="9525" cap="flat" cmpd="sng" algn="ctr">
            <a:solidFill>
              <a:sysClr val="window" lastClr="FFFFFF"/>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78022271"/>
        <c:crosses val="autoZero"/>
        <c:auto val="1"/>
        <c:lblAlgn val="ctr"/>
        <c:lblOffset val="100"/>
        <c:noMultiLvlLbl val="0"/>
      </c:catAx>
      <c:valAx>
        <c:axId val="1578022271"/>
        <c:scaling>
          <c:orientation val="minMax"/>
        </c:scaling>
        <c:delete val="0"/>
        <c:axPos val="l"/>
        <c:majorGridlines>
          <c:spPr>
            <a:ln w="9525" cap="flat" cmpd="sng" algn="ctr">
              <a:solidFill>
                <a:sysClr val="window" lastClr="FFFFFF"/>
              </a:solidFill>
              <a:round/>
            </a:ln>
            <a:effectLst/>
          </c:spPr>
        </c:majorGridlines>
        <c:numFmt formatCode="#,##0.0;[Red]\ \-#,##0.0;\ &quot;-&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78026431"/>
        <c:crosses val="autoZero"/>
        <c:crossBetween val="between"/>
      </c:valAx>
      <c:spPr>
        <a:solidFill>
          <a:srgbClr val="F2F2F2"/>
        </a:solidFill>
      </c:spPr>
    </c:plotArea>
    <c:legend>
      <c:legendPos val="b"/>
      <c:layout>
        <c:manualLayout>
          <c:xMode val="edge"/>
          <c:yMode val="edge"/>
          <c:x val="0.11724253472222222"/>
          <c:y val="0.895394146278088"/>
          <c:w val="0.7429276041666667"/>
          <c:h val="8.314118885154632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lumMod val="95000"/>
      </a:schemeClr>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662326388888894E-2"/>
          <c:y val="8.5556894243641227E-2"/>
          <c:w val="0.89773680555555535"/>
          <c:h val="0.79884571619812583"/>
        </c:manualLayout>
      </c:layout>
      <c:barChart>
        <c:barDir val="col"/>
        <c:grouping val="stacked"/>
        <c:varyColors val="0"/>
        <c:ser>
          <c:idx val="0"/>
          <c:order val="0"/>
          <c:tx>
            <c:strRef>
              <c:f>Consol!$H$99</c:f>
              <c:strCache>
                <c:ptCount val="1"/>
                <c:pt idx="0">
                  <c:v>Option 1 (base case) risk cost</c:v>
                </c:pt>
              </c:strCache>
            </c:strRef>
          </c:tx>
          <c:spPr>
            <a:solidFill>
              <a:srgbClr val="EE2A24"/>
            </a:solidFill>
            <a:ln>
              <a:solidFill>
                <a:srgbClr val="F2F2F2"/>
              </a:solidFill>
            </a:ln>
            <a:effectLst/>
          </c:spPr>
          <c:invertIfNegative val="0"/>
          <c:cat>
            <c:strRef>
              <c:f>Consol!$I$97:$R$97</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Consol!$I$99:$R$99</c:f>
              <c:numCache>
                <c:formatCode>#,##0;[Red]\ \-#,##0;\ "-"</c:formatCode>
                <c:ptCount val="10"/>
                <c:pt idx="0">
                  <c:v>3.5400581483107842</c:v>
                </c:pt>
                <c:pt idx="1">
                  <c:v>3.6267081516069872</c:v>
                </c:pt>
                <c:pt idx="2">
                  <c:v>3.7133546148450423</c:v>
                </c:pt>
                <c:pt idx="3">
                  <c:v>3.8000040269515347</c:v>
                </c:pt>
                <c:pt idx="4">
                  <c:v>3.8866526567051758</c:v>
                </c:pt>
                <c:pt idx="5">
                  <c:v>3.8595749607921777</c:v>
                </c:pt>
                <c:pt idx="6">
                  <c:v>3.8324988118845895</c:v>
                </c:pt>
                <c:pt idx="7">
                  <c:v>3.8054209071081608</c:v>
                </c:pt>
                <c:pt idx="8">
                  <c:v>3.7783430023317313</c:v>
                </c:pt>
                <c:pt idx="9">
                  <c:v>3.751265097555303</c:v>
                </c:pt>
              </c:numCache>
            </c:numRef>
          </c:val>
          <c:extLst>
            <c:ext xmlns:c16="http://schemas.microsoft.com/office/drawing/2014/chart" uri="{C3380CC4-5D6E-409C-BE32-E72D297353CC}">
              <c16:uniqueId val="{00000003-2725-495D-AA2E-7DB041CBA6ED}"/>
            </c:ext>
          </c:extLst>
        </c:ser>
        <c:dLbls>
          <c:showLegendKey val="0"/>
          <c:showVal val="0"/>
          <c:showCatName val="0"/>
          <c:showSerName val="0"/>
          <c:showPercent val="0"/>
          <c:showBubbleSize val="0"/>
        </c:dLbls>
        <c:gapWidth val="50"/>
        <c:overlap val="100"/>
        <c:axId val="1578026431"/>
        <c:axId val="1578022271"/>
      </c:barChart>
      <c:catAx>
        <c:axId val="1578026431"/>
        <c:scaling>
          <c:orientation val="minMax"/>
        </c:scaling>
        <c:delete val="0"/>
        <c:axPos val="b"/>
        <c:numFmt formatCode="General" sourceLinked="1"/>
        <c:majorTickMark val="out"/>
        <c:minorTickMark val="none"/>
        <c:tickLblPos val="nextTo"/>
        <c:spPr>
          <a:noFill/>
          <a:ln w="9525" cap="flat" cmpd="sng" algn="ctr">
            <a:solidFill>
              <a:sysClr val="window" lastClr="FFFFFF"/>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78022271"/>
        <c:crosses val="autoZero"/>
        <c:auto val="1"/>
        <c:lblAlgn val="ctr"/>
        <c:lblOffset val="100"/>
        <c:noMultiLvlLbl val="0"/>
      </c:catAx>
      <c:valAx>
        <c:axId val="1578022271"/>
        <c:scaling>
          <c:orientation val="minMax"/>
        </c:scaling>
        <c:delete val="0"/>
        <c:axPos val="l"/>
        <c:majorGridlines>
          <c:spPr>
            <a:ln w="9525" cap="flat" cmpd="sng" algn="ctr">
              <a:solidFill>
                <a:sysClr val="window" lastClr="FFFFFF"/>
              </a:solidFill>
              <a:round/>
            </a:ln>
            <a:effectLst/>
          </c:spPr>
        </c:majorGridlines>
        <c:numFmt formatCode="#,##0;[Red]\ \ \-#,##0;\ &quot;-&quot;"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78026431"/>
        <c:crosses val="autoZero"/>
        <c:crossBetween val="between"/>
      </c:valAx>
      <c:spPr>
        <a:noFill/>
        <a:ln>
          <a:noFill/>
        </a:ln>
        <a:effectLst/>
      </c:spPr>
    </c:plotArea>
    <c:plotVisOnly val="1"/>
    <c:dispBlanksAs val="gap"/>
    <c:showDLblsOverMax val="0"/>
    <c:extLst/>
  </c:chart>
  <c:spPr>
    <a:solidFill>
      <a:srgbClr val="F2F2F2"/>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85725</xdr:rowOff>
    </xdr:from>
    <xdr:to>
      <xdr:col>10</xdr:col>
      <xdr:colOff>152400</xdr:colOff>
      <xdr:row>5</xdr:row>
      <xdr:rowOff>85725</xdr:rowOff>
    </xdr:to>
    <xdr:pic>
      <xdr:nvPicPr>
        <xdr:cNvPr id="6" name="Picture 5">
          <a:extLst>
            <a:ext uri="{FF2B5EF4-FFF2-40B4-BE49-F238E27FC236}">
              <a16:creationId xmlns:a16="http://schemas.microsoft.com/office/drawing/2014/main" id="{B7B0DFB7-A4DA-8835-9143-74793CE3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27622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114609</xdr:colOff>
      <xdr:row>38</xdr:row>
      <xdr:rowOff>110318</xdr:rowOff>
    </xdr:from>
    <xdr:to>
      <xdr:col>5</xdr:col>
      <xdr:colOff>125991</xdr:colOff>
      <xdr:row>57</xdr:row>
      <xdr:rowOff>117553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349248</xdr:colOff>
      <xdr:row>38</xdr:row>
      <xdr:rowOff>133849</xdr:rowOff>
    </xdr:from>
    <xdr:to>
      <xdr:col>11</xdr:col>
      <xdr:colOff>1089013</xdr:colOff>
      <xdr:row>57</xdr:row>
      <xdr:rowOff>141084</xdr:rowOff>
    </xdr:to>
    <xdr:graphicFrame macro="">
      <xdr:nvGraphicFramePr>
        <xdr:cNvPr id="6" name="Chart 5">
          <a:extLst>
            <a:ext uri="{FF2B5EF4-FFF2-40B4-BE49-F238E27FC236}">
              <a16:creationId xmlns:a16="http://schemas.microsoft.com/office/drawing/2014/main" id="{4BF500AE-B449-4C5D-99EE-7C7D4B42E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729751</xdr:colOff>
          <xdr:row>8</xdr:row>
          <xdr:rowOff>118773</xdr:rowOff>
        </xdr:from>
        <xdr:to>
          <xdr:col>13</xdr:col>
          <xdr:colOff>61447</xdr:colOff>
          <xdr:row>10</xdr:row>
          <xdr:rowOff>131089</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31:$AD$32" spid="_x0000_s25209"/>
                </a:ext>
              </a:extLst>
            </xdr:cNvPicPr>
          </xdr:nvPicPr>
          <xdr:blipFill>
            <a:blip xmlns:r="http://schemas.openxmlformats.org/officeDocument/2006/relationships" r:embed="rId1"/>
            <a:srcRect/>
            <a:stretch>
              <a:fillRect/>
            </a:stretch>
          </xdr:blipFill>
          <xdr:spPr bwMode="auto">
            <a:xfrm>
              <a:off x="5799168" y="1536940"/>
              <a:ext cx="3596779" cy="329816"/>
            </a:xfrm>
            <a:prstGeom prst="rect">
              <a:avLst/>
            </a:prstGeom>
            <a:solidFill>
              <a:schemeClr val="bg1"/>
            </a:solidFill>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433916</xdr:colOff>
          <xdr:row>0</xdr:row>
          <xdr:rowOff>232834</xdr:rowOff>
        </xdr:from>
        <xdr:to>
          <xdr:col>18</xdr:col>
          <xdr:colOff>535516</xdr:colOff>
          <xdr:row>6</xdr:row>
          <xdr:rowOff>83609</xdr:rowOff>
        </xdr:to>
        <xdr:pic>
          <xdr:nvPicPr>
            <xdr:cNvPr id="4" name="Picture 3">
              <a:extLst>
                <a:ext uri="{FF2B5EF4-FFF2-40B4-BE49-F238E27FC236}">
                  <a16:creationId xmlns:a16="http://schemas.microsoft.com/office/drawing/2014/main" id="{8F508DEC-47D7-CD31-F6EB-2DEF0BD75E9C}"/>
                </a:ext>
              </a:extLst>
            </xdr:cNvPr>
            <xdr:cNvPicPr>
              <a:picLocks noChangeAspect="1" noChangeArrowheads="1"/>
              <a:extLst>
                <a:ext uri="{84589F7E-364E-4C9E-8A38-B11213B215E9}">
                  <a14:cameraTool cellRange="Data!$AA$14:$AA$19" spid="_x0000_s25210"/>
                </a:ext>
              </a:extLst>
            </xdr:cNvPicPr>
          </xdr:nvPicPr>
          <xdr:blipFill>
            <a:blip xmlns:r="http://schemas.openxmlformats.org/officeDocument/2006/relationships" r:embed="rId2"/>
            <a:srcRect/>
            <a:stretch>
              <a:fillRect/>
            </a:stretch>
          </xdr:blipFill>
          <xdr:spPr bwMode="auto">
            <a:xfrm>
              <a:off x="11641666" y="232834"/>
              <a:ext cx="1477433"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C-Citipower">
    <a:dk1>
      <a:sysClr val="windowText" lastClr="000000"/>
    </a:dk1>
    <a:lt1>
      <a:sysClr val="window" lastClr="FFFFFF"/>
    </a:lt1>
    <a:dk2>
      <a:srgbClr val="000000"/>
    </a:dk2>
    <a:lt2>
      <a:srgbClr val="FFFFFF"/>
    </a:lt2>
    <a:accent1>
      <a:srgbClr val="1079BF"/>
    </a:accent1>
    <a:accent2>
      <a:srgbClr val="ACD0E8"/>
    </a:accent2>
    <a:accent3>
      <a:srgbClr val="DCDCDC"/>
    </a:accent3>
    <a:accent4>
      <a:srgbClr val="101F5B"/>
    </a:accent4>
    <a:accent5>
      <a:srgbClr val="1F3B8A"/>
    </a:accent5>
    <a:accent6>
      <a:srgbClr val="4C62A1"/>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C-Citipower">
    <a:dk1>
      <a:sysClr val="windowText" lastClr="000000"/>
    </a:dk1>
    <a:lt1>
      <a:sysClr val="window" lastClr="FFFFFF"/>
    </a:lt1>
    <a:dk2>
      <a:srgbClr val="000000"/>
    </a:dk2>
    <a:lt2>
      <a:srgbClr val="FFFFFF"/>
    </a:lt2>
    <a:accent1>
      <a:srgbClr val="1079BF"/>
    </a:accent1>
    <a:accent2>
      <a:srgbClr val="ACD0E8"/>
    </a:accent2>
    <a:accent3>
      <a:srgbClr val="DCDCDC"/>
    </a:accent3>
    <a:accent4>
      <a:srgbClr val="101F5B"/>
    </a:accent4>
    <a:accent5>
      <a:srgbClr val="1F3B8A"/>
    </a:accent5>
    <a:accent6>
      <a:srgbClr val="4C62A1"/>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3A8B-21F5-49D4-989F-F3848DBC1145}">
  <sheetPr codeName="Sheet11">
    <tabColor theme="2" tint="-0.749992370372631"/>
  </sheetPr>
  <dimension ref="A1:S41"/>
  <sheetViews>
    <sheetView showGridLines="0" tabSelected="1" zoomScaleNormal="100" workbookViewId="0"/>
  </sheetViews>
  <sheetFormatPr defaultColWidth="0" defaultRowHeight="15" customHeight="1" zeroHeight="1" x14ac:dyDescent="0.35"/>
  <cols>
    <col min="1" max="1" width="8" style="129" customWidth="1"/>
    <col min="2" max="2" width="1.84375" style="129" customWidth="1"/>
    <col min="3" max="3" width="14" style="129" customWidth="1"/>
    <col min="4" max="4" width="8" style="129" customWidth="1"/>
    <col min="5" max="5" width="9.3828125" style="129" customWidth="1"/>
    <col min="6" max="11" width="8" style="129" customWidth="1"/>
    <col min="12" max="19" width="8" style="129" hidden="1" customWidth="1"/>
    <col min="20" max="16384" width="0" style="129" hidden="1"/>
  </cols>
  <sheetData>
    <row r="1" spans="1:19" ht="14.5" x14ac:dyDescent="0.35">
      <c r="A1" s="310"/>
    </row>
    <row r="2" spans="1:19" ht="23" x14ac:dyDescent="0.5">
      <c r="A2" s="310"/>
      <c r="C2" s="311" t="s">
        <v>3</v>
      </c>
      <c r="D2" s="312"/>
      <c r="E2" s="312"/>
    </row>
    <row r="3" spans="1:19" ht="15.5" x14ac:dyDescent="0.35">
      <c r="A3" s="310"/>
      <c r="C3" s="313" t="s">
        <v>246</v>
      </c>
      <c r="D3" s="312"/>
      <c r="E3" s="312"/>
    </row>
    <row r="4" spans="1:19" ht="14.5" x14ac:dyDescent="0.35">
      <c r="A4" s="310"/>
      <c r="D4" s="312"/>
      <c r="E4" s="312"/>
    </row>
    <row r="5" spans="1:19" ht="14.5" x14ac:dyDescent="0.35">
      <c r="A5" s="310"/>
      <c r="C5" s="314" t="s">
        <v>670</v>
      </c>
    </row>
    <row r="6" spans="1:19" ht="14.5" x14ac:dyDescent="0.35">
      <c r="A6" s="310"/>
      <c r="C6" s="315" t="s">
        <v>247</v>
      </c>
      <c r="D6" s="559">
        <v>3.25</v>
      </c>
      <c r="E6" s="315"/>
    </row>
    <row r="7" spans="1:19" ht="14.5" x14ac:dyDescent="0.35">
      <c r="A7" s="310"/>
      <c r="F7" s="316"/>
      <c r="G7" s="316"/>
      <c r="H7" s="316"/>
      <c r="J7" s="316"/>
      <c r="K7" s="316"/>
      <c r="L7" s="316"/>
      <c r="M7" s="316"/>
      <c r="N7" s="316"/>
      <c r="O7" s="316"/>
      <c r="P7" s="316"/>
      <c r="Q7" s="316"/>
      <c r="R7" s="316"/>
      <c r="S7" s="316"/>
    </row>
    <row r="8" spans="1:19" ht="14.5" x14ac:dyDescent="0.35">
      <c r="A8" s="310"/>
      <c r="C8" s="317">
        <v>45688</v>
      </c>
      <c r="F8" s="316"/>
      <c r="G8" s="316"/>
      <c r="H8" s="316"/>
      <c r="J8" s="316"/>
      <c r="K8" s="316"/>
      <c r="L8" s="316"/>
      <c r="M8" s="316"/>
      <c r="N8" s="316"/>
      <c r="O8" s="316"/>
      <c r="P8" s="316"/>
      <c r="Q8" s="316"/>
      <c r="R8" s="316"/>
      <c r="S8" s="316"/>
    </row>
    <row r="9" spans="1:19" ht="14.5" x14ac:dyDescent="0.35">
      <c r="A9" s="310"/>
      <c r="C9" s="318"/>
      <c r="D9" s="318"/>
      <c r="F9" s="316"/>
      <c r="G9" s="316"/>
      <c r="H9" s="316"/>
      <c r="I9" s="316"/>
      <c r="J9" s="316"/>
      <c r="K9" s="316"/>
      <c r="L9" s="316"/>
      <c r="M9" s="316"/>
      <c r="N9" s="316"/>
      <c r="O9" s="316"/>
      <c r="P9" s="316"/>
      <c r="Q9" s="316"/>
      <c r="R9" s="316"/>
      <c r="S9" s="316"/>
    </row>
    <row r="10" spans="1:19" ht="14.5" x14ac:dyDescent="0.35">
      <c r="A10" s="310"/>
      <c r="C10" s="318"/>
      <c r="D10" s="318"/>
      <c r="F10" s="316"/>
      <c r="G10" s="316"/>
      <c r="H10" s="316"/>
      <c r="I10" s="316"/>
      <c r="J10" s="316"/>
      <c r="K10" s="316"/>
      <c r="L10" s="316"/>
      <c r="M10" s="316"/>
      <c r="N10" s="316"/>
      <c r="O10" s="316"/>
      <c r="P10" s="316"/>
      <c r="Q10" s="316"/>
      <c r="R10" s="316"/>
      <c r="S10" s="316"/>
    </row>
    <row r="11" spans="1:19" ht="14.5" x14ac:dyDescent="0.35">
      <c r="A11" s="310"/>
      <c r="C11" s="318"/>
      <c r="D11" s="318"/>
      <c r="F11" s="316"/>
      <c r="G11" s="316"/>
      <c r="H11" s="316"/>
      <c r="I11" s="316"/>
      <c r="J11" s="316"/>
      <c r="K11" s="316"/>
      <c r="L11" s="316"/>
      <c r="M11" s="316"/>
      <c r="N11" s="316"/>
      <c r="O11" s="316"/>
      <c r="P11" s="316"/>
      <c r="Q11" s="316"/>
      <c r="R11" s="316"/>
      <c r="S11" s="316"/>
    </row>
    <row r="12" spans="1:19" ht="14.5" x14ac:dyDescent="0.35">
      <c r="A12" s="310"/>
      <c r="C12" s="318"/>
      <c r="D12" s="318"/>
      <c r="F12" s="316"/>
      <c r="G12" s="316"/>
      <c r="H12" s="316"/>
      <c r="I12" s="316"/>
      <c r="J12" s="316"/>
      <c r="K12" s="316"/>
      <c r="L12" s="316"/>
      <c r="M12" s="316"/>
      <c r="N12" s="316"/>
      <c r="O12" s="316"/>
      <c r="P12" s="316"/>
      <c r="Q12" s="316"/>
      <c r="R12" s="316"/>
      <c r="S12" s="316"/>
    </row>
    <row r="13" spans="1:19" ht="14.5" x14ac:dyDescent="0.35">
      <c r="A13" s="310"/>
      <c r="C13" s="318"/>
      <c r="D13" s="318"/>
      <c r="F13" s="316"/>
      <c r="G13" s="316"/>
      <c r="H13" s="316"/>
      <c r="I13" s="316"/>
      <c r="J13" s="316"/>
      <c r="K13" s="316"/>
      <c r="L13" s="316"/>
      <c r="M13" s="316"/>
      <c r="N13" s="316"/>
      <c r="O13" s="316"/>
      <c r="P13" s="316"/>
      <c r="Q13" s="316"/>
      <c r="R13" s="316"/>
      <c r="S13" s="316"/>
    </row>
    <row r="14" spans="1:19" ht="14.5" x14ac:dyDescent="0.35">
      <c r="A14" s="310"/>
      <c r="C14" s="316"/>
      <c r="D14" s="316"/>
      <c r="E14" s="316"/>
      <c r="F14" s="316"/>
      <c r="G14" s="316"/>
      <c r="H14" s="316"/>
      <c r="I14" s="316"/>
      <c r="J14" s="316"/>
      <c r="K14" s="316"/>
      <c r="L14" s="316"/>
      <c r="M14" s="316"/>
      <c r="N14" s="316"/>
      <c r="O14" s="316"/>
      <c r="P14" s="316"/>
      <c r="Q14" s="316"/>
      <c r="R14" s="316"/>
      <c r="S14" s="316"/>
    </row>
    <row r="15" spans="1:19" ht="14.5" x14ac:dyDescent="0.35">
      <c r="A15" s="310"/>
      <c r="C15" s="314"/>
      <c r="D15" s="316"/>
      <c r="E15" s="316"/>
      <c r="F15" s="316"/>
      <c r="G15" s="316"/>
      <c r="H15" s="316"/>
      <c r="I15" s="316"/>
      <c r="J15" s="316"/>
      <c r="K15" s="316"/>
      <c r="L15" s="316"/>
      <c r="M15" s="316"/>
      <c r="N15" s="316"/>
      <c r="O15" s="316"/>
      <c r="P15" s="316"/>
      <c r="Q15" s="316"/>
      <c r="R15" s="316"/>
      <c r="S15" s="316"/>
    </row>
    <row r="16" spans="1:19" ht="14.5" x14ac:dyDescent="0.35">
      <c r="A16" s="310"/>
      <c r="C16" s="314"/>
      <c r="D16" s="316"/>
      <c r="E16" s="316"/>
      <c r="F16" s="316"/>
      <c r="G16" s="316"/>
      <c r="H16" s="316"/>
      <c r="I16" s="316"/>
      <c r="J16" s="316"/>
      <c r="K16" s="316"/>
      <c r="L16" s="316"/>
      <c r="M16" s="316"/>
      <c r="N16" s="316"/>
      <c r="O16" s="316"/>
      <c r="P16" s="316"/>
      <c r="Q16" s="316"/>
      <c r="R16" s="316"/>
      <c r="S16" s="316"/>
    </row>
    <row r="17" spans="1:19" ht="14.5" x14ac:dyDescent="0.35">
      <c r="A17" s="310"/>
      <c r="C17" s="316"/>
      <c r="D17" s="316"/>
      <c r="E17" s="316"/>
      <c r="F17" s="316"/>
      <c r="G17" s="316"/>
      <c r="H17" s="316"/>
      <c r="I17" s="316"/>
      <c r="J17" s="316"/>
      <c r="K17" s="316"/>
      <c r="L17" s="316"/>
      <c r="M17" s="316"/>
      <c r="N17" s="316"/>
      <c r="O17" s="316"/>
      <c r="P17" s="316"/>
      <c r="Q17" s="316"/>
      <c r="R17" s="316"/>
      <c r="S17" s="316"/>
    </row>
    <row r="18" spans="1:19" ht="14.5" x14ac:dyDescent="0.35">
      <c r="A18" s="310"/>
      <c r="C18" s="316"/>
      <c r="D18" s="316"/>
      <c r="E18" s="316"/>
      <c r="F18" s="316"/>
      <c r="G18" s="316"/>
      <c r="H18" s="316"/>
      <c r="I18" s="316"/>
      <c r="J18" s="316"/>
      <c r="K18" s="316"/>
      <c r="L18" s="316"/>
      <c r="M18" s="316"/>
      <c r="N18" s="316"/>
      <c r="O18" s="316"/>
      <c r="P18" s="316"/>
      <c r="Q18" s="316"/>
      <c r="R18" s="316"/>
      <c r="S18" s="316"/>
    </row>
    <row r="19" spans="1:19" ht="14.5" x14ac:dyDescent="0.35">
      <c r="A19" s="310"/>
      <c r="C19" s="316"/>
      <c r="D19" s="316"/>
      <c r="E19" s="316"/>
      <c r="F19" s="316"/>
      <c r="G19"/>
      <c r="H19" s="316"/>
      <c r="I19" s="316"/>
      <c r="J19" s="316"/>
      <c r="K19" s="316"/>
      <c r="L19" s="316"/>
      <c r="M19" s="316"/>
      <c r="N19" s="316"/>
      <c r="O19" s="316"/>
      <c r="P19" s="316"/>
      <c r="Q19" s="316"/>
      <c r="R19" s="316"/>
      <c r="S19" s="316"/>
    </row>
    <row r="20" spans="1:19" ht="14.5" x14ac:dyDescent="0.35">
      <c r="A20" s="310"/>
      <c r="C20" s="316"/>
      <c r="D20" s="316"/>
      <c r="E20" s="316"/>
      <c r="F20" s="316"/>
      <c r="G20" s="316"/>
      <c r="H20" s="316"/>
      <c r="I20" s="316"/>
      <c r="J20" s="316"/>
      <c r="K20" s="316"/>
      <c r="L20" s="316"/>
      <c r="M20" s="316"/>
      <c r="N20" s="316"/>
      <c r="O20" s="316"/>
      <c r="P20" s="316"/>
      <c r="Q20" s="316"/>
      <c r="R20" s="316"/>
      <c r="S20" s="316"/>
    </row>
    <row r="21" spans="1:19" ht="14.5" x14ac:dyDescent="0.35">
      <c r="A21" s="310"/>
      <c r="C21" s="316"/>
      <c r="D21" s="316"/>
      <c r="E21" s="316"/>
      <c r="F21" s="316"/>
      <c r="G21" s="316"/>
      <c r="H21" s="316"/>
      <c r="I21" s="316"/>
      <c r="J21" s="316"/>
      <c r="K21" s="316"/>
      <c r="L21" s="316"/>
      <c r="M21" s="316"/>
      <c r="N21" s="316"/>
      <c r="O21" s="316"/>
      <c r="P21" s="316"/>
      <c r="Q21" s="316"/>
      <c r="R21" s="316"/>
      <c r="S21" s="316"/>
    </row>
    <row r="22" spans="1:19" ht="14.5" x14ac:dyDescent="0.35">
      <c r="A22" s="310"/>
      <c r="C22" s="316"/>
      <c r="D22" s="316"/>
      <c r="E22" s="316"/>
      <c r="F22" s="316"/>
      <c r="G22" s="316"/>
      <c r="H22" s="316"/>
      <c r="I22" s="316"/>
      <c r="J22" s="316"/>
      <c r="K22" s="316"/>
      <c r="L22" s="316"/>
      <c r="M22" s="316"/>
      <c r="N22" s="316"/>
      <c r="O22" s="316"/>
      <c r="P22" s="316"/>
      <c r="Q22" s="316"/>
      <c r="R22" s="316"/>
      <c r="S22" s="316"/>
    </row>
    <row r="23" spans="1:19" ht="14.5" x14ac:dyDescent="0.35">
      <c r="A23" s="310"/>
      <c r="C23" s="316"/>
      <c r="D23" s="316"/>
      <c r="E23" s="316"/>
      <c r="F23" s="316"/>
      <c r="G23" s="316"/>
      <c r="H23" s="316"/>
      <c r="I23" s="316"/>
      <c r="J23" s="316"/>
      <c r="K23" s="316"/>
      <c r="L23" s="316"/>
      <c r="M23" s="316"/>
      <c r="N23" s="316"/>
      <c r="O23" s="316"/>
      <c r="P23" s="316"/>
      <c r="Q23" s="316"/>
      <c r="R23" s="316"/>
      <c r="S23" s="316"/>
    </row>
    <row r="24" spans="1:19" ht="14.5" x14ac:dyDescent="0.35">
      <c r="A24" s="310"/>
      <c r="C24" s="316"/>
      <c r="D24" s="316"/>
      <c r="E24" s="316"/>
      <c r="F24" s="316"/>
      <c r="G24" s="316"/>
      <c r="H24" s="316"/>
      <c r="I24" s="316"/>
      <c r="J24" s="316"/>
      <c r="K24" s="316"/>
      <c r="L24" s="316"/>
      <c r="M24" s="316"/>
      <c r="N24" s="316"/>
      <c r="O24" s="316"/>
      <c r="P24" s="316"/>
      <c r="Q24" s="316"/>
      <c r="R24" s="316"/>
      <c r="S24" s="316"/>
    </row>
    <row r="25" spans="1:19" ht="14.5" x14ac:dyDescent="0.35">
      <c r="A25" s="310"/>
      <c r="C25" s="316"/>
      <c r="D25" s="316"/>
      <c r="E25" s="316"/>
      <c r="F25" s="316"/>
      <c r="G25" s="316"/>
      <c r="H25" s="316"/>
      <c r="I25" s="316"/>
      <c r="J25" s="316"/>
      <c r="K25" s="316"/>
      <c r="L25" s="316"/>
      <c r="M25" s="316"/>
      <c r="N25" s="316"/>
      <c r="O25" s="316"/>
      <c r="P25" s="316"/>
      <c r="Q25" s="316"/>
      <c r="R25" s="316"/>
      <c r="S25" s="316"/>
    </row>
    <row r="26" spans="1:19" ht="14.5" x14ac:dyDescent="0.35">
      <c r="A26" s="310"/>
      <c r="C26" s="316"/>
      <c r="D26" s="316"/>
      <c r="E26" s="316"/>
      <c r="F26" s="316"/>
      <c r="G26" s="316"/>
      <c r="H26" s="316"/>
      <c r="I26" s="316"/>
      <c r="J26" s="316"/>
      <c r="K26" s="316"/>
      <c r="L26" s="316"/>
      <c r="M26" s="316"/>
      <c r="N26" s="316"/>
      <c r="O26" s="316"/>
      <c r="P26" s="316"/>
      <c r="Q26" s="316"/>
      <c r="R26" s="316"/>
      <c r="S26" s="316"/>
    </row>
    <row r="27" spans="1:19" ht="14.5" x14ac:dyDescent="0.35">
      <c r="A27" s="310"/>
      <c r="C27" s="316"/>
      <c r="D27" s="316"/>
      <c r="E27" s="316"/>
      <c r="F27" s="316"/>
      <c r="G27" s="316"/>
      <c r="H27" s="316"/>
      <c r="I27" s="316"/>
      <c r="J27" s="316"/>
      <c r="K27" s="316"/>
      <c r="L27" s="316"/>
      <c r="M27" s="316"/>
      <c r="N27" s="316"/>
      <c r="O27" s="316"/>
      <c r="P27" s="316"/>
      <c r="Q27" s="316"/>
      <c r="R27" s="316"/>
      <c r="S27" s="316"/>
    </row>
    <row r="28" spans="1:19" ht="14.5" x14ac:dyDescent="0.35">
      <c r="A28" s="310"/>
      <c r="C28" s="316"/>
      <c r="D28" s="316"/>
      <c r="E28" s="316"/>
      <c r="F28" s="316"/>
      <c r="G28" s="316"/>
      <c r="H28" s="316"/>
      <c r="I28" s="316"/>
      <c r="J28" s="316"/>
      <c r="K28" s="316"/>
      <c r="L28" s="316"/>
      <c r="M28" s="316"/>
      <c r="N28" s="316"/>
      <c r="O28" s="316"/>
      <c r="P28" s="316"/>
      <c r="Q28" s="316"/>
      <c r="R28" s="316"/>
      <c r="S28" s="316"/>
    </row>
    <row r="29" spans="1:19" ht="14.5" x14ac:dyDescent="0.35">
      <c r="A29" s="310"/>
      <c r="C29" s="316"/>
      <c r="D29" s="316"/>
      <c r="E29" s="316"/>
      <c r="F29" s="316"/>
      <c r="G29" s="316"/>
      <c r="H29" s="316"/>
      <c r="I29" s="316"/>
      <c r="J29" s="316"/>
      <c r="K29" s="316"/>
      <c r="L29" s="316"/>
      <c r="M29" s="316"/>
      <c r="N29" s="316"/>
      <c r="O29" s="316"/>
      <c r="P29" s="316"/>
      <c r="Q29" s="316"/>
      <c r="R29" s="316"/>
      <c r="S29" s="316"/>
    </row>
    <row r="30" spans="1:19" ht="14.5" x14ac:dyDescent="0.35">
      <c r="A30" s="310"/>
      <c r="C30" s="316"/>
      <c r="E30" s="316"/>
      <c r="F30" s="316"/>
      <c r="G30" s="316"/>
      <c r="H30" s="316"/>
      <c r="I30" s="316"/>
      <c r="J30" s="316"/>
      <c r="K30" s="316"/>
      <c r="L30" s="316"/>
      <c r="M30" s="316"/>
      <c r="N30" s="316"/>
      <c r="O30" s="316"/>
      <c r="P30" s="316"/>
      <c r="Q30" s="316"/>
      <c r="R30" s="316"/>
      <c r="S30" s="316"/>
    </row>
    <row r="31" spans="1:19" ht="14.5" x14ac:dyDescent="0.35">
      <c r="A31" s="310"/>
      <c r="C31" s="316"/>
      <c r="D31" s="316"/>
      <c r="E31" s="316"/>
      <c r="F31" s="316"/>
      <c r="G31" s="316"/>
      <c r="H31" s="316"/>
      <c r="I31" s="316"/>
      <c r="J31" s="316"/>
      <c r="K31" s="316"/>
      <c r="L31" s="316"/>
      <c r="M31" s="316"/>
      <c r="N31" s="316"/>
      <c r="O31" s="316"/>
      <c r="P31" s="316"/>
      <c r="Q31" s="316"/>
      <c r="R31" s="316"/>
      <c r="S31" s="316"/>
    </row>
    <row r="32" spans="1:19" ht="14.5" x14ac:dyDescent="0.35">
      <c r="A32" s="310"/>
      <c r="C32" s="316"/>
      <c r="D32" s="316"/>
      <c r="E32" s="316"/>
      <c r="F32" s="316"/>
      <c r="G32" s="316"/>
      <c r="H32" s="316"/>
      <c r="I32" s="316"/>
      <c r="J32" s="316"/>
      <c r="K32" s="316"/>
      <c r="L32" s="316"/>
      <c r="M32" s="316"/>
      <c r="N32" s="316"/>
      <c r="O32" s="316"/>
      <c r="P32" s="316"/>
      <c r="Q32" s="316"/>
      <c r="R32" s="316"/>
      <c r="S32" s="316"/>
    </row>
    <row r="33" spans="1:19" ht="14.5" x14ac:dyDescent="0.35">
      <c r="A33" s="310"/>
      <c r="E33" s="316"/>
      <c r="F33" s="316"/>
      <c r="G33" s="316"/>
      <c r="H33" s="316"/>
      <c r="I33" s="316"/>
      <c r="J33" s="316"/>
      <c r="K33" s="316"/>
      <c r="L33" s="316"/>
      <c r="M33" s="316"/>
      <c r="N33" s="316"/>
      <c r="O33" s="316"/>
      <c r="P33" s="316"/>
      <c r="Q33" s="316"/>
      <c r="R33" s="316"/>
      <c r="S33" s="316"/>
    </row>
    <row r="34" spans="1:19" ht="14.5" x14ac:dyDescent="0.35">
      <c r="A34" s="310"/>
      <c r="C34" s="316"/>
      <c r="D34" s="316"/>
      <c r="E34" s="316"/>
      <c r="F34" s="316"/>
      <c r="G34" s="316"/>
      <c r="H34" s="316"/>
      <c r="I34" s="316"/>
      <c r="J34" s="316"/>
      <c r="K34" s="316"/>
      <c r="L34" s="316"/>
      <c r="M34" s="316"/>
      <c r="N34" s="316"/>
      <c r="O34" s="316"/>
      <c r="P34" s="316"/>
      <c r="Q34" s="316"/>
      <c r="R34" s="316"/>
      <c r="S34" s="316"/>
    </row>
    <row r="35" spans="1:19" ht="14.5" x14ac:dyDescent="0.35">
      <c r="A35" s="310"/>
      <c r="C35" s="316"/>
      <c r="D35" s="316"/>
      <c r="E35" s="316"/>
      <c r="F35" s="316"/>
      <c r="G35" s="316"/>
      <c r="H35" s="316"/>
      <c r="I35" s="316"/>
      <c r="J35" s="316"/>
      <c r="K35" s="316"/>
      <c r="L35" s="316"/>
      <c r="M35" s="316"/>
      <c r="N35" s="316"/>
      <c r="O35" s="316"/>
      <c r="P35" s="316"/>
      <c r="Q35" s="316"/>
      <c r="R35" s="316"/>
      <c r="S35" s="316"/>
    </row>
    <row r="36" spans="1:19" ht="14.5" x14ac:dyDescent="0.35">
      <c r="A36" s="310"/>
    </row>
    <row r="37" spans="1:19" ht="14.5" x14ac:dyDescent="0.35">
      <c r="A37" s="310"/>
    </row>
    <row r="38" spans="1:19" ht="14.5" x14ac:dyDescent="0.35">
      <c r="A38" s="310"/>
    </row>
    <row r="39" spans="1:19" ht="14.5" x14ac:dyDescent="0.35">
      <c r="A39" s="310"/>
    </row>
    <row r="40" spans="1:19" ht="14.5" x14ac:dyDescent="0.35">
      <c r="A40" s="310">
        <f ca="1">_xlfn.SHEETS()</f>
        <v>16</v>
      </c>
    </row>
    <row r="41" spans="1:19" ht="14.5" x14ac:dyDescent="0.35">
      <c r="A41" s="310"/>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N232"/>
  <sheetViews>
    <sheetView showGridLines="0" zoomScale="85" zoomScaleNormal="85" workbookViewId="0">
      <pane ySplit="2" topLeftCell="A3" activePane="bottomLeft" state="frozen"/>
      <selection activeCell="Z23" sqref="Z23"/>
      <selection pane="bottomLeft" activeCell="H34" sqref="H34"/>
    </sheetView>
  </sheetViews>
  <sheetFormatPr defaultColWidth="0" defaultRowHeight="12" zeroHeight="1" x14ac:dyDescent="0.3"/>
  <cols>
    <col min="1" max="1" width="1.84375" style="10" customWidth="1"/>
    <col min="2" max="2" width="2" style="10" customWidth="1"/>
    <col min="3" max="3" width="21.61328125" style="10" customWidth="1"/>
    <col min="4" max="4" width="34.61328125" style="10" customWidth="1"/>
    <col min="5" max="5" width="15.23046875" style="10" customWidth="1"/>
    <col min="6" max="9" width="13.15234375" style="10" customWidth="1"/>
    <col min="10" max="10" width="11.765625" style="10" customWidth="1"/>
    <col min="11" max="11" width="1.765625" style="10" customWidth="1"/>
    <col min="12" max="12" width="14.61328125" style="10" customWidth="1"/>
    <col min="13" max="13" width="2.23046875" style="10" customWidth="1"/>
    <col min="14" max="14" width="8.765625" style="10" hidden="1" customWidth="1"/>
    <col min="15" max="16384" width="9" style="10" hidden="1"/>
  </cols>
  <sheetData>
    <row r="1" spans="1:13" s="8" customFormat="1" ht="18.5" x14ac:dyDescent="0.45">
      <c r="A1" s="15" t="str">
        <f>bus</f>
        <v>Powercor</v>
      </c>
      <c r="B1" s="15"/>
      <c r="C1" s="15"/>
      <c r="D1" s="15"/>
      <c r="E1" s="15"/>
      <c r="F1" s="15"/>
      <c r="G1" s="15"/>
      <c r="H1" s="15"/>
      <c r="I1" s="15"/>
      <c r="J1" s="15"/>
      <c r="K1" s="15"/>
      <c r="L1" s="15"/>
    </row>
    <row r="2" spans="1:13" s="8" customFormat="1" ht="18.5" x14ac:dyDescent="0.45">
      <c r="A2" s="56" t="str">
        <f>proj</f>
        <v>BAN003-WND024 Tie upgrade</v>
      </c>
      <c r="B2" s="15"/>
      <c r="C2" s="15"/>
      <c r="D2" s="15"/>
      <c r="E2" s="15"/>
      <c r="F2" s="15"/>
      <c r="G2" s="15"/>
      <c r="H2" s="15"/>
      <c r="I2" s="15"/>
      <c r="J2" s="15"/>
      <c r="K2" s="15"/>
      <c r="L2" s="15"/>
    </row>
    <row r="3" spans="1:13" s="7" customFormat="1" ht="18.5" x14ac:dyDescent="0.45">
      <c r="A3" s="203" t="s">
        <v>16</v>
      </c>
      <c r="B3" s="34"/>
      <c r="C3" s="34"/>
      <c r="D3" s="33"/>
      <c r="E3" s="33"/>
      <c r="F3" s="33"/>
      <c r="G3" s="33"/>
      <c r="H3" s="33"/>
      <c r="I3" s="33"/>
      <c r="J3" s="33"/>
      <c r="K3" s="33"/>
      <c r="L3" s="33"/>
      <c r="M3" s="8"/>
    </row>
    <row r="4" spans="1:13" s="7" customFormat="1" ht="18.5" x14ac:dyDescent="0.45">
      <c r="A4" s="34"/>
      <c r="B4" s="34"/>
      <c r="C4" s="34"/>
      <c r="D4" s="33"/>
      <c r="E4" s="33"/>
      <c r="F4" s="33"/>
      <c r="G4" s="33"/>
      <c r="H4" s="33"/>
      <c r="I4" s="33"/>
      <c r="J4" s="33"/>
      <c r="K4" s="33"/>
      <c r="L4" s="33"/>
      <c r="M4" s="8"/>
    </row>
    <row r="5" spans="1:13" s="7" customFormat="1" ht="14.5" x14ac:dyDescent="0.35">
      <c r="A5" s="19" t="s">
        <v>165</v>
      </c>
      <c r="B5" s="19"/>
      <c r="C5" s="19"/>
      <c r="D5" s="19"/>
      <c r="E5" s="19"/>
      <c r="F5" s="19"/>
      <c r="G5" s="19"/>
      <c r="H5" s="19"/>
      <c r="I5" s="19"/>
      <c r="J5" s="19"/>
      <c r="K5" s="19"/>
      <c r="L5" s="19"/>
      <c r="M5" s="8"/>
    </row>
    <row r="6" spans="1:13" s="7" customFormat="1" ht="13" x14ac:dyDescent="0.3">
      <c r="A6" s="9"/>
      <c r="B6" s="9"/>
      <c r="C6" s="9"/>
      <c r="D6" s="4"/>
      <c r="E6" s="4"/>
      <c r="F6" s="9"/>
      <c r="G6" s="9"/>
      <c r="H6" s="9"/>
      <c r="I6" s="9"/>
      <c r="J6" s="9"/>
      <c r="K6" s="9"/>
      <c r="L6" s="9"/>
    </row>
    <row r="7" spans="1:13" s="7" customFormat="1" ht="13" x14ac:dyDescent="0.3">
      <c r="G7" s="152" t="s">
        <v>195</v>
      </c>
      <c r="H7" s="152" t="s">
        <v>196</v>
      </c>
      <c r="I7" s="152" t="s">
        <v>120</v>
      </c>
    </row>
    <row r="8" spans="1:13" s="7" customFormat="1" ht="13" x14ac:dyDescent="0.3">
      <c r="C8" s="29" t="s">
        <v>1</v>
      </c>
      <c r="D8" s="29"/>
      <c r="E8" s="29"/>
      <c r="F8" s="29"/>
      <c r="G8" s="184">
        <f>output_dollars</f>
        <v>46203</v>
      </c>
      <c r="H8" s="184">
        <f>output_dollars</f>
        <v>46203</v>
      </c>
      <c r="I8" s="184">
        <f>output_dollars</f>
        <v>46203</v>
      </c>
    </row>
    <row r="9" spans="1:13" s="7" customFormat="1" ht="13.5" x14ac:dyDescent="0.3">
      <c r="C9" s="91" t="str" cm="1">
        <f t="array" ref="C9:C13">options</f>
        <v>Option 1 (base case)</v>
      </c>
      <c r="D9" s="561" t="str">
        <f>INDEX(Assumptions!$E$14:$E$18, MATCH(C9, Assumptions!$C$14:$C$18,0))</f>
        <v>No change to existing practices</v>
      </c>
      <c r="E9" s="562"/>
      <c r="F9" s="562"/>
      <c r="G9" s="103">
        <f>IF(Data!$C9, "", INDEX(Consol!$F$15:$F$82, MATCH($C9&amp;G$7, Consol!$D$15:$D$82,0))/mill_conv)</f>
        <v>0</v>
      </c>
      <c r="H9" s="103">
        <f>IF(Data!$C9, "", INDEX(Consol!$F$15:$F$82, MATCH($C9&amp;H$7, Consol!$D$15:$D$82,0))/mill_conv)</f>
        <v>0</v>
      </c>
      <c r="I9" s="103">
        <f>IF(Data!$C9, "", INDEX(Consol!$F$15:$F$82, MATCH($C9&amp;I$7, Consol!$D$15:$D$82,0))/mill_conv)</f>
        <v>0</v>
      </c>
    </row>
    <row r="10" spans="1:13" s="7" customFormat="1" ht="12.75" customHeight="1" x14ac:dyDescent="0.3">
      <c r="C10" s="91" t="str">
        <v>Option 2</v>
      </c>
      <c r="D10" s="563" t="str">
        <f>INDEX(Assumptions!$E$14:$E$18, MATCH(C10, Assumptions!$C$14:$C$18,0))</f>
        <v>Install diesel generator microgrid in Trentham township</v>
      </c>
      <c r="E10" s="564"/>
      <c r="F10" s="564"/>
      <c r="G10" s="103">
        <f>IF(Data!$C10, "", INDEX(Consol!$F$15:$F$82, MATCH($C10&amp;G$7, Consol!$D$15:$D$82,0))/mill_conv)</f>
        <v>-3.3346792047925793</v>
      </c>
      <c r="H10" s="103">
        <f>IF(Data!$C10, "", INDEX(Consol!$F$15:$F$82, MATCH($C10&amp;H$7, Consol!$D$15:$D$82,0))/mill_conv)</f>
        <v>8.9530341302230045</v>
      </c>
      <c r="I10" s="103">
        <f>IF(Data!$C10, "", INDEX(Consol!$F$15:$F$82, MATCH($C10&amp;I$7, Consol!$D$15:$D$82,0))/mill_conv)</f>
        <v>5.618354925430423</v>
      </c>
    </row>
    <row r="11" spans="1:13" s="7" customFormat="1" ht="13.5" x14ac:dyDescent="0.3">
      <c r="C11" s="91" t="str">
        <v>Option 3</v>
      </c>
      <c r="D11" s="563" t="str">
        <f>INDEX(Assumptions!$E$14:$E$18, MATCH(C11, Assumptions!$C$14:$C$18,0))</f>
        <v>Install BESS + diesel generator microgrid in Trentham township</v>
      </c>
      <c r="E11" s="564"/>
      <c r="F11" s="564"/>
      <c r="G11" s="103">
        <f>IF(Data!$C11, "", INDEX(Consol!$F$15:$F$82, MATCH($C11&amp;G$7, Consol!$D$15:$D$82,0))/mill_conv)</f>
        <v>-7.4151038352084457</v>
      </c>
      <c r="H11" s="103">
        <f>IF(Data!$C11, "", INDEX(Consol!$F$15:$F$82, MATCH($C11&amp;H$7, Consol!$D$15:$D$82,0))/mill_conv)</f>
        <v>8.9530361588067127</v>
      </c>
      <c r="I11" s="103">
        <f>IF(Data!$C11, "", INDEX(Consol!$F$15:$F$82, MATCH($C11&amp;I$7, Consol!$D$15:$D$82,0))/mill_conv)</f>
        <v>1.5379323235982651</v>
      </c>
    </row>
    <row r="12" spans="1:13" s="7" customFormat="1" ht="13.5" x14ac:dyDescent="0.3">
      <c r="C12" s="91" t="str">
        <v>Option 4</v>
      </c>
      <c r="D12" s="563" t="str">
        <f>INDEX(Assumptions!$E$14:$E$18, MATCH(C12, Assumptions!$C$14:$C$18,0))</f>
        <v>Install BAN003 to WND024 tie line</v>
      </c>
      <c r="E12" s="564"/>
      <c r="F12" s="564"/>
      <c r="G12" s="103">
        <f>IF(Data!$C12, "", INDEX(Consol!$F$15:$F$82, MATCH($C12&amp;G$7, Consol!$D$15:$D$82,0))/mill_conv)</f>
        <v>-1.9036298768676718</v>
      </c>
      <c r="H12" s="103">
        <f>IF(Data!$C12, "", INDEX(Consol!$F$15:$F$82, MATCH($C12&amp;H$7, Consol!$D$15:$D$82,0))/mill_conv)</f>
        <v>19.622467209845855</v>
      </c>
      <c r="I12" s="103">
        <f>IF(Data!$C12, "", INDEX(Consol!$F$15:$F$82, MATCH($C12&amp;I$7, Consol!$D$15:$D$82,0))/mill_conv)</f>
        <v>17.718837332978186</v>
      </c>
    </row>
    <row r="13" spans="1:13" s="7" customFormat="1" ht="13.5" x14ac:dyDescent="0.3">
      <c r="C13" s="91" t="str">
        <v>Option 5</v>
      </c>
      <c r="D13" s="563">
        <f>INDEX(Assumptions!$E$14:$E$18, MATCH(C13, Assumptions!$C$14:$C$18,0))</f>
        <v>0</v>
      </c>
      <c r="E13" s="564"/>
      <c r="F13" s="564"/>
      <c r="G13" s="103" t="str">
        <f>IF(Data!$C13, "", INDEX(Consol!$F$15:$F$82, MATCH($C13&amp;G$7, Consol!$D$15:$D$82,0))/mill_conv)</f>
        <v/>
      </c>
      <c r="H13" s="103" t="str">
        <f>IF(Data!$C13, "", INDEX(Consol!$F$15:$F$82, MATCH($C13&amp;H$7, Consol!$D$15:$D$82,0))/mill_conv)</f>
        <v/>
      </c>
      <c r="I13" s="103" t="str">
        <f>IF(Data!$C13, "", INDEX(Consol!$F$15:$F$82, MATCH($C13&amp;I$7, Consol!$D$15:$D$82,0))/mill_conv)</f>
        <v/>
      </c>
    </row>
    <row r="14" spans="1:13" s="7" customFormat="1" ht="13" x14ac:dyDescent="0.3">
      <c r="C14" s="91"/>
      <c r="D14" s="247"/>
      <c r="E14" s="247"/>
      <c r="F14" s="241"/>
      <c r="H14" s="9"/>
    </row>
    <row r="15" spans="1:13" s="7" customFormat="1" ht="13.5" x14ac:dyDescent="0.3">
      <c r="C15" s="91"/>
      <c r="D15" s="91"/>
      <c r="E15" s="91"/>
      <c r="F15" s="92"/>
      <c r="G15"/>
      <c r="I15" s="9"/>
    </row>
    <row r="16" spans="1:13" s="7" customFormat="1" ht="13.5" x14ac:dyDescent="0.3">
      <c r="G16" s="152" t="s">
        <v>120</v>
      </c>
      <c r="H16"/>
      <c r="J16" s="9"/>
    </row>
    <row r="17" spans="1:13" s="7" customFormat="1" ht="13.5" x14ac:dyDescent="0.3">
      <c r="C17" s="26" t="s">
        <v>24</v>
      </c>
      <c r="D17" s="29"/>
      <c r="E17" s="29"/>
      <c r="F17" s="29"/>
      <c r="G17" s="184">
        <f>output_dollars</f>
        <v>46203</v>
      </c>
      <c r="H17"/>
      <c r="J17" s="9"/>
    </row>
    <row r="18" spans="1:13" s="7" customFormat="1" ht="13.5" x14ac:dyDescent="0.3">
      <c r="C18" s="36" t="str">
        <f>INDEX($C$9:$C$13,MATCH(G18, $I$9:$I$13,0))</f>
        <v>Option 4</v>
      </c>
      <c r="D18" s="560" t="str">
        <f>INDEX($D$9:$D$13,MATCH(G18, $I$9:$I$13,0))</f>
        <v>Install BAN003 to WND024 tie line</v>
      </c>
      <c r="E18" s="560"/>
      <c r="F18" s="560"/>
      <c r="G18" s="104">
        <f>_xlfn.MAXIFS(I9:I13, IF(compliance, Data!$F$9:$F$13, Data!$C$9:$C$13),FALSE)</f>
        <v>17.718837332978186</v>
      </c>
      <c r="H18"/>
    </row>
    <row r="19" spans="1:13" s="7" customFormat="1" ht="13.5" x14ac:dyDescent="0.3">
      <c r="H19"/>
    </row>
    <row r="20" spans="1:13" x14ac:dyDescent="0.3"/>
    <row r="21" spans="1:13" x14ac:dyDescent="0.3"/>
    <row r="22" spans="1:13" x14ac:dyDescent="0.3"/>
    <row r="23" spans="1:13" ht="14.5" x14ac:dyDescent="0.35">
      <c r="A23" s="19" t="s">
        <v>89</v>
      </c>
      <c r="B23" s="19"/>
      <c r="C23" s="19"/>
      <c r="D23" s="19"/>
      <c r="E23" s="19"/>
      <c r="F23" s="19"/>
      <c r="G23" s="19"/>
      <c r="H23" s="19"/>
      <c r="I23" s="19"/>
      <c r="J23" s="19"/>
      <c r="K23" s="19"/>
      <c r="L23" s="19"/>
      <c r="M23" s="8"/>
    </row>
    <row r="24" spans="1:13" x14ac:dyDescent="0.3"/>
    <row r="25" spans="1:13" s="8" customFormat="1" ht="13" x14ac:dyDescent="0.3">
      <c r="C25" s="14" t="s">
        <v>28</v>
      </c>
    </row>
    <row r="26" spans="1:13" s="8" customFormat="1" ht="13" x14ac:dyDescent="0.3">
      <c r="C26" s="93" t="str">
        <f>C18</f>
        <v>Option 4</v>
      </c>
    </row>
    <row r="27" spans="1:13" s="8" customFormat="1" ht="13" x14ac:dyDescent="0.3"/>
    <row r="28" spans="1:13" s="8" customFormat="1" ht="13" x14ac:dyDescent="0.3"/>
    <row r="29" spans="1:13" s="8" customFormat="1" ht="13" x14ac:dyDescent="0.3">
      <c r="C29" s="53" t="s">
        <v>29</v>
      </c>
      <c r="D29" s="289">
        <f>output_dollars</f>
        <v>46203</v>
      </c>
      <c r="E29" s="185"/>
      <c r="F29" s="55" t="str">
        <f>Assumptions!K101</f>
        <v>2026-27</v>
      </c>
      <c r="G29" s="55" t="str">
        <f>Assumptions!L101</f>
        <v>2027-28</v>
      </c>
      <c r="H29" s="55" t="str">
        <f>Assumptions!M101</f>
        <v>2028-29</v>
      </c>
      <c r="I29" s="55" t="str">
        <f>Assumptions!N101</f>
        <v>2029-30</v>
      </c>
      <c r="J29" s="55" t="str">
        <f>Assumptions!O101</f>
        <v>2030-31</v>
      </c>
      <c r="L29" s="55" t="s">
        <v>147</v>
      </c>
    </row>
    <row r="30" spans="1:13" s="8" customFormat="1" ht="13" x14ac:dyDescent="0.3">
      <c r="C30" s="4" t="s">
        <v>30</v>
      </c>
      <c r="F30" s="105">
        <f>-INDEX(Consol!I$15:I$82,MATCH($C$26&amp;$C30,Consol!$D$15:$D$82,0))/mill_conv</f>
        <v>0.55645632320829841</v>
      </c>
      <c r="G30" s="105">
        <f>-INDEX(Consol!J$15:J$82,MATCH($C$26&amp;$C30,Consol!$D$15:$D$82,0))/mill_conv</f>
        <v>2.9659122027002303</v>
      </c>
      <c r="H30" s="105">
        <f>-INDEX(Consol!K$15:K$82,MATCH($C$26&amp;$C30,Consol!$D$15:$D$82,0))/mill_conv</f>
        <v>0</v>
      </c>
      <c r="I30" s="105">
        <f>-INDEX(Consol!L$15:L$82,MATCH($C$26&amp;$C30,Consol!$D$15:$D$82,0))/mill_conv</f>
        <v>0</v>
      </c>
      <c r="J30" s="105">
        <f>-INDEX(Consol!M$15:M$82,MATCH($C$26&amp;$C30,Consol!$D$15:$D$82,0))/mill_conv</f>
        <v>0</v>
      </c>
      <c r="K30" s="186"/>
      <c r="L30" s="186">
        <f>SUM(F30:J30)</f>
        <v>3.5223685259085284</v>
      </c>
    </row>
    <row r="31" spans="1:13" s="8" customFormat="1" ht="13" x14ac:dyDescent="0.3">
      <c r="C31" s="4" t="s">
        <v>31</v>
      </c>
      <c r="D31" s="28"/>
      <c r="E31" s="28"/>
      <c r="F31" s="105">
        <f>-INDEX(Consol!I$15:I$82,MATCH($C$26&amp;$C31,Consol!$D$15:$D$82,0))/mill_conv</f>
        <v>0</v>
      </c>
      <c r="G31" s="105">
        <f>-INDEX(Consol!J$15:J$82,MATCH($C$26&amp;$C31,Consol!$D$15:$D$82,0))/mill_conv</f>
        <v>0</v>
      </c>
      <c r="H31" s="105">
        <f>-INDEX(Consol!K$15:K$82,MATCH($C$26&amp;$C31,Consol!$D$15:$D$82,0))/mill_conv</f>
        <v>0</v>
      </c>
      <c r="I31" s="105">
        <f>-INDEX(Consol!L$15:L$82,MATCH($C$26&amp;$C31,Consol!$D$15:$D$82,0))/mill_conv</f>
        <v>0</v>
      </c>
      <c r="J31" s="105">
        <f>-INDEX(Consol!M$15:M$82,MATCH($C$26&amp;$C31,Consol!$D$15:$D$82,0))/mill_conv</f>
        <v>0</v>
      </c>
      <c r="K31" s="186"/>
      <c r="L31" s="186">
        <f>SUM(F31:J31)</f>
        <v>0</v>
      </c>
    </row>
    <row r="32" spans="1:13" s="8" customFormat="1" ht="13" x14ac:dyDescent="0.3"/>
    <row r="33" spans="1:12" s="8" customFormat="1" ht="13" x14ac:dyDescent="0.3"/>
    <row r="34" spans="1:12" s="8" customFormat="1" ht="13" x14ac:dyDescent="0.3"/>
    <row r="35" spans="1:12" s="8" customFormat="1" ht="14.5" x14ac:dyDescent="0.35">
      <c r="A35" s="19" t="s">
        <v>164</v>
      </c>
      <c r="B35" s="19"/>
      <c r="C35" s="19"/>
      <c r="D35" s="19"/>
      <c r="E35" s="19"/>
      <c r="F35" s="19"/>
      <c r="G35" s="19"/>
      <c r="H35" s="19"/>
      <c r="I35" s="19"/>
      <c r="J35" s="19"/>
      <c r="K35" s="19"/>
      <c r="L35" s="19"/>
    </row>
    <row r="36" spans="1:12" s="8" customFormat="1" ht="13" x14ac:dyDescent="0.3"/>
    <row r="37" spans="1:12" s="8" customFormat="1" ht="13" x14ac:dyDescent="0.3">
      <c r="C37" s="8" t="s">
        <v>237</v>
      </c>
      <c r="D37" s="28"/>
      <c r="E37" s="28"/>
      <c r="F37" s="322" t="s">
        <v>243</v>
      </c>
    </row>
    <row r="38" spans="1:12" s="8" customFormat="1" ht="13" x14ac:dyDescent="0.3"/>
    <row r="39" spans="1:12" s="8" customFormat="1" ht="13" x14ac:dyDescent="0.3"/>
    <row r="40" spans="1:12" s="8" customFormat="1" ht="13" x14ac:dyDescent="0.3"/>
    <row r="41" spans="1:12" s="8" customFormat="1" ht="13" x14ac:dyDescent="0.3"/>
    <row r="42" spans="1:12" s="8" customFormat="1" ht="13" x14ac:dyDescent="0.3"/>
    <row r="43" spans="1:12" s="8" customFormat="1" ht="13" x14ac:dyDescent="0.3"/>
    <row r="44" spans="1:12" s="8" customFormat="1" ht="13" x14ac:dyDescent="0.3"/>
    <row r="45" spans="1:12" s="8" customFormat="1" ht="13" x14ac:dyDescent="0.3"/>
    <row r="46" spans="1:12" s="8" customFormat="1" ht="13" x14ac:dyDescent="0.3"/>
    <row r="47" spans="1:12" s="8" customFormat="1" ht="13" x14ac:dyDescent="0.3"/>
    <row r="48" spans="1:12" s="8" customFormat="1" ht="13" x14ac:dyDescent="0.3"/>
    <row r="49" spans="1:12" s="8" customFormat="1" ht="13" x14ac:dyDescent="0.3"/>
    <row r="50" spans="1:12" s="8" customFormat="1" ht="13" x14ac:dyDescent="0.3"/>
    <row r="51" spans="1:12" s="8" customFormat="1" ht="13" x14ac:dyDescent="0.3"/>
    <row r="52" spans="1:12" s="8" customFormat="1" ht="13" x14ac:dyDescent="0.3"/>
    <row r="53" spans="1:12" s="8" customFormat="1" ht="13" x14ac:dyDescent="0.3"/>
    <row r="54" spans="1:12" s="8" customFormat="1" ht="13" x14ac:dyDescent="0.3"/>
    <row r="55" spans="1:12" s="8" customFormat="1" ht="13" x14ac:dyDescent="0.3"/>
    <row r="56" spans="1:12" s="8" customFormat="1" ht="13" x14ac:dyDescent="0.3"/>
    <row r="57" spans="1:12" s="8" customFormat="1" ht="13" x14ac:dyDescent="0.3"/>
    <row r="58" spans="1:12" s="8" customFormat="1" ht="13" x14ac:dyDescent="0.3"/>
    <row r="59" spans="1:12" s="8" customFormat="1" ht="13" x14ac:dyDescent="0.3"/>
    <row r="60" spans="1:12" s="8" customFormat="1" ht="13" x14ac:dyDescent="0.3"/>
    <row r="61" spans="1:12" s="8" customFormat="1" ht="13" x14ac:dyDescent="0.3"/>
    <row r="62" spans="1:12" s="8" customFormat="1" ht="13" x14ac:dyDescent="0.3"/>
    <row r="63" spans="1:12" s="8" customFormat="1" ht="14.5" x14ac:dyDescent="0.35">
      <c r="A63" s="19" t="s">
        <v>220</v>
      </c>
      <c r="B63" s="19"/>
      <c r="C63" s="19"/>
      <c r="D63" s="19"/>
      <c r="E63" s="19"/>
      <c r="F63" s="19"/>
      <c r="G63" s="19"/>
      <c r="H63" s="19"/>
      <c r="I63" s="19"/>
      <c r="J63" s="19"/>
      <c r="K63" s="19"/>
      <c r="L63" s="19"/>
    </row>
    <row r="64" spans="1:12" s="8" customFormat="1" ht="13" x14ac:dyDescent="0.3"/>
    <row r="65" spans="3:13" s="8" customFormat="1" ht="13" x14ac:dyDescent="0.3">
      <c r="C65" s="256"/>
      <c r="D65" s="256"/>
      <c r="E65" s="256"/>
      <c r="F65" s="256"/>
      <c r="G65" s="256"/>
      <c r="H65" s="256"/>
      <c r="I65" s="256"/>
      <c r="J65" s="256"/>
      <c r="K65" s="256"/>
      <c r="L65" s="256"/>
      <c r="M65" s="256"/>
    </row>
    <row r="66" spans="3:13" s="8" customFormat="1" ht="13" x14ac:dyDescent="0.3">
      <c r="C66" s="257" t="s">
        <v>224</v>
      </c>
      <c r="D66" s="185">
        <f>output_dollars</f>
        <v>46203</v>
      </c>
      <c r="E66" s="185"/>
      <c r="F66" s="258" t="str">
        <f>Sensitivity_calcs!C89</f>
        <v>Option 1 (base case)</v>
      </c>
      <c r="G66" s="258" t="str">
        <f>Sensitivity_calcs!D89</f>
        <v>Option 2</v>
      </c>
      <c r="H66" s="258" t="str">
        <f>Sensitivity_calcs!E89</f>
        <v>Option 3</v>
      </c>
      <c r="I66" s="258" t="str">
        <f>Sensitivity_calcs!F89</f>
        <v>Option 4</v>
      </c>
      <c r="J66" s="258" t="str">
        <f>Sensitivity_calcs!G89</f>
        <v>Option 5</v>
      </c>
      <c r="K66" s="262"/>
      <c r="L66" s="287" t="s">
        <v>222</v>
      </c>
      <c r="M66" s="262"/>
    </row>
    <row r="67" spans="3:13" s="8" customFormat="1" ht="13" x14ac:dyDescent="0.3">
      <c r="C67" s="285" t="str">
        <f>Sensitivity_calcs!B90</f>
        <v>None</v>
      </c>
      <c r="D67" s="265"/>
      <c r="E67" s="265"/>
      <c r="F67" s="286">
        <f>Sensitivity_calcs!C90</f>
        <v>0</v>
      </c>
      <c r="G67" s="286">
        <f>Sensitivity_calcs!D90</f>
        <v>5.618354925430423</v>
      </c>
      <c r="H67" s="286">
        <f>Sensitivity_calcs!E90</f>
        <v>1.5379323235982649</v>
      </c>
      <c r="I67" s="286">
        <f>Sensitivity_calcs!F90</f>
        <v>17.718837332978186</v>
      </c>
      <c r="J67" s="286" t="str">
        <f>Sensitivity_calcs!G90</f>
        <v/>
      </c>
      <c r="K67" s="256"/>
      <c r="L67" s="288" t="str">
        <f>Sensitivity_calcs!K90</f>
        <v>Option 4</v>
      </c>
      <c r="M67" s="256"/>
    </row>
    <row r="68" spans="3:13" s="8" customFormat="1" ht="13" x14ac:dyDescent="0.3">
      <c r="C68" s="264" t="str">
        <f>Sensitivity_calcs!B91</f>
        <v>Capex 10% higher</v>
      </c>
      <c r="D68" s="264"/>
      <c r="E68" s="264"/>
      <c r="F68" s="278">
        <f>Sensitivity_calcs!C91</f>
        <v>0</v>
      </c>
      <c r="G68" s="273">
        <f>Sensitivity_calcs!D91</f>
        <v>5.3803497677146126</v>
      </c>
      <c r="H68" s="273">
        <f>Sensitivity_calcs!E91</f>
        <v>1.0112131562951767</v>
      </c>
      <c r="I68" s="273">
        <f>Sensitivity_calcs!F91</f>
        <v>17.528474345291421</v>
      </c>
      <c r="J68" s="273" t="str">
        <f>Sensitivity_calcs!G91</f>
        <v/>
      </c>
      <c r="K68" s="256"/>
      <c r="L68" s="281" t="str">
        <f>Sensitivity_calcs!K91</f>
        <v>Option 4</v>
      </c>
      <c r="M68" s="256"/>
    </row>
    <row r="69" spans="3:13" s="8" customFormat="1" ht="13" x14ac:dyDescent="0.3">
      <c r="C69" s="264" t="str">
        <f>Sensitivity_calcs!B92</f>
        <v>Capex 10% lower</v>
      </c>
      <c r="D69" s="264"/>
      <c r="E69" s="264"/>
      <c r="F69" s="279">
        <f>Sensitivity_calcs!C92</f>
        <v>0</v>
      </c>
      <c r="G69" s="274">
        <f>Sensitivity_calcs!D92</f>
        <v>5.8563600831462352</v>
      </c>
      <c r="H69" s="274">
        <f>Sensitivity_calcs!E92</f>
        <v>2.064651490901352</v>
      </c>
      <c r="I69" s="274">
        <f>Sensitivity_calcs!F92</f>
        <v>17.909200320664958</v>
      </c>
      <c r="J69" s="274" t="str">
        <f>Sensitivity_calcs!G92</f>
        <v/>
      </c>
      <c r="K69" s="256"/>
      <c r="L69" s="281" t="str">
        <f>Sensitivity_calcs!K92</f>
        <v>Option 4</v>
      </c>
      <c r="M69" s="256"/>
    </row>
    <row r="70" spans="3:13" s="8" customFormat="1" ht="13" x14ac:dyDescent="0.3">
      <c r="C70" s="264" t="str">
        <f>Sensitivity_calcs!B93</f>
        <v>Total benefits 10% higher</v>
      </c>
      <c r="D70" s="264"/>
      <c r="E70" s="264"/>
      <c r="F70" s="279">
        <f>Sensitivity_calcs!C93</f>
        <v>0</v>
      </c>
      <c r="G70" s="274">
        <f>Sensitivity_calcs!D93</f>
        <v>6.5136583384527231</v>
      </c>
      <c r="H70" s="274">
        <f>Sensitivity_calcs!E93</f>
        <v>2.4332359394789358</v>
      </c>
      <c r="I70" s="274">
        <f>Sensitivity_calcs!F93</f>
        <v>19.681084053962774</v>
      </c>
      <c r="J70" s="274" t="str">
        <f>Sensitivity_calcs!G93</f>
        <v/>
      </c>
      <c r="K70" s="256"/>
      <c r="L70" s="281" t="str">
        <f>Sensitivity_calcs!K93</f>
        <v>Option 4</v>
      </c>
      <c r="M70" s="256"/>
    </row>
    <row r="71" spans="3:13" s="8" customFormat="1" ht="13" x14ac:dyDescent="0.3">
      <c r="C71" s="264" t="str">
        <f>Sensitivity_calcs!B94</f>
        <v>Total benefits 10% lower</v>
      </c>
      <c r="D71" s="264"/>
      <c r="E71" s="264"/>
      <c r="F71" s="279">
        <f>Sensitivity_calcs!C94</f>
        <v>0</v>
      </c>
      <c r="G71" s="274">
        <f>Sensitivity_calcs!D94</f>
        <v>4.723051512408122</v>
      </c>
      <c r="H71" s="274">
        <f>Sensitivity_calcs!E94</f>
        <v>0.64262870771759373</v>
      </c>
      <c r="I71" s="274">
        <f>Sensitivity_calcs!F94</f>
        <v>15.756590611993603</v>
      </c>
      <c r="J71" s="274" t="str">
        <f>Sensitivity_calcs!G94</f>
        <v/>
      </c>
      <c r="K71" s="256"/>
      <c r="L71" s="281" t="str">
        <f>Sensitivity_calcs!K94</f>
        <v>Option 4</v>
      </c>
      <c r="M71" s="256"/>
    </row>
    <row r="72" spans="3:13" s="8" customFormat="1" ht="13" x14ac:dyDescent="0.3">
      <c r="C72" s="264" t="str">
        <f>Sensitivity_calcs!B95</f>
        <v>Capex 10% higher &amp; Total benefits 10% lower</v>
      </c>
      <c r="D72" s="264"/>
      <c r="E72" s="264"/>
      <c r="F72" s="279">
        <f>Sensitivity_calcs!C95</f>
        <v>0</v>
      </c>
      <c r="G72" s="274">
        <f>Sensitivity_calcs!D95</f>
        <v>4.4850463546923116</v>
      </c>
      <c r="H72" s="274">
        <f>Sensitivity_calcs!E95</f>
        <v>0.11590954041450528</v>
      </c>
      <c r="I72" s="274">
        <f>Sensitivity_calcs!F95</f>
        <v>15.566227624306835</v>
      </c>
      <c r="J72" s="274" t="str">
        <f>Sensitivity_calcs!G95</f>
        <v/>
      </c>
      <c r="K72" s="256"/>
      <c r="L72" s="281" t="str">
        <f>Sensitivity_calcs!K95</f>
        <v>Option 4</v>
      </c>
      <c r="M72" s="256"/>
    </row>
    <row r="73" spans="3:13" s="8" customFormat="1" ht="13" x14ac:dyDescent="0.3">
      <c r="C73" s="264">
        <f>Sensitivity_calcs!B96</f>
        <v>0</v>
      </c>
      <c r="D73" s="264"/>
      <c r="E73" s="264"/>
      <c r="F73" s="279" t="str">
        <f>Sensitivity_calcs!C96</f>
        <v/>
      </c>
      <c r="G73" s="274" t="str">
        <f>Sensitivity_calcs!D96</f>
        <v/>
      </c>
      <c r="H73" s="274" t="str">
        <f>Sensitivity_calcs!E96</f>
        <v/>
      </c>
      <c r="I73" s="274" t="str">
        <f>Sensitivity_calcs!F96</f>
        <v/>
      </c>
      <c r="J73" s="274" t="str">
        <f>Sensitivity_calcs!G96</f>
        <v/>
      </c>
      <c r="K73" s="256"/>
      <c r="L73" s="281" t="str">
        <f>Sensitivity_calcs!K96</f>
        <v/>
      </c>
      <c r="M73" s="256"/>
    </row>
    <row r="74" spans="3:13" s="8" customFormat="1" ht="13" x14ac:dyDescent="0.3">
      <c r="C74" s="264">
        <f>Sensitivity_calcs!B97</f>
        <v>0</v>
      </c>
      <c r="D74" s="259"/>
      <c r="E74" s="259"/>
      <c r="F74" s="279" t="str">
        <f>Sensitivity_calcs!C97</f>
        <v/>
      </c>
      <c r="G74" s="274" t="str">
        <f>Sensitivity_calcs!D97</f>
        <v/>
      </c>
      <c r="H74" s="274" t="str">
        <f>Sensitivity_calcs!E97</f>
        <v/>
      </c>
      <c r="I74" s="274" t="str">
        <f>Sensitivity_calcs!F97</f>
        <v/>
      </c>
      <c r="J74" s="274" t="str">
        <f>Sensitivity_calcs!G97</f>
        <v/>
      </c>
      <c r="K74" s="266">
        <f>IF(C74=0,0, INDEX($F$66:$J$66, MATCH(MAX($F74:$I74),$F74:$I74,0)))</f>
        <v>0</v>
      </c>
      <c r="L74" s="281" t="str">
        <f>Sensitivity_calcs!K97</f>
        <v/>
      </c>
    </row>
    <row r="75" spans="3:13" s="8" customFormat="1" ht="13" x14ac:dyDescent="0.3">
      <c r="D75" s="264">
        <f>Sensitivity_calcs!B98</f>
        <v>0</v>
      </c>
      <c r="E75" s="264"/>
      <c r="F75" s="279" t="str">
        <f>Sensitivity_calcs!C98</f>
        <v/>
      </c>
      <c r="G75" s="274" t="str">
        <f>Sensitivity_calcs!D98</f>
        <v/>
      </c>
      <c r="H75" s="274" t="str">
        <f>Sensitivity_calcs!E98</f>
        <v/>
      </c>
      <c r="I75" s="274" t="str">
        <f>Sensitivity_calcs!F98</f>
        <v/>
      </c>
      <c r="J75" s="274" t="str">
        <f>Sensitivity_calcs!G98</f>
        <v/>
      </c>
      <c r="K75" s="256"/>
      <c r="L75" s="281" t="str">
        <f>Sensitivity_calcs!K98</f>
        <v/>
      </c>
      <c r="M75" s="256"/>
    </row>
    <row r="76" spans="3:13" s="8" customFormat="1" ht="13" x14ac:dyDescent="0.3">
      <c r="D76" s="264">
        <f>Sensitivity_calcs!B99</f>
        <v>0</v>
      </c>
      <c r="E76" s="264"/>
      <c r="F76" s="280"/>
      <c r="G76" s="105"/>
      <c r="H76" s="105"/>
      <c r="I76" s="105"/>
      <c r="J76" s="105"/>
      <c r="K76" s="256"/>
      <c r="L76" s="256"/>
    </row>
    <row r="77" spans="3:13" s="8" customFormat="1" ht="13" x14ac:dyDescent="0.3">
      <c r="F77" s="263"/>
      <c r="G77" s="105"/>
      <c r="H77" s="105"/>
      <c r="I77" s="105"/>
      <c r="J77" s="105"/>
    </row>
    <row r="78" spans="3:13" s="8" customFormat="1" ht="13" x14ac:dyDescent="0.3">
      <c r="F78" s="263"/>
      <c r="G78" s="263"/>
      <c r="H78" s="263"/>
      <c r="I78" s="263"/>
    </row>
    <row r="79" spans="3:13" s="8" customFormat="1" ht="13" x14ac:dyDescent="0.3"/>
    <row r="80" spans="3:13" s="8" customFormat="1" ht="13" x14ac:dyDescent="0.3"/>
    <row r="81" spans="4:6" s="8" customFormat="1" ht="13" x14ac:dyDescent="0.3">
      <c r="D81" s="244"/>
      <c r="E81" s="244"/>
      <c r="F81" s="244"/>
    </row>
    <row r="82" spans="4:6" s="8" customFormat="1" ht="13" x14ac:dyDescent="0.3">
      <c r="D82" s="244"/>
      <c r="E82" s="244"/>
      <c r="F82" s="244"/>
    </row>
    <row r="83" spans="4:6" s="8" customFormat="1" ht="13" hidden="1" x14ac:dyDescent="0.3">
      <c r="D83" s="244"/>
      <c r="E83" s="244"/>
      <c r="F83" s="244"/>
    </row>
    <row r="84" spans="4:6" s="8" customFormat="1" ht="13" hidden="1" x14ac:dyDescent="0.3"/>
    <row r="85" spans="4:6" s="8" customFormat="1" ht="13" hidden="1" x14ac:dyDescent="0.3"/>
    <row r="86" spans="4:6" s="8" customFormat="1" ht="13" hidden="1" x14ac:dyDescent="0.3"/>
    <row r="87" spans="4:6" s="8" customFormat="1" ht="13" hidden="1" x14ac:dyDescent="0.3"/>
    <row r="88" spans="4:6" s="8" customFormat="1" ht="13" hidden="1" x14ac:dyDescent="0.3"/>
    <row r="89" spans="4:6" s="8" customFormat="1" ht="13" hidden="1" x14ac:dyDescent="0.3"/>
    <row r="90" spans="4:6" s="8" customFormat="1" ht="13" hidden="1" x14ac:dyDescent="0.3"/>
    <row r="91" spans="4:6" s="8" customFormat="1" ht="13" hidden="1" x14ac:dyDescent="0.3"/>
    <row r="92" spans="4:6" s="8" customFormat="1" ht="13" hidden="1" x14ac:dyDescent="0.3"/>
    <row r="93" spans="4:6" s="8" customFormat="1" ht="13" hidden="1" x14ac:dyDescent="0.3"/>
    <row r="94" spans="4:6" s="8" customFormat="1" ht="13" hidden="1" x14ac:dyDescent="0.3"/>
    <row r="95" spans="4:6" s="8" customFormat="1" ht="13" hidden="1" x14ac:dyDescent="0.3"/>
    <row r="96" spans="4:6" s="8" customFormat="1" ht="13" hidden="1" x14ac:dyDescent="0.3"/>
    <row r="97" s="8" customFormat="1" ht="13" hidden="1" x14ac:dyDescent="0.3"/>
    <row r="98" s="8" customFormat="1" ht="13" hidden="1" x14ac:dyDescent="0.3"/>
    <row r="99" s="8" customFormat="1" ht="13" hidden="1" x14ac:dyDescent="0.3"/>
    <row r="100" s="8" customFormat="1" ht="13" hidden="1" x14ac:dyDescent="0.3"/>
    <row r="101" s="8" customFormat="1" ht="13" hidden="1" x14ac:dyDescent="0.3"/>
    <row r="102" s="8" customFormat="1" ht="13" hidden="1" x14ac:dyDescent="0.3"/>
    <row r="103" s="8" customFormat="1" ht="13" hidden="1" x14ac:dyDescent="0.3"/>
    <row r="104" s="8" customFormat="1" ht="13" hidden="1" x14ac:dyDescent="0.3"/>
    <row r="105" s="8" customFormat="1" ht="13" hidden="1" x14ac:dyDescent="0.3"/>
    <row r="106" s="8" customFormat="1" ht="13" hidden="1" x14ac:dyDescent="0.3"/>
    <row r="107" s="8" customFormat="1" ht="13" hidden="1" x14ac:dyDescent="0.3"/>
    <row r="108" s="8" customFormat="1" ht="13" hidden="1" x14ac:dyDescent="0.3"/>
    <row r="109" s="8" customFormat="1" ht="13" hidden="1" x14ac:dyDescent="0.3"/>
    <row r="110" s="8" customFormat="1" ht="13" hidden="1" x14ac:dyDescent="0.3"/>
    <row r="111" s="8" customFormat="1" ht="13" hidden="1" x14ac:dyDescent="0.3"/>
    <row r="112" s="8" customFormat="1" ht="13" hidden="1" x14ac:dyDescent="0.3"/>
    <row r="113" s="8" customFormat="1" ht="13" hidden="1" x14ac:dyDescent="0.3"/>
    <row r="114" s="8" customFormat="1" ht="13" hidden="1" x14ac:dyDescent="0.3"/>
    <row r="115" s="8" customFormat="1" ht="13" hidden="1" x14ac:dyDescent="0.3"/>
    <row r="116" s="8" customFormat="1" ht="13" hidden="1" x14ac:dyDescent="0.3"/>
    <row r="117" s="8" customFormat="1" ht="13" hidden="1" x14ac:dyDescent="0.3"/>
    <row r="118" s="8" customFormat="1" ht="13" hidden="1" x14ac:dyDescent="0.3"/>
    <row r="119" s="8" customFormat="1" ht="13" hidden="1" x14ac:dyDescent="0.3"/>
    <row r="120" s="8" customFormat="1" ht="13" hidden="1" x14ac:dyDescent="0.3"/>
    <row r="121" s="8" customFormat="1" ht="13" hidden="1" x14ac:dyDescent="0.3"/>
    <row r="122" s="8" customFormat="1" ht="13" hidden="1" x14ac:dyDescent="0.3"/>
    <row r="123" s="8" customFormat="1" ht="13" hidden="1" x14ac:dyDescent="0.3"/>
    <row r="124" s="8" customFormat="1" ht="13" hidden="1" x14ac:dyDescent="0.3"/>
    <row r="125" s="8" customFormat="1" ht="13" hidden="1" x14ac:dyDescent="0.3"/>
    <row r="126" s="8" customFormat="1" ht="13" hidden="1" x14ac:dyDescent="0.3"/>
    <row r="127" s="8" customFormat="1" ht="13" hidden="1" x14ac:dyDescent="0.3"/>
    <row r="128" s="8" customFormat="1" ht="13" hidden="1" x14ac:dyDescent="0.3"/>
    <row r="129" s="8" customFormat="1" ht="13" hidden="1" x14ac:dyDescent="0.3"/>
    <row r="130" s="8" customFormat="1" ht="13" hidden="1" x14ac:dyDescent="0.3"/>
    <row r="131" s="8" customFormat="1" ht="13" hidden="1" x14ac:dyDescent="0.3"/>
    <row r="132" s="8" customFormat="1" ht="13" hidden="1" x14ac:dyDescent="0.3"/>
    <row r="133" s="8" customFormat="1" ht="13" hidden="1" x14ac:dyDescent="0.3"/>
    <row r="134" s="8" customFormat="1" ht="13" hidden="1" x14ac:dyDescent="0.3"/>
    <row r="135" s="8" customFormat="1" ht="13" hidden="1" x14ac:dyDescent="0.3"/>
    <row r="136" s="8" customFormat="1" ht="13" hidden="1" x14ac:dyDescent="0.3"/>
    <row r="137" s="8" customFormat="1" ht="13" hidden="1" x14ac:dyDescent="0.3"/>
    <row r="138" s="8" customFormat="1" ht="13" hidden="1" x14ac:dyDescent="0.3"/>
    <row r="139" s="8" customFormat="1" ht="13" hidden="1" x14ac:dyDescent="0.3"/>
    <row r="140" s="8" customFormat="1" ht="13" hidden="1" x14ac:dyDescent="0.3"/>
    <row r="141" s="8" customFormat="1" ht="13" hidden="1" x14ac:dyDescent="0.3"/>
    <row r="142" s="8" customFormat="1" ht="13" hidden="1" x14ac:dyDescent="0.3"/>
    <row r="143" s="8" customFormat="1" ht="13" hidden="1" x14ac:dyDescent="0.3"/>
    <row r="144" s="8" customFormat="1" ht="13" hidden="1" x14ac:dyDescent="0.3"/>
    <row r="145" s="8" customFormat="1" ht="13" hidden="1" x14ac:dyDescent="0.3"/>
    <row r="146" s="8" customFormat="1" ht="13" hidden="1" x14ac:dyDescent="0.3"/>
    <row r="147" s="8" customFormat="1" ht="13" hidden="1" x14ac:dyDescent="0.3"/>
    <row r="148" s="8" customFormat="1" ht="13" hidden="1" x14ac:dyDescent="0.3"/>
    <row r="149" s="8" customFormat="1" ht="13" hidden="1" x14ac:dyDescent="0.3"/>
    <row r="150" s="8" customFormat="1" ht="13" hidden="1" x14ac:dyDescent="0.3"/>
    <row r="151" s="8" customFormat="1" ht="13" hidden="1" x14ac:dyDescent="0.3"/>
    <row r="152" s="8" customFormat="1" ht="13" hidden="1" x14ac:dyDescent="0.3"/>
    <row r="153" s="8" customFormat="1" ht="13" hidden="1" x14ac:dyDescent="0.3"/>
    <row r="154" s="8" customFormat="1" ht="13" hidden="1" x14ac:dyDescent="0.3"/>
    <row r="155" s="8" customFormat="1" ht="13" hidden="1" x14ac:dyDescent="0.3"/>
    <row r="156" s="8" customFormat="1" ht="13" hidden="1" x14ac:dyDescent="0.3"/>
    <row r="157" s="8" customFormat="1" ht="13" hidden="1" x14ac:dyDescent="0.3"/>
    <row r="158" s="8" customFormat="1" ht="13" hidden="1" x14ac:dyDescent="0.3"/>
    <row r="159" s="8" customFormat="1" ht="13" hidden="1" x14ac:dyDescent="0.3"/>
    <row r="160" s="8" customFormat="1" ht="13" hidden="1" x14ac:dyDescent="0.3"/>
    <row r="161" s="8" customFormat="1" ht="13" hidden="1" x14ac:dyDescent="0.3"/>
    <row r="162" s="8" customFormat="1" ht="13" hidden="1" x14ac:dyDescent="0.3"/>
    <row r="163" s="8" customFormat="1" ht="13" hidden="1" x14ac:dyDescent="0.3"/>
    <row r="164" s="8" customFormat="1" ht="13" hidden="1" x14ac:dyDescent="0.3"/>
    <row r="165" s="8" customFormat="1" ht="13" hidden="1" x14ac:dyDescent="0.3"/>
    <row r="166" s="8" customFormat="1" ht="13" hidden="1" x14ac:dyDescent="0.3"/>
    <row r="167" s="8" customFormat="1" ht="13" hidden="1" x14ac:dyDescent="0.3"/>
    <row r="168" s="8" customFormat="1" ht="13" hidden="1" x14ac:dyDescent="0.3"/>
    <row r="169" s="8" customFormat="1" ht="13" hidden="1" x14ac:dyDescent="0.3"/>
    <row r="170" s="8" customFormat="1" ht="13" hidden="1" x14ac:dyDescent="0.3"/>
    <row r="171" s="8" customFormat="1" ht="13" hidden="1" x14ac:dyDescent="0.3"/>
    <row r="172" s="8" customFormat="1" ht="13" hidden="1" x14ac:dyDescent="0.3"/>
    <row r="173" s="8" customFormat="1" ht="13" hidden="1" x14ac:dyDescent="0.3"/>
    <row r="174" s="8" customFormat="1" ht="13" hidden="1" x14ac:dyDescent="0.3"/>
    <row r="175" s="8" customFormat="1" ht="13" hidden="1" x14ac:dyDescent="0.3"/>
    <row r="176" s="8" customFormat="1" ht="13" hidden="1" x14ac:dyDescent="0.3"/>
    <row r="177" s="8" customFormat="1" ht="13" hidden="1" x14ac:dyDescent="0.3"/>
    <row r="178" s="8" customFormat="1" ht="13" hidden="1" x14ac:dyDescent="0.3"/>
    <row r="179" s="8" customFormat="1" ht="13" hidden="1" x14ac:dyDescent="0.3"/>
    <row r="180" s="8" customFormat="1" ht="13" hidden="1" x14ac:dyDescent="0.3"/>
    <row r="181" s="8" customFormat="1" ht="13" hidden="1" x14ac:dyDescent="0.3"/>
    <row r="182" s="8" customFormat="1" ht="13" hidden="1" x14ac:dyDescent="0.3"/>
    <row r="183" s="8" customFormat="1" ht="13" hidden="1" x14ac:dyDescent="0.3"/>
    <row r="184" s="8" customFormat="1" ht="13" hidden="1" x14ac:dyDescent="0.3"/>
    <row r="185" s="8" customFormat="1" ht="13" hidden="1" x14ac:dyDescent="0.3"/>
    <row r="186" s="8" customFormat="1" ht="13" hidden="1" x14ac:dyDescent="0.3"/>
    <row r="187" s="8" customFormat="1" ht="13" hidden="1" x14ac:dyDescent="0.3"/>
    <row r="188" s="8" customFormat="1" ht="13" hidden="1" x14ac:dyDescent="0.3"/>
    <row r="189" s="8" customFormat="1" ht="13" hidden="1" x14ac:dyDescent="0.3"/>
    <row r="190" s="8" customFormat="1" ht="13" hidden="1" x14ac:dyDescent="0.3"/>
    <row r="191" s="8" customFormat="1" ht="13" hidden="1" x14ac:dyDescent="0.3"/>
    <row r="192" s="8" customFormat="1" ht="13" hidden="1" x14ac:dyDescent="0.3"/>
    <row r="193" s="8" customFormat="1" ht="13" hidden="1" x14ac:dyDescent="0.3"/>
    <row r="194" s="8" customFormat="1" ht="13" hidden="1" x14ac:dyDescent="0.3"/>
    <row r="195" s="8" customFormat="1" ht="13" hidden="1" x14ac:dyDescent="0.3"/>
    <row r="196" s="8" customFormat="1" ht="13" hidden="1" x14ac:dyDescent="0.3"/>
    <row r="197" s="8" customFormat="1" ht="13" hidden="1" x14ac:dyDescent="0.3"/>
    <row r="198" s="8" customFormat="1" ht="13" hidden="1" x14ac:dyDescent="0.3"/>
    <row r="199" s="8" customFormat="1" ht="13" hidden="1" x14ac:dyDescent="0.3"/>
    <row r="200" s="8" customFormat="1" ht="13" hidden="1" x14ac:dyDescent="0.3"/>
    <row r="201" s="8" customFormat="1" ht="13" hidden="1" x14ac:dyDescent="0.3"/>
    <row r="202" s="8" customFormat="1" ht="13" hidden="1" x14ac:dyDescent="0.3"/>
    <row r="203" s="8" customFormat="1" ht="13" hidden="1" x14ac:dyDescent="0.3"/>
    <row r="204" s="8" customFormat="1" ht="13" hidden="1" x14ac:dyDescent="0.3"/>
    <row r="205" s="8" customFormat="1" ht="13" hidden="1" x14ac:dyDescent="0.3"/>
    <row r="206" s="8" customFormat="1" ht="13" hidden="1" x14ac:dyDescent="0.3"/>
    <row r="207" s="8" customFormat="1" ht="13" hidden="1" x14ac:dyDescent="0.3"/>
    <row r="208" s="8" customFormat="1" ht="13" hidden="1" x14ac:dyDescent="0.3"/>
    <row r="209" s="8" customFormat="1" ht="13" hidden="1"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sheetData>
  <mergeCells count="6">
    <mergeCell ref="D18:F18"/>
    <mergeCell ref="D9:F9"/>
    <mergeCell ref="D10:F10"/>
    <mergeCell ref="D11:F11"/>
    <mergeCell ref="D12:F12"/>
    <mergeCell ref="D13:F13"/>
  </mergeCells>
  <pageMargins left="0.23622047244094491" right="0.23622047244094491" top="0.74803149606299213" bottom="0.74803149606299213"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56" id="{6E0000F2-4B34-40F0-A950-26A22E7F516A}">
            <xm:f>Data!$C9</xm:f>
            <x14:dxf>
              <font>
                <color theme="0"/>
              </font>
            </x14:dxf>
          </x14:cfRule>
          <xm:sqref>C9:D13 G9:I13</xm:sqref>
        </x14:conditionalFormatting>
        <x14:conditionalFormatting xmlns:xm="http://schemas.microsoft.com/office/excel/2006/main">
          <x14:cfRule type="expression" priority="175" id="{6E0000F2-4B34-40F0-A950-26A22E7F516A}">
            <xm:f>AND(Data!$C18, NOT(#REF!))</xm:f>
            <x14:dxf>
              <font>
                <color theme="0"/>
              </font>
            </x14:dxf>
          </x14:cfRule>
          <xm:sqref>C14:E14</xm:sqref>
        </x14:conditionalFormatting>
        <x14:conditionalFormatting xmlns:xm="http://schemas.microsoft.com/office/excel/2006/main">
          <x14:cfRule type="expression" priority="217" id="{6E0000F2-4B34-40F0-A950-26A22E7F516A}">
            <xm:f>Data!$C18</xm:f>
            <x14:dxf>
              <font>
                <color theme="0"/>
              </font>
            </x14:dxf>
          </x14:cfRule>
          <xm:sqref>C15:E15</xm:sqref>
        </x14:conditionalFormatting>
        <x14:conditionalFormatting xmlns:xm="http://schemas.microsoft.com/office/excel/2006/main">
          <x14:cfRule type="expression" priority="26" id="{DCC025E7-DD10-45A4-B46F-8DAF8172BEA5}">
            <xm:f>$D$18=Data!B$25</xm:f>
            <x14:dxf>
              <font>
                <color theme="0" tint="-0.24994659260841701"/>
              </font>
            </x14:dxf>
          </x14:cfRule>
          <xm:sqref>D18:F18</xm:sqref>
        </x14:conditionalFormatting>
        <x14:conditionalFormatting xmlns:xm="http://schemas.microsoft.com/office/excel/2006/main">
          <x14:cfRule type="expression" priority="22" id="{6B3CD12B-2C7F-467C-B21A-8374D0C11F7F}">
            <xm:f>AND($C67&lt;&gt;0, F$66=$L67, Sensitivity_calcs!C$88=FALSE)</xm:f>
            <x14:dxf>
              <fill>
                <patternFill>
                  <bgColor rgb="FFCCFFFF"/>
                </patternFill>
              </fill>
            </x14:dxf>
          </x14:cfRule>
          <xm:sqref>F67 G67:J75</xm:sqref>
        </x14:conditionalFormatting>
        <x14:conditionalFormatting xmlns:xm="http://schemas.microsoft.com/office/excel/2006/main">
          <x14:cfRule type="expression" priority="25" id="{0E9BFFB2-7AAD-452D-A6DC-B193223D0B5B}">
            <xm:f>INDEX(Data!$C$9:$C$13, MATCH(F$66, Data!$B$9:$B$13,0))=TRUE</xm:f>
            <x14:dxf>
              <font>
                <b val="0"/>
                <i val="0"/>
                <color theme="1" tint="0.34998626667073579"/>
              </font>
            </x14:dxf>
          </x14:cfRule>
          <xm:sqref>F66:J66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pageSetUpPr fitToPage="1"/>
  </sheetPr>
  <dimension ref="A1:S134"/>
  <sheetViews>
    <sheetView showGridLines="0" zoomScale="90" zoomScaleNormal="90" workbookViewId="0">
      <pane ySplit="2" topLeftCell="A3" activePane="bottomLeft" state="frozen"/>
      <selection activeCell="A101" sqref="A101"/>
      <selection pane="bottomLeft" activeCell="A3" sqref="A3"/>
    </sheetView>
  </sheetViews>
  <sheetFormatPr defaultColWidth="9" defaultRowHeight="13" x14ac:dyDescent="0.3"/>
  <cols>
    <col min="1" max="1" width="3.61328125" style="8" customWidth="1"/>
    <col min="2" max="2" width="2.61328125" style="8" customWidth="1"/>
    <col min="3" max="3" width="18.765625" style="8" customWidth="1"/>
    <col min="4" max="4" width="9.23046875" style="8" customWidth="1"/>
    <col min="5" max="5" width="16.3828125" style="8" customWidth="1"/>
    <col min="6" max="6" width="1.15234375" style="8" customWidth="1"/>
    <col min="7" max="7" width="14.765625" style="8" customWidth="1"/>
    <col min="8" max="8" width="12.84375" style="8" customWidth="1"/>
    <col min="9" max="9" width="11.4609375" style="8" customWidth="1"/>
    <col min="10" max="10" width="6.84375" style="8" customWidth="1"/>
    <col min="11" max="16" width="8.15234375" style="8" customWidth="1"/>
    <col min="17" max="19" width="9" style="8"/>
    <col min="20" max="20" width="17.61328125" style="8" customWidth="1"/>
    <col min="21" max="16384" width="9" style="8"/>
  </cols>
  <sheetData>
    <row r="1" spans="1:16" ht="18.5" x14ac:dyDescent="0.45">
      <c r="A1" s="15" t="str">
        <f>bus</f>
        <v>Powercor</v>
      </c>
      <c r="B1" s="15"/>
      <c r="C1" s="15"/>
      <c r="D1" s="15"/>
      <c r="E1" s="15"/>
      <c r="F1" s="15"/>
      <c r="G1" s="15"/>
      <c r="H1" s="15"/>
      <c r="I1" s="15"/>
      <c r="J1" s="15"/>
      <c r="K1" s="15"/>
      <c r="L1" s="15"/>
      <c r="M1" s="15"/>
      <c r="N1" s="15"/>
      <c r="O1" s="15"/>
      <c r="P1" s="15"/>
    </row>
    <row r="2" spans="1:16" ht="15.5" x14ac:dyDescent="0.35">
      <c r="A2" s="56" t="str">
        <f>proj</f>
        <v>BAN003-WND024 Tie upgrade</v>
      </c>
      <c r="B2" s="19"/>
      <c r="C2" s="19"/>
      <c r="D2" s="19"/>
      <c r="E2" s="19"/>
      <c r="F2" s="19"/>
      <c r="G2" s="19"/>
      <c r="H2" s="19"/>
      <c r="I2" s="19"/>
      <c r="J2" s="19"/>
      <c r="K2" s="19"/>
      <c r="L2" s="19"/>
      <c r="M2" s="19"/>
      <c r="N2" s="19"/>
      <c r="O2" s="19"/>
      <c r="P2" s="19"/>
    </row>
    <row r="4" spans="1:16" s="1" customFormat="1" ht="14.5" x14ac:dyDescent="0.3">
      <c r="A4" s="18" t="s">
        <v>44</v>
      </c>
      <c r="B4" s="18"/>
      <c r="C4" s="16"/>
      <c r="D4" s="16"/>
      <c r="E4" s="16"/>
      <c r="F4" s="16"/>
      <c r="G4" s="16"/>
      <c r="H4" s="16"/>
      <c r="I4" s="16"/>
      <c r="J4" s="16"/>
      <c r="K4" s="17"/>
      <c r="L4" s="17"/>
      <c r="M4" s="17"/>
      <c r="N4" s="17"/>
      <c r="O4" s="17"/>
      <c r="P4" s="17"/>
    </row>
    <row r="5" spans="1:16" s="1" customFormat="1" x14ac:dyDescent="0.3">
      <c r="M5" s="12"/>
      <c r="N5" s="12"/>
      <c r="O5" s="12"/>
      <c r="P5" s="12"/>
    </row>
    <row r="6" spans="1:16" ht="12.75" customHeight="1" x14ac:dyDescent="0.3">
      <c r="C6" s="14" t="s">
        <v>11</v>
      </c>
      <c r="D6" s="65" t="s">
        <v>51</v>
      </c>
      <c r="E6" s="13" t="s">
        <v>3</v>
      </c>
    </row>
    <row r="7" spans="1:16" s="1" customFormat="1" ht="12.75" customHeight="1" x14ac:dyDescent="0.3">
      <c r="M7" s="12"/>
      <c r="N7" s="12"/>
      <c r="O7" s="12"/>
      <c r="P7" s="12"/>
    </row>
    <row r="8" spans="1:16" x14ac:dyDescent="0.3">
      <c r="C8" s="14" t="s">
        <v>12</v>
      </c>
      <c r="D8" s="14"/>
      <c r="E8" s="568" t="s">
        <v>335</v>
      </c>
      <c r="F8" s="568"/>
      <c r="G8" s="568"/>
      <c r="H8" s="568"/>
      <c r="I8" s="1"/>
      <c r="J8" s="1"/>
    </row>
    <row r="9" spans="1:16" x14ac:dyDescent="0.3">
      <c r="C9" s="14"/>
      <c r="D9" s="14"/>
    </row>
    <row r="10" spans="1:16" s="6" customFormat="1" x14ac:dyDescent="0.3">
      <c r="C10" s="3" t="s">
        <v>13</v>
      </c>
      <c r="D10" s="65" t="s">
        <v>51</v>
      </c>
      <c r="E10" s="60" t="s">
        <v>36</v>
      </c>
      <c r="F10" s="8"/>
      <c r="G10" s="37">
        <v>2023</v>
      </c>
      <c r="I10" s="66"/>
      <c r="J10" s="66"/>
    </row>
    <row r="11" spans="1:16" x14ac:dyDescent="0.3">
      <c r="I11" s="66"/>
      <c r="J11" s="66"/>
    </row>
    <row r="12" spans="1:16" x14ac:dyDescent="0.3">
      <c r="H12" s="43"/>
      <c r="I12" s="43"/>
      <c r="J12" s="43"/>
    </row>
    <row r="13" spans="1:16" s="72" customFormat="1" ht="13.5" x14ac:dyDescent="0.3">
      <c r="C13" s="73" t="s">
        <v>1</v>
      </c>
      <c r="D13" s="73"/>
      <c r="E13" s="73" t="s">
        <v>0</v>
      </c>
      <c r="F13" s="73"/>
      <c r="G13" s="73"/>
      <c r="H13" s="74"/>
      <c r="I13" s="74"/>
      <c r="J13" s="74"/>
      <c r="K13" s="74"/>
      <c r="L13"/>
    </row>
    <row r="14" spans="1:16" s="1" customFormat="1" ht="12.75" customHeight="1" x14ac:dyDescent="0.3">
      <c r="C14" s="61" t="str" cm="1">
        <f t="array" ref="C14:C18">options</f>
        <v>Option 1 (base case)</v>
      </c>
      <c r="D14" s="61"/>
      <c r="E14" s="569" t="s">
        <v>59</v>
      </c>
      <c r="F14" s="569"/>
      <c r="G14" s="569"/>
      <c r="H14" s="569"/>
      <c r="I14" s="569"/>
      <c r="J14" s="569"/>
      <c r="K14" s="569"/>
      <c r="L14"/>
    </row>
    <row r="15" spans="1:16" s="1" customFormat="1" ht="12.75" customHeight="1" x14ac:dyDescent="0.3">
      <c r="C15" s="61" t="str">
        <v>Option 2</v>
      </c>
      <c r="D15" s="61"/>
      <c r="E15" s="570" t="s">
        <v>354</v>
      </c>
      <c r="F15" s="570"/>
      <c r="G15" s="570"/>
      <c r="H15" s="570"/>
      <c r="I15" s="570"/>
      <c r="J15" s="570"/>
      <c r="K15" s="570"/>
      <c r="L15"/>
    </row>
    <row r="16" spans="1:16" s="1" customFormat="1" ht="12.75" customHeight="1" x14ac:dyDescent="0.3">
      <c r="C16" s="61" t="str">
        <v>Option 3</v>
      </c>
      <c r="D16" s="61"/>
      <c r="E16" s="570" t="s">
        <v>355</v>
      </c>
      <c r="F16" s="570"/>
      <c r="G16" s="570"/>
      <c r="H16" s="570"/>
      <c r="I16" s="570"/>
      <c r="J16" s="570"/>
      <c r="K16" s="570"/>
      <c r="L16"/>
    </row>
    <row r="17" spans="1:16" s="1" customFormat="1" ht="12.75" customHeight="1" x14ac:dyDescent="0.3">
      <c r="C17" s="61" t="str">
        <v>Option 4</v>
      </c>
      <c r="D17" s="61"/>
      <c r="E17" s="570" t="s">
        <v>356</v>
      </c>
      <c r="F17" s="570"/>
      <c r="G17" s="570"/>
      <c r="H17" s="570"/>
      <c r="I17" s="570"/>
      <c r="J17" s="570"/>
      <c r="K17" s="570"/>
      <c r="L17"/>
    </row>
    <row r="18" spans="1:16" s="1" customFormat="1" ht="12.75" customHeight="1" x14ac:dyDescent="0.3">
      <c r="C18" s="61" t="str">
        <v>Option 5</v>
      </c>
      <c r="D18" s="61"/>
      <c r="E18" s="570"/>
      <c r="F18" s="570"/>
      <c r="G18" s="570"/>
      <c r="H18" s="570"/>
      <c r="I18" s="570"/>
      <c r="J18" s="570"/>
      <c r="K18" s="570"/>
      <c r="L18"/>
    </row>
    <row r="19" spans="1:16" s="1" customFormat="1" ht="12.75" customHeight="1" x14ac:dyDescent="0.3">
      <c r="C19"/>
      <c r="D19"/>
      <c r="E19"/>
      <c r="F19"/>
      <c r="G19"/>
      <c r="H19"/>
      <c r="I19"/>
      <c r="J19"/>
      <c r="K19"/>
      <c r="L19"/>
      <c r="M19"/>
    </row>
    <row r="20" spans="1:16" s="1" customFormat="1" ht="12.75" customHeight="1" x14ac:dyDescent="0.3">
      <c r="C20" s="290" t="s">
        <v>227</v>
      </c>
      <c r="D20"/>
      <c r="E20" s="291" t="s">
        <v>230</v>
      </c>
      <c r="F20"/>
      <c r="G20"/>
      <c r="H20"/>
      <c r="I20"/>
      <c r="J20"/>
      <c r="K20"/>
      <c r="L20"/>
      <c r="M20"/>
    </row>
    <row r="21" spans="1:16" s="1" customFormat="1" ht="12.75" customHeight="1" x14ac:dyDescent="0.3">
      <c r="C21"/>
      <c r="D21"/>
      <c r="E21"/>
      <c r="F21"/>
      <c r="G21"/>
      <c r="H21"/>
      <c r="I21"/>
      <c r="J21"/>
      <c r="K21"/>
      <c r="L21"/>
      <c r="M21"/>
    </row>
    <row r="22" spans="1:16" s="1" customFormat="1" x14ac:dyDescent="0.3">
      <c r="C22" s="1" t="s">
        <v>241</v>
      </c>
      <c r="E22" s="296" t="s">
        <v>19</v>
      </c>
      <c r="F22" s="68" t="s">
        <v>66</v>
      </c>
      <c r="J22" s="68"/>
    </row>
    <row r="23" spans="1:16" s="1" customFormat="1" ht="12.75" customHeight="1" x14ac:dyDescent="0.3">
      <c r="C23"/>
      <c r="D23"/>
      <c r="E23"/>
      <c r="F23"/>
      <c r="G23"/>
      <c r="H23"/>
      <c r="I23"/>
      <c r="J23"/>
      <c r="K23"/>
      <c r="L23"/>
      <c r="M23"/>
    </row>
    <row r="24" spans="1:16" s="1" customFormat="1" ht="15.5" x14ac:dyDescent="0.35">
      <c r="E24" s="5"/>
      <c r="F24" s="5"/>
      <c r="L24" s="8"/>
    </row>
    <row r="25" spans="1:16" s="1" customFormat="1" ht="14.5" x14ac:dyDescent="0.3">
      <c r="A25" s="18" t="s">
        <v>188</v>
      </c>
      <c r="B25" s="18"/>
      <c r="C25" s="16"/>
      <c r="D25" s="16"/>
      <c r="E25" s="16"/>
      <c r="F25" s="16"/>
      <c r="G25" s="16"/>
      <c r="H25" s="16"/>
      <c r="I25" s="16"/>
      <c r="J25" s="16"/>
      <c r="K25" s="16"/>
      <c r="L25" s="16"/>
      <c r="M25" s="17"/>
      <c r="N25" s="17"/>
      <c r="O25" s="17"/>
      <c r="P25" s="17"/>
    </row>
    <row r="26" spans="1:16" s="1" customFormat="1" x14ac:dyDescent="0.3"/>
    <row r="27" spans="1:16" s="1" customFormat="1" x14ac:dyDescent="0.3">
      <c r="C27" s="1" t="s">
        <v>46</v>
      </c>
      <c r="G27" s="67">
        <f>EOMONTH(DATE(Assumptions!$G$10,INDEX(Data!$K$107:$K$108, MATCH(Assumptions!$E$10, Data!$J$107:$J$108,0)), 1),0)</f>
        <v>45291</v>
      </c>
      <c r="H27" s="68" t="s">
        <v>71</v>
      </c>
    </row>
    <row r="28" spans="1:16" s="1" customFormat="1" x14ac:dyDescent="0.3">
      <c r="C28" s="1" t="s">
        <v>189</v>
      </c>
      <c r="G28" s="302">
        <v>3.5000000000000003E-2</v>
      </c>
      <c r="H28" s="68" t="s">
        <v>67</v>
      </c>
      <c r="J28" s="68"/>
    </row>
    <row r="29" spans="1:16" s="1" customFormat="1" x14ac:dyDescent="0.3">
      <c r="C29" s="1" t="s">
        <v>62</v>
      </c>
      <c r="G29" s="303">
        <v>45291</v>
      </c>
      <c r="H29" s="68" t="s">
        <v>68</v>
      </c>
      <c r="J29" s="68"/>
    </row>
    <row r="30" spans="1:16" s="1" customFormat="1" x14ac:dyDescent="0.3">
      <c r="J30" s="68"/>
    </row>
    <row r="31" spans="1:16" x14ac:dyDescent="0.3">
      <c r="C31" s="8" t="s">
        <v>202</v>
      </c>
      <c r="G31" s="304">
        <v>20</v>
      </c>
      <c r="H31" s="68" t="s">
        <v>203</v>
      </c>
    </row>
    <row r="32" spans="1:16" s="1" customFormat="1" x14ac:dyDescent="0.3"/>
    <row r="33" spans="1:19" s="1" customFormat="1" x14ac:dyDescent="0.3">
      <c r="C33" s="1" t="s">
        <v>32</v>
      </c>
      <c r="G33" s="305">
        <v>46203</v>
      </c>
      <c r="H33" s="68" t="s">
        <v>65</v>
      </c>
      <c r="J33" s="68"/>
    </row>
    <row r="34" spans="1:19" s="1" customFormat="1" x14ac:dyDescent="0.3">
      <c r="C34" s="1" t="s">
        <v>72</v>
      </c>
      <c r="G34" s="321">
        <v>45291</v>
      </c>
      <c r="H34" s="68" t="s">
        <v>73</v>
      </c>
      <c r="J34" s="68"/>
    </row>
    <row r="35" spans="1:19" s="1" customFormat="1" ht="13.5" x14ac:dyDescent="0.35">
      <c r="C35" s="1" t="s">
        <v>244</v>
      </c>
      <c r="G35" s="303">
        <v>45107</v>
      </c>
      <c r="H35" s="68"/>
      <c r="J35" s="68"/>
    </row>
    <row r="39" spans="1:19" s="1" customFormat="1" ht="14.5" x14ac:dyDescent="0.3">
      <c r="A39" s="18" t="s">
        <v>8</v>
      </c>
      <c r="B39" s="18"/>
      <c r="C39" s="16"/>
      <c r="D39" s="16"/>
      <c r="E39" s="16"/>
      <c r="F39" s="16"/>
      <c r="G39" s="16"/>
      <c r="H39" s="16"/>
      <c r="I39" s="16"/>
      <c r="J39" s="16"/>
      <c r="K39" s="16"/>
      <c r="L39" s="16"/>
      <c r="M39" s="16"/>
      <c r="N39" s="16"/>
      <c r="O39" s="16"/>
      <c r="P39" s="17"/>
    </row>
    <row r="40" spans="1:19" s="1" customFormat="1" x14ac:dyDescent="0.3">
      <c r="O40" s="12"/>
      <c r="P40" s="12"/>
    </row>
    <row r="41" spans="1:19" s="1" customFormat="1" x14ac:dyDescent="0.3">
      <c r="C41" s="510"/>
      <c r="O41" s="12"/>
      <c r="P41" s="12"/>
    </row>
    <row r="42" spans="1:19" s="1" customFormat="1" x14ac:dyDescent="0.3">
      <c r="O42" s="12"/>
      <c r="P42" s="12"/>
    </row>
    <row r="43" spans="1:19" s="127" customFormat="1" x14ac:dyDescent="0.3">
      <c r="A43" s="126"/>
      <c r="B43" s="126"/>
      <c r="C43" s="1" t="s">
        <v>334</v>
      </c>
      <c r="G43" s="131">
        <f>SUMPRODUCT(G46:G50,H46:H50)</f>
        <v>44753.327047371298</v>
      </c>
      <c r="H43" s="240" t="s">
        <v>219</v>
      </c>
      <c r="I43" s="126"/>
      <c r="K43" s="1"/>
      <c r="N43" s="126"/>
      <c r="O43" s="126"/>
      <c r="P43" s="126"/>
      <c r="Q43" s="126"/>
      <c r="R43" s="126"/>
      <c r="S43" s="126"/>
    </row>
    <row r="44" spans="1:19" s="127" customFormat="1" ht="13.5" x14ac:dyDescent="0.3">
      <c r="A44"/>
      <c r="B44"/>
      <c r="C44"/>
      <c r="E44"/>
      <c r="F44"/>
      <c r="G44"/>
      <c r="H44"/>
      <c r="I44"/>
      <c r="J44"/>
      <c r="K44" s="1"/>
      <c r="N44" s="126"/>
      <c r="O44" s="126"/>
      <c r="P44" s="126"/>
      <c r="Q44" s="126"/>
      <c r="R44" s="126"/>
      <c r="S44" s="126"/>
    </row>
    <row r="45" spans="1:19" s="127" customFormat="1" ht="13.5" x14ac:dyDescent="0.3">
      <c r="A45"/>
      <c r="B45"/>
      <c r="C45" s="508" t="s">
        <v>143</v>
      </c>
      <c r="D45" s="515"/>
      <c r="E45" s="508"/>
      <c r="F45" s="508"/>
      <c r="G45" s="509" t="s">
        <v>8</v>
      </c>
      <c r="H45" s="509" t="s">
        <v>333</v>
      </c>
      <c r="I45"/>
      <c r="J45"/>
      <c r="K45" s="1"/>
      <c r="N45" s="126"/>
      <c r="O45" s="126"/>
      <c r="P45" s="126"/>
      <c r="Q45" s="126"/>
      <c r="R45" s="126"/>
      <c r="S45" s="126"/>
    </row>
    <row r="46" spans="1:19" s="127" customFormat="1" ht="13.5" x14ac:dyDescent="0.3">
      <c r="A46"/>
      <c r="B46"/>
      <c r="C46" s="507" t="s">
        <v>145</v>
      </c>
      <c r="E46"/>
      <c r="G46" s="306">
        <v>19880</v>
      </c>
      <c r="H46" s="511">
        <v>0.36523749196030869</v>
      </c>
      <c r="I46"/>
      <c r="J46"/>
      <c r="K46" s="1"/>
      <c r="N46" s="126"/>
      <c r="O46" s="126"/>
      <c r="P46" s="126"/>
      <c r="Q46" s="126"/>
      <c r="R46" s="126"/>
      <c r="S46" s="126"/>
    </row>
    <row r="47" spans="1:19" s="127" customFormat="1" ht="13.5" x14ac:dyDescent="0.3">
      <c r="A47"/>
      <c r="B47"/>
      <c r="C47" s="507" t="s">
        <v>139</v>
      </c>
      <c r="E47"/>
      <c r="G47" s="306">
        <v>52200</v>
      </c>
      <c r="H47" s="511">
        <v>0.42347632339299318</v>
      </c>
      <c r="I47"/>
      <c r="J47"/>
      <c r="K47"/>
      <c r="L47" s="126"/>
      <c r="M47" s="126"/>
      <c r="N47" s="126"/>
      <c r="O47" s="126"/>
      <c r="P47" s="126"/>
      <c r="Q47" s="126"/>
      <c r="R47" s="126"/>
      <c r="S47" s="126"/>
    </row>
    <row r="48" spans="1:19" s="127" customFormat="1" ht="13.5" x14ac:dyDescent="0.3">
      <c r="A48"/>
      <c r="B48"/>
      <c r="C48" s="507" t="s">
        <v>141</v>
      </c>
      <c r="E48"/>
      <c r="G48" s="306">
        <v>74790</v>
      </c>
      <c r="H48" s="511">
        <v>0.19762537110143882</v>
      </c>
      <c r="I48"/>
      <c r="J48"/>
      <c r="K48"/>
      <c r="L48" s="126"/>
      <c r="M48" s="126"/>
      <c r="N48" s="126"/>
      <c r="O48" s="126"/>
      <c r="P48" s="126"/>
      <c r="Q48" s="126"/>
      <c r="R48" s="126"/>
      <c r="S48" s="126"/>
    </row>
    <row r="49" spans="1:19" s="127" customFormat="1" ht="13.5" x14ac:dyDescent="0.3">
      <c r="A49"/>
      <c r="B49"/>
      <c r="C49" s="507" t="s">
        <v>142</v>
      </c>
      <c r="E49"/>
      <c r="G49" s="306">
        <v>44400</v>
      </c>
      <c r="H49" s="511">
        <v>1.3660813545259255E-2</v>
      </c>
      <c r="I49"/>
      <c r="J49"/>
      <c r="K49"/>
      <c r="L49" s="126"/>
      <c r="M49" s="126"/>
      <c r="N49" s="126"/>
      <c r="O49" s="126"/>
      <c r="P49" s="126"/>
      <c r="Q49" s="126"/>
      <c r="R49" s="126"/>
      <c r="S49" s="126"/>
    </row>
    <row r="50" spans="1:19" s="127" customFormat="1" x14ac:dyDescent="0.3">
      <c r="A50" s="126"/>
      <c r="B50" s="126"/>
      <c r="C50" s="507" t="s">
        <v>146</v>
      </c>
      <c r="E50" s="128"/>
      <c r="G50" s="306">
        <v>52200</v>
      </c>
      <c r="H50" s="511">
        <v>0</v>
      </c>
      <c r="I50" s="126"/>
      <c r="J50" s="126"/>
      <c r="K50" s="126"/>
      <c r="L50" s="126"/>
      <c r="M50" s="126"/>
      <c r="N50" s="126"/>
      <c r="O50" s="126"/>
      <c r="P50" s="126"/>
      <c r="Q50" s="126"/>
      <c r="R50" s="126"/>
      <c r="S50" s="126"/>
    </row>
    <row r="51" spans="1:19" s="127" customFormat="1" ht="13.5" x14ac:dyDescent="0.3">
      <c r="A51" s="126"/>
      <c r="B51" s="126"/>
      <c r="C51" s="128"/>
      <c r="D51"/>
      <c r="E51" s="128"/>
      <c r="F51" s="128"/>
      <c r="G51" s="505"/>
      <c r="H51" s="506"/>
      <c r="I51" s="126"/>
      <c r="J51" s="126"/>
      <c r="K51" s="126"/>
      <c r="L51" s="126"/>
      <c r="M51" s="126"/>
      <c r="N51" s="126"/>
      <c r="O51" s="126"/>
      <c r="P51" s="126"/>
      <c r="Q51" s="126"/>
      <c r="R51" s="126"/>
      <c r="S51" s="126"/>
    </row>
    <row r="52" spans="1:19" s="127" customFormat="1" x14ac:dyDescent="0.3">
      <c r="A52" s="126"/>
      <c r="B52" s="126"/>
      <c r="C52" s="508" t="s">
        <v>661</v>
      </c>
      <c r="D52" s="515"/>
      <c r="E52" s="508"/>
      <c r="F52" s="508"/>
      <c r="G52" s="509"/>
      <c r="H52" s="506"/>
      <c r="I52" s="126"/>
      <c r="J52" s="126"/>
      <c r="K52" s="126"/>
      <c r="L52" s="126"/>
      <c r="M52" s="126"/>
      <c r="N52" s="126"/>
      <c r="O52" s="126"/>
      <c r="P52" s="126"/>
      <c r="Q52" s="126"/>
      <c r="R52" s="126"/>
      <c r="S52" s="126"/>
    </row>
    <row r="53" spans="1:19" s="127" customFormat="1" x14ac:dyDescent="0.3">
      <c r="A53" s="126"/>
      <c r="B53" s="126"/>
      <c r="C53" s="1" t="s">
        <v>658</v>
      </c>
      <c r="D53" s="520"/>
      <c r="E53" s="520"/>
      <c r="F53" s="520"/>
      <c r="G53" s="523">
        <v>12</v>
      </c>
      <c r="H53" s="506"/>
      <c r="I53" s="126"/>
      <c r="J53" s="126"/>
      <c r="K53" s="126"/>
      <c r="L53" s="126"/>
      <c r="M53" s="126"/>
      <c r="N53" s="126"/>
      <c r="O53" s="126"/>
      <c r="P53" s="126"/>
      <c r="Q53" s="126"/>
      <c r="R53" s="126"/>
      <c r="S53" s="126"/>
    </row>
    <row r="54" spans="1:19" s="127" customFormat="1" x14ac:dyDescent="0.3">
      <c r="A54" s="126"/>
      <c r="B54" s="126"/>
      <c r="C54" s="1" t="s">
        <v>659</v>
      </c>
      <c r="D54" s="520"/>
      <c r="E54" s="520"/>
      <c r="F54" s="520"/>
      <c r="G54" s="523">
        <v>24</v>
      </c>
      <c r="H54" s="506"/>
      <c r="I54" s="126"/>
      <c r="J54" s="126"/>
      <c r="K54" s="126"/>
      <c r="L54" s="126"/>
      <c r="M54" s="126"/>
      <c r="N54" s="126"/>
      <c r="O54" s="126"/>
      <c r="P54" s="126"/>
      <c r="Q54" s="126"/>
      <c r="R54" s="126"/>
      <c r="S54" s="126"/>
    </row>
    <row r="55" spans="1:19" s="127" customFormat="1" x14ac:dyDescent="0.3">
      <c r="A55" s="126"/>
      <c r="B55" s="126"/>
      <c r="C55" s="1" t="s">
        <v>660</v>
      </c>
      <c r="D55" s="520"/>
      <c r="E55" s="520"/>
      <c r="F55" s="520"/>
      <c r="G55" s="523">
        <v>72</v>
      </c>
      <c r="H55" s="506"/>
      <c r="I55" s="126"/>
      <c r="J55" s="126"/>
      <c r="K55" s="126"/>
      <c r="L55" s="126"/>
      <c r="M55" s="126"/>
      <c r="N55" s="126"/>
      <c r="O55" s="126"/>
      <c r="P55" s="126"/>
      <c r="Q55" s="126"/>
      <c r="R55" s="126"/>
      <c r="S55" s="126"/>
    </row>
    <row r="56" spans="1:19" s="127" customFormat="1" ht="13.5" x14ac:dyDescent="0.3">
      <c r="A56" s="126"/>
      <c r="B56" s="126"/>
      <c r="C56" s="128"/>
      <c r="D56" s="521"/>
      <c r="E56" s="128"/>
      <c r="F56" s="128"/>
      <c r="G56" s="505"/>
      <c r="H56" s="506"/>
      <c r="I56" s="126"/>
      <c r="J56" s="126"/>
      <c r="K56" s="126"/>
      <c r="L56" s="126"/>
      <c r="M56" s="126"/>
      <c r="N56" s="126"/>
      <c r="O56" s="126"/>
      <c r="P56" s="126"/>
      <c r="Q56" s="126"/>
      <c r="R56" s="126"/>
      <c r="S56" s="126"/>
    </row>
    <row r="58" spans="1:19" ht="14.5" x14ac:dyDescent="0.3">
      <c r="A58" s="18" t="s">
        <v>155</v>
      </c>
      <c r="B58" s="18"/>
      <c r="C58" s="16"/>
      <c r="D58" s="16"/>
      <c r="E58" s="16"/>
      <c r="F58" s="16"/>
      <c r="G58" s="16"/>
      <c r="H58" s="16"/>
      <c r="I58" s="16"/>
      <c r="J58" s="16"/>
      <c r="K58" s="16"/>
      <c r="L58" s="17"/>
      <c r="M58" s="17"/>
      <c r="N58" s="17"/>
      <c r="O58" s="17"/>
      <c r="P58" s="17"/>
    </row>
    <row r="61" spans="1:19" x14ac:dyDescent="0.3">
      <c r="B61" s="30" t="s">
        <v>180</v>
      </c>
      <c r="C61" s="30"/>
      <c r="D61" s="30"/>
      <c r="E61" s="30"/>
      <c r="F61" s="30"/>
      <c r="G61" s="30"/>
      <c r="H61" s="30"/>
      <c r="I61" s="30"/>
      <c r="J61" s="30"/>
      <c r="K61" s="30"/>
      <c r="L61" s="30"/>
      <c r="M61" s="30"/>
      <c r="N61" s="30"/>
      <c r="O61" s="30"/>
      <c r="P61" s="30"/>
    </row>
    <row r="63" spans="1:19" x14ac:dyDescent="0.3">
      <c r="C63" s="8" t="s">
        <v>154</v>
      </c>
      <c r="G63" s="306">
        <v>5400000</v>
      </c>
      <c r="H63" s="69">
        <v>45107</v>
      </c>
    </row>
    <row r="65" spans="3:8" x14ac:dyDescent="0.3">
      <c r="C65" s="8" t="s">
        <v>171</v>
      </c>
      <c r="G65" s="164">
        <v>0</v>
      </c>
      <c r="H65" s="69">
        <f>input_dollars</f>
        <v>45291</v>
      </c>
    </row>
    <row r="67" spans="3:8" x14ac:dyDescent="0.3">
      <c r="C67" s="14" t="str">
        <f>Data!A83</f>
        <v>Disproportionate factors applied to various bushfire and other risk valuations</v>
      </c>
    </row>
    <row r="68" spans="3:8" x14ac:dyDescent="0.3">
      <c r="C68" s="8" t="str">
        <f>Data!B85</f>
        <v>Harm to property from network</v>
      </c>
      <c r="G68" s="304">
        <f>Data!F85</f>
        <v>1</v>
      </c>
    </row>
    <row r="69" spans="3:8" x14ac:dyDescent="0.3">
      <c r="C69" s="8" t="str">
        <f>Data!B86</f>
        <v>Harm to property from bushfire</v>
      </c>
      <c r="G69" s="304">
        <f>Data!F86</f>
        <v>1</v>
      </c>
    </row>
    <row r="70" spans="3:8" x14ac:dyDescent="0.3">
      <c r="C70" s="8" t="str">
        <f>Data!B87</f>
        <v>Harm to environment</v>
      </c>
      <c r="G70" s="304">
        <f>Data!F87</f>
        <v>1</v>
      </c>
    </row>
    <row r="71" spans="3:8" x14ac:dyDescent="0.3">
      <c r="C71" s="8" t="str">
        <f>Data!B88</f>
        <v>Safety - Public trespass</v>
      </c>
      <c r="G71" s="304">
        <f>Data!F88</f>
        <v>1</v>
      </c>
    </row>
    <row r="72" spans="3:8" x14ac:dyDescent="0.3">
      <c r="C72" s="8" t="str">
        <f>Data!B89</f>
        <v>Safety - Single fatality or serious injury ^</v>
      </c>
      <c r="G72" s="304">
        <f>Data!F89</f>
        <v>3</v>
      </c>
    </row>
    <row r="73" spans="3:8" x14ac:dyDescent="0.3">
      <c r="C73" s="8" t="str">
        <f>Data!B90</f>
        <v>Safety from bushfire in HBRA</v>
      </c>
      <c r="G73" s="304">
        <f>Data!F90</f>
        <v>3</v>
      </c>
    </row>
    <row r="74" spans="3:8" x14ac:dyDescent="0.3">
      <c r="C74" s="8" t="str">
        <f>Data!B91</f>
        <v>Safety - Multiple fatality or serious injury ^</v>
      </c>
      <c r="G74" s="304">
        <f>Data!F91</f>
        <v>6</v>
      </c>
    </row>
    <row r="75" spans="3:8" x14ac:dyDescent="0.3">
      <c r="C75" s="8" t="str">
        <f>Data!B92</f>
        <v>Safety from bushfire (REFCL declared areas)</v>
      </c>
      <c r="G75" s="304">
        <f>Data!F92</f>
        <v>6</v>
      </c>
    </row>
    <row r="76" spans="3:8" x14ac:dyDescent="0.3">
      <c r="C76" s="8" t="str">
        <f>Data!B93</f>
        <v>Safety from bushfire (electric line construction areas)</v>
      </c>
      <c r="G76" s="304">
        <f>Data!F93</f>
        <v>10</v>
      </c>
    </row>
    <row r="77" spans="3:8" ht="13.5" x14ac:dyDescent="0.3">
      <c r="E77"/>
      <c r="F77"/>
      <c r="G77"/>
      <c r="H77"/>
    </row>
    <row r="79" spans="3:8" x14ac:dyDescent="0.3">
      <c r="C79" s="82" t="s">
        <v>114</v>
      </c>
    </row>
    <row r="82" spans="2:16" x14ac:dyDescent="0.3">
      <c r="C82" s="53" t="s">
        <v>187</v>
      </c>
      <c r="D82" s="59"/>
      <c r="E82" s="59"/>
      <c r="F82" s="59"/>
      <c r="G82" s="157" t="s">
        <v>69</v>
      </c>
      <c r="H82" s="157" t="s">
        <v>172</v>
      </c>
      <c r="I82" s="157" t="s">
        <v>186</v>
      </c>
      <c r="J82" s="156" t="s">
        <v>190</v>
      </c>
      <c r="K82" s="157"/>
      <c r="L82" s="157"/>
      <c r="M82" s="157"/>
    </row>
    <row r="83" spans="2:16" x14ac:dyDescent="0.3">
      <c r="C83" s="8" t="s">
        <v>173</v>
      </c>
      <c r="G83" s="158">
        <f>G63*INDEX(hy_escalation, MATCH(input_dollars,hy_dates,0))/INDEX(hy_escalation, MATCH(H63,hy_dates,0))</f>
        <v>5607473.5197347086</v>
      </c>
      <c r="H83" s="163">
        <v>0</v>
      </c>
      <c r="I83" s="165">
        <v>0</v>
      </c>
      <c r="J83" s="565">
        <v>0</v>
      </c>
      <c r="K83" s="566"/>
      <c r="L83" s="566"/>
      <c r="M83" s="567"/>
    </row>
    <row r="84" spans="2:16" x14ac:dyDescent="0.3">
      <c r="C84" s="8" t="s">
        <v>174</v>
      </c>
      <c r="G84" s="158">
        <f>G65*INDEX(hy_escalation, MATCH(input_dollars,hy_dates,0))/INDEX(hy_escalation, MATCH(H65,hy_dates,0))</f>
        <v>0</v>
      </c>
      <c r="H84" s="162">
        <v>0</v>
      </c>
      <c r="I84" s="165">
        <v>0</v>
      </c>
      <c r="J84" s="565">
        <v>0</v>
      </c>
      <c r="K84" s="566"/>
      <c r="L84" s="566"/>
      <c r="M84" s="567"/>
    </row>
    <row r="85" spans="2:16" ht="13.5" x14ac:dyDescent="0.3">
      <c r="I85" s="161"/>
      <c r="M85"/>
    </row>
    <row r="86" spans="2:16" x14ac:dyDescent="0.3">
      <c r="G86" s="166"/>
    </row>
    <row r="87" spans="2:16" x14ac:dyDescent="0.3">
      <c r="C87" s="82"/>
    </row>
    <row r="90" spans="2:16" x14ac:dyDescent="0.3">
      <c r="B90" s="30" t="s">
        <v>181</v>
      </c>
      <c r="C90" s="30"/>
      <c r="D90" s="30"/>
      <c r="E90" s="30"/>
      <c r="F90" s="30"/>
      <c r="G90" s="30"/>
      <c r="H90" s="30"/>
      <c r="I90" s="30"/>
      <c r="J90" s="30"/>
      <c r="K90" s="30"/>
      <c r="L90" s="30"/>
      <c r="M90" s="30"/>
      <c r="N90" s="30"/>
      <c r="O90" s="30"/>
      <c r="P90" s="30"/>
    </row>
    <row r="91" spans="2:16" x14ac:dyDescent="0.3">
      <c r="C91" s="8" t="s">
        <v>175</v>
      </c>
      <c r="G91" s="154">
        <v>0</v>
      </c>
      <c r="H91" s="69">
        <f>input_dollars</f>
        <v>45291</v>
      </c>
    </row>
    <row r="92" spans="2:16" x14ac:dyDescent="0.3">
      <c r="C92" s="8" t="s">
        <v>176</v>
      </c>
      <c r="G92" s="154">
        <v>0</v>
      </c>
      <c r="H92" s="69">
        <f>input_dollars</f>
        <v>45291</v>
      </c>
    </row>
    <row r="94" spans="2:16" x14ac:dyDescent="0.3">
      <c r="C94" s="8" t="s">
        <v>177</v>
      </c>
      <c r="G94" s="159">
        <v>0.2</v>
      </c>
    </row>
    <row r="98" spans="1:16" x14ac:dyDescent="0.3">
      <c r="A98" s="1"/>
      <c r="B98" s="1"/>
      <c r="C98" s="1"/>
      <c r="D98" s="1"/>
      <c r="E98" s="1"/>
      <c r="F98" s="1"/>
      <c r="K98" s="1"/>
      <c r="L98" s="1"/>
      <c r="M98" s="1"/>
      <c r="N98" s="1"/>
      <c r="O98" s="1"/>
    </row>
    <row r="99" spans="1:16" ht="14.5" x14ac:dyDescent="0.3">
      <c r="A99" s="18" t="s">
        <v>56</v>
      </c>
      <c r="B99" s="18"/>
      <c r="C99" s="16"/>
      <c r="D99" s="16"/>
      <c r="E99" s="16"/>
      <c r="F99" s="16"/>
      <c r="G99" s="16"/>
      <c r="H99" s="16"/>
      <c r="I99" s="16"/>
      <c r="J99" s="16"/>
      <c r="K99" s="16"/>
      <c r="L99" s="17"/>
      <c r="M99" s="17"/>
      <c r="N99" s="17"/>
      <c r="O99" s="17"/>
      <c r="P99" s="17"/>
    </row>
    <row r="100" spans="1:16" x14ac:dyDescent="0.3">
      <c r="A100" s="1"/>
      <c r="B100" s="1"/>
      <c r="C100" s="1"/>
      <c r="D100" s="1"/>
      <c r="F100" s="1"/>
      <c r="H100" s="1"/>
      <c r="L100" s="1"/>
      <c r="N100" s="1"/>
      <c r="O100" s="1"/>
    </row>
    <row r="101" spans="1:16" x14ac:dyDescent="0.3">
      <c r="A101" s="1"/>
      <c r="B101" s="30" t="s">
        <v>182</v>
      </c>
      <c r="C101" s="30"/>
      <c r="D101" s="30"/>
      <c r="E101" s="30"/>
      <c r="F101" s="30"/>
      <c r="G101" s="30"/>
      <c r="H101" s="53"/>
      <c r="I101" s="53"/>
      <c r="J101" s="53"/>
      <c r="K101" s="70" t="s">
        <v>19</v>
      </c>
      <c r="L101" s="70" t="s">
        <v>21</v>
      </c>
      <c r="M101" s="70" t="s">
        <v>20</v>
      </c>
      <c r="N101" s="70" t="s">
        <v>22</v>
      </c>
      <c r="O101" s="70" t="s">
        <v>94</v>
      </c>
      <c r="P101" s="70" t="s">
        <v>95</v>
      </c>
    </row>
    <row r="102" spans="1:16" ht="13.5" x14ac:dyDescent="0.35">
      <c r="A102" s="1"/>
      <c r="B102" s="1"/>
      <c r="C102" s="1" t="s">
        <v>74</v>
      </c>
      <c r="D102" s="1"/>
      <c r="F102" s="1"/>
      <c r="G102" s="68"/>
      <c r="H102" s="69">
        <f>G35</f>
        <v>45107</v>
      </c>
      <c r="I102" s="71" t="s">
        <v>63</v>
      </c>
      <c r="J102" s="71"/>
      <c r="K102" s="307">
        <v>2.4730486797759084E-2</v>
      </c>
      <c r="L102" s="307">
        <v>2.2340740091772258E-2</v>
      </c>
      <c r="M102" s="307">
        <v>2.0196329122153123E-2</v>
      </c>
      <c r="N102" s="307">
        <v>1.806294207659629E-2</v>
      </c>
      <c r="O102" s="307">
        <v>1.5913397615084226E-2</v>
      </c>
      <c r="P102" s="307">
        <v>1.3715069432539001E-2</v>
      </c>
    </row>
    <row r="103" spans="1:16" x14ac:dyDescent="0.3">
      <c r="A103" s="1"/>
      <c r="B103" s="1"/>
      <c r="C103" s="1"/>
      <c r="D103" s="1"/>
      <c r="E103" s="1"/>
      <c r="F103" s="1"/>
      <c r="G103" s="1"/>
      <c r="K103" s="1"/>
      <c r="L103" s="1"/>
      <c r="M103" s="1"/>
      <c r="N103" s="1"/>
      <c r="O103" s="1"/>
    </row>
    <row r="104" spans="1:16" x14ac:dyDescent="0.3">
      <c r="A104" s="1"/>
      <c r="B104" s="1"/>
      <c r="C104" s="1"/>
      <c r="D104" s="1"/>
      <c r="E104" s="1"/>
      <c r="F104" s="1"/>
      <c r="K104" s="1"/>
      <c r="L104" s="1"/>
      <c r="M104" s="1"/>
      <c r="N104" s="1"/>
      <c r="O104" s="1"/>
    </row>
    <row r="105" spans="1:16" x14ac:dyDescent="0.3">
      <c r="A105" s="1"/>
      <c r="B105" s="30" t="s">
        <v>183</v>
      </c>
      <c r="C105" s="30"/>
      <c r="D105" s="30"/>
      <c r="E105" s="30"/>
      <c r="F105" s="30"/>
      <c r="G105" s="70" t="s">
        <v>69</v>
      </c>
      <c r="H105" s="30"/>
      <c r="I105" s="30"/>
      <c r="J105" s="39"/>
      <c r="K105" s="1"/>
      <c r="L105" s="1"/>
    </row>
    <row r="106" spans="1:16" ht="13.5" x14ac:dyDescent="0.3">
      <c r="A106" s="1"/>
      <c r="B106" s="1"/>
      <c r="C106" s="1" t="str">
        <f>Data!B60</f>
        <v>Reliability in worst-served areas</v>
      </c>
      <c r="D106" s="1"/>
      <c r="E106"/>
      <c r="F106" s="1"/>
      <c r="G106" s="306">
        <v>67500</v>
      </c>
      <c r="H106" s="69">
        <f t="shared" ref="H106:H113" si="0">custval_date</f>
        <v>45291</v>
      </c>
      <c r="I106" s="71" t="s">
        <v>54</v>
      </c>
      <c r="J106" s="71"/>
      <c r="K106" s="1"/>
      <c r="P106" s="1"/>
    </row>
    <row r="107" spans="1:16" ht="13.5" x14ac:dyDescent="0.3">
      <c r="A107" s="1"/>
      <c r="B107" s="1"/>
      <c r="C107" s="1" t="str">
        <f>Data!B61</f>
        <v>Network resilience</v>
      </c>
      <c r="D107" s="1"/>
      <c r="E107"/>
      <c r="F107" s="1"/>
      <c r="G107" s="306">
        <v>67129.990571056944</v>
      </c>
      <c r="H107" s="69">
        <f t="shared" si="0"/>
        <v>45291</v>
      </c>
      <c r="I107" s="71" t="s">
        <v>54</v>
      </c>
      <c r="J107" s="71"/>
      <c r="P107" s="1"/>
    </row>
    <row r="108" spans="1:16" ht="13.5" x14ac:dyDescent="0.3">
      <c r="A108" s="1"/>
      <c r="B108" s="1"/>
      <c r="C108" s="1" t="str">
        <f>Data!B62</f>
        <v>Enabling solar exports</v>
      </c>
      <c r="D108" s="1"/>
      <c r="E108"/>
      <c r="G108" s="306">
        <v>10</v>
      </c>
      <c r="H108" s="69">
        <f t="shared" si="0"/>
        <v>45291</v>
      </c>
      <c r="I108" s="71" t="s">
        <v>54</v>
      </c>
      <c r="J108" s="71"/>
      <c r="P108" s="1"/>
    </row>
    <row r="109" spans="1:16" ht="13.5" x14ac:dyDescent="0.3">
      <c r="A109" s="1"/>
      <c r="B109" s="1"/>
      <c r="C109" s="1" t="str">
        <f>Data!B63</f>
        <v>Customer value per kWh of storage capacity in local community:</v>
      </c>
      <c r="D109" s="1"/>
      <c r="E109"/>
      <c r="G109" s="307">
        <v>51130</v>
      </c>
      <c r="H109" s="69">
        <f t="shared" si="0"/>
        <v>45291</v>
      </c>
      <c r="I109" s="71" t="s">
        <v>79</v>
      </c>
      <c r="J109" s="71"/>
      <c r="P109" s="1"/>
    </row>
    <row r="110" spans="1:16" ht="13.5" x14ac:dyDescent="0.3">
      <c r="A110" s="1"/>
      <c r="B110" s="1"/>
      <c r="C110" s="1" t="str">
        <f>Data!B64</f>
        <v>Customer value of time - residential</v>
      </c>
      <c r="D110" s="1"/>
      <c r="E110"/>
      <c r="G110" s="307">
        <v>0.73</v>
      </c>
      <c r="H110" s="69">
        <f t="shared" si="0"/>
        <v>45291</v>
      </c>
      <c r="I110" s="71" t="s">
        <v>80</v>
      </c>
      <c r="J110" s="71"/>
      <c r="P110" s="1"/>
    </row>
    <row r="111" spans="1:16" ht="13.5" x14ac:dyDescent="0.3">
      <c r="A111" s="1"/>
      <c r="B111" s="1"/>
      <c r="C111" s="1" t="str">
        <f>Data!B65</f>
        <v>Customer value of time - business</v>
      </c>
      <c r="D111" s="1"/>
      <c r="E111"/>
      <c r="G111" s="307">
        <v>4.45</v>
      </c>
      <c r="H111" s="69">
        <f t="shared" si="0"/>
        <v>45291</v>
      </c>
      <c r="I111" s="71" t="s">
        <v>80</v>
      </c>
      <c r="J111" s="71"/>
      <c r="P111" s="1"/>
    </row>
    <row r="112" spans="1:16" ht="13.5" x14ac:dyDescent="0.3">
      <c r="A112" s="1"/>
      <c r="B112" s="1"/>
      <c r="C112" s="1" t="str">
        <f>Data!B66</f>
        <v>Communication</v>
      </c>
      <c r="D112" s="1"/>
      <c r="E112"/>
      <c r="G112" s="307">
        <v>0.28000000000000003</v>
      </c>
      <c r="H112" s="69">
        <f t="shared" si="0"/>
        <v>45291</v>
      </c>
      <c r="I112" s="71" t="s">
        <v>79</v>
      </c>
      <c r="J112" s="71"/>
      <c r="P112" s="1"/>
    </row>
    <row r="113" spans="1:16" ht="13.5" x14ac:dyDescent="0.3">
      <c r="A113" s="1"/>
      <c r="B113" s="1"/>
      <c r="C113" s="1" t="str">
        <f>Data!B67</f>
        <v>Information accessibility</v>
      </c>
      <c r="D113" s="1"/>
      <c r="E113"/>
      <c r="G113" s="307">
        <v>0.17</v>
      </c>
      <c r="H113" s="69">
        <f t="shared" si="0"/>
        <v>45291</v>
      </c>
      <c r="I113" s="71" t="s">
        <v>79</v>
      </c>
      <c r="J113" s="71"/>
      <c r="P113" s="1"/>
    </row>
    <row r="114" spans="1:16" ht="13.5" x14ac:dyDescent="0.3">
      <c r="A114" s="1"/>
      <c r="B114" s="1"/>
      <c r="C114" s="1"/>
      <c r="D114" s="1"/>
      <c r="E114"/>
      <c r="L114" s="1"/>
      <c r="N114" s="1"/>
      <c r="O114" s="1"/>
      <c r="P114" s="1"/>
    </row>
    <row r="115" spans="1:16" ht="13.5" x14ac:dyDescent="0.3">
      <c r="A115" s="1"/>
      <c r="B115" s="1"/>
      <c r="C115" s="1"/>
      <c r="D115" s="1"/>
      <c r="E115"/>
      <c r="F115" s="1"/>
      <c r="L115" s="1"/>
      <c r="N115" s="1"/>
      <c r="O115" s="1"/>
    </row>
    <row r="118" spans="1:16" ht="14.5" x14ac:dyDescent="0.3">
      <c r="A118" s="18" t="s">
        <v>221</v>
      </c>
      <c r="B118" s="18"/>
      <c r="C118" s="16"/>
      <c r="D118" s="16"/>
      <c r="E118" s="16"/>
      <c r="F118" s="16"/>
      <c r="G118" s="16"/>
      <c r="H118" s="16"/>
      <c r="I118" s="16"/>
      <c r="J118" s="16"/>
      <c r="K118" s="16"/>
      <c r="L118" s="17"/>
      <c r="M118" s="17"/>
      <c r="N118" s="17"/>
      <c r="O118" s="17"/>
      <c r="P118" s="17"/>
    </row>
    <row r="119" spans="1:16" x14ac:dyDescent="0.3">
      <c r="A119" s="1"/>
      <c r="B119" s="1"/>
      <c r="C119" s="1"/>
      <c r="D119" s="1"/>
      <c r="E119" s="1"/>
      <c r="F119" s="1"/>
      <c r="G119" s="1"/>
      <c r="K119" s="1"/>
      <c r="L119" s="1"/>
      <c r="M119" s="1"/>
      <c r="N119" s="1"/>
      <c r="O119" s="1"/>
    </row>
    <row r="120" spans="1:16" x14ac:dyDescent="0.3">
      <c r="A120" s="1"/>
      <c r="B120" s="1"/>
      <c r="C120" s="1"/>
      <c r="D120" s="1"/>
      <c r="E120" s="1"/>
      <c r="F120" s="1"/>
      <c r="G120" s="1"/>
      <c r="K120" s="1"/>
      <c r="L120" s="1"/>
      <c r="M120" s="1"/>
      <c r="N120" s="1"/>
      <c r="O120" s="1"/>
    </row>
    <row r="121" spans="1:16" x14ac:dyDescent="0.3">
      <c r="A121" s="1"/>
      <c r="B121" s="1"/>
      <c r="C121" s="1"/>
      <c r="D121" s="1"/>
      <c r="E121" s="1"/>
      <c r="F121" s="1"/>
      <c r="G121" s="1"/>
      <c r="K121" s="1"/>
      <c r="L121" s="1"/>
      <c r="M121" s="1"/>
      <c r="N121" s="1"/>
      <c r="O121" s="1"/>
    </row>
    <row r="122" spans="1:16" ht="13.5" x14ac:dyDescent="0.3">
      <c r="A122" s="6"/>
      <c r="B122" s="171"/>
      <c r="C122" s="298"/>
      <c r="D122" s="59"/>
      <c r="E122" s="299"/>
      <c r="F122" s="298"/>
      <c r="G122" s="298" t="s">
        <v>17</v>
      </c>
      <c r="H122" s="298" t="s">
        <v>245</v>
      </c>
      <c r="I122"/>
      <c r="J122"/>
      <c r="K122"/>
      <c r="L122"/>
      <c r="M122"/>
      <c r="N122"/>
      <c r="O122"/>
      <c r="P122"/>
    </row>
    <row r="123" spans="1:16" ht="13.5" x14ac:dyDescent="0.3">
      <c r="B123" s="8">
        <v>1</v>
      </c>
      <c r="C123" s="8" t="str">
        <f>IF(G123=0, "", G$122&amp;" "&amp;ABS($G123)*100&amp;"%"&amp;IF($G123&gt;0, " higher", " lower"))&amp;IF(AND(G123&lt;&gt;0, H123&lt;&gt;0), " &amp; ", "")&amp;IF(H123=0, "", H$122&amp;" "&amp;ABS($H123)*100&amp;"%"&amp;IF($H123&gt;0, " higher", " lower"))</f>
        <v>Capex 10% higher</v>
      </c>
      <c r="E123" s="267"/>
      <c r="G123" s="308">
        <v>0.1</v>
      </c>
      <c r="H123" s="308">
        <v>0</v>
      </c>
      <c r="I123" s="261"/>
      <c r="J123"/>
      <c r="K123"/>
      <c r="L123"/>
      <c r="M123"/>
      <c r="N123"/>
      <c r="O123"/>
      <c r="P123"/>
    </row>
    <row r="124" spans="1:16" ht="13.5" x14ac:dyDescent="0.3">
      <c r="B124" s="8">
        <v>2</v>
      </c>
      <c r="C124" s="8" t="str">
        <f>IF(G124=0, "", G$122&amp;" "&amp;ABS($G124)*100&amp;"%"&amp;IF($G124&gt;0, " higher", " lower"))&amp;IF(AND(G124&lt;&gt;0, H124&lt;&gt;0), " &amp; ", "")&amp;IF(H124=0, "", H$122&amp;" "&amp;ABS($H124)*100&amp;"%"&amp;IF($H124&gt;0, " higher", " lower"))</f>
        <v>Capex 10% lower</v>
      </c>
      <c r="E124" s="267"/>
      <c r="G124" s="308">
        <v>-0.1</v>
      </c>
      <c r="H124" s="308">
        <v>0</v>
      </c>
      <c r="I124" s="261"/>
      <c r="J124"/>
      <c r="K124"/>
      <c r="L124"/>
      <c r="M124"/>
      <c r="N124"/>
      <c r="O124"/>
      <c r="P124"/>
    </row>
    <row r="125" spans="1:16" ht="13.5" x14ac:dyDescent="0.3">
      <c r="B125" s="8">
        <v>3</v>
      </c>
      <c r="C125" s="8" t="str">
        <f>IF(G125=0, "", G$122&amp;" "&amp;ABS($G125)*100&amp;"%"&amp;IF($G125&gt;0, " higher", " lower"))&amp;IF(AND(G125&lt;&gt;0, H125&lt;&gt;0), " &amp; ", "")&amp;IF(H125=0, "", H$122&amp;" "&amp;ABS($H125)*100&amp;"%"&amp;IF($H125&gt;0, " higher", " lower"))</f>
        <v>Total benefits 10% higher</v>
      </c>
      <c r="E125" s="267"/>
      <c r="G125" s="309">
        <v>0</v>
      </c>
      <c r="H125" s="308">
        <v>0.1</v>
      </c>
      <c r="I125" s="261"/>
      <c r="J125"/>
      <c r="K125"/>
      <c r="L125"/>
      <c r="M125"/>
      <c r="N125"/>
      <c r="O125"/>
      <c r="P125"/>
    </row>
    <row r="126" spans="1:16" ht="13.5" x14ac:dyDescent="0.3">
      <c r="B126" s="8">
        <v>4</v>
      </c>
      <c r="C126" s="8" t="str">
        <f>IF(G126=0, "", G$122&amp;" "&amp;ABS($G126)*100&amp;"%"&amp;IF($G126&gt;0, " higher", " lower"))&amp;IF(AND(G126&lt;&gt;0, H126&lt;&gt;0), " &amp; ", "")&amp;IF(H126=0, "", H$122&amp;" "&amp;ABS($H126)*100&amp;"%"&amp;IF($H126&gt;0, " higher", " lower"))</f>
        <v>Total benefits 10% lower</v>
      </c>
      <c r="E126" s="267"/>
      <c r="G126" s="309">
        <v>0</v>
      </c>
      <c r="H126" s="308">
        <v>-0.1</v>
      </c>
      <c r="I126" s="261"/>
      <c r="J126"/>
      <c r="K126"/>
      <c r="L126"/>
      <c r="M126"/>
      <c r="N126"/>
      <c r="O126"/>
      <c r="P126"/>
    </row>
    <row r="127" spans="1:16" ht="13.5" x14ac:dyDescent="0.3">
      <c r="B127" s="8">
        <v>5</v>
      </c>
      <c r="C127" s="8" t="str">
        <f>IF(G127=0, "", G$122&amp;" "&amp;ABS($G127)*100&amp;"%"&amp;IF($G127&gt;0, " higher", " lower"))&amp;IF(AND(G127&lt;&gt;0, H127&lt;&gt;0), " &amp; ", "")&amp;IF(H127=0, "", H$122&amp;" "&amp;ABS($H127)*100&amp;"%"&amp;IF($H127&gt;0, " higher", " lower"))</f>
        <v>Capex 10% higher &amp; Total benefits 10% lower</v>
      </c>
      <c r="E127" s="267"/>
      <c r="G127" s="308">
        <v>0.1</v>
      </c>
      <c r="H127" s="308">
        <v>-0.1</v>
      </c>
      <c r="I127" s="261"/>
      <c r="J127"/>
      <c r="K127"/>
      <c r="L127"/>
      <c r="M127"/>
      <c r="N127"/>
      <c r="O127"/>
      <c r="P127"/>
    </row>
    <row r="128" spans="1:16" ht="13.5" x14ac:dyDescent="0.3">
      <c r="E128" s="267"/>
      <c r="H128"/>
      <c r="I128"/>
      <c r="J128"/>
      <c r="K128"/>
      <c r="L128"/>
      <c r="M128"/>
      <c r="N128"/>
      <c r="O128"/>
      <c r="P128"/>
    </row>
    <row r="129" spans="5:16" ht="13.5" x14ac:dyDescent="0.3">
      <c r="E129" s="260"/>
      <c r="H129"/>
      <c r="I129"/>
      <c r="J129"/>
      <c r="K129"/>
      <c r="L129"/>
      <c r="M129"/>
      <c r="N129"/>
      <c r="O129"/>
      <c r="P129"/>
    </row>
    <row r="130" spans="5:16" ht="13.5" x14ac:dyDescent="0.3">
      <c r="H130"/>
      <c r="I130"/>
      <c r="J130"/>
      <c r="K130"/>
      <c r="L130"/>
      <c r="M130"/>
      <c r="N130"/>
      <c r="O130"/>
      <c r="P130"/>
    </row>
    <row r="131" spans="5:16" ht="13.5" x14ac:dyDescent="0.3">
      <c r="H131"/>
      <c r="I131"/>
      <c r="J131"/>
      <c r="K131"/>
      <c r="L131"/>
      <c r="M131"/>
      <c r="N131"/>
      <c r="O131"/>
      <c r="P131"/>
    </row>
    <row r="132" spans="5:16" ht="13.5" x14ac:dyDescent="0.3">
      <c r="H132"/>
      <c r="I132"/>
      <c r="J132"/>
      <c r="K132"/>
      <c r="L132"/>
      <c r="M132"/>
      <c r="N132"/>
      <c r="O132"/>
      <c r="P132"/>
    </row>
    <row r="133" spans="5:16" ht="13.5" x14ac:dyDescent="0.3">
      <c r="H133"/>
      <c r="I133"/>
      <c r="J133"/>
      <c r="K133"/>
      <c r="L133"/>
      <c r="M133"/>
      <c r="N133"/>
      <c r="O133"/>
      <c r="P133"/>
    </row>
    <row r="134" spans="5:16" ht="13.5" x14ac:dyDescent="0.3">
      <c r="H134"/>
      <c r="I134"/>
      <c r="J134"/>
      <c r="K134"/>
      <c r="L134"/>
      <c r="M134"/>
      <c r="N134"/>
      <c r="O134"/>
      <c r="P134"/>
    </row>
  </sheetData>
  <mergeCells count="8">
    <mergeCell ref="J83:M83"/>
    <mergeCell ref="J84:M84"/>
    <mergeCell ref="E8:H8"/>
    <mergeCell ref="E14:K14"/>
    <mergeCell ref="E15:K15"/>
    <mergeCell ref="E16:K16"/>
    <mergeCell ref="E17:K17"/>
    <mergeCell ref="E18:K18"/>
  </mergeCells>
  <phoneticPr fontId="80" type="noConversion"/>
  <conditionalFormatting sqref="C41">
    <cfRule type="expression" dxfId="19" priority="166">
      <formula>#REF!=#REF!</formula>
    </cfRule>
  </conditionalFormatting>
  <conditionalFormatting sqref="C45">
    <cfRule type="expression" dxfId="18" priority="3">
      <formula>#REF!=#REF!</formula>
    </cfRule>
  </conditionalFormatting>
  <conditionalFormatting sqref="C52">
    <cfRule type="expression" dxfId="17" priority="1">
      <formula>#REF!=#REF!</formula>
    </cfRule>
  </conditionalFormatting>
  <conditionalFormatting sqref="E52:G52">
    <cfRule type="expression" dxfId="15" priority="2">
      <formula>#REF!=#REF!</formula>
    </cfRule>
  </conditionalFormatting>
  <conditionalFormatting sqref="E45:H45 C46:C50">
    <cfRule type="expression" dxfId="14" priority="269">
      <formula>#REF!=#REF!</formula>
    </cfRule>
  </conditionalFormatting>
  <pageMargins left="0.25" right="0.25" top="0.75" bottom="0.75" header="0.3" footer="0.3"/>
  <pageSetup paperSize="9" scale="59" fitToHeight="0"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0"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093A524C-E45A-4CD6-9037-0C9A8CB9BEDE}">
          <x14:formula1>
            <xm:f>Data!$J$107:$J$108</xm:f>
          </x14:formula1>
          <xm:sqref>E10</xm:sqref>
        </x14:dataValidation>
        <x14:dataValidation type="list" allowBlank="1" showInputMessage="1" showErrorMessage="1" xr:uid="{8AD3462E-BCDF-4C70-9696-A5196E905744}">
          <x14:formula1>
            <xm:f>Data!$T$107:$T$109</xm:f>
          </x14:formula1>
          <xm:sqref>E20</xm:sqref>
        </x14:dataValidation>
        <x14:dataValidation type="list" allowBlank="1" showInputMessage="1" showErrorMessage="1" xr:uid="{4146EE4B-BCAC-4E68-A5B1-65A7A34C1F3E}">
          <x14:formula1>
            <xm:f>Data!$R$107:$R$113</xm:f>
          </x14:formula1>
          <xm:sqref>G10</xm:sqref>
        </x14:dataValidation>
        <x14:dataValidation type="list" allowBlank="1" showInputMessage="1" showErrorMessage="1" xr:uid="{76E6FA8E-A026-4C8F-84A6-848CF895714B}">
          <x14:formula1>
            <xm:f>Data!$V$107:$V$110</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117"/>
  <sheetViews>
    <sheetView showGridLines="0" zoomScale="90" zoomScaleNormal="90" workbookViewId="0">
      <pane xSplit="7" ySplit="10" topLeftCell="H11" activePane="bottomRight" state="frozen"/>
      <selection activeCell="C48" sqref="C48"/>
      <selection pane="topRight" activeCell="C48" sqref="C48"/>
      <selection pane="bottomLeft" activeCell="C48" sqref="C48"/>
      <selection pane="bottomRight" activeCell="H11" sqref="H11"/>
    </sheetView>
  </sheetViews>
  <sheetFormatPr defaultColWidth="8" defaultRowHeight="13" outlineLevelRow="1" x14ac:dyDescent="0.3"/>
  <cols>
    <col min="1" max="1" width="5.4609375" style="1" customWidth="1"/>
    <col min="2" max="2" width="4.15234375" style="1" customWidth="1"/>
    <col min="3" max="3" width="35.61328125" style="1" customWidth="1"/>
    <col min="4" max="4" width="12.3828125" style="1" customWidth="1"/>
    <col min="5" max="5" width="12.4609375" style="1" customWidth="1"/>
    <col min="6" max="6" width="3.84375" style="1" customWidth="1"/>
    <col min="7" max="7" width="9.84375" style="1" customWidth="1"/>
    <col min="8" max="8" width="6.84375" style="1" customWidth="1"/>
    <col min="9" max="33" width="12.15234375" style="1" customWidth="1"/>
    <col min="34" max="16384" width="8" style="1"/>
  </cols>
  <sheetData>
    <row r="1" spans="1:43" ht="18.5" x14ac:dyDescent="0.45">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5" x14ac:dyDescent="0.45">
      <c r="A2" s="56" t="str">
        <f>proj</f>
        <v>BAN003-WND024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5" x14ac:dyDescent="0.35">
      <c r="A3" s="203" t="s">
        <v>148</v>
      </c>
      <c r="B3" s="5"/>
      <c r="C3" s="134"/>
      <c r="D3" s="94"/>
    </row>
    <row r="4" spans="1:43" x14ac:dyDescent="0.3">
      <c r="A4" s="167"/>
      <c r="B4" s="187"/>
      <c r="C4" s="238" t="str">
        <f>IF(INDEX(Misc_calcs!$D$49:$D$67, MATCH(A3, Misc_calcs!$B$49:$B$67,0)), Misc_calcs!$B$70, "")</f>
        <v/>
      </c>
    </row>
    <row r="5" spans="1:43" hidden="1" outlineLevel="1" x14ac:dyDescent="0.3">
      <c r="C5" s="99"/>
      <c r="D5" s="98"/>
      <c r="E5" s="100"/>
      <c r="F5" s="100"/>
      <c r="G5" s="100"/>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3">
      <c r="A6" s="98" t="s">
        <v>93</v>
      </c>
      <c r="B6" s="98"/>
      <c r="C6" s="99"/>
      <c r="D6" s="98"/>
      <c r="E6" s="100"/>
      <c r="F6" s="100"/>
      <c r="G6" s="100"/>
      <c r="H6" s="151">
        <v>0</v>
      </c>
      <c r="I6" s="101">
        <f t="shared" ref="I6:AG6" si="0">H6+1</f>
        <v>1</v>
      </c>
      <c r="J6" s="101">
        <f t="shared" si="0"/>
        <v>2</v>
      </c>
      <c r="K6" s="101">
        <f t="shared" si="0"/>
        <v>3</v>
      </c>
      <c r="L6" s="101">
        <f t="shared" si="0"/>
        <v>4</v>
      </c>
      <c r="M6" s="101">
        <f t="shared" si="0"/>
        <v>5</v>
      </c>
      <c r="N6" s="101">
        <f t="shared" si="0"/>
        <v>6</v>
      </c>
      <c r="O6" s="101">
        <f t="shared" si="0"/>
        <v>7</v>
      </c>
      <c r="P6" s="101">
        <f t="shared" si="0"/>
        <v>8</v>
      </c>
      <c r="Q6" s="101">
        <f t="shared" si="0"/>
        <v>9</v>
      </c>
      <c r="R6" s="101">
        <f t="shared" si="0"/>
        <v>10</v>
      </c>
      <c r="S6" s="101">
        <f t="shared" si="0"/>
        <v>11</v>
      </c>
      <c r="T6" s="101">
        <f t="shared" si="0"/>
        <v>12</v>
      </c>
      <c r="U6" s="101">
        <f t="shared" si="0"/>
        <v>13</v>
      </c>
      <c r="V6" s="101">
        <f t="shared" si="0"/>
        <v>14</v>
      </c>
      <c r="W6" s="101">
        <f t="shared" si="0"/>
        <v>15</v>
      </c>
      <c r="X6" s="101">
        <f t="shared" si="0"/>
        <v>16</v>
      </c>
      <c r="Y6" s="101">
        <f t="shared" si="0"/>
        <v>17</v>
      </c>
      <c r="Z6" s="101">
        <f t="shared" si="0"/>
        <v>18</v>
      </c>
      <c r="AA6" s="101">
        <f t="shared" si="0"/>
        <v>19</v>
      </c>
      <c r="AB6" s="101">
        <f t="shared" si="0"/>
        <v>20</v>
      </c>
      <c r="AC6" s="101">
        <f t="shared" si="0"/>
        <v>21</v>
      </c>
      <c r="AD6" s="101">
        <f t="shared" si="0"/>
        <v>22</v>
      </c>
      <c r="AE6" s="101">
        <f t="shared" si="0"/>
        <v>23</v>
      </c>
      <c r="AF6" s="101">
        <f t="shared" si="0"/>
        <v>24</v>
      </c>
      <c r="AG6" s="101">
        <f t="shared" si="0"/>
        <v>25</v>
      </c>
    </row>
    <row r="7" spans="1:43" ht="13.5" hidden="1" outlineLevel="1" x14ac:dyDescent="0.35">
      <c r="A7" s="98" t="s">
        <v>128</v>
      </c>
      <c r="B7" s="98"/>
      <c r="G7" s="160" t="s">
        <v>64</v>
      </c>
      <c r="I7" s="99">
        <f>IF(ISBLANK(Assumptions!K102), H7,Assumptions!K102*thous_conv)</f>
        <v>24.730486797759085</v>
      </c>
      <c r="J7" s="99">
        <f>IF(ISBLANK(Assumptions!L102), I7,Assumptions!L102*thous_conv)</f>
        <v>22.340740091772258</v>
      </c>
      <c r="K7" s="99">
        <f>IF(ISBLANK(Assumptions!M102), J7,Assumptions!M102*thous_conv)</f>
        <v>20.196329122153124</v>
      </c>
      <c r="L7" s="99">
        <f>IF(ISBLANK(Assumptions!N102), K7,Assumptions!N102*thous_conv)</f>
        <v>18.06294207659629</v>
      </c>
      <c r="M7" s="99">
        <f>IF(ISBLANK(Assumptions!O102), L7,Assumptions!O102*thous_conv)</f>
        <v>15.913397615084225</v>
      </c>
      <c r="N7" s="99">
        <f>IF(ISBLANK(Assumptions!P102), M7,Assumptions!P102*thous_conv)</f>
        <v>13.715069432539002</v>
      </c>
      <c r="O7" s="99">
        <f>IF(ISBLANK(Assumptions!Q102), N7,Assumptions!Q102*thous_conv)</f>
        <v>13.715069432539002</v>
      </c>
      <c r="P7" s="99">
        <f>IF(ISBLANK(Assumptions!R102), O7,Assumptions!R102*thous_conv)</f>
        <v>13.715069432539002</v>
      </c>
      <c r="Q7" s="99">
        <f>IF(ISBLANK(Assumptions!S102), P7,Assumptions!S102*thous_conv)</f>
        <v>13.715069432539002</v>
      </c>
      <c r="R7" s="99">
        <f>IF(ISBLANK(Assumptions!T102), Q7,Assumptions!T102*thous_conv)</f>
        <v>13.715069432539002</v>
      </c>
      <c r="S7" s="99">
        <f>IF(ISBLANK(Assumptions!U102), R7,Assumptions!U102*thous_conv)</f>
        <v>13.715069432539002</v>
      </c>
      <c r="T7" s="99">
        <f>IF(ISBLANK(Assumptions!V102), S7,Assumptions!V102*thous_conv)</f>
        <v>13.715069432539002</v>
      </c>
      <c r="U7" s="99">
        <f>IF(ISBLANK(Assumptions!W102), T7,Assumptions!W102*thous_conv)</f>
        <v>13.715069432539002</v>
      </c>
      <c r="V7" s="99">
        <f>IF(ISBLANK(Assumptions!X102), U7,Assumptions!X102*thous_conv)</f>
        <v>13.715069432539002</v>
      </c>
      <c r="W7" s="99">
        <f>IF(ISBLANK(Assumptions!Y102), V7,Assumptions!Y102*thous_conv)</f>
        <v>13.715069432539002</v>
      </c>
      <c r="X7" s="99">
        <f>IF(ISBLANK(Assumptions!Z102), W7,Assumptions!Z102*thous_conv)</f>
        <v>13.715069432539002</v>
      </c>
      <c r="Y7" s="99">
        <f>IF(ISBLANK(Assumptions!AA102), X7,Assumptions!AA102*thous_conv)</f>
        <v>13.715069432539002</v>
      </c>
      <c r="Z7" s="99">
        <f>IF(ISBLANK(Assumptions!AB102), Y7,Assumptions!AB102*thous_conv)</f>
        <v>13.715069432539002</v>
      </c>
      <c r="AA7" s="99">
        <f>IF(ISBLANK(Assumptions!AC102), Z7,Assumptions!AC102*thous_conv)</f>
        <v>13.715069432539002</v>
      </c>
      <c r="AB7" s="99">
        <f>IF(ISBLANK(Assumptions!AD102), AA7,Assumptions!AD102*thous_conv)</f>
        <v>13.715069432539002</v>
      </c>
      <c r="AC7" s="99">
        <f>IF(ISBLANK(Assumptions!AE102), AB7,Assumptions!AE102*thous_conv)</f>
        <v>13.715069432539002</v>
      </c>
      <c r="AD7" s="99">
        <f>IF(ISBLANK(Assumptions!AF102), AC7,Assumptions!AF102*thous_conv)</f>
        <v>13.715069432539002</v>
      </c>
      <c r="AE7" s="99">
        <f>IF(ISBLANK(Assumptions!AG102), AD7,Assumptions!AG102*thous_conv)</f>
        <v>13.715069432539002</v>
      </c>
      <c r="AF7" s="99">
        <f>IF(ISBLANK(Assumptions!AH102), AE7,Assumptions!AH102*thous_conv)</f>
        <v>13.715069432539002</v>
      </c>
      <c r="AG7" s="99">
        <f>IF(ISBLANK(Assumptions!AI102), AF7,Assumptions!AI102*thous_conv)</f>
        <v>13.715069432539002</v>
      </c>
    </row>
    <row r="8" spans="1:43" ht="6.75" customHeight="1" collapsed="1" x14ac:dyDescent="0.3">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4.5" x14ac:dyDescent="0.3">
      <c r="A9" s="181"/>
      <c r="B9" s="181"/>
      <c r="C9" s="181"/>
      <c r="D9" s="181"/>
      <c r="E9" s="181"/>
      <c r="F9" s="182"/>
      <c r="G9" s="181" t="s">
        <v>25</v>
      </c>
      <c r="H9" s="320">
        <f>DATE(LEFT(I9,4), 6,30)</f>
        <v>46203</v>
      </c>
      <c r="I9" s="183" t="str">
        <f>start</f>
        <v>2026-27</v>
      </c>
      <c r="J9" s="183" t="str">
        <f t="shared" ref="J9:AG9" si="1">LEFT(I9,4)+1&amp;"-"&amp;RIGHT(I9,2)+1</f>
        <v>2027-28</v>
      </c>
      <c r="K9" s="183" t="str">
        <f t="shared" si="1"/>
        <v>2028-29</v>
      </c>
      <c r="L9" s="183" t="str">
        <f t="shared" si="1"/>
        <v>2029-30</v>
      </c>
      <c r="M9" s="183" t="str">
        <f t="shared" si="1"/>
        <v>2030-31</v>
      </c>
      <c r="N9" s="183" t="str">
        <f t="shared" si="1"/>
        <v>2031-32</v>
      </c>
      <c r="O9" s="183" t="str">
        <f t="shared" si="1"/>
        <v>2032-33</v>
      </c>
      <c r="P9" s="183" t="str">
        <f t="shared" si="1"/>
        <v>2033-34</v>
      </c>
      <c r="Q9" s="183" t="str">
        <f t="shared" si="1"/>
        <v>2034-35</v>
      </c>
      <c r="R9" s="183" t="str">
        <f t="shared" si="1"/>
        <v>2035-36</v>
      </c>
      <c r="S9" s="183" t="str">
        <f t="shared" si="1"/>
        <v>2036-37</v>
      </c>
      <c r="T9" s="183" t="str">
        <f t="shared" si="1"/>
        <v>2037-38</v>
      </c>
      <c r="U9" s="183" t="str">
        <f t="shared" si="1"/>
        <v>2038-39</v>
      </c>
      <c r="V9" s="183" t="str">
        <f t="shared" si="1"/>
        <v>2039-40</v>
      </c>
      <c r="W9" s="183" t="str">
        <f t="shared" si="1"/>
        <v>2040-41</v>
      </c>
      <c r="X9" s="183" t="str">
        <f t="shared" si="1"/>
        <v>2041-42</v>
      </c>
      <c r="Y9" s="183" t="str">
        <f t="shared" si="1"/>
        <v>2042-43</v>
      </c>
      <c r="Z9" s="183" t="str">
        <f t="shared" si="1"/>
        <v>2043-44</v>
      </c>
      <c r="AA9" s="183" t="str">
        <f t="shared" si="1"/>
        <v>2044-45</v>
      </c>
      <c r="AB9" s="183" t="str">
        <f t="shared" si="1"/>
        <v>2045-46</v>
      </c>
      <c r="AC9" s="183" t="str">
        <f t="shared" si="1"/>
        <v>2046-47</v>
      </c>
      <c r="AD9" s="183" t="str">
        <f t="shared" si="1"/>
        <v>2047-48</v>
      </c>
      <c r="AE9" s="183" t="str">
        <f t="shared" si="1"/>
        <v>2048-49</v>
      </c>
      <c r="AF9" s="183" t="str">
        <f t="shared" si="1"/>
        <v>2049-50</v>
      </c>
      <c r="AG9" s="183" t="str">
        <f t="shared" si="1"/>
        <v>2050-51</v>
      </c>
    </row>
    <row r="10" spans="1:43" ht="4.5" customHeight="1" x14ac:dyDescent="0.3">
      <c r="C10" s="3"/>
      <c r="D10" s="3"/>
      <c r="H10"/>
      <c r="I10"/>
      <c r="J10"/>
      <c r="K10"/>
      <c r="L10"/>
      <c r="M10"/>
      <c r="N10"/>
      <c r="O10"/>
      <c r="P10"/>
      <c r="Q10"/>
      <c r="R10"/>
      <c r="S10"/>
      <c r="T10"/>
      <c r="U10"/>
      <c r="V10"/>
      <c r="W10"/>
      <c r="X10"/>
      <c r="Y10"/>
      <c r="Z10"/>
      <c r="AA10"/>
      <c r="AB10"/>
      <c r="AC10"/>
      <c r="AD10"/>
      <c r="AE10"/>
      <c r="AF10"/>
      <c r="AG10"/>
    </row>
    <row r="11" spans="1:43" ht="14.5" x14ac:dyDescent="0.3">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3">
      <c r="A12" s="3"/>
      <c r="B12" s="3"/>
      <c r="C12" s="3"/>
      <c r="D12" s="3"/>
      <c r="G12" s="205"/>
    </row>
    <row r="13" spans="1:43" ht="13.5" x14ac:dyDescent="0.3">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3.5" x14ac:dyDescent="0.3">
      <c r="C14" s="57" t="s">
        <v>58</v>
      </c>
      <c r="D14"/>
      <c r="E14" s="148">
        <v>0</v>
      </c>
      <c r="G14" s="207">
        <f>input_dollars</f>
        <v>45291</v>
      </c>
      <c r="H14" s="2"/>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ht="13.5" x14ac:dyDescent="0.3">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ht="13.5" x14ac:dyDescent="0.3">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ht="13.5" x14ac:dyDescent="0.3">
      <c r="C17" s="1" t="s">
        <v>30</v>
      </c>
      <c r="G17" s="207">
        <f>input_dollars</f>
        <v>45291</v>
      </c>
      <c r="H17" s="107"/>
      <c r="I17" s="106">
        <f t="shared" ref="I17:AB17" si="2">SUM(I14:I16)</f>
        <v>0</v>
      </c>
      <c r="J17" s="106">
        <f t="shared" si="2"/>
        <v>0</v>
      </c>
      <c r="K17" s="106">
        <f t="shared" si="2"/>
        <v>0</v>
      </c>
      <c r="L17" s="106">
        <f t="shared" si="2"/>
        <v>0</v>
      </c>
      <c r="M17" s="106">
        <f t="shared" si="2"/>
        <v>0</v>
      </c>
      <c r="N17" s="106">
        <f t="shared" si="2"/>
        <v>0</v>
      </c>
      <c r="O17" s="106">
        <f t="shared" si="2"/>
        <v>0</v>
      </c>
      <c r="P17" s="106">
        <f t="shared" si="2"/>
        <v>0</v>
      </c>
      <c r="Q17" s="106">
        <f t="shared" si="2"/>
        <v>0</v>
      </c>
      <c r="R17" s="106">
        <f t="shared" si="2"/>
        <v>0</v>
      </c>
      <c r="S17" s="106">
        <f t="shared" si="2"/>
        <v>0</v>
      </c>
      <c r="T17" s="106">
        <f t="shared" si="2"/>
        <v>0</v>
      </c>
      <c r="U17" s="106">
        <f t="shared" si="2"/>
        <v>0</v>
      </c>
      <c r="V17" s="106">
        <f t="shared" si="2"/>
        <v>0</v>
      </c>
      <c r="W17" s="106">
        <f t="shared" si="2"/>
        <v>0</v>
      </c>
      <c r="X17" s="106">
        <f t="shared" si="2"/>
        <v>0</v>
      </c>
      <c r="Y17" s="106">
        <f t="shared" si="2"/>
        <v>0</v>
      </c>
      <c r="Z17" s="106">
        <f t="shared" si="2"/>
        <v>0</v>
      </c>
      <c r="AA17" s="106">
        <f t="shared" si="2"/>
        <v>0</v>
      </c>
      <c r="AB17" s="106">
        <f t="shared" si="2"/>
        <v>0</v>
      </c>
      <c r="AC17" s="106">
        <f>SUM(AC14:AC16)</f>
        <v>0</v>
      </c>
      <c r="AD17" s="106">
        <f>SUM(AD14:AD16)</f>
        <v>0</v>
      </c>
      <c r="AE17" s="106">
        <f>SUM(AE14:AE16)</f>
        <v>0</v>
      </c>
      <c r="AF17" s="106">
        <f>SUM(AF14:AF16)</f>
        <v>0</v>
      </c>
      <c r="AG17" s="106">
        <f>SUM(AG14:AG16)</f>
        <v>0</v>
      </c>
    </row>
    <row r="18" spans="1:43" ht="13.5" x14ac:dyDescent="0.3">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3.5" x14ac:dyDescent="0.3">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3">
      <c r="G20" s="205"/>
    </row>
    <row r="21" spans="1:43" ht="13.5" x14ac:dyDescent="0.3">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4.5" x14ac:dyDescent="0.3">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3">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3">
      <c r="A24" s="111"/>
      <c r="B24" s="111"/>
      <c r="C24" s="1" t="s">
        <v>157</v>
      </c>
      <c r="D24" s="111"/>
      <c r="E24" s="111"/>
      <c r="F24" s="111"/>
      <c r="G24" s="208"/>
      <c r="H24" s="111"/>
      <c r="I24" s="136">
        <v>0</v>
      </c>
      <c r="J24" s="136">
        <v>0</v>
      </c>
      <c r="K24" s="136">
        <v>0</v>
      </c>
      <c r="L24" s="136">
        <v>0</v>
      </c>
      <c r="M24" s="136">
        <v>0</v>
      </c>
      <c r="N24" s="136">
        <v>0</v>
      </c>
      <c r="O24" s="136">
        <v>0</v>
      </c>
      <c r="P24" s="136">
        <v>0</v>
      </c>
      <c r="Q24" s="136">
        <v>0</v>
      </c>
      <c r="R24" s="136">
        <v>0</v>
      </c>
      <c r="S24" s="136">
        <v>0</v>
      </c>
      <c r="T24" s="136">
        <v>0</v>
      </c>
      <c r="U24" s="136">
        <v>0</v>
      </c>
      <c r="V24" s="136">
        <v>0</v>
      </c>
      <c r="W24" s="136">
        <v>0</v>
      </c>
      <c r="X24" s="136">
        <v>0</v>
      </c>
      <c r="Y24" s="136">
        <v>0</v>
      </c>
      <c r="Z24" s="136">
        <v>0</v>
      </c>
      <c r="AA24" s="136">
        <v>0</v>
      </c>
      <c r="AB24" s="136">
        <v>0</v>
      </c>
      <c r="AC24" s="136">
        <v>0</v>
      </c>
      <c r="AD24" s="136">
        <v>0</v>
      </c>
      <c r="AE24" s="136">
        <v>0</v>
      </c>
      <c r="AF24" s="136">
        <v>0</v>
      </c>
      <c r="AG24" s="136">
        <v>0</v>
      </c>
      <c r="AH24"/>
      <c r="AI24"/>
      <c r="AJ24"/>
      <c r="AK24"/>
      <c r="AL24"/>
      <c r="AM24"/>
      <c r="AN24"/>
      <c r="AO24"/>
      <c r="AP24"/>
      <c r="AQ24"/>
    </row>
    <row r="25" spans="1:43" ht="12.75" customHeight="1" x14ac:dyDescent="0.3">
      <c r="A25" s="111"/>
      <c r="B25" s="111"/>
      <c r="C25" s="1" t="s">
        <v>158</v>
      </c>
      <c r="D25" s="208"/>
      <c r="E25" s="111"/>
      <c r="F25" s="111"/>
      <c r="G25" s="208"/>
      <c r="H25" s="111"/>
      <c r="I25" s="136">
        <v>0</v>
      </c>
      <c r="J25" s="136">
        <v>0</v>
      </c>
      <c r="K25" s="136">
        <v>0</v>
      </c>
      <c r="L25" s="136">
        <v>0</v>
      </c>
      <c r="M25" s="136">
        <v>0</v>
      </c>
      <c r="N25" s="136">
        <v>0</v>
      </c>
      <c r="O25" s="136">
        <v>0</v>
      </c>
      <c r="P25" s="136">
        <v>0</v>
      </c>
      <c r="Q25" s="136">
        <v>0</v>
      </c>
      <c r="R25" s="136">
        <v>0</v>
      </c>
      <c r="S25" s="136">
        <v>0</v>
      </c>
      <c r="T25" s="136">
        <v>0</v>
      </c>
      <c r="U25" s="136">
        <v>0</v>
      </c>
      <c r="V25" s="136">
        <v>0</v>
      </c>
      <c r="W25" s="136">
        <v>0</v>
      </c>
      <c r="X25" s="136">
        <v>0</v>
      </c>
      <c r="Y25" s="136">
        <v>0</v>
      </c>
      <c r="Z25" s="136">
        <v>0</v>
      </c>
      <c r="AA25" s="136">
        <v>0</v>
      </c>
      <c r="AB25" s="136">
        <v>0</v>
      </c>
      <c r="AC25" s="136">
        <v>0</v>
      </c>
      <c r="AD25" s="136">
        <v>0</v>
      </c>
      <c r="AE25" s="136">
        <v>0</v>
      </c>
      <c r="AF25" s="136">
        <v>0</v>
      </c>
      <c r="AG25" s="136">
        <v>0</v>
      </c>
      <c r="AH25"/>
      <c r="AI25"/>
      <c r="AJ25"/>
      <c r="AK25"/>
      <c r="AL25"/>
      <c r="AM25"/>
      <c r="AN25"/>
      <c r="AO25"/>
      <c r="AP25"/>
      <c r="AQ25"/>
    </row>
    <row r="26" spans="1:43" ht="12.75" customHeight="1" x14ac:dyDescent="0.3">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3.5" x14ac:dyDescent="0.3">
      <c r="C27" s="1" t="s">
        <v>124</v>
      </c>
      <c r="D27" s="205"/>
      <c r="E27"/>
      <c r="G27" s="207" t="s">
        <v>40</v>
      </c>
      <c r="H27"/>
      <c r="I27" s="168">
        <f>Workings_risks!$M$23*Workings_risks!I$50</f>
        <v>79.101563657236937</v>
      </c>
      <c r="J27" s="168">
        <f>Workings_risks!$M$23*Workings_risks!J$50</f>
        <v>81.037732630875126</v>
      </c>
      <c r="K27" s="168">
        <f>Workings_risks!$M$23*Workings_risks!K$50</f>
        <v>82.973822502949659</v>
      </c>
      <c r="L27" s="168">
        <f>Workings_risks!$M$23*Workings_risks!L$50</f>
        <v>84.909978266626723</v>
      </c>
      <c r="M27" s="168">
        <f>Workings_risks!$M$23*Workings_risks!M$50</f>
        <v>86.846116548858205</v>
      </c>
      <c r="N27" s="168">
        <f>Workings_risks!$M$23*Workings_risks!N$50</f>
        <v>86.241073355436257</v>
      </c>
      <c r="O27" s="168">
        <f>Workings_risks!$M$23*Workings_risks!O$50</f>
        <v>85.636064729397617</v>
      </c>
      <c r="P27" s="168">
        <f>Workings_risks!$M$23*Workings_risks!P$50</f>
        <v>85.031016868983414</v>
      </c>
      <c r="Q27" s="168">
        <f>Workings_risks!$M$23*Workings_risks!Q$50</f>
        <v>84.425969008569211</v>
      </c>
      <c r="R27" s="168">
        <f>Workings_risks!$M$23*Workings_risks!R$50</f>
        <v>83.820921148155023</v>
      </c>
      <c r="S27" s="168">
        <f>Workings_risks!$M$23*Workings_risks!S$50</f>
        <v>83.215873287740806</v>
      </c>
      <c r="T27" s="168">
        <f>Workings_risks!$M$23*Workings_risks!T$50</f>
        <v>82.610825427326603</v>
      </c>
      <c r="U27" s="168">
        <f>Workings_risks!$M$23*Workings_risks!U$50</f>
        <v>82.0057775669124</v>
      </c>
      <c r="V27" s="168">
        <f>Workings_risks!$M$23*Workings_risks!V$50</f>
        <v>81.400729706498183</v>
      </c>
      <c r="W27" s="168">
        <f>Workings_risks!$M$23*Workings_risks!W$50</f>
        <v>80.79568184608398</v>
      </c>
      <c r="X27" s="168">
        <f>Workings_risks!$M$23*Workings_risks!X$50</f>
        <v>80.190633985669777</v>
      </c>
      <c r="Y27" s="168">
        <f>Workings_risks!$M$23*Workings_risks!Y$50</f>
        <v>79.585586125255574</v>
      </c>
      <c r="Z27" s="168">
        <f>Workings_risks!$M$23*Workings_risks!Z$50</f>
        <v>78.980538264841357</v>
      </c>
      <c r="AA27" s="168">
        <f>Workings_risks!$M$23*Workings_risks!AA$50</f>
        <v>78.375490404427154</v>
      </c>
      <c r="AB27" s="168">
        <f>Workings_risks!$M$23*Workings_risks!AB$50</f>
        <v>77.770442544012951</v>
      </c>
      <c r="AC27" s="168">
        <f>Workings_risks!$M$23*Workings_risks!AC$50</f>
        <v>77.165394683598748</v>
      </c>
      <c r="AD27" s="168">
        <f>Workings_risks!$M$23*Workings_risks!AD$50</f>
        <v>76.560346823184545</v>
      </c>
      <c r="AE27" s="168">
        <f>Workings_risks!$M$23*Workings_risks!AE$50</f>
        <v>75.955378064333999</v>
      </c>
      <c r="AF27" s="168">
        <f>Workings_risks!$M$23*Workings_risks!AF$50</f>
        <v>75.350330203919796</v>
      </c>
      <c r="AG27" s="168">
        <f>Workings_risks!$M$23*Workings_risks!AG$50</f>
        <v>74.745282343505579</v>
      </c>
      <c r="AH27"/>
      <c r="AI27"/>
      <c r="AJ27"/>
      <c r="AK27"/>
      <c r="AL27"/>
      <c r="AM27"/>
      <c r="AN27"/>
      <c r="AO27"/>
      <c r="AP27"/>
      <c r="AQ27"/>
    </row>
    <row r="28" spans="1:43" ht="13.5" x14ac:dyDescent="0.3">
      <c r="C28" s="1" t="s">
        <v>125</v>
      </c>
      <c r="D28" s="205" t="s">
        <v>64</v>
      </c>
      <c r="E28" s="112">
        <f>Assumptions!G43*vcr_esc</f>
        <v>44753.327047371298</v>
      </c>
      <c r="F28" s="238" t="str">
        <f>IF(AND(SUM(I27:AG27)&lt;&gt;0, E28=0), "!", "")</f>
        <v/>
      </c>
      <c r="G28" s="207">
        <f>input_dollars</f>
        <v>45291</v>
      </c>
      <c r="H28"/>
      <c r="I28" s="297">
        <f>I27*$E$28</f>
        <v>3540058.1483107843</v>
      </c>
      <c r="J28" s="297">
        <f t="shared" ref="J28:AG28" si="3">J27*$E$28</f>
        <v>3626708.1516069872</v>
      </c>
      <c r="K28" s="297">
        <f t="shared" si="3"/>
        <v>3713354.6148450421</v>
      </c>
      <c r="L28" s="297">
        <f t="shared" si="3"/>
        <v>3800004.0269515347</v>
      </c>
      <c r="M28" s="297">
        <f t="shared" si="3"/>
        <v>3886652.656705176</v>
      </c>
      <c r="N28" s="297">
        <f t="shared" si="3"/>
        <v>3859574.9607921778</v>
      </c>
      <c r="O28" s="297">
        <f t="shared" si="3"/>
        <v>3832498.8118845895</v>
      </c>
      <c r="P28" s="297">
        <f t="shared" si="3"/>
        <v>3805420.9071081607</v>
      </c>
      <c r="Q28" s="297">
        <f t="shared" si="3"/>
        <v>3778343.0023317314</v>
      </c>
      <c r="R28" s="297">
        <f t="shared" si="3"/>
        <v>3751265.097555303</v>
      </c>
      <c r="S28" s="297">
        <f t="shared" si="3"/>
        <v>3724187.1927788733</v>
      </c>
      <c r="T28" s="297">
        <f t="shared" si="3"/>
        <v>3697109.2880024444</v>
      </c>
      <c r="U28" s="297">
        <f t="shared" si="3"/>
        <v>3670031.3832260151</v>
      </c>
      <c r="V28" s="297">
        <f t="shared" si="3"/>
        <v>3642953.4784495854</v>
      </c>
      <c r="W28" s="297">
        <f t="shared" si="3"/>
        <v>3615875.5736731566</v>
      </c>
      <c r="X28" s="297">
        <f t="shared" si="3"/>
        <v>3588797.6688967273</v>
      </c>
      <c r="Y28" s="297">
        <f t="shared" si="3"/>
        <v>3561719.764120298</v>
      </c>
      <c r="Z28" s="297">
        <f t="shared" si="3"/>
        <v>3534641.8593438687</v>
      </c>
      <c r="AA28" s="297">
        <f t="shared" si="3"/>
        <v>3507563.9545674394</v>
      </c>
      <c r="AB28" s="297">
        <f t="shared" si="3"/>
        <v>3480486.0497910101</v>
      </c>
      <c r="AC28" s="297">
        <f t="shared" si="3"/>
        <v>3453408.1450145813</v>
      </c>
      <c r="AD28" s="297">
        <f t="shared" si="3"/>
        <v>3426330.240238152</v>
      </c>
      <c r="AE28" s="297">
        <f t="shared" si="3"/>
        <v>3399255.8755198712</v>
      </c>
      <c r="AF28" s="297">
        <f t="shared" si="3"/>
        <v>3372177.9707434424</v>
      </c>
      <c r="AG28" s="297">
        <f t="shared" si="3"/>
        <v>3345100.0659670127</v>
      </c>
      <c r="AH28"/>
      <c r="AI28"/>
      <c r="AJ28"/>
      <c r="AK28"/>
      <c r="AL28"/>
      <c r="AM28"/>
      <c r="AN28"/>
      <c r="AO28"/>
      <c r="AP28"/>
      <c r="AQ28"/>
    </row>
    <row r="29" spans="1:43" ht="13.5" x14ac:dyDescent="0.3">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3.5" x14ac:dyDescent="0.3">
      <c r="C30" s="1" t="s">
        <v>115</v>
      </c>
      <c r="D30" s="205" t="s">
        <v>212</v>
      </c>
      <c r="G30" s="207">
        <f>input_dollars</f>
        <v>45291</v>
      </c>
      <c r="H30" s="149"/>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170">
        <v>0</v>
      </c>
      <c r="AF30" s="170">
        <v>0</v>
      </c>
      <c r="AG30" s="170">
        <v>0</v>
      </c>
      <c r="AH30"/>
      <c r="AI30"/>
      <c r="AJ30"/>
      <c r="AK30"/>
      <c r="AL30"/>
      <c r="AM30"/>
      <c r="AN30"/>
      <c r="AO30"/>
      <c r="AP30"/>
      <c r="AQ30"/>
    </row>
    <row r="31" spans="1:43" ht="13.5" x14ac:dyDescent="0.3">
      <c r="C31" s="1" t="s">
        <v>117</v>
      </c>
      <c r="D31" s="206"/>
      <c r="E31"/>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170">
        <v>0</v>
      </c>
      <c r="AF31" s="170">
        <v>0</v>
      </c>
      <c r="AG31" s="170">
        <v>0</v>
      </c>
      <c r="AH31"/>
      <c r="AI31"/>
      <c r="AJ31"/>
      <c r="AK31"/>
      <c r="AL31"/>
      <c r="AM31"/>
      <c r="AN31"/>
      <c r="AO31"/>
      <c r="AP31"/>
      <c r="AQ31"/>
    </row>
    <row r="32" spans="1:43" ht="13.5" x14ac:dyDescent="0.3">
      <c r="C32" s="1" t="s">
        <v>116</v>
      </c>
      <c r="D32" s="205" t="s">
        <v>212</v>
      </c>
      <c r="E32"/>
      <c r="G32" s="207">
        <f>input_dollars</f>
        <v>45291</v>
      </c>
      <c r="H32"/>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ht="13.5" x14ac:dyDescent="0.3">
      <c r="C33" s="284" t="s">
        <v>179</v>
      </c>
      <c r="D33" s="219"/>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ht="13.5" x14ac:dyDescent="0.3">
      <c r="C34" s="284" t="s">
        <v>179</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ht="13.5" x14ac:dyDescent="0.3">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ht="13.5" x14ac:dyDescent="0.3">
      <c r="C36" s="3" t="s">
        <v>178</v>
      </c>
      <c r="D36" s="218"/>
      <c r="E36" s="107"/>
      <c r="F36" s="3"/>
      <c r="G36" s="209"/>
      <c r="H36" s="107"/>
      <c r="I36" s="106">
        <f>SUM(I28:I34)</f>
        <v>3540058.1483107843</v>
      </c>
      <c r="J36" s="106">
        <f t="shared" ref="J36:AB36" si="4">SUM(J28:J34)</f>
        <v>3626708.1516069872</v>
      </c>
      <c r="K36" s="106">
        <f t="shared" si="4"/>
        <v>3713354.6148450421</v>
      </c>
      <c r="L36" s="106">
        <f t="shared" si="4"/>
        <v>3800004.0269515347</v>
      </c>
      <c r="M36" s="106">
        <f t="shared" si="4"/>
        <v>3886652.656705176</v>
      </c>
      <c r="N36" s="106">
        <f t="shared" si="4"/>
        <v>3859574.9607921778</v>
      </c>
      <c r="O36" s="106">
        <f t="shared" si="4"/>
        <v>3832498.8118845895</v>
      </c>
      <c r="P36" s="106">
        <f t="shared" si="4"/>
        <v>3805420.9071081607</v>
      </c>
      <c r="Q36" s="106">
        <f t="shared" si="4"/>
        <v>3778343.0023317314</v>
      </c>
      <c r="R36" s="106">
        <f t="shared" si="4"/>
        <v>3751265.097555303</v>
      </c>
      <c r="S36" s="106">
        <f t="shared" si="4"/>
        <v>3724187.1927788733</v>
      </c>
      <c r="T36" s="106">
        <f t="shared" si="4"/>
        <v>3697109.2880024444</v>
      </c>
      <c r="U36" s="106">
        <f t="shared" si="4"/>
        <v>3670031.3832260151</v>
      </c>
      <c r="V36" s="106">
        <f t="shared" si="4"/>
        <v>3642953.4784495854</v>
      </c>
      <c r="W36" s="106">
        <f t="shared" si="4"/>
        <v>3615875.5736731566</v>
      </c>
      <c r="X36" s="106">
        <f t="shared" si="4"/>
        <v>3588797.6688967273</v>
      </c>
      <c r="Y36" s="106">
        <f t="shared" si="4"/>
        <v>3561719.764120298</v>
      </c>
      <c r="Z36" s="106">
        <f t="shared" si="4"/>
        <v>3534641.8593438687</v>
      </c>
      <c r="AA36" s="106">
        <f t="shared" si="4"/>
        <v>3507563.9545674394</v>
      </c>
      <c r="AB36" s="106">
        <f t="shared" si="4"/>
        <v>3480486.0497910101</v>
      </c>
      <c r="AC36" s="106">
        <f>SUM(AC28:AC34)</f>
        <v>3453408.1450145813</v>
      </c>
      <c r="AD36" s="106">
        <f>SUM(AD28:AD34)</f>
        <v>3426330.240238152</v>
      </c>
      <c r="AE36" s="106">
        <f>SUM(AE28:AE34)</f>
        <v>3399255.8755198712</v>
      </c>
      <c r="AF36" s="106">
        <f>SUM(AF28:AF34)</f>
        <v>3372177.9707434424</v>
      </c>
      <c r="AG36" s="106">
        <f>SUM(AG28:AG34)</f>
        <v>3345100.0659670127</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ht="13.5" x14ac:dyDescent="0.3">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4.5" x14ac:dyDescent="0.3">
      <c r="A38" s="89" t="s">
        <v>57</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ht="13.5" x14ac:dyDescent="0.3">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ht="13.5" x14ac:dyDescent="0.3">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35">
      <c r="C41" s="1" t="s">
        <v>60</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row>
    <row r="42" spans="1:16372" ht="13.5" x14ac:dyDescent="0.35">
      <c r="C42" s="1" t="s">
        <v>130</v>
      </c>
      <c r="G42" s="205" t="s">
        <v>105</v>
      </c>
      <c r="I42" s="31">
        <f t="shared" ref="I42:AG42" si="5">I41*I7</f>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row>
    <row r="43" spans="1:16372" ht="13.5" x14ac:dyDescent="0.3">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ht="13.5" x14ac:dyDescent="0.3">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3">
      <c r="C45" s="1" t="s">
        <v>326</v>
      </c>
      <c r="D45" s="205" t="s">
        <v>64</v>
      </c>
      <c r="E45" s="158">
        <f>Assumptions!G106-Assumptions!G43</f>
        <v>22746.672952628702</v>
      </c>
      <c r="G45" s="207" t="s">
        <v>40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c r="AF45" s="32">
        <v>0</v>
      </c>
      <c r="AG45" s="32">
        <v>0</v>
      </c>
    </row>
    <row r="46" spans="1:16372" x14ac:dyDescent="0.3">
      <c r="C46" s="1" t="s">
        <v>327</v>
      </c>
      <c r="D46" s="205" t="s">
        <v>64</v>
      </c>
      <c r="E46" s="158">
        <f>Assumptions!G46</f>
        <v>19880</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3">
      <c r="C47" s="1" t="s">
        <v>328</v>
      </c>
      <c r="D47" s="205" t="s">
        <v>64</v>
      </c>
      <c r="E47" s="158">
        <f>Assumptions!G47</f>
        <v>52200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3">
      <c r="C48" s="1" t="s">
        <v>329</v>
      </c>
      <c r="D48" s="205" t="s">
        <v>127</v>
      </c>
      <c r="E48" s="158">
        <f>Assumptions!G48</f>
        <v>74790</v>
      </c>
      <c r="G48" s="207" t="s">
        <v>209</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3">
      <c r="C49" s="1" t="s">
        <v>330</v>
      </c>
      <c r="D49" s="205" t="s">
        <v>210</v>
      </c>
      <c r="E49" s="158">
        <f>Assumptions!G49</f>
        <v>44400</v>
      </c>
      <c r="G49" s="207" t="s">
        <v>211</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3">
      <c r="C50" s="1" t="s">
        <v>331</v>
      </c>
      <c r="D50" s="205" t="s">
        <v>210</v>
      </c>
      <c r="E50" s="158">
        <f>Assumptions!G50</f>
        <v>52200</v>
      </c>
      <c r="G50" s="207"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3">
      <c r="C51" s="1" t="s">
        <v>6</v>
      </c>
      <c r="D51" s="205" t="s">
        <v>127</v>
      </c>
      <c r="E51" s="502">
        <f>Assumptions!G112</f>
        <v>0.28000000000000003</v>
      </c>
      <c r="G51" s="207" t="s">
        <v>209</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3">
      <c r="C52" s="1" t="s">
        <v>7</v>
      </c>
      <c r="D52" s="205" t="s">
        <v>127</v>
      </c>
      <c r="E52" s="502">
        <f>Assumptions!G113</f>
        <v>0.17</v>
      </c>
      <c r="G52" s="207"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3">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3">
      <c r="C54" s="1" t="s">
        <v>118</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3">
      <c r="C55" s="1" t="s">
        <v>119</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3">
      <c r="D56" s="205"/>
      <c r="G56" s="205"/>
    </row>
    <row r="57" spans="1:43" ht="13.5" x14ac:dyDescent="0.3">
      <c r="C57" s="3" t="s">
        <v>126</v>
      </c>
      <c r="D57" s="218"/>
      <c r="E57" s="107"/>
      <c r="F57" s="3"/>
      <c r="G57" s="210">
        <f>input_dollars</f>
        <v>45291</v>
      </c>
      <c r="H57" s="107"/>
      <c r="I57" s="106" cm="1">
        <f t="array" ref="I57">SUMPRODUCT((I$45:I$52)*($E$45:$E$52))+SUM(I54:I55)+I42</f>
        <v>0</v>
      </c>
      <c r="J57" s="106" cm="1">
        <f t="array" ref="J57">SUMPRODUCT((J$45:J$52)*($E$45:$E$52))+SUM(J54:J55)+J42</f>
        <v>0</v>
      </c>
      <c r="K57" s="106" cm="1">
        <f t="array" ref="K57">SUMPRODUCT((K$45:K$52)*($E$45:$E$52))+SUM(K54:K55)+K42</f>
        <v>0</v>
      </c>
      <c r="L57" s="106" cm="1">
        <f t="array" ref="L57">SUMPRODUCT((L$45:L$52)*($E$45:$E$52))+SUM(L54:L55)+L42</f>
        <v>0</v>
      </c>
      <c r="M57" s="106" cm="1">
        <f t="array" ref="M57">SUMPRODUCT((M$45:M$52)*($E$45:$E$52))+SUM(M54:M55)+M42</f>
        <v>0</v>
      </c>
      <c r="N57" s="106" cm="1">
        <f t="array" ref="N57">SUMPRODUCT((N$45:N$52)*($E$45:$E$52))+SUM(N54:N55)+N42</f>
        <v>0</v>
      </c>
      <c r="O57" s="106" cm="1">
        <f t="array" ref="O57">SUMPRODUCT((O$45:O$52)*($E$45:$E$52))+SUM(O54:O55)+O42</f>
        <v>0</v>
      </c>
      <c r="P57" s="106" cm="1">
        <f t="array" ref="P57">SUMPRODUCT((P$45:P$52)*($E$45:$E$52))+SUM(P54:P55)+P42</f>
        <v>0</v>
      </c>
      <c r="Q57" s="106" cm="1">
        <f t="array" ref="Q57">SUMPRODUCT((Q$45:Q$52)*($E$45:$E$52))+SUM(Q54:Q55)+Q42</f>
        <v>0</v>
      </c>
      <c r="R57" s="106" cm="1">
        <f t="array" ref="R57">SUMPRODUCT((R$45:R$52)*($E$45:$E$52))+SUM(R54:R55)+R42</f>
        <v>0</v>
      </c>
      <c r="S57" s="106" cm="1">
        <f t="array" ref="S57">SUMPRODUCT((S$45:S$52)*($E$45:$E$52))+SUM(S54:S55)+S42</f>
        <v>0</v>
      </c>
      <c r="T57" s="106" cm="1">
        <f t="array" ref="T57">SUMPRODUCT((T$45:T$52)*($E$45:$E$52))+SUM(T54:T55)+T42</f>
        <v>0</v>
      </c>
      <c r="U57" s="106" cm="1">
        <f t="array" ref="U57">SUMPRODUCT((U$45:U$52)*($E$45:$E$52))+SUM(U54:U55)+U42</f>
        <v>0</v>
      </c>
      <c r="V57" s="106" cm="1">
        <f t="array" ref="V57">SUMPRODUCT((V$45:V$52)*($E$45:$E$52))+SUM(V54:V55)+V42</f>
        <v>0</v>
      </c>
      <c r="W57" s="106" cm="1">
        <f t="array" ref="W57">SUMPRODUCT((W$45:W$52)*($E$45:$E$52))+SUM(W54:W55)+W42</f>
        <v>0</v>
      </c>
      <c r="X57" s="106" cm="1">
        <f t="array" ref="X57">SUMPRODUCT((X$45:X$52)*($E$45:$E$52))+SUM(X54:X55)+X42</f>
        <v>0</v>
      </c>
      <c r="Y57" s="106" cm="1">
        <f t="array" ref="Y57">SUMPRODUCT((Y$45:Y$52)*($E$45:$E$52))+SUM(Y54:Y55)+Y42</f>
        <v>0</v>
      </c>
      <c r="Z57" s="106" cm="1">
        <f t="array" ref="Z57">SUMPRODUCT((Z$45:Z$52)*($E$45:$E$52))+SUM(Z54:Z55)+Z42</f>
        <v>0</v>
      </c>
      <c r="AA57" s="106" cm="1">
        <f t="array" ref="AA57">SUMPRODUCT((AA$45:AA$52)*($E$45:$E$52))+SUM(AA54:AA55)+AA42</f>
        <v>0</v>
      </c>
      <c r="AB57" s="106" cm="1">
        <f t="array" ref="AB57">SUMPRODUCT((AB$45:AB$52)*($E$45:$E$52))+SUM(AB54:AB55)+AB42</f>
        <v>0</v>
      </c>
      <c r="AC57" s="106" cm="1">
        <f t="array" ref="AC57">SUMPRODUCT((AC$45:AC$52)*($E$45:$E$52))+SUM(AC54:AC55)+AC42</f>
        <v>0</v>
      </c>
      <c r="AD57" s="106" cm="1">
        <f t="array" ref="AD57">SUMPRODUCT((AD$45:AD$52)*($E$45:$E$52))+SUM(AD54:AD55)+AD42</f>
        <v>0</v>
      </c>
      <c r="AE57" s="106" cm="1">
        <f t="array" ref="AE57">SUMPRODUCT((AE$45:AE$52)*($E$45:$E$52))+SUM(AE54:AE55)+AE42</f>
        <v>0</v>
      </c>
      <c r="AF57" s="106" cm="1">
        <f t="array" ref="AF57">SUMPRODUCT((AF$45:AF$52)*($E$45:$E$52))+SUM(AF54:AF55)+AF42</f>
        <v>0</v>
      </c>
      <c r="AG57" s="106" cm="1">
        <f t="array" ref="AG57">SUMPRODUCT((AG$45:AG$52)*($E$45:$E$52))+SUM(AG54:AG55)+AG42</f>
        <v>0</v>
      </c>
    </row>
    <row r="58" spans="1:43" x14ac:dyDescent="0.3">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3">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4.5" x14ac:dyDescent="0.3">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4.5" x14ac:dyDescent="0.3">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3">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3">
      <c r="C63" s="4"/>
      <c r="F63" s="2"/>
      <c r="G63" s="212"/>
    </row>
    <row r="64" spans="1:43" x14ac:dyDescent="0.3">
      <c r="C64" s="4" t="s">
        <v>122</v>
      </c>
      <c r="G64" s="210">
        <f>input_dollars</f>
        <v>45291</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row>
    <row r="65" spans="1:33" x14ac:dyDescent="0.3">
      <c r="G65" s="212"/>
    </row>
    <row r="66" spans="1:33" x14ac:dyDescent="0.3">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3">
      <c r="A67" s="8"/>
      <c r="B67" s="8"/>
      <c r="C67" s="4" t="str">
        <f>C14</f>
        <v>&lt; Enter description &gt;</v>
      </c>
      <c r="D67" s="38"/>
      <c r="F67" s="97"/>
      <c r="G67" s="210">
        <f>input_dollars</f>
        <v>45291</v>
      </c>
      <c r="H67" s="31"/>
      <c r="I67" s="118">
        <f t="shared" ref="I67:AG67" si="6">-I14</f>
        <v>0</v>
      </c>
      <c r="J67" s="118">
        <f t="shared" si="6"/>
        <v>0</v>
      </c>
      <c r="K67" s="118">
        <f t="shared" si="6"/>
        <v>0</v>
      </c>
      <c r="L67" s="118">
        <f t="shared" si="6"/>
        <v>0</v>
      </c>
      <c r="M67" s="118">
        <f t="shared" si="6"/>
        <v>0</v>
      </c>
      <c r="N67" s="118">
        <f t="shared" si="6"/>
        <v>0</v>
      </c>
      <c r="O67" s="118">
        <f t="shared" si="6"/>
        <v>0</v>
      </c>
      <c r="P67" s="118">
        <f t="shared" si="6"/>
        <v>0</v>
      </c>
      <c r="Q67" s="118">
        <f t="shared" si="6"/>
        <v>0</v>
      </c>
      <c r="R67" s="118">
        <f t="shared" si="6"/>
        <v>0</v>
      </c>
      <c r="S67" s="118">
        <f t="shared" si="6"/>
        <v>0</v>
      </c>
      <c r="T67" s="118">
        <f t="shared" si="6"/>
        <v>0</v>
      </c>
      <c r="U67" s="118">
        <f t="shared" si="6"/>
        <v>0</v>
      </c>
      <c r="V67" s="118">
        <f t="shared" si="6"/>
        <v>0</v>
      </c>
      <c r="W67" s="118">
        <f t="shared" si="6"/>
        <v>0</v>
      </c>
      <c r="X67" s="118">
        <f t="shared" si="6"/>
        <v>0</v>
      </c>
      <c r="Y67" s="118">
        <f t="shared" si="6"/>
        <v>0</v>
      </c>
      <c r="Z67" s="118">
        <f t="shared" si="6"/>
        <v>0</v>
      </c>
      <c r="AA67" s="118">
        <f t="shared" si="6"/>
        <v>0</v>
      </c>
      <c r="AB67" s="118">
        <f t="shared" si="6"/>
        <v>0</v>
      </c>
      <c r="AC67" s="118">
        <f t="shared" si="6"/>
        <v>0</v>
      </c>
      <c r="AD67" s="118">
        <f t="shared" si="6"/>
        <v>0</v>
      </c>
      <c r="AE67" s="118">
        <f t="shared" si="6"/>
        <v>0</v>
      </c>
      <c r="AF67" s="118">
        <f t="shared" si="6"/>
        <v>0</v>
      </c>
      <c r="AG67" s="118">
        <f t="shared" si="6"/>
        <v>0</v>
      </c>
    </row>
    <row r="68" spans="1:33" x14ac:dyDescent="0.3">
      <c r="A68" s="8"/>
      <c r="B68" s="8"/>
      <c r="C68" s="4" t="str">
        <f>C15</f>
        <v>&lt; Enter description &gt;</v>
      </c>
      <c r="D68" s="38"/>
      <c r="F68" s="97"/>
      <c r="G68" s="210">
        <f>input_dollars</f>
        <v>45291</v>
      </c>
      <c r="H68" s="31"/>
      <c r="I68" s="118">
        <f t="shared" ref="I68:AG68" si="7">-I15</f>
        <v>0</v>
      </c>
      <c r="J68" s="118">
        <f t="shared" si="7"/>
        <v>0</v>
      </c>
      <c r="K68" s="118">
        <f t="shared" si="7"/>
        <v>0</v>
      </c>
      <c r="L68" s="118">
        <f t="shared" si="7"/>
        <v>0</v>
      </c>
      <c r="M68" s="118">
        <f t="shared" si="7"/>
        <v>0</v>
      </c>
      <c r="N68" s="118">
        <f t="shared" si="7"/>
        <v>0</v>
      </c>
      <c r="O68" s="118">
        <f t="shared" si="7"/>
        <v>0</v>
      </c>
      <c r="P68" s="118">
        <f t="shared" si="7"/>
        <v>0</v>
      </c>
      <c r="Q68" s="118">
        <f t="shared" si="7"/>
        <v>0</v>
      </c>
      <c r="R68" s="118">
        <f t="shared" si="7"/>
        <v>0</v>
      </c>
      <c r="S68" s="118">
        <f t="shared" si="7"/>
        <v>0</v>
      </c>
      <c r="T68" s="118">
        <f t="shared" si="7"/>
        <v>0</v>
      </c>
      <c r="U68" s="118">
        <f t="shared" si="7"/>
        <v>0</v>
      </c>
      <c r="V68" s="118">
        <f t="shared" si="7"/>
        <v>0</v>
      </c>
      <c r="W68" s="118">
        <f t="shared" si="7"/>
        <v>0</v>
      </c>
      <c r="X68" s="118">
        <f t="shared" si="7"/>
        <v>0</v>
      </c>
      <c r="Y68" s="118">
        <f t="shared" si="7"/>
        <v>0</v>
      </c>
      <c r="Z68" s="118">
        <f t="shared" si="7"/>
        <v>0</v>
      </c>
      <c r="AA68" s="118">
        <f t="shared" si="7"/>
        <v>0</v>
      </c>
      <c r="AB68" s="118">
        <f t="shared" si="7"/>
        <v>0</v>
      </c>
      <c r="AC68" s="118">
        <f t="shared" si="7"/>
        <v>0</v>
      </c>
      <c r="AD68" s="118">
        <f t="shared" si="7"/>
        <v>0</v>
      </c>
      <c r="AE68" s="118">
        <f t="shared" si="7"/>
        <v>0</v>
      </c>
      <c r="AF68" s="118">
        <f t="shared" si="7"/>
        <v>0</v>
      </c>
      <c r="AG68" s="118">
        <f t="shared" si="7"/>
        <v>0</v>
      </c>
    </row>
    <row r="69" spans="1:33" x14ac:dyDescent="0.3">
      <c r="A69" s="8"/>
      <c r="B69" s="8"/>
      <c r="C69" s="4" t="str">
        <f>C16</f>
        <v>&lt; Enter description &gt;</v>
      </c>
      <c r="D69" s="38"/>
      <c r="F69" s="97"/>
      <c r="G69" s="210">
        <f>input_dollars</f>
        <v>45291</v>
      </c>
      <c r="H69" s="31"/>
      <c r="I69" s="118">
        <f t="shared" ref="I69:AG69" si="8">-I16</f>
        <v>0</v>
      </c>
      <c r="J69" s="118">
        <f t="shared" si="8"/>
        <v>0</v>
      </c>
      <c r="K69" s="118">
        <f t="shared" si="8"/>
        <v>0</v>
      </c>
      <c r="L69" s="118">
        <f t="shared" si="8"/>
        <v>0</v>
      </c>
      <c r="M69" s="118">
        <f t="shared" si="8"/>
        <v>0</v>
      </c>
      <c r="N69" s="118">
        <f t="shared" si="8"/>
        <v>0</v>
      </c>
      <c r="O69" s="118">
        <f t="shared" si="8"/>
        <v>0</v>
      </c>
      <c r="P69" s="118">
        <f t="shared" si="8"/>
        <v>0</v>
      </c>
      <c r="Q69" s="118">
        <f t="shared" si="8"/>
        <v>0</v>
      </c>
      <c r="R69" s="118">
        <f t="shared" si="8"/>
        <v>0</v>
      </c>
      <c r="S69" s="118">
        <f t="shared" si="8"/>
        <v>0</v>
      </c>
      <c r="T69" s="118">
        <f t="shared" si="8"/>
        <v>0</v>
      </c>
      <c r="U69" s="118">
        <f t="shared" si="8"/>
        <v>0</v>
      </c>
      <c r="V69" s="118">
        <f t="shared" si="8"/>
        <v>0</v>
      </c>
      <c r="W69" s="118">
        <f t="shared" si="8"/>
        <v>0</v>
      </c>
      <c r="X69" s="118">
        <f t="shared" si="8"/>
        <v>0</v>
      </c>
      <c r="Y69" s="118">
        <f t="shared" si="8"/>
        <v>0</v>
      </c>
      <c r="Z69" s="118">
        <f t="shared" si="8"/>
        <v>0</v>
      </c>
      <c r="AA69" s="118">
        <f t="shared" si="8"/>
        <v>0</v>
      </c>
      <c r="AB69" s="118">
        <f t="shared" si="8"/>
        <v>0</v>
      </c>
      <c r="AC69" s="118">
        <f t="shared" si="8"/>
        <v>0</v>
      </c>
      <c r="AD69" s="118">
        <f t="shared" si="8"/>
        <v>0</v>
      </c>
      <c r="AE69" s="118">
        <f t="shared" si="8"/>
        <v>0</v>
      </c>
      <c r="AF69" s="118">
        <f t="shared" si="8"/>
        <v>0</v>
      </c>
      <c r="AG69" s="118">
        <f t="shared" si="8"/>
        <v>0</v>
      </c>
    </row>
    <row r="70" spans="1:33" x14ac:dyDescent="0.3">
      <c r="A70" s="8"/>
      <c r="B70" s="8"/>
      <c r="C70" s="4"/>
      <c r="D70" s="38"/>
      <c r="F70" s="97"/>
      <c r="G70" s="214"/>
      <c r="H70" s="31"/>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row>
    <row r="71" spans="1:33" x14ac:dyDescent="0.3">
      <c r="A71" s="8"/>
      <c r="B71" s="8"/>
      <c r="C71" s="147" t="s">
        <v>162</v>
      </c>
      <c r="D71" s="38"/>
      <c r="F71" s="97"/>
      <c r="G71" s="213"/>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3">
      <c r="A72" s="8"/>
      <c r="B72" s="8"/>
      <c r="C72" s="4" t="str">
        <f>C14</f>
        <v>&lt; Enter description &gt;</v>
      </c>
      <c r="D72" s="38"/>
      <c r="F72" s="97"/>
      <c r="G72" s="210">
        <f>input_dollars</f>
        <v>45291</v>
      </c>
      <c r="H72" s="31"/>
      <c r="I72" s="118" cm="1">
        <f t="array" ref="I72">SUMPRODUCT(($I67:I67))-SUMPRODUCT(($I67:I67)*($I$6:I$6&lt;=(I$6-$E14)))</f>
        <v>0</v>
      </c>
      <c r="J72" s="118" cm="1">
        <f t="array" ref="J72">SUMPRODUCT(($I67:J67))-SUMPRODUCT(($I67:J67)*($I$6:J$6&lt;=(J$6-$E14)))</f>
        <v>0</v>
      </c>
      <c r="K72" s="118" cm="1">
        <f t="array" ref="K72">SUMPRODUCT(($I67:K67))-SUMPRODUCT(($I67:K67)*($I$6:K$6&lt;=(K$6-$E14)))</f>
        <v>0</v>
      </c>
      <c r="L72" s="118" cm="1">
        <f t="array" ref="L72">SUMPRODUCT(($I67:L67))-SUMPRODUCT(($I67:L67)*($I$6:L$6&lt;=(L$6-$E14)))</f>
        <v>0</v>
      </c>
      <c r="M72" s="118" cm="1">
        <f t="array" ref="M72">SUMPRODUCT(($I67:M67))-SUMPRODUCT(($I67:M67)*($I$6:M$6&lt;=(M$6-$E14)))</f>
        <v>0</v>
      </c>
      <c r="N72" s="118" cm="1">
        <f t="array" ref="N72">SUMPRODUCT(($I67:N67))-SUMPRODUCT(($I67:N67)*($I$6:N$6&lt;=(N$6-$E14)))</f>
        <v>0</v>
      </c>
      <c r="O72" s="118" cm="1">
        <f t="array" ref="O72">SUMPRODUCT(($I67:O67))-SUMPRODUCT(($I67:O67)*($I$6:O$6&lt;=(O$6-$E14)))</f>
        <v>0</v>
      </c>
      <c r="P72" s="118" cm="1">
        <f t="array" ref="P72">SUMPRODUCT(($I67:P67))-SUMPRODUCT(($I67:P67)*($I$6:P$6&lt;=(P$6-$E14)))</f>
        <v>0</v>
      </c>
      <c r="Q72" s="118" cm="1">
        <f t="array" ref="Q72">SUMPRODUCT(($I67:Q67))-SUMPRODUCT(($I67:Q67)*($I$6:Q$6&lt;=(Q$6-$E14)))</f>
        <v>0</v>
      </c>
      <c r="R72" s="118" cm="1">
        <f t="array" ref="R72">SUMPRODUCT(($I67:R67))-SUMPRODUCT(($I67:R67)*($I$6:R$6&lt;=(R$6-$E14)))</f>
        <v>0</v>
      </c>
      <c r="S72" s="118" cm="1">
        <f t="array" ref="S72">SUMPRODUCT(($I67:S67))-SUMPRODUCT(($I67:S67)*($I$6:S$6&lt;=(S$6-$E14)))</f>
        <v>0</v>
      </c>
      <c r="T72" s="118" cm="1">
        <f t="array" ref="T72">SUMPRODUCT(($I67:T67))-SUMPRODUCT(($I67:T67)*($I$6:T$6&lt;=(T$6-$E14)))</f>
        <v>0</v>
      </c>
      <c r="U72" s="118" cm="1">
        <f t="array" ref="U72">SUMPRODUCT(($I67:U67))-SUMPRODUCT(($I67:U67)*($I$6:U$6&lt;=(U$6-$E14)))</f>
        <v>0</v>
      </c>
      <c r="V72" s="118" cm="1">
        <f t="array" ref="V72">SUMPRODUCT(($I67:V67))-SUMPRODUCT(($I67:V67)*($I$6:V$6&lt;=(V$6-$E14)))</f>
        <v>0</v>
      </c>
      <c r="W72" s="118" cm="1">
        <f t="array" ref="W72">SUMPRODUCT(($I67:W67))-SUMPRODUCT(($I67:W67)*($I$6:W$6&lt;=(W$6-$E14)))</f>
        <v>0</v>
      </c>
      <c r="X72" s="118" cm="1">
        <f t="array" ref="X72">SUMPRODUCT(($I67:X67))-SUMPRODUCT(($I67:X67)*($I$6:X$6&lt;=(X$6-$E14)))</f>
        <v>0</v>
      </c>
      <c r="Y72" s="118" cm="1">
        <f t="array" ref="Y72">SUMPRODUCT(($I67:Y67))-SUMPRODUCT(($I67:Y67)*($I$6:Y$6&lt;=(Y$6-$E14)))</f>
        <v>0</v>
      </c>
      <c r="Z72" s="118" cm="1">
        <f t="array" ref="Z72">SUMPRODUCT(($I67:Z67))-SUMPRODUCT(($I67:Z67)*($I$6:Z$6&lt;=(Z$6-$E14)))</f>
        <v>0</v>
      </c>
      <c r="AA72" s="118" cm="1">
        <f t="array" ref="AA72">SUMPRODUCT(($I67:AA67))-SUMPRODUCT(($I67:AA67)*($I$6:AA$6&lt;=(AA$6-$E14)))</f>
        <v>0</v>
      </c>
      <c r="AB72" s="118" cm="1">
        <f t="array" ref="AB72">SUMPRODUCT(($I67:AB67))-SUMPRODUCT(($I67:AB67)*($I$6:AB$6&lt;=(AB$6-$E14)))</f>
        <v>0</v>
      </c>
      <c r="AC72" s="118" cm="1">
        <f t="array" ref="AC72">SUMPRODUCT(($I67:AC67))-SUMPRODUCT(($I67:AC67)*($I$6:AC$6&lt;=(AC$6-$E14)))</f>
        <v>0</v>
      </c>
      <c r="AD72" s="118" cm="1">
        <f t="array" ref="AD72">SUMPRODUCT(($I67:AD67))-SUMPRODUCT(($I67:AD67)*($I$6:AD$6&lt;=(AD$6-$E14)))</f>
        <v>0</v>
      </c>
      <c r="AE72" s="118" cm="1">
        <f t="array" ref="AE72">SUMPRODUCT(($I67:AE67))-SUMPRODUCT(($I67:AE67)*($I$6:AE$6&lt;=(AE$6-$E14)))</f>
        <v>0</v>
      </c>
      <c r="AF72" s="118" cm="1">
        <f t="array" ref="AF72">SUMPRODUCT(($I67:AF67))-SUMPRODUCT(($I67:AF67)*($I$6:AF$6&lt;=(AF$6-$E14)))</f>
        <v>0</v>
      </c>
      <c r="AG72" s="118" cm="1">
        <f t="array" ref="AG72">SUMPRODUCT(($I67:AG67))-SUMPRODUCT(($I67:AG67)*($I$6:AG$6&lt;=(AG$6-$E14)))</f>
        <v>0</v>
      </c>
    </row>
    <row r="73" spans="1:33" x14ac:dyDescent="0.3">
      <c r="A73" s="8"/>
      <c r="B73" s="8"/>
      <c r="C73" s="4" t="str">
        <f>C15</f>
        <v>&lt; Enter description &gt;</v>
      </c>
      <c r="D73" s="38"/>
      <c r="F73" s="97"/>
      <c r="G73" s="210">
        <f>input_dollars</f>
        <v>45291</v>
      </c>
      <c r="H73" s="31"/>
      <c r="I73" s="118" cm="1">
        <f t="array" ref="I73">SUMPRODUCT(($I68:I68))-SUMPRODUCT(($I68:I68)*($I$6:I$6&lt;=(I$6-$E15)))</f>
        <v>0</v>
      </c>
      <c r="J73" s="118" cm="1">
        <f t="array" ref="J73">SUMPRODUCT(($I68:J68))-SUMPRODUCT(($I68:J68)*($I$6:J$6&lt;=(J$6-$E15)))</f>
        <v>0</v>
      </c>
      <c r="K73" s="118" cm="1">
        <f t="array" ref="K73">SUMPRODUCT(($I68:K68))-SUMPRODUCT(($I68:K68)*($I$6:K$6&lt;=(K$6-$E15)))</f>
        <v>0</v>
      </c>
      <c r="L73" s="118" cm="1">
        <f t="array" ref="L73">SUMPRODUCT(($I68:L68))-SUMPRODUCT(($I68:L68)*($I$6:L$6&lt;=(L$6-$E15)))</f>
        <v>0</v>
      </c>
      <c r="M73" s="118" cm="1">
        <f t="array" ref="M73">SUMPRODUCT(($I68:M68))-SUMPRODUCT(($I68:M68)*($I$6:M$6&lt;=(M$6-$E15)))</f>
        <v>0</v>
      </c>
      <c r="N73" s="118" cm="1">
        <f t="array" ref="N73">SUMPRODUCT(($I68:N68))-SUMPRODUCT(($I68:N68)*($I$6:N$6&lt;=(N$6-$E15)))</f>
        <v>0</v>
      </c>
      <c r="O73" s="118" cm="1">
        <f t="array" ref="O73">SUMPRODUCT(($I68:O68))-SUMPRODUCT(($I68:O68)*($I$6:O$6&lt;=(O$6-$E15)))</f>
        <v>0</v>
      </c>
      <c r="P73" s="118" cm="1">
        <f t="array" ref="P73">SUMPRODUCT(($I68:P68))-SUMPRODUCT(($I68:P68)*($I$6:P$6&lt;=(P$6-$E15)))</f>
        <v>0</v>
      </c>
      <c r="Q73" s="118" cm="1">
        <f t="array" ref="Q73">SUMPRODUCT(($I68:Q68))-SUMPRODUCT(($I68:Q68)*($I$6:Q$6&lt;=(Q$6-$E15)))</f>
        <v>0</v>
      </c>
      <c r="R73" s="118" cm="1">
        <f t="array" ref="R73">SUMPRODUCT(($I68:R68))-SUMPRODUCT(($I68:R68)*($I$6:R$6&lt;=(R$6-$E15)))</f>
        <v>0</v>
      </c>
      <c r="S73" s="118" cm="1">
        <f t="array" ref="S73">SUMPRODUCT(($I68:S68))-SUMPRODUCT(($I68:S68)*($I$6:S$6&lt;=(S$6-$E15)))</f>
        <v>0</v>
      </c>
      <c r="T73" s="118" cm="1">
        <f t="array" ref="T73">SUMPRODUCT(($I68:T68))-SUMPRODUCT(($I68:T68)*($I$6:T$6&lt;=(T$6-$E15)))</f>
        <v>0</v>
      </c>
      <c r="U73" s="118" cm="1">
        <f t="array" ref="U73">SUMPRODUCT(($I68:U68))-SUMPRODUCT(($I68:U68)*($I$6:U$6&lt;=(U$6-$E15)))</f>
        <v>0</v>
      </c>
      <c r="V73" s="118" cm="1">
        <f t="array" ref="V73">SUMPRODUCT(($I68:V68))-SUMPRODUCT(($I68:V68)*($I$6:V$6&lt;=(V$6-$E15)))</f>
        <v>0</v>
      </c>
      <c r="W73" s="118" cm="1">
        <f t="array" ref="W73">SUMPRODUCT(($I68:W68))-SUMPRODUCT(($I68:W68)*($I$6:W$6&lt;=(W$6-$E15)))</f>
        <v>0</v>
      </c>
      <c r="X73" s="118" cm="1">
        <f t="array" ref="X73">SUMPRODUCT(($I68:X68))-SUMPRODUCT(($I68:X68)*($I$6:X$6&lt;=(X$6-$E15)))</f>
        <v>0</v>
      </c>
      <c r="Y73" s="118" cm="1">
        <f t="array" ref="Y73">SUMPRODUCT(($I68:Y68))-SUMPRODUCT(($I68:Y68)*($I$6:Y$6&lt;=(Y$6-$E15)))</f>
        <v>0</v>
      </c>
      <c r="Z73" s="118" cm="1">
        <f t="array" ref="Z73">SUMPRODUCT(($I68:Z68))-SUMPRODUCT(($I68:Z68)*($I$6:Z$6&lt;=(Z$6-$E15)))</f>
        <v>0</v>
      </c>
      <c r="AA73" s="118" cm="1">
        <f t="array" ref="AA73">SUMPRODUCT(($I68:AA68))-SUMPRODUCT(($I68:AA68)*($I$6:AA$6&lt;=(AA$6-$E15)))</f>
        <v>0</v>
      </c>
      <c r="AB73" s="118" cm="1">
        <f t="array" ref="AB73">SUMPRODUCT(($I68:AB68))-SUMPRODUCT(($I68:AB68)*($I$6:AB$6&lt;=(AB$6-$E15)))</f>
        <v>0</v>
      </c>
      <c r="AC73" s="118" cm="1">
        <f t="array" ref="AC73">SUMPRODUCT(($I68:AC68))-SUMPRODUCT(($I68:AC68)*($I$6:AC$6&lt;=(AC$6-$E15)))</f>
        <v>0</v>
      </c>
      <c r="AD73" s="118" cm="1">
        <f t="array" ref="AD73">SUMPRODUCT(($I68:AD68))-SUMPRODUCT(($I68:AD68)*($I$6:AD$6&lt;=(AD$6-$E15)))</f>
        <v>0</v>
      </c>
      <c r="AE73" s="118" cm="1">
        <f t="array" ref="AE73">SUMPRODUCT(($I68:AE68))-SUMPRODUCT(($I68:AE68)*($I$6:AE$6&lt;=(AE$6-$E15)))</f>
        <v>0</v>
      </c>
      <c r="AF73" s="118" cm="1">
        <f t="array" ref="AF73">SUMPRODUCT(($I68:AF68))-SUMPRODUCT(($I68:AF68)*($I$6:AF$6&lt;=(AF$6-$E15)))</f>
        <v>0</v>
      </c>
      <c r="AG73" s="118" cm="1">
        <f t="array" ref="AG73">SUMPRODUCT(($I68:AG68))-SUMPRODUCT(($I68:AG68)*($I$6:AG$6&lt;=(AG$6-$E15)))</f>
        <v>0</v>
      </c>
    </row>
    <row r="74" spans="1:33" x14ac:dyDescent="0.3">
      <c r="A74" s="8"/>
      <c r="B74" s="8"/>
      <c r="C74" s="4" t="str">
        <f>C16</f>
        <v>&lt; Enter description &gt;</v>
      </c>
      <c r="D74" s="38"/>
      <c r="F74" s="97"/>
      <c r="G74" s="210">
        <f>input_dollars</f>
        <v>45291</v>
      </c>
      <c r="H74" s="31"/>
      <c r="I74" s="118" cm="1">
        <f t="array" ref="I74">SUMPRODUCT(($I69:I69))-SUMPRODUCT(($I69:I69)*($I$6:I$6&lt;=(I$6-$E16)))</f>
        <v>0</v>
      </c>
      <c r="J74" s="118" cm="1">
        <f t="array" ref="J74">SUMPRODUCT(($I69:J69))-SUMPRODUCT(($I69:J69)*($I$6:J$6&lt;=(J$6-$E16)))</f>
        <v>0</v>
      </c>
      <c r="K74" s="118" cm="1">
        <f t="array" ref="K74">SUMPRODUCT(($I69:K69))-SUMPRODUCT(($I69:K69)*($I$6:K$6&lt;=(K$6-$E16)))</f>
        <v>0</v>
      </c>
      <c r="L74" s="118" cm="1">
        <f t="array" ref="L74">SUMPRODUCT(($I69:L69))-SUMPRODUCT(($I69:L69)*($I$6:L$6&lt;=(L$6-$E16)))</f>
        <v>0</v>
      </c>
      <c r="M74" s="118" cm="1">
        <f t="array" ref="M74">SUMPRODUCT(($I69:M69))-SUMPRODUCT(($I69:M69)*($I$6:M$6&lt;=(M$6-$E16)))</f>
        <v>0</v>
      </c>
      <c r="N74" s="118" cm="1">
        <f t="array" ref="N74">SUMPRODUCT(($I69:N69))-SUMPRODUCT(($I69:N69)*($I$6:N$6&lt;=(N$6-$E16)))</f>
        <v>0</v>
      </c>
      <c r="O74" s="118" cm="1">
        <f t="array" ref="O74">SUMPRODUCT(($I69:O69))-SUMPRODUCT(($I69:O69)*($I$6:O$6&lt;=(O$6-$E16)))</f>
        <v>0</v>
      </c>
      <c r="P74" s="118" cm="1">
        <f t="array" ref="P74">SUMPRODUCT(($I69:P69))-SUMPRODUCT(($I69:P69)*($I$6:P$6&lt;=(P$6-$E16)))</f>
        <v>0</v>
      </c>
      <c r="Q74" s="118" cm="1">
        <f t="array" ref="Q74">SUMPRODUCT(($I69:Q69))-SUMPRODUCT(($I69:Q69)*($I$6:Q$6&lt;=(Q$6-$E16)))</f>
        <v>0</v>
      </c>
      <c r="R74" s="118" cm="1">
        <f t="array" ref="R74">SUMPRODUCT(($I69:R69))-SUMPRODUCT(($I69:R69)*($I$6:R$6&lt;=(R$6-$E16)))</f>
        <v>0</v>
      </c>
      <c r="S74" s="118" cm="1">
        <f t="array" ref="S74">SUMPRODUCT(($I69:S69))-SUMPRODUCT(($I69:S69)*($I$6:S$6&lt;=(S$6-$E16)))</f>
        <v>0</v>
      </c>
      <c r="T74" s="118" cm="1">
        <f t="array" ref="T74">SUMPRODUCT(($I69:T69))-SUMPRODUCT(($I69:T69)*($I$6:T$6&lt;=(T$6-$E16)))</f>
        <v>0</v>
      </c>
      <c r="U74" s="118" cm="1">
        <f t="array" ref="U74">SUMPRODUCT(($I69:U69))-SUMPRODUCT(($I69:U69)*($I$6:U$6&lt;=(U$6-$E16)))</f>
        <v>0</v>
      </c>
      <c r="V74" s="118" cm="1">
        <f t="array" ref="V74">SUMPRODUCT(($I69:V69))-SUMPRODUCT(($I69:V69)*($I$6:V$6&lt;=(V$6-$E16)))</f>
        <v>0</v>
      </c>
      <c r="W74" s="118" cm="1">
        <f t="array" ref="W74">SUMPRODUCT(($I69:W69))-SUMPRODUCT(($I69:W69)*($I$6:W$6&lt;=(W$6-$E16)))</f>
        <v>0</v>
      </c>
      <c r="X74" s="118" cm="1">
        <f t="array" ref="X74">SUMPRODUCT(($I69:X69))-SUMPRODUCT(($I69:X69)*($I$6:X$6&lt;=(X$6-$E16)))</f>
        <v>0</v>
      </c>
      <c r="Y74" s="118" cm="1">
        <f t="array" ref="Y74">SUMPRODUCT(($I69:Y69))-SUMPRODUCT(($I69:Y69)*($I$6:Y$6&lt;=(Y$6-$E16)))</f>
        <v>0</v>
      </c>
      <c r="Z74" s="118" cm="1">
        <f t="array" ref="Z74">SUMPRODUCT(($I69:Z69))-SUMPRODUCT(($I69:Z69)*($I$6:Z$6&lt;=(Z$6-$E16)))</f>
        <v>0</v>
      </c>
      <c r="AA74" s="118" cm="1">
        <f t="array" ref="AA74">SUMPRODUCT(($I69:AA69))-SUMPRODUCT(($I69:AA69)*($I$6:AA$6&lt;=(AA$6-$E16)))</f>
        <v>0</v>
      </c>
      <c r="AB74" s="118" cm="1">
        <f t="array" ref="AB74">SUMPRODUCT(($I69:AB69))-SUMPRODUCT(($I69:AB69)*($I$6:AB$6&lt;=(AB$6-$E16)))</f>
        <v>0</v>
      </c>
      <c r="AC74" s="118" cm="1">
        <f t="array" ref="AC74">SUMPRODUCT(($I69:AC69))-SUMPRODUCT(($I69:AC69)*($I$6:AC$6&lt;=(AC$6-$E16)))</f>
        <v>0</v>
      </c>
      <c r="AD74" s="118" cm="1">
        <f t="array" ref="AD74">SUMPRODUCT(($I69:AD69))-SUMPRODUCT(($I69:AD69)*($I$6:AD$6&lt;=(AD$6-$E16)))</f>
        <v>0</v>
      </c>
      <c r="AE74" s="118" cm="1">
        <f t="array" ref="AE74">SUMPRODUCT(($I69:AE69))-SUMPRODUCT(($I69:AE69)*($I$6:AE$6&lt;=(AE$6-$E16)))</f>
        <v>0</v>
      </c>
      <c r="AF74" s="118" cm="1">
        <f t="array" ref="AF74">SUMPRODUCT(($I69:AF69))-SUMPRODUCT(($I69:AF69)*($I$6:AF$6&lt;=(AF$6-$E16)))</f>
        <v>0</v>
      </c>
      <c r="AG74" s="118" cm="1">
        <f t="array" ref="AG74">SUMPRODUCT(($I69:AG69))-SUMPRODUCT(($I69:AG69)*($I$6:AG$6&lt;=(AG$6-$E16)))</f>
        <v>0</v>
      </c>
    </row>
    <row r="75" spans="1:33" x14ac:dyDescent="0.3">
      <c r="A75" s="8"/>
      <c r="B75" s="8"/>
      <c r="C75" s="4"/>
      <c r="D75" s="38"/>
      <c r="F75" s="97"/>
      <c r="G75" s="214"/>
      <c r="H75" s="31"/>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row>
    <row r="76" spans="1:33" x14ac:dyDescent="0.3">
      <c r="A76" s="8"/>
      <c r="B76" s="8"/>
      <c r="C76" s="147" t="s">
        <v>92</v>
      </c>
      <c r="D76" s="38"/>
      <c r="F76" s="97"/>
      <c r="G76" s="213"/>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3">
      <c r="A77" s="8"/>
      <c r="B77" s="8"/>
      <c r="C77" s="4" t="str">
        <f>$C$76&amp;" - "&amp;C14</f>
        <v>Annualised capex - &lt; Enter description &gt;</v>
      </c>
      <c r="D77" s="38"/>
      <c r="F77" s="97"/>
      <c r="G77" s="210">
        <f>input_dollars</f>
        <v>45291</v>
      </c>
      <c r="H77" s="31"/>
      <c r="I77" s="118">
        <f t="shared" ref="I77:AG77" si="9">IF($E14=0,0,-PMT(real_disc, $E14,H72,))</f>
        <v>0</v>
      </c>
      <c r="J77" s="118">
        <f t="shared" si="9"/>
        <v>0</v>
      </c>
      <c r="K77" s="118">
        <f t="shared" si="9"/>
        <v>0</v>
      </c>
      <c r="L77" s="118">
        <f t="shared" si="9"/>
        <v>0</v>
      </c>
      <c r="M77" s="118">
        <f t="shared" si="9"/>
        <v>0</v>
      </c>
      <c r="N77" s="118">
        <f t="shared" si="9"/>
        <v>0</v>
      </c>
      <c r="O77" s="118">
        <f t="shared" si="9"/>
        <v>0</v>
      </c>
      <c r="P77" s="118">
        <f t="shared" si="9"/>
        <v>0</v>
      </c>
      <c r="Q77" s="118">
        <f t="shared" si="9"/>
        <v>0</v>
      </c>
      <c r="R77" s="118">
        <f t="shared" si="9"/>
        <v>0</v>
      </c>
      <c r="S77" s="118">
        <f t="shared" si="9"/>
        <v>0</v>
      </c>
      <c r="T77" s="118">
        <f t="shared" si="9"/>
        <v>0</v>
      </c>
      <c r="U77" s="118">
        <f t="shared" si="9"/>
        <v>0</v>
      </c>
      <c r="V77" s="118">
        <f t="shared" si="9"/>
        <v>0</v>
      </c>
      <c r="W77" s="118">
        <f t="shared" si="9"/>
        <v>0</v>
      </c>
      <c r="X77" s="118">
        <f t="shared" si="9"/>
        <v>0</v>
      </c>
      <c r="Y77" s="118">
        <f t="shared" si="9"/>
        <v>0</v>
      </c>
      <c r="Z77" s="118">
        <f t="shared" si="9"/>
        <v>0</v>
      </c>
      <c r="AA77" s="118">
        <f t="shared" si="9"/>
        <v>0</v>
      </c>
      <c r="AB77" s="118">
        <f t="shared" si="9"/>
        <v>0</v>
      </c>
      <c r="AC77" s="118">
        <f t="shared" si="9"/>
        <v>0</v>
      </c>
      <c r="AD77" s="118">
        <f t="shared" si="9"/>
        <v>0</v>
      </c>
      <c r="AE77" s="118">
        <f t="shared" si="9"/>
        <v>0</v>
      </c>
      <c r="AF77" s="118">
        <f t="shared" si="9"/>
        <v>0</v>
      </c>
      <c r="AG77" s="118">
        <f t="shared" si="9"/>
        <v>0</v>
      </c>
    </row>
    <row r="78" spans="1:33" x14ac:dyDescent="0.3">
      <c r="A78" s="8"/>
      <c r="B78" s="8"/>
      <c r="C78" s="4" t="str">
        <f>$C$76&amp;" - "&amp;C15</f>
        <v>Annualised capex - &lt; Enter description &gt;</v>
      </c>
      <c r="D78" s="38"/>
      <c r="F78" s="97"/>
      <c r="G78" s="210">
        <f>input_dollars</f>
        <v>45291</v>
      </c>
      <c r="H78" s="31"/>
      <c r="I78" s="118">
        <f t="shared" ref="I78:AG78" si="10">IF($E15=0,0,-PMT(real_disc, $E15,H73,))</f>
        <v>0</v>
      </c>
      <c r="J78" s="118">
        <f t="shared" si="10"/>
        <v>0</v>
      </c>
      <c r="K78" s="118">
        <f t="shared" si="10"/>
        <v>0</v>
      </c>
      <c r="L78" s="118">
        <f t="shared" si="10"/>
        <v>0</v>
      </c>
      <c r="M78" s="118">
        <f t="shared" si="10"/>
        <v>0</v>
      </c>
      <c r="N78" s="118">
        <f t="shared" si="10"/>
        <v>0</v>
      </c>
      <c r="O78" s="118">
        <f t="shared" si="10"/>
        <v>0</v>
      </c>
      <c r="P78" s="118">
        <f t="shared" si="10"/>
        <v>0</v>
      </c>
      <c r="Q78" s="118">
        <f t="shared" si="10"/>
        <v>0</v>
      </c>
      <c r="R78" s="118">
        <f t="shared" si="10"/>
        <v>0</v>
      </c>
      <c r="S78" s="118">
        <f t="shared" si="10"/>
        <v>0</v>
      </c>
      <c r="T78" s="118">
        <f t="shared" si="10"/>
        <v>0</v>
      </c>
      <c r="U78" s="118">
        <f t="shared" si="10"/>
        <v>0</v>
      </c>
      <c r="V78" s="118">
        <f t="shared" si="10"/>
        <v>0</v>
      </c>
      <c r="W78" s="118">
        <f t="shared" si="10"/>
        <v>0</v>
      </c>
      <c r="X78" s="118">
        <f t="shared" si="10"/>
        <v>0</v>
      </c>
      <c r="Y78" s="118">
        <f t="shared" si="10"/>
        <v>0</v>
      </c>
      <c r="Z78" s="118">
        <f t="shared" si="10"/>
        <v>0</v>
      </c>
      <c r="AA78" s="118">
        <f t="shared" si="10"/>
        <v>0</v>
      </c>
      <c r="AB78" s="118">
        <f t="shared" si="10"/>
        <v>0</v>
      </c>
      <c r="AC78" s="118">
        <f t="shared" si="10"/>
        <v>0</v>
      </c>
      <c r="AD78" s="118">
        <f t="shared" si="10"/>
        <v>0</v>
      </c>
      <c r="AE78" s="118">
        <f t="shared" si="10"/>
        <v>0</v>
      </c>
      <c r="AF78" s="118">
        <f t="shared" si="10"/>
        <v>0</v>
      </c>
      <c r="AG78" s="118">
        <f t="shared" si="10"/>
        <v>0</v>
      </c>
    </row>
    <row r="79" spans="1:33" x14ac:dyDescent="0.3">
      <c r="A79" s="8"/>
      <c r="B79" s="8"/>
      <c r="C79" s="4" t="str">
        <f>$C$76&amp;" - "&amp;C16</f>
        <v>Annualised capex - &lt; Enter description &gt;</v>
      </c>
      <c r="D79" s="38"/>
      <c r="F79" s="97"/>
      <c r="G79" s="210">
        <f>input_dollars</f>
        <v>45291</v>
      </c>
      <c r="H79" s="31"/>
      <c r="I79" s="118">
        <f t="shared" ref="I79:AG79" si="11">IF($E16=0,0,-PMT(real_disc, $E16,H74,))</f>
        <v>0</v>
      </c>
      <c r="J79" s="118">
        <f t="shared" si="11"/>
        <v>0</v>
      </c>
      <c r="K79" s="118">
        <f t="shared" si="11"/>
        <v>0</v>
      </c>
      <c r="L79" s="118">
        <f t="shared" si="11"/>
        <v>0</v>
      </c>
      <c r="M79" s="118">
        <f t="shared" si="11"/>
        <v>0</v>
      </c>
      <c r="N79" s="118">
        <f t="shared" si="11"/>
        <v>0</v>
      </c>
      <c r="O79" s="118">
        <f t="shared" si="11"/>
        <v>0</v>
      </c>
      <c r="P79" s="118">
        <f t="shared" si="11"/>
        <v>0</v>
      </c>
      <c r="Q79" s="118">
        <f t="shared" si="11"/>
        <v>0</v>
      </c>
      <c r="R79" s="118">
        <f t="shared" si="11"/>
        <v>0</v>
      </c>
      <c r="S79" s="118">
        <f t="shared" si="11"/>
        <v>0</v>
      </c>
      <c r="T79" s="118">
        <f t="shared" si="11"/>
        <v>0</v>
      </c>
      <c r="U79" s="118">
        <f t="shared" si="11"/>
        <v>0</v>
      </c>
      <c r="V79" s="118">
        <f t="shared" si="11"/>
        <v>0</v>
      </c>
      <c r="W79" s="118">
        <f t="shared" si="11"/>
        <v>0</v>
      </c>
      <c r="X79" s="118">
        <f t="shared" si="11"/>
        <v>0</v>
      </c>
      <c r="Y79" s="118">
        <f t="shared" si="11"/>
        <v>0</v>
      </c>
      <c r="Z79" s="118">
        <f t="shared" si="11"/>
        <v>0</v>
      </c>
      <c r="AA79" s="118">
        <f t="shared" si="11"/>
        <v>0</v>
      </c>
      <c r="AB79" s="118">
        <f t="shared" si="11"/>
        <v>0</v>
      </c>
      <c r="AC79" s="118">
        <f t="shared" si="11"/>
        <v>0</v>
      </c>
      <c r="AD79" s="118">
        <f t="shared" si="11"/>
        <v>0</v>
      </c>
      <c r="AE79" s="118">
        <f t="shared" si="11"/>
        <v>0</v>
      </c>
      <c r="AF79" s="118">
        <f t="shared" si="11"/>
        <v>0</v>
      </c>
      <c r="AG79" s="118">
        <f t="shared" si="11"/>
        <v>0</v>
      </c>
    </row>
    <row r="80" spans="1:33" x14ac:dyDescent="0.3">
      <c r="A80" s="8"/>
      <c r="B80" s="8"/>
      <c r="C80" s="172" t="s">
        <v>163</v>
      </c>
      <c r="D80" s="172"/>
      <c r="E80" s="173"/>
      <c r="F80" s="174"/>
      <c r="G80" s="215">
        <f>input_dollars</f>
        <v>45291</v>
      </c>
      <c r="H80" s="175"/>
      <c r="I80" s="176">
        <f>SUM(I77:I79)</f>
        <v>0</v>
      </c>
      <c r="J80" s="176">
        <f t="shared" ref="J80:AB80" si="12">SUM(J77:J79)</f>
        <v>0</v>
      </c>
      <c r="K80" s="176">
        <f t="shared" si="12"/>
        <v>0</v>
      </c>
      <c r="L80" s="176">
        <f t="shared" si="12"/>
        <v>0</v>
      </c>
      <c r="M80" s="176">
        <f t="shared" si="12"/>
        <v>0</v>
      </c>
      <c r="N80" s="176">
        <f t="shared" si="12"/>
        <v>0</v>
      </c>
      <c r="O80" s="176">
        <f t="shared" si="12"/>
        <v>0</v>
      </c>
      <c r="P80" s="176">
        <f t="shared" si="12"/>
        <v>0</v>
      </c>
      <c r="Q80" s="176">
        <f t="shared" si="12"/>
        <v>0</v>
      </c>
      <c r="R80" s="176">
        <f t="shared" si="12"/>
        <v>0</v>
      </c>
      <c r="S80" s="176">
        <f t="shared" si="12"/>
        <v>0</v>
      </c>
      <c r="T80" s="176">
        <f t="shared" si="12"/>
        <v>0</v>
      </c>
      <c r="U80" s="176">
        <f t="shared" si="12"/>
        <v>0</v>
      </c>
      <c r="V80" s="176">
        <f t="shared" si="12"/>
        <v>0</v>
      </c>
      <c r="W80" s="176">
        <f t="shared" si="12"/>
        <v>0</v>
      </c>
      <c r="X80" s="176">
        <f t="shared" si="12"/>
        <v>0</v>
      </c>
      <c r="Y80" s="176">
        <f t="shared" si="12"/>
        <v>0</v>
      </c>
      <c r="Z80" s="176">
        <f t="shared" si="12"/>
        <v>0</v>
      </c>
      <c r="AA80" s="176">
        <f t="shared" si="12"/>
        <v>0</v>
      </c>
      <c r="AB80" s="176">
        <f t="shared" si="12"/>
        <v>0</v>
      </c>
      <c r="AC80" s="176">
        <f>SUM(AC77:AC79)</f>
        <v>0</v>
      </c>
      <c r="AD80" s="176">
        <f>SUM(AD77:AD79)</f>
        <v>0</v>
      </c>
      <c r="AE80" s="176">
        <f>SUM(AE77:AE79)</f>
        <v>0</v>
      </c>
      <c r="AF80" s="176">
        <f>SUM(AF77:AF79)</f>
        <v>0</v>
      </c>
      <c r="AG80" s="176">
        <f>SUM(AG77:AG79)</f>
        <v>0</v>
      </c>
    </row>
    <row r="81" spans="1:33" ht="13.5" x14ac:dyDescent="0.3">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3">
      <c r="A82" s="8"/>
      <c r="B82" s="8"/>
      <c r="C82" s="4" t="s">
        <v>92</v>
      </c>
      <c r="D82" s="38"/>
      <c r="F82" s="97"/>
      <c r="G82" s="210">
        <f t="shared" ref="G82:G87" si="13">input_dollars</f>
        <v>45291</v>
      </c>
      <c r="H82" s="31"/>
      <c r="I82" s="118">
        <f>I80</f>
        <v>0</v>
      </c>
      <c r="J82" s="118">
        <f t="shared" ref="J82:AB82" si="14">J80</f>
        <v>0</v>
      </c>
      <c r="K82" s="118">
        <f t="shared" si="14"/>
        <v>0</v>
      </c>
      <c r="L82" s="118">
        <f t="shared" si="14"/>
        <v>0</v>
      </c>
      <c r="M82" s="118">
        <f t="shared" si="14"/>
        <v>0</v>
      </c>
      <c r="N82" s="118">
        <f t="shared" si="14"/>
        <v>0</v>
      </c>
      <c r="O82" s="118">
        <f t="shared" si="14"/>
        <v>0</v>
      </c>
      <c r="P82" s="118">
        <f t="shared" si="14"/>
        <v>0</v>
      </c>
      <c r="Q82" s="118">
        <f t="shared" si="14"/>
        <v>0</v>
      </c>
      <c r="R82" s="118">
        <f t="shared" si="14"/>
        <v>0</v>
      </c>
      <c r="S82" s="118">
        <f t="shared" si="14"/>
        <v>0</v>
      </c>
      <c r="T82" s="118">
        <f t="shared" si="14"/>
        <v>0</v>
      </c>
      <c r="U82" s="118">
        <f t="shared" si="14"/>
        <v>0</v>
      </c>
      <c r="V82" s="118">
        <f t="shared" si="14"/>
        <v>0</v>
      </c>
      <c r="W82" s="118">
        <f t="shared" si="14"/>
        <v>0</v>
      </c>
      <c r="X82" s="118">
        <f t="shared" si="14"/>
        <v>0</v>
      </c>
      <c r="Y82" s="118">
        <f t="shared" si="14"/>
        <v>0</v>
      </c>
      <c r="Z82" s="118">
        <f t="shared" si="14"/>
        <v>0</v>
      </c>
      <c r="AA82" s="118">
        <f t="shared" si="14"/>
        <v>0</v>
      </c>
      <c r="AB82" s="118">
        <f t="shared" si="14"/>
        <v>0</v>
      </c>
      <c r="AC82" s="118">
        <f>AC80</f>
        <v>0</v>
      </c>
      <c r="AD82" s="118">
        <f>AD80</f>
        <v>0</v>
      </c>
      <c r="AE82" s="118">
        <f>AE80</f>
        <v>0</v>
      </c>
      <c r="AF82" s="118">
        <f>AF80</f>
        <v>0</v>
      </c>
      <c r="AG82" s="118">
        <f>AG80</f>
        <v>0</v>
      </c>
    </row>
    <row r="83" spans="1:33" x14ac:dyDescent="0.3">
      <c r="A83" s="8"/>
      <c r="B83" s="8"/>
      <c r="C83" s="4" t="s">
        <v>31</v>
      </c>
      <c r="D83" s="38"/>
      <c r="F83" s="97"/>
      <c r="G83" s="210">
        <f t="shared" si="13"/>
        <v>45291</v>
      </c>
      <c r="H83" s="31"/>
      <c r="I83" s="31">
        <f t="shared" ref="I83:AG83" si="15">-I19</f>
        <v>0</v>
      </c>
      <c r="J83" s="31">
        <f t="shared" si="15"/>
        <v>0</v>
      </c>
      <c r="K83" s="31">
        <f t="shared" si="15"/>
        <v>0</v>
      </c>
      <c r="L83" s="31">
        <f t="shared" si="15"/>
        <v>0</v>
      </c>
      <c r="M83" s="31">
        <f t="shared" si="15"/>
        <v>0</v>
      </c>
      <c r="N83" s="31">
        <f t="shared" si="15"/>
        <v>0</v>
      </c>
      <c r="O83" s="31">
        <f t="shared" si="15"/>
        <v>0</v>
      </c>
      <c r="P83" s="31">
        <f t="shared" si="15"/>
        <v>0</v>
      </c>
      <c r="Q83" s="31">
        <f t="shared" si="15"/>
        <v>0</v>
      </c>
      <c r="R83" s="31">
        <f t="shared" si="15"/>
        <v>0</v>
      </c>
      <c r="S83" s="31">
        <f t="shared" si="15"/>
        <v>0</v>
      </c>
      <c r="T83" s="31">
        <f t="shared" si="15"/>
        <v>0</v>
      </c>
      <c r="U83" s="31">
        <f t="shared" si="15"/>
        <v>0</v>
      </c>
      <c r="V83" s="31">
        <f t="shared" si="15"/>
        <v>0</v>
      </c>
      <c r="W83" s="31">
        <f t="shared" si="15"/>
        <v>0</v>
      </c>
      <c r="X83" s="31">
        <f t="shared" si="15"/>
        <v>0</v>
      </c>
      <c r="Y83" s="31">
        <f t="shared" si="15"/>
        <v>0</v>
      </c>
      <c r="Z83" s="31">
        <f t="shared" si="15"/>
        <v>0</v>
      </c>
      <c r="AA83" s="31">
        <f t="shared" si="15"/>
        <v>0</v>
      </c>
      <c r="AB83" s="31">
        <f t="shared" si="15"/>
        <v>0</v>
      </c>
      <c r="AC83" s="31">
        <f t="shared" si="15"/>
        <v>0</v>
      </c>
      <c r="AD83" s="31">
        <f t="shared" si="15"/>
        <v>0</v>
      </c>
      <c r="AE83" s="31">
        <f t="shared" si="15"/>
        <v>0</v>
      </c>
      <c r="AF83" s="31">
        <f t="shared" si="15"/>
        <v>0</v>
      </c>
      <c r="AG83" s="31">
        <f t="shared" si="15"/>
        <v>0</v>
      </c>
    </row>
    <row r="84" spans="1:33" x14ac:dyDescent="0.3">
      <c r="A84" s="8"/>
      <c r="B84" s="8"/>
      <c r="C84" s="4" t="s">
        <v>144</v>
      </c>
      <c r="D84" s="38"/>
      <c r="F84" s="97"/>
      <c r="G84" s="210">
        <f t="shared" si="13"/>
        <v>45291</v>
      </c>
      <c r="H84" s="31"/>
      <c r="I84" s="31">
        <f>I64</f>
        <v>0</v>
      </c>
      <c r="J84" s="31">
        <f t="shared" ref="J84:AB84" si="16">J64</f>
        <v>0</v>
      </c>
      <c r="K84" s="31">
        <f t="shared" si="16"/>
        <v>0</v>
      </c>
      <c r="L84" s="31">
        <f t="shared" si="16"/>
        <v>0</v>
      </c>
      <c r="M84" s="31">
        <f t="shared" si="16"/>
        <v>0</v>
      </c>
      <c r="N84" s="31">
        <f t="shared" si="16"/>
        <v>0</v>
      </c>
      <c r="O84" s="31">
        <f t="shared" si="16"/>
        <v>0</v>
      </c>
      <c r="P84" s="31">
        <f t="shared" si="16"/>
        <v>0</v>
      </c>
      <c r="Q84" s="31">
        <f t="shared" si="16"/>
        <v>0</v>
      </c>
      <c r="R84" s="31">
        <f t="shared" si="16"/>
        <v>0</v>
      </c>
      <c r="S84" s="31">
        <f t="shared" si="16"/>
        <v>0</v>
      </c>
      <c r="T84" s="31">
        <f t="shared" si="16"/>
        <v>0</v>
      </c>
      <c r="U84" s="31">
        <f t="shared" si="16"/>
        <v>0</v>
      </c>
      <c r="V84" s="31">
        <f t="shared" si="16"/>
        <v>0</v>
      </c>
      <c r="W84" s="31">
        <f t="shared" si="16"/>
        <v>0</v>
      </c>
      <c r="X84" s="31">
        <f t="shared" si="16"/>
        <v>0</v>
      </c>
      <c r="Y84" s="31">
        <f t="shared" si="16"/>
        <v>0</v>
      </c>
      <c r="Z84" s="31">
        <f t="shared" si="16"/>
        <v>0</v>
      </c>
      <c r="AA84" s="31">
        <f t="shared" si="16"/>
        <v>0</v>
      </c>
      <c r="AB84" s="31">
        <f t="shared" si="16"/>
        <v>0</v>
      </c>
      <c r="AC84" s="31">
        <f>AC64</f>
        <v>0</v>
      </c>
      <c r="AD84" s="31">
        <f>AD64</f>
        <v>0</v>
      </c>
      <c r="AE84" s="31">
        <f>AE64</f>
        <v>0</v>
      </c>
      <c r="AF84" s="31">
        <f>AF64</f>
        <v>0</v>
      </c>
      <c r="AG84" s="31">
        <f>AG64</f>
        <v>0</v>
      </c>
    </row>
    <row r="85" spans="1:33" x14ac:dyDescent="0.3">
      <c r="A85" s="8"/>
      <c r="B85" s="8"/>
      <c r="C85" s="4" t="s">
        <v>123</v>
      </c>
      <c r="D85" s="38"/>
      <c r="F85" s="97"/>
      <c r="G85" s="210">
        <f t="shared" si="13"/>
        <v>45291</v>
      </c>
      <c r="H85" s="31"/>
      <c r="I85" s="31">
        <f t="shared" ref="I85:AG85" si="17">I57</f>
        <v>0</v>
      </c>
      <c r="J85" s="31">
        <f t="shared" si="17"/>
        <v>0</v>
      </c>
      <c r="K85" s="31">
        <f t="shared" si="17"/>
        <v>0</v>
      </c>
      <c r="L85" s="31">
        <f t="shared" si="17"/>
        <v>0</v>
      </c>
      <c r="M85" s="31">
        <f t="shared" si="17"/>
        <v>0</v>
      </c>
      <c r="N85" s="31">
        <f t="shared" si="17"/>
        <v>0</v>
      </c>
      <c r="O85" s="31">
        <f t="shared" si="17"/>
        <v>0</v>
      </c>
      <c r="P85" s="31">
        <f t="shared" si="17"/>
        <v>0</v>
      </c>
      <c r="Q85" s="31">
        <f t="shared" si="17"/>
        <v>0</v>
      </c>
      <c r="R85" s="31">
        <f t="shared" si="17"/>
        <v>0</v>
      </c>
      <c r="S85" s="31">
        <f t="shared" si="17"/>
        <v>0</v>
      </c>
      <c r="T85" s="31">
        <f t="shared" si="17"/>
        <v>0</v>
      </c>
      <c r="U85" s="31">
        <f t="shared" si="17"/>
        <v>0</v>
      </c>
      <c r="V85" s="31">
        <f t="shared" si="17"/>
        <v>0</v>
      </c>
      <c r="W85" s="31">
        <f t="shared" si="17"/>
        <v>0</v>
      </c>
      <c r="X85" s="31">
        <f t="shared" si="17"/>
        <v>0</v>
      </c>
      <c r="Y85" s="31">
        <f t="shared" si="17"/>
        <v>0</v>
      </c>
      <c r="Z85" s="31">
        <f t="shared" si="17"/>
        <v>0</v>
      </c>
      <c r="AA85" s="31">
        <f t="shared" si="17"/>
        <v>0</v>
      </c>
      <c r="AB85" s="31">
        <f t="shared" si="17"/>
        <v>0</v>
      </c>
      <c r="AC85" s="31">
        <f t="shared" si="17"/>
        <v>0</v>
      </c>
      <c r="AD85" s="31">
        <f t="shared" si="17"/>
        <v>0</v>
      </c>
      <c r="AE85" s="31">
        <f t="shared" si="17"/>
        <v>0</v>
      </c>
      <c r="AF85" s="31">
        <f t="shared" si="17"/>
        <v>0</v>
      </c>
      <c r="AG85" s="31">
        <f t="shared" si="17"/>
        <v>0</v>
      </c>
    </row>
    <row r="86" spans="1:33" x14ac:dyDescent="0.3">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3">
      <c r="A87" s="8"/>
      <c r="B87" s="8"/>
      <c r="C87" s="180" t="s">
        <v>194</v>
      </c>
      <c r="D87" s="178"/>
      <c r="E87" s="173"/>
      <c r="F87" s="179"/>
      <c r="G87" s="215">
        <f t="shared" si="13"/>
        <v>45291</v>
      </c>
      <c r="H87" s="179"/>
      <c r="I87" s="179">
        <f t="shared" ref="I87:AB87" si="18">SUM(I82:I86)</f>
        <v>0</v>
      </c>
      <c r="J87" s="179">
        <f t="shared" si="18"/>
        <v>0</v>
      </c>
      <c r="K87" s="179">
        <f t="shared" si="18"/>
        <v>0</v>
      </c>
      <c r="L87" s="179">
        <f t="shared" si="18"/>
        <v>0</v>
      </c>
      <c r="M87" s="179">
        <f t="shared" si="18"/>
        <v>0</v>
      </c>
      <c r="N87" s="179">
        <f t="shared" si="18"/>
        <v>0</v>
      </c>
      <c r="O87" s="179">
        <f t="shared" si="18"/>
        <v>0</v>
      </c>
      <c r="P87" s="179">
        <f t="shared" si="18"/>
        <v>0</v>
      </c>
      <c r="Q87" s="179">
        <f t="shared" si="18"/>
        <v>0</v>
      </c>
      <c r="R87" s="179">
        <f t="shared" si="18"/>
        <v>0</v>
      </c>
      <c r="S87" s="179">
        <f t="shared" si="18"/>
        <v>0</v>
      </c>
      <c r="T87" s="179">
        <f t="shared" si="18"/>
        <v>0</v>
      </c>
      <c r="U87" s="179">
        <f t="shared" si="18"/>
        <v>0</v>
      </c>
      <c r="V87" s="179">
        <f t="shared" si="18"/>
        <v>0</v>
      </c>
      <c r="W87" s="179">
        <f t="shared" si="18"/>
        <v>0</v>
      </c>
      <c r="X87" s="179">
        <f t="shared" si="18"/>
        <v>0</v>
      </c>
      <c r="Y87" s="179">
        <f t="shared" si="18"/>
        <v>0</v>
      </c>
      <c r="Z87" s="179">
        <f t="shared" si="18"/>
        <v>0</v>
      </c>
      <c r="AA87" s="179">
        <f t="shared" si="18"/>
        <v>0</v>
      </c>
      <c r="AB87" s="179">
        <f t="shared" si="18"/>
        <v>0</v>
      </c>
      <c r="AC87" s="179">
        <f>SUM(AC82:AC86)</f>
        <v>0</v>
      </c>
      <c r="AD87" s="179">
        <f>SUM(AD82:AD86)</f>
        <v>0</v>
      </c>
      <c r="AE87" s="179">
        <f>SUM(AE82:AE86)</f>
        <v>0</v>
      </c>
      <c r="AF87" s="179">
        <f>SUM(AF82:AF86)</f>
        <v>0</v>
      </c>
      <c r="AG87" s="179">
        <f>SUM(AG82:AG86)</f>
        <v>0</v>
      </c>
    </row>
    <row r="88" spans="1:33" x14ac:dyDescent="0.3">
      <c r="A88" s="8"/>
      <c r="B88" s="8"/>
      <c r="C88" s="75"/>
      <c r="D88" s="138"/>
      <c r="E88" s="64"/>
      <c r="F88" s="140"/>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3">
      <c r="A89" s="8"/>
      <c r="B89" s="8"/>
      <c r="C89" s="75"/>
      <c r="D89" s="138"/>
      <c r="E89" s="64"/>
      <c r="F89" s="140"/>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3">
      <c r="A90" s="8"/>
      <c r="B90" s="8"/>
      <c r="C90" s="230"/>
      <c r="D90" s="82"/>
      <c r="E90" s="231"/>
      <c r="F90" s="232"/>
      <c r="G90" s="231"/>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3">
      <c r="C91" s="231"/>
      <c r="D91" s="231"/>
      <c r="E91" s="231"/>
      <c r="F91" s="231"/>
      <c r="G91" s="231"/>
    </row>
    <row r="92" spans="1:33" x14ac:dyDescent="0.3">
      <c r="C92" s="231"/>
      <c r="D92" s="231"/>
      <c r="E92" s="231"/>
      <c r="F92" s="231"/>
      <c r="G92" s="231"/>
    </row>
    <row r="94" spans="1:33" x14ac:dyDescent="0.3">
      <c r="G94" s="12"/>
    </row>
    <row r="102" spans="1:43" ht="14.5" x14ac:dyDescent="0.3">
      <c r="A102" s="89" t="s">
        <v>220</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3">
      <c r="I104" s="242"/>
      <c r="J104" s="242"/>
      <c r="K104" s="242"/>
      <c r="L104" s="242"/>
      <c r="M104" s="242"/>
      <c r="N104" s="242"/>
      <c r="O104" s="242"/>
      <c r="P104" s="242"/>
      <c r="Q104" s="242"/>
      <c r="R104" s="242"/>
      <c r="S104" s="242"/>
      <c r="T104" s="242"/>
      <c r="U104" s="242"/>
      <c r="V104" s="242"/>
      <c r="W104" s="242"/>
      <c r="X104" s="242"/>
      <c r="Y104" s="242"/>
      <c r="Z104" s="242"/>
    </row>
    <row r="105" spans="1:43" ht="13.5" x14ac:dyDescent="0.3">
      <c r="E105"/>
      <c r="F105"/>
      <c r="G105"/>
      <c r="I105" s="242"/>
      <c r="J105" s="242"/>
      <c r="K105" s="242"/>
      <c r="L105" s="242"/>
      <c r="M105" s="242"/>
      <c r="N105" s="242"/>
      <c r="O105" s="242"/>
      <c r="P105" s="242"/>
      <c r="Q105" s="242"/>
      <c r="R105" s="242"/>
      <c r="S105" s="242"/>
      <c r="T105" s="242"/>
      <c r="U105" s="242"/>
      <c r="V105" s="242"/>
      <c r="W105" s="242"/>
      <c r="X105" s="242"/>
      <c r="Y105" s="242"/>
      <c r="Z105" s="242"/>
    </row>
    <row r="106" spans="1:43" ht="13.5" x14ac:dyDescent="0.3">
      <c r="A106" s="1" t="s">
        <v>120</v>
      </c>
      <c r="C106" s="1" t="s">
        <v>194</v>
      </c>
      <c r="D106"/>
      <c r="E106"/>
      <c r="F106"/>
      <c r="G106" s="38" t="str">
        <f>PROPER($A$3)&amp;A106</f>
        <v>Option 1 (Base Case)NPV</v>
      </c>
      <c r="I106" s="31">
        <f>I87</f>
        <v>0</v>
      </c>
      <c r="J106" s="31">
        <f t="shared" ref="J106:AG106" si="19">J87</f>
        <v>0</v>
      </c>
      <c r="K106" s="31">
        <f t="shared" si="19"/>
        <v>0</v>
      </c>
      <c r="L106" s="31">
        <f t="shared" si="19"/>
        <v>0</v>
      </c>
      <c r="M106" s="31">
        <f t="shared" si="19"/>
        <v>0</v>
      </c>
      <c r="N106" s="31">
        <f t="shared" si="19"/>
        <v>0</v>
      </c>
      <c r="O106" s="31">
        <f t="shared" si="19"/>
        <v>0</v>
      </c>
      <c r="P106" s="31">
        <f t="shared" si="19"/>
        <v>0</v>
      </c>
      <c r="Q106" s="31">
        <f t="shared" si="19"/>
        <v>0</v>
      </c>
      <c r="R106" s="31">
        <f t="shared" si="19"/>
        <v>0</v>
      </c>
      <c r="S106" s="31">
        <f t="shared" si="19"/>
        <v>0</v>
      </c>
      <c r="T106" s="31">
        <f t="shared" si="19"/>
        <v>0</v>
      </c>
      <c r="U106" s="31">
        <f t="shared" si="19"/>
        <v>0</v>
      </c>
      <c r="V106" s="31">
        <f t="shared" si="19"/>
        <v>0</v>
      </c>
      <c r="W106" s="31">
        <f t="shared" si="19"/>
        <v>0</v>
      </c>
      <c r="X106" s="31">
        <f t="shared" si="19"/>
        <v>0</v>
      </c>
      <c r="Y106" s="31">
        <f t="shared" si="19"/>
        <v>0</v>
      </c>
      <c r="Z106" s="31">
        <f t="shared" si="19"/>
        <v>0</v>
      </c>
      <c r="AA106" s="31">
        <f t="shared" si="19"/>
        <v>0</v>
      </c>
      <c r="AB106" s="31">
        <f t="shared" si="19"/>
        <v>0</v>
      </c>
      <c r="AC106" s="31">
        <f t="shared" si="19"/>
        <v>0</v>
      </c>
      <c r="AD106" s="31">
        <f t="shared" si="19"/>
        <v>0</v>
      </c>
      <c r="AE106" s="31">
        <f t="shared" si="19"/>
        <v>0</v>
      </c>
      <c r="AF106" s="31">
        <f t="shared" si="19"/>
        <v>0</v>
      </c>
      <c r="AG106" s="31">
        <f t="shared" si="19"/>
        <v>0</v>
      </c>
    </row>
    <row r="107" spans="1:43" ht="13.5" x14ac:dyDescent="0.3">
      <c r="C107" s="1" t="s">
        <v>163</v>
      </c>
      <c r="D107"/>
      <c r="E107"/>
      <c r="F107"/>
      <c r="G107"/>
      <c r="I107" s="31">
        <f>I82</f>
        <v>0</v>
      </c>
      <c r="J107" s="31">
        <f t="shared" ref="J107:AG107" si="20">J82</f>
        <v>0</v>
      </c>
      <c r="K107" s="31">
        <f t="shared" si="20"/>
        <v>0</v>
      </c>
      <c r="L107" s="31">
        <f t="shared" si="20"/>
        <v>0</v>
      </c>
      <c r="M107" s="31">
        <f t="shared" si="20"/>
        <v>0</v>
      </c>
      <c r="N107" s="31">
        <f t="shared" si="20"/>
        <v>0</v>
      </c>
      <c r="O107" s="31">
        <f t="shared" si="20"/>
        <v>0</v>
      </c>
      <c r="P107" s="31">
        <f t="shared" si="20"/>
        <v>0</v>
      </c>
      <c r="Q107" s="31">
        <f t="shared" si="20"/>
        <v>0</v>
      </c>
      <c r="R107" s="31">
        <f t="shared" si="20"/>
        <v>0</v>
      </c>
      <c r="S107" s="31">
        <f t="shared" si="20"/>
        <v>0</v>
      </c>
      <c r="T107" s="31">
        <f t="shared" si="20"/>
        <v>0</v>
      </c>
      <c r="U107" s="31">
        <f t="shared" si="20"/>
        <v>0</v>
      </c>
      <c r="V107" s="31">
        <f t="shared" si="20"/>
        <v>0</v>
      </c>
      <c r="W107" s="31">
        <f t="shared" si="20"/>
        <v>0</v>
      </c>
      <c r="X107" s="31">
        <f t="shared" si="20"/>
        <v>0</v>
      </c>
      <c r="Y107" s="31">
        <f t="shared" si="20"/>
        <v>0</v>
      </c>
      <c r="Z107" s="31">
        <f t="shared" si="20"/>
        <v>0</v>
      </c>
      <c r="AA107" s="31">
        <f t="shared" si="20"/>
        <v>0</v>
      </c>
      <c r="AB107" s="31">
        <f t="shared" si="20"/>
        <v>0</v>
      </c>
      <c r="AC107" s="31">
        <f t="shared" si="20"/>
        <v>0</v>
      </c>
      <c r="AD107" s="31">
        <f t="shared" si="20"/>
        <v>0</v>
      </c>
      <c r="AE107" s="31">
        <f t="shared" si="20"/>
        <v>0</v>
      </c>
      <c r="AF107" s="31">
        <f t="shared" si="20"/>
        <v>0</v>
      </c>
      <c r="AG107" s="31">
        <f t="shared" si="20"/>
        <v>0</v>
      </c>
    </row>
    <row r="108" spans="1:43" x14ac:dyDescent="0.3">
      <c r="C108" s="1" t="s">
        <v>245</v>
      </c>
      <c r="D108" s="252"/>
      <c r="E108" s="38"/>
      <c r="I108" s="31">
        <f>SUM(I84:I85)</f>
        <v>0</v>
      </c>
      <c r="J108" s="31">
        <f t="shared" ref="J108:AG108" si="21">SUM(J84:J85)</f>
        <v>0</v>
      </c>
      <c r="K108" s="31">
        <f t="shared" si="21"/>
        <v>0</v>
      </c>
      <c r="L108" s="31">
        <f t="shared" si="21"/>
        <v>0</v>
      </c>
      <c r="M108" s="31">
        <f t="shared" si="21"/>
        <v>0</v>
      </c>
      <c r="N108" s="31">
        <f t="shared" si="21"/>
        <v>0</v>
      </c>
      <c r="O108" s="31">
        <f t="shared" si="21"/>
        <v>0</v>
      </c>
      <c r="P108" s="31">
        <f t="shared" si="21"/>
        <v>0</v>
      </c>
      <c r="Q108" s="31">
        <f t="shared" si="21"/>
        <v>0</v>
      </c>
      <c r="R108" s="31">
        <f t="shared" si="21"/>
        <v>0</v>
      </c>
      <c r="S108" s="31">
        <f t="shared" si="21"/>
        <v>0</v>
      </c>
      <c r="T108" s="31">
        <f t="shared" si="21"/>
        <v>0</v>
      </c>
      <c r="U108" s="31">
        <f t="shared" si="21"/>
        <v>0</v>
      </c>
      <c r="V108" s="31">
        <f t="shared" si="21"/>
        <v>0</v>
      </c>
      <c r="W108" s="31">
        <f t="shared" si="21"/>
        <v>0</v>
      </c>
      <c r="X108" s="31">
        <f t="shared" si="21"/>
        <v>0</v>
      </c>
      <c r="Y108" s="31">
        <f t="shared" si="21"/>
        <v>0</v>
      </c>
      <c r="Z108" s="31">
        <f t="shared" si="21"/>
        <v>0</v>
      </c>
      <c r="AA108" s="31">
        <f t="shared" si="21"/>
        <v>0</v>
      </c>
      <c r="AB108" s="31">
        <f t="shared" si="21"/>
        <v>0</v>
      </c>
      <c r="AC108" s="31">
        <f t="shared" si="21"/>
        <v>0</v>
      </c>
      <c r="AD108" s="31">
        <f t="shared" si="21"/>
        <v>0</v>
      </c>
      <c r="AE108" s="31">
        <f t="shared" si="21"/>
        <v>0</v>
      </c>
      <c r="AF108" s="31">
        <f t="shared" si="21"/>
        <v>0</v>
      </c>
      <c r="AG108" s="31">
        <f t="shared" si="21"/>
        <v>0</v>
      </c>
    </row>
    <row r="109" spans="1:43" x14ac:dyDescent="0.3">
      <c r="D109" s="301" t="str">
        <f>Assumptions!G122</f>
        <v>Capex</v>
      </c>
      <c r="E109" s="301" t="str">
        <f>Assumptions!H122</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3">
      <c r="A110" s="1" t="str">
        <f>"sens"&amp;Assumptions!B123</f>
        <v>sens1</v>
      </c>
      <c r="C110" s="300" t="str">
        <f>Assumptions!C123</f>
        <v>Capex 10% higher</v>
      </c>
      <c r="D110" s="301">
        <f>Assumptions!G123</f>
        <v>0.1</v>
      </c>
      <c r="E110" s="301">
        <f>Assumptions!H123</f>
        <v>0</v>
      </c>
      <c r="G110" s="38" t="str">
        <f>PROPER($A$3)&amp;A110</f>
        <v>Option 1 (Base Case)sens1</v>
      </c>
      <c r="I110" s="31" cm="1">
        <f t="array" ref="I110">I$106+IF($C110&lt;&gt;0,SUMPRODUCT((I$107:I$108)*TRANSPOSE(($D110:$E110))),0)</f>
        <v>0</v>
      </c>
      <c r="J110" s="31" cm="1">
        <f t="array" ref="J110">J$106+IF($C110&lt;&gt;0,SUMPRODUCT((J$107:J$108)*TRANSPOSE(($D110:$E110))),0)</f>
        <v>0</v>
      </c>
      <c r="K110" s="31" cm="1">
        <f t="array" ref="K110">K$106+IF($C110&lt;&gt;0,SUMPRODUCT((K$107:K$108)*TRANSPOSE(($D110:$E110))),0)</f>
        <v>0</v>
      </c>
      <c r="L110" s="31" cm="1">
        <f t="array" ref="L110">L$106+IF($C110&lt;&gt;0,SUMPRODUCT((L$107:L$108)*TRANSPOSE(($D110:$E110))),0)</f>
        <v>0</v>
      </c>
      <c r="M110" s="31" cm="1">
        <f t="array" ref="M110">M$106+IF($C110&lt;&gt;0,SUMPRODUCT((M$107:M$108)*TRANSPOSE(($D110:$E110))),0)</f>
        <v>0</v>
      </c>
      <c r="N110" s="31" cm="1">
        <f t="array" ref="N110">N$106+IF($C110&lt;&gt;0,SUMPRODUCT((N$107:N$108)*TRANSPOSE(($D110:$E110))),0)</f>
        <v>0</v>
      </c>
      <c r="O110" s="31" cm="1">
        <f t="array" ref="O110">O$106+IF($C110&lt;&gt;0,SUMPRODUCT((O$107:O$108)*TRANSPOSE(($D110:$E110))),0)</f>
        <v>0</v>
      </c>
      <c r="P110" s="31" cm="1">
        <f t="array" ref="P110">P$106+IF($C110&lt;&gt;0,SUMPRODUCT((P$107:P$108)*TRANSPOSE(($D110:$E110))),0)</f>
        <v>0</v>
      </c>
      <c r="Q110" s="31" cm="1">
        <f t="array" ref="Q110">Q$106+IF($C110&lt;&gt;0,SUMPRODUCT((Q$107:Q$108)*TRANSPOSE(($D110:$E110))),0)</f>
        <v>0</v>
      </c>
      <c r="R110" s="31" cm="1">
        <f t="array" ref="R110">R$106+IF($C110&lt;&gt;0,SUMPRODUCT((R$107:R$108)*TRANSPOSE(($D110:$E110))),0)</f>
        <v>0</v>
      </c>
      <c r="S110" s="31" cm="1">
        <f t="array" ref="S110">S$106+IF($C110&lt;&gt;0,SUMPRODUCT((S$107:S$108)*TRANSPOSE(($D110:$E110))),0)</f>
        <v>0</v>
      </c>
      <c r="T110" s="31" cm="1">
        <f t="array" ref="T110">T$106+IF($C110&lt;&gt;0,SUMPRODUCT((T$107:T$108)*TRANSPOSE(($D110:$E110))),0)</f>
        <v>0</v>
      </c>
      <c r="U110" s="31" cm="1">
        <f t="array" ref="U110">U$106+IF($C110&lt;&gt;0,SUMPRODUCT((U$107:U$108)*TRANSPOSE(($D110:$E110))),0)</f>
        <v>0</v>
      </c>
      <c r="V110" s="31" cm="1">
        <f t="array" ref="V110">V$106+IF($C110&lt;&gt;0,SUMPRODUCT((V$107:V$108)*TRANSPOSE(($D110:$E110))),0)</f>
        <v>0</v>
      </c>
      <c r="W110" s="31" cm="1">
        <f t="array" ref="W110">W$106+IF($C110&lt;&gt;0,SUMPRODUCT((W$107:W$108)*TRANSPOSE(($D110:$E110))),0)</f>
        <v>0</v>
      </c>
      <c r="X110" s="31" cm="1">
        <f t="array" ref="X110">X$106+IF($C110&lt;&gt;0,SUMPRODUCT((X$107:X$108)*TRANSPOSE(($D110:$E110))),0)</f>
        <v>0</v>
      </c>
      <c r="Y110" s="31" cm="1">
        <f t="array" ref="Y110">Y$106+IF($C110&lt;&gt;0,SUMPRODUCT((Y$107:Y$108)*TRANSPOSE(($D110:$E110))),0)</f>
        <v>0</v>
      </c>
      <c r="Z110" s="31" cm="1">
        <f t="array" ref="Z110">Z$106+IF($C110&lt;&gt;0,SUMPRODUCT((Z$107:Z$108)*TRANSPOSE(($D110:$E110))),0)</f>
        <v>0</v>
      </c>
      <c r="AA110" s="31" cm="1">
        <f t="array" ref="AA110">AA$106+IF($C110&lt;&gt;0,SUMPRODUCT((AA$107:AA$108)*TRANSPOSE(($D110:$E110))),0)</f>
        <v>0</v>
      </c>
      <c r="AB110" s="31" cm="1">
        <f t="array" ref="AB110">AB$106+IF($C110&lt;&gt;0,SUMPRODUCT((AB$107:AB$108)*TRANSPOSE(($D110:$E110))),0)</f>
        <v>0</v>
      </c>
      <c r="AC110" s="31" cm="1">
        <f t="array" ref="AC110">AC$106+IF($C110&lt;&gt;0,SUMPRODUCT((AC$107:AC$108)*TRANSPOSE(($D110:$E110))),0)</f>
        <v>0</v>
      </c>
      <c r="AD110" s="31" cm="1">
        <f t="array" ref="AD110">AD$106+IF($C110&lt;&gt;0,SUMPRODUCT((AD$107:AD$108)*TRANSPOSE(($D110:$E110))),0)</f>
        <v>0</v>
      </c>
      <c r="AE110" s="31" cm="1">
        <f t="array" ref="AE110">AE$106+IF($C110&lt;&gt;0,SUMPRODUCT((AE$107:AE$108)*TRANSPOSE(($D110:$E110))),0)</f>
        <v>0</v>
      </c>
      <c r="AF110" s="31" cm="1">
        <f t="array" ref="AF110">AF$106+IF($C110&lt;&gt;0,SUMPRODUCT((AF$107:AF$108)*TRANSPOSE(($D110:$E110))),0)</f>
        <v>0</v>
      </c>
      <c r="AG110" s="31" cm="1">
        <f t="array" ref="AG110">AG$106+IF($C110&lt;&gt;0,SUMPRODUCT((AG$107:AG$108)*TRANSPOSE(($D110:$E110))),0)</f>
        <v>0</v>
      </c>
    </row>
    <row r="111" spans="1:43" x14ac:dyDescent="0.3">
      <c r="A111" s="1" t="str">
        <f>"sens"&amp;Assumptions!B124</f>
        <v>sens2</v>
      </c>
      <c r="C111" s="300" t="str">
        <f>Assumptions!C124</f>
        <v>Capex 10% lower</v>
      </c>
      <c r="D111" s="301">
        <f>Assumptions!G124</f>
        <v>-0.1</v>
      </c>
      <c r="E111" s="301">
        <f>Assumptions!H124</f>
        <v>0</v>
      </c>
      <c r="G111" s="38" t="str">
        <f t="shared" ref="G111:G117" si="22">PROPER($A$3)&amp;A111</f>
        <v>Option 1 (Base Case)sens2</v>
      </c>
      <c r="I111" s="31" cm="1">
        <f t="array" ref="I111">I$106+IF($C111&lt;&gt;0,SUMPRODUCT((I$107:I$108)*TRANSPOSE(($D111:$E111))),0)</f>
        <v>0</v>
      </c>
      <c r="J111" s="31" cm="1">
        <f t="array" ref="J111">J$106+IF($C111&lt;&gt;0,SUMPRODUCT((J$107:J$108)*TRANSPOSE(($D111:$E111))),0)</f>
        <v>0</v>
      </c>
      <c r="K111" s="31" cm="1">
        <f t="array" ref="K111">K$106+IF($C111&lt;&gt;0,SUMPRODUCT((K$107:K$108)*TRANSPOSE(($D111:$E111))),0)</f>
        <v>0</v>
      </c>
      <c r="L111" s="31" cm="1">
        <f t="array" ref="L111">L$106+IF($C111&lt;&gt;0,SUMPRODUCT((L$107:L$108)*TRANSPOSE(($D111:$E111))),0)</f>
        <v>0</v>
      </c>
      <c r="M111" s="31" cm="1">
        <f t="array" ref="M111">M$106+IF($C111&lt;&gt;0,SUMPRODUCT((M$107:M$108)*TRANSPOSE(($D111:$E111))),0)</f>
        <v>0</v>
      </c>
      <c r="N111" s="31" cm="1">
        <f t="array" ref="N111">N$106+IF($C111&lt;&gt;0,SUMPRODUCT((N$107:N$108)*TRANSPOSE(($D111:$E111))),0)</f>
        <v>0</v>
      </c>
      <c r="O111" s="31" cm="1">
        <f t="array" ref="O111">O$106+IF($C111&lt;&gt;0,SUMPRODUCT((O$107:O$108)*TRANSPOSE(($D111:$E111))),0)</f>
        <v>0</v>
      </c>
      <c r="P111" s="31" cm="1">
        <f t="array" ref="P111">P$106+IF($C111&lt;&gt;0,SUMPRODUCT((P$107:P$108)*TRANSPOSE(($D111:$E111))),0)</f>
        <v>0</v>
      </c>
      <c r="Q111" s="31" cm="1">
        <f t="array" ref="Q111">Q$106+IF($C111&lt;&gt;0,SUMPRODUCT((Q$107:Q$108)*TRANSPOSE(($D111:$E111))),0)</f>
        <v>0</v>
      </c>
      <c r="R111" s="31" cm="1">
        <f t="array" ref="R111">R$106+IF($C111&lt;&gt;0,SUMPRODUCT((R$107:R$108)*TRANSPOSE(($D111:$E111))),0)</f>
        <v>0</v>
      </c>
      <c r="S111" s="31" cm="1">
        <f t="array" ref="S111">S$106+IF($C111&lt;&gt;0,SUMPRODUCT((S$107:S$108)*TRANSPOSE(($D111:$E111))),0)</f>
        <v>0</v>
      </c>
      <c r="T111" s="31" cm="1">
        <f t="array" ref="T111">T$106+IF($C111&lt;&gt;0,SUMPRODUCT((T$107:T$108)*TRANSPOSE(($D111:$E111))),0)</f>
        <v>0</v>
      </c>
      <c r="U111" s="31" cm="1">
        <f t="array" ref="U111">U$106+IF($C111&lt;&gt;0,SUMPRODUCT((U$107:U$108)*TRANSPOSE(($D111:$E111))),0)</f>
        <v>0</v>
      </c>
      <c r="V111" s="31" cm="1">
        <f t="array" ref="V111">V$106+IF($C111&lt;&gt;0,SUMPRODUCT((V$107:V$108)*TRANSPOSE(($D111:$E111))),0)</f>
        <v>0</v>
      </c>
      <c r="W111" s="31" cm="1">
        <f t="array" ref="W111">W$106+IF($C111&lt;&gt;0,SUMPRODUCT((W$107:W$108)*TRANSPOSE(($D111:$E111))),0)</f>
        <v>0</v>
      </c>
      <c r="X111" s="31" cm="1">
        <f t="array" ref="X111">X$106+IF($C111&lt;&gt;0,SUMPRODUCT((X$107:X$108)*TRANSPOSE(($D111:$E111))),0)</f>
        <v>0</v>
      </c>
      <c r="Y111" s="31" cm="1">
        <f t="array" ref="Y111">Y$106+IF($C111&lt;&gt;0,SUMPRODUCT((Y$107:Y$108)*TRANSPOSE(($D111:$E111))),0)</f>
        <v>0</v>
      </c>
      <c r="Z111" s="31" cm="1">
        <f t="array" ref="Z111">Z$106+IF($C111&lt;&gt;0,SUMPRODUCT((Z$107:Z$108)*TRANSPOSE(($D111:$E111))),0)</f>
        <v>0</v>
      </c>
      <c r="AA111" s="31" cm="1">
        <f t="array" ref="AA111">AA$106+IF($C111&lt;&gt;0,SUMPRODUCT((AA$107:AA$108)*TRANSPOSE(($D111:$E111))),0)</f>
        <v>0</v>
      </c>
      <c r="AB111" s="31" cm="1">
        <f t="array" ref="AB111">AB$106+IF($C111&lt;&gt;0,SUMPRODUCT((AB$107:AB$108)*TRANSPOSE(($D111:$E111))),0)</f>
        <v>0</v>
      </c>
      <c r="AC111" s="31" cm="1">
        <f t="array" ref="AC111">AC$106+IF($C111&lt;&gt;0,SUMPRODUCT((AC$107:AC$108)*TRANSPOSE(($D111:$E111))),0)</f>
        <v>0</v>
      </c>
      <c r="AD111" s="31" cm="1">
        <f t="array" ref="AD111">AD$106+IF($C111&lt;&gt;0,SUMPRODUCT((AD$107:AD$108)*TRANSPOSE(($D111:$E111))),0)</f>
        <v>0</v>
      </c>
      <c r="AE111" s="31" cm="1">
        <f t="array" ref="AE111">AE$106+IF($C111&lt;&gt;0,SUMPRODUCT((AE$107:AE$108)*TRANSPOSE(($D111:$E111))),0)</f>
        <v>0</v>
      </c>
      <c r="AF111" s="31" cm="1">
        <f t="array" ref="AF111">AF$106+IF($C111&lt;&gt;0,SUMPRODUCT((AF$107:AF$108)*TRANSPOSE(($D111:$E111))),0)</f>
        <v>0</v>
      </c>
      <c r="AG111" s="31" cm="1">
        <f t="array" ref="AG111">AG$106+IF($C111&lt;&gt;0,SUMPRODUCT((AG$107:AG$108)*TRANSPOSE(($D111:$E111))),0)</f>
        <v>0</v>
      </c>
    </row>
    <row r="112" spans="1:43" x14ac:dyDescent="0.3">
      <c r="A112" s="1" t="str">
        <f>"sens"&amp;Assumptions!B125</f>
        <v>sens3</v>
      </c>
      <c r="C112" s="300" t="str">
        <f>Assumptions!C125</f>
        <v>Total benefits 10% higher</v>
      </c>
      <c r="D112" s="301">
        <f>Assumptions!G125</f>
        <v>0</v>
      </c>
      <c r="E112" s="301">
        <f>Assumptions!H125</f>
        <v>0.1</v>
      </c>
      <c r="G112" s="38" t="str">
        <f t="shared" si="22"/>
        <v>Option 1 (Base Case)sens3</v>
      </c>
      <c r="I112" s="31" cm="1">
        <f t="array" ref="I112">I$106+IF($C112&lt;&gt;0,SUMPRODUCT((I$107:I$108)*TRANSPOSE(($D112:$E112))),0)</f>
        <v>0</v>
      </c>
      <c r="J112" s="31" cm="1">
        <f t="array" ref="J112">J$106+IF($C112&lt;&gt;0,SUMPRODUCT((J$107:J$108)*TRANSPOSE(($D112:$E112))),0)</f>
        <v>0</v>
      </c>
      <c r="K112" s="31" cm="1">
        <f t="array" ref="K112">K$106+IF($C112&lt;&gt;0,SUMPRODUCT((K$107:K$108)*TRANSPOSE(($D112:$E112))),0)</f>
        <v>0</v>
      </c>
      <c r="L112" s="31" cm="1">
        <f t="array" ref="L112">L$106+IF($C112&lt;&gt;0,SUMPRODUCT((L$107:L$108)*TRANSPOSE(($D112:$E112))),0)</f>
        <v>0</v>
      </c>
      <c r="M112" s="31" cm="1">
        <f t="array" ref="M112">M$106+IF($C112&lt;&gt;0,SUMPRODUCT((M$107:M$108)*TRANSPOSE(($D112:$E112))),0)</f>
        <v>0</v>
      </c>
      <c r="N112" s="31" cm="1">
        <f t="array" ref="N112">N$106+IF($C112&lt;&gt;0,SUMPRODUCT((N$107:N$108)*TRANSPOSE(($D112:$E112))),0)</f>
        <v>0</v>
      </c>
      <c r="O112" s="31" cm="1">
        <f t="array" ref="O112">O$106+IF($C112&lt;&gt;0,SUMPRODUCT((O$107:O$108)*TRANSPOSE(($D112:$E112))),0)</f>
        <v>0</v>
      </c>
      <c r="P112" s="31" cm="1">
        <f t="array" ref="P112">P$106+IF($C112&lt;&gt;0,SUMPRODUCT((P$107:P$108)*TRANSPOSE(($D112:$E112))),0)</f>
        <v>0</v>
      </c>
      <c r="Q112" s="31" cm="1">
        <f t="array" ref="Q112">Q$106+IF($C112&lt;&gt;0,SUMPRODUCT((Q$107:Q$108)*TRANSPOSE(($D112:$E112))),0)</f>
        <v>0</v>
      </c>
      <c r="R112" s="31" cm="1">
        <f t="array" ref="R112">R$106+IF($C112&lt;&gt;0,SUMPRODUCT((R$107:R$108)*TRANSPOSE(($D112:$E112))),0)</f>
        <v>0</v>
      </c>
      <c r="S112" s="31" cm="1">
        <f t="array" ref="S112">S$106+IF($C112&lt;&gt;0,SUMPRODUCT((S$107:S$108)*TRANSPOSE(($D112:$E112))),0)</f>
        <v>0</v>
      </c>
      <c r="T112" s="31" cm="1">
        <f t="array" ref="T112">T$106+IF($C112&lt;&gt;0,SUMPRODUCT((T$107:T$108)*TRANSPOSE(($D112:$E112))),0)</f>
        <v>0</v>
      </c>
      <c r="U112" s="31" cm="1">
        <f t="array" ref="U112">U$106+IF($C112&lt;&gt;0,SUMPRODUCT((U$107:U$108)*TRANSPOSE(($D112:$E112))),0)</f>
        <v>0</v>
      </c>
      <c r="V112" s="31" cm="1">
        <f t="array" ref="V112">V$106+IF($C112&lt;&gt;0,SUMPRODUCT((V$107:V$108)*TRANSPOSE(($D112:$E112))),0)</f>
        <v>0</v>
      </c>
      <c r="W112" s="31" cm="1">
        <f t="array" ref="W112">W$106+IF($C112&lt;&gt;0,SUMPRODUCT((W$107:W$108)*TRANSPOSE(($D112:$E112))),0)</f>
        <v>0</v>
      </c>
      <c r="X112" s="31" cm="1">
        <f t="array" ref="X112">X$106+IF($C112&lt;&gt;0,SUMPRODUCT((X$107:X$108)*TRANSPOSE(($D112:$E112))),0)</f>
        <v>0</v>
      </c>
      <c r="Y112" s="31" cm="1">
        <f t="array" ref="Y112">Y$106+IF($C112&lt;&gt;0,SUMPRODUCT((Y$107:Y$108)*TRANSPOSE(($D112:$E112))),0)</f>
        <v>0</v>
      </c>
      <c r="Z112" s="31" cm="1">
        <f t="array" ref="Z112">Z$106+IF($C112&lt;&gt;0,SUMPRODUCT((Z$107:Z$108)*TRANSPOSE(($D112:$E112))),0)</f>
        <v>0</v>
      </c>
      <c r="AA112" s="31" cm="1">
        <f t="array" ref="AA112">AA$106+IF($C112&lt;&gt;0,SUMPRODUCT((AA$107:AA$108)*TRANSPOSE(($D112:$E112))),0)</f>
        <v>0</v>
      </c>
      <c r="AB112" s="31" cm="1">
        <f t="array" ref="AB112">AB$106+IF($C112&lt;&gt;0,SUMPRODUCT((AB$107:AB$108)*TRANSPOSE(($D112:$E112))),0)</f>
        <v>0</v>
      </c>
      <c r="AC112" s="31" cm="1">
        <f t="array" ref="AC112">AC$106+IF($C112&lt;&gt;0,SUMPRODUCT((AC$107:AC$108)*TRANSPOSE(($D112:$E112))),0)</f>
        <v>0</v>
      </c>
      <c r="AD112" s="31" cm="1">
        <f t="array" ref="AD112">AD$106+IF($C112&lt;&gt;0,SUMPRODUCT((AD$107:AD$108)*TRANSPOSE(($D112:$E112))),0)</f>
        <v>0</v>
      </c>
      <c r="AE112" s="31" cm="1">
        <f t="array" ref="AE112">AE$106+IF($C112&lt;&gt;0,SUMPRODUCT((AE$107:AE$108)*TRANSPOSE(($D112:$E112))),0)</f>
        <v>0</v>
      </c>
      <c r="AF112" s="31" cm="1">
        <f t="array" ref="AF112">AF$106+IF($C112&lt;&gt;0,SUMPRODUCT((AF$107:AF$108)*TRANSPOSE(($D112:$E112))),0)</f>
        <v>0</v>
      </c>
      <c r="AG112" s="31" cm="1">
        <f t="array" ref="AG112">AG$106+IF($C112&lt;&gt;0,SUMPRODUCT((AG$107:AG$108)*TRANSPOSE(($D112:$E112))),0)</f>
        <v>0</v>
      </c>
    </row>
    <row r="113" spans="1:33" x14ac:dyDescent="0.3">
      <c r="A113" s="1" t="str">
        <f>"sens"&amp;Assumptions!B126</f>
        <v>sens4</v>
      </c>
      <c r="C113" s="300" t="str">
        <f>Assumptions!C126</f>
        <v>Total benefits 10% lower</v>
      </c>
      <c r="D113" s="301">
        <f>Assumptions!G126</f>
        <v>0</v>
      </c>
      <c r="E113" s="301">
        <f>Assumptions!H126</f>
        <v>-0.1</v>
      </c>
      <c r="G113" s="38" t="str">
        <f t="shared" si="22"/>
        <v>Option 1 (Base Case)sens4</v>
      </c>
      <c r="I113" s="31" cm="1">
        <f t="array" ref="I113">I$106+IF($C113&lt;&gt;0,SUMPRODUCT((I$107:I$108)*TRANSPOSE(($D113:$E113))),0)</f>
        <v>0</v>
      </c>
      <c r="J113" s="31" cm="1">
        <f t="array" ref="J113">J$106+IF($C113&lt;&gt;0,SUMPRODUCT((J$107:J$108)*TRANSPOSE(($D113:$E113))),0)</f>
        <v>0</v>
      </c>
      <c r="K113" s="31" cm="1">
        <f t="array" ref="K113">K$106+IF($C113&lt;&gt;0,SUMPRODUCT((K$107:K$108)*TRANSPOSE(($D113:$E113))),0)</f>
        <v>0</v>
      </c>
      <c r="L113" s="31" cm="1">
        <f t="array" ref="L113">L$106+IF($C113&lt;&gt;0,SUMPRODUCT((L$107:L$108)*TRANSPOSE(($D113:$E113))),0)</f>
        <v>0</v>
      </c>
      <c r="M113" s="31" cm="1">
        <f t="array" ref="M113">M$106+IF($C113&lt;&gt;0,SUMPRODUCT((M$107:M$108)*TRANSPOSE(($D113:$E113))),0)</f>
        <v>0</v>
      </c>
      <c r="N113" s="31" cm="1">
        <f t="array" ref="N113">N$106+IF($C113&lt;&gt;0,SUMPRODUCT((N$107:N$108)*TRANSPOSE(($D113:$E113))),0)</f>
        <v>0</v>
      </c>
      <c r="O113" s="31" cm="1">
        <f t="array" ref="O113">O$106+IF($C113&lt;&gt;0,SUMPRODUCT((O$107:O$108)*TRANSPOSE(($D113:$E113))),0)</f>
        <v>0</v>
      </c>
      <c r="P113" s="31" cm="1">
        <f t="array" ref="P113">P$106+IF($C113&lt;&gt;0,SUMPRODUCT((P$107:P$108)*TRANSPOSE(($D113:$E113))),0)</f>
        <v>0</v>
      </c>
      <c r="Q113" s="31" cm="1">
        <f t="array" ref="Q113">Q$106+IF($C113&lt;&gt;0,SUMPRODUCT((Q$107:Q$108)*TRANSPOSE(($D113:$E113))),0)</f>
        <v>0</v>
      </c>
      <c r="R113" s="31" cm="1">
        <f t="array" ref="R113">R$106+IF($C113&lt;&gt;0,SUMPRODUCT((R$107:R$108)*TRANSPOSE(($D113:$E113))),0)</f>
        <v>0</v>
      </c>
      <c r="S113" s="31" cm="1">
        <f t="array" ref="S113">S$106+IF($C113&lt;&gt;0,SUMPRODUCT((S$107:S$108)*TRANSPOSE(($D113:$E113))),0)</f>
        <v>0</v>
      </c>
      <c r="T113" s="31" cm="1">
        <f t="array" ref="T113">T$106+IF($C113&lt;&gt;0,SUMPRODUCT((T$107:T$108)*TRANSPOSE(($D113:$E113))),0)</f>
        <v>0</v>
      </c>
      <c r="U113" s="31" cm="1">
        <f t="array" ref="U113">U$106+IF($C113&lt;&gt;0,SUMPRODUCT((U$107:U$108)*TRANSPOSE(($D113:$E113))),0)</f>
        <v>0</v>
      </c>
      <c r="V113" s="31" cm="1">
        <f t="array" ref="V113">V$106+IF($C113&lt;&gt;0,SUMPRODUCT((V$107:V$108)*TRANSPOSE(($D113:$E113))),0)</f>
        <v>0</v>
      </c>
      <c r="W113" s="31" cm="1">
        <f t="array" ref="W113">W$106+IF($C113&lt;&gt;0,SUMPRODUCT((W$107:W$108)*TRANSPOSE(($D113:$E113))),0)</f>
        <v>0</v>
      </c>
      <c r="X113" s="31" cm="1">
        <f t="array" ref="X113">X$106+IF($C113&lt;&gt;0,SUMPRODUCT((X$107:X$108)*TRANSPOSE(($D113:$E113))),0)</f>
        <v>0</v>
      </c>
      <c r="Y113" s="31" cm="1">
        <f t="array" ref="Y113">Y$106+IF($C113&lt;&gt;0,SUMPRODUCT((Y$107:Y$108)*TRANSPOSE(($D113:$E113))),0)</f>
        <v>0</v>
      </c>
      <c r="Z113" s="31" cm="1">
        <f t="array" ref="Z113">Z$106+IF($C113&lt;&gt;0,SUMPRODUCT((Z$107:Z$108)*TRANSPOSE(($D113:$E113))),0)</f>
        <v>0</v>
      </c>
      <c r="AA113" s="31" cm="1">
        <f t="array" ref="AA113">AA$106+IF($C113&lt;&gt;0,SUMPRODUCT((AA$107:AA$108)*TRANSPOSE(($D113:$E113))),0)</f>
        <v>0</v>
      </c>
      <c r="AB113" s="31" cm="1">
        <f t="array" ref="AB113">AB$106+IF($C113&lt;&gt;0,SUMPRODUCT((AB$107:AB$108)*TRANSPOSE(($D113:$E113))),0)</f>
        <v>0</v>
      </c>
      <c r="AC113" s="31" cm="1">
        <f t="array" ref="AC113">AC$106+IF($C113&lt;&gt;0,SUMPRODUCT((AC$107:AC$108)*TRANSPOSE(($D113:$E113))),0)</f>
        <v>0</v>
      </c>
      <c r="AD113" s="31" cm="1">
        <f t="array" ref="AD113">AD$106+IF($C113&lt;&gt;0,SUMPRODUCT((AD$107:AD$108)*TRANSPOSE(($D113:$E113))),0)</f>
        <v>0</v>
      </c>
      <c r="AE113" s="31" cm="1">
        <f t="array" ref="AE113">AE$106+IF($C113&lt;&gt;0,SUMPRODUCT((AE$107:AE$108)*TRANSPOSE(($D113:$E113))),0)</f>
        <v>0</v>
      </c>
      <c r="AF113" s="31" cm="1">
        <f t="array" ref="AF113">AF$106+IF($C113&lt;&gt;0,SUMPRODUCT((AF$107:AF$108)*TRANSPOSE(($D113:$E113))),0)</f>
        <v>0</v>
      </c>
      <c r="AG113" s="31" cm="1">
        <f t="array" ref="AG113">AG$106+IF($C113&lt;&gt;0,SUMPRODUCT((AG$107:AG$108)*TRANSPOSE(($D113:$E113))),0)</f>
        <v>0</v>
      </c>
    </row>
    <row r="114" spans="1:33" x14ac:dyDescent="0.3">
      <c r="A114" s="1" t="str">
        <f>"sens"&amp;Assumptions!B127</f>
        <v>sens5</v>
      </c>
      <c r="C114" s="300" t="str">
        <f>Assumptions!C127</f>
        <v>Capex 10% higher &amp; Total benefits 10% lower</v>
      </c>
      <c r="D114" s="301">
        <f>Assumptions!G127</f>
        <v>0.1</v>
      </c>
      <c r="E114" s="301">
        <f>Assumptions!H127</f>
        <v>-0.1</v>
      </c>
      <c r="G114" s="38" t="str">
        <f t="shared" si="22"/>
        <v>Option 1 (Base Case)sens5</v>
      </c>
      <c r="I114" s="31" cm="1">
        <f t="array" ref="I114">I$106+IF($C114&lt;&gt;0,SUMPRODUCT((I$107:I$108)*TRANSPOSE(($D114:$E114))),0)</f>
        <v>0</v>
      </c>
      <c r="J114" s="31" cm="1">
        <f t="array" ref="J114">J$106+IF($C114&lt;&gt;0,SUMPRODUCT((J$107:J$108)*TRANSPOSE(($D114:$E114))),0)</f>
        <v>0</v>
      </c>
      <c r="K114" s="31" cm="1">
        <f t="array" ref="K114">K$106+IF($C114&lt;&gt;0,SUMPRODUCT((K$107:K$108)*TRANSPOSE(($D114:$E114))),0)</f>
        <v>0</v>
      </c>
      <c r="L114" s="31" cm="1">
        <f t="array" ref="L114">L$106+IF($C114&lt;&gt;0,SUMPRODUCT((L$107:L$108)*TRANSPOSE(($D114:$E114))),0)</f>
        <v>0</v>
      </c>
      <c r="M114" s="31" cm="1">
        <f t="array" ref="M114">M$106+IF($C114&lt;&gt;0,SUMPRODUCT((M$107:M$108)*TRANSPOSE(($D114:$E114))),0)</f>
        <v>0</v>
      </c>
      <c r="N114" s="31" cm="1">
        <f t="array" ref="N114">N$106+IF($C114&lt;&gt;0,SUMPRODUCT((N$107:N$108)*TRANSPOSE(($D114:$E114))),0)</f>
        <v>0</v>
      </c>
      <c r="O114" s="31" cm="1">
        <f t="array" ref="O114">O$106+IF($C114&lt;&gt;0,SUMPRODUCT((O$107:O$108)*TRANSPOSE(($D114:$E114))),0)</f>
        <v>0</v>
      </c>
      <c r="P114" s="31" cm="1">
        <f t="array" ref="P114">P$106+IF($C114&lt;&gt;0,SUMPRODUCT((P$107:P$108)*TRANSPOSE(($D114:$E114))),0)</f>
        <v>0</v>
      </c>
      <c r="Q114" s="31" cm="1">
        <f t="array" ref="Q114">Q$106+IF($C114&lt;&gt;0,SUMPRODUCT((Q$107:Q$108)*TRANSPOSE(($D114:$E114))),0)</f>
        <v>0</v>
      </c>
      <c r="R114" s="31" cm="1">
        <f t="array" ref="R114">R$106+IF($C114&lt;&gt;0,SUMPRODUCT((R$107:R$108)*TRANSPOSE(($D114:$E114))),0)</f>
        <v>0</v>
      </c>
      <c r="S114" s="31" cm="1">
        <f t="array" ref="S114">S$106+IF($C114&lt;&gt;0,SUMPRODUCT((S$107:S$108)*TRANSPOSE(($D114:$E114))),0)</f>
        <v>0</v>
      </c>
      <c r="T114" s="31" cm="1">
        <f t="array" ref="T114">T$106+IF($C114&lt;&gt;0,SUMPRODUCT((T$107:T$108)*TRANSPOSE(($D114:$E114))),0)</f>
        <v>0</v>
      </c>
      <c r="U114" s="31" cm="1">
        <f t="array" ref="U114">U$106+IF($C114&lt;&gt;0,SUMPRODUCT((U$107:U$108)*TRANSPOSE(($D114:$E114))),0)</f>
        <v>0</v>
      </c>
      <c r="V114" s="31" cm="1">
        <f t="array" ref="V114">V$106+IF($C114&lt;&gt;0,SUMPRODUCT((V$107:V$108)*TRANSPOSE(($D114:$E114))),0)</f>
        <v>0</v>
      </c>
      <c r="W114" s="31" cm="1">
        <f t="array" ref="W114">W$106+IF($C114&lt;&gt;0,SUMPRODUCT((W$107:W$108)*TRANSPOSE(($D114:$E114))),0)</f>
        <v>0</v>
      </c>
      <c r="X114" s="31" cm="1">
        <f t="array" ref="X114">X$106+IF($C114&lt;&gt;0,SUMPRODUCT((X$107:X$108)*TRANSPOSE(($D114:$E114))),0)</f>
        <v>0</v>
      </c>
      <c r="Y114" s="31" cm="1">
        <f t="array" ref="Y114">Y$106+IF($C114&lt;&gt;0,SUMPRODUCT((Y$107:Y$108)*TRANSPOSE(($D114:$E114))),0)</f>
        <v>0</v>
      </c>
      <c r="Z114" s="31" cm="1">
        <f t="array" ref="Z114">Z$106+IF($C114&lt;&gt;0,SUMPRODUCT((Z$107:Z$108)*TRANSPOSE(($D114:$E114))),0)</f>
        <v>0</v>
      </c>
      <c r="AA114" s="31" cm="1">
        <f t="array" ref="AA114">AA$106+IF($C114&lt;&gt;0,SUMPRODUCT((AA$107:AA$108)*TRANSPOSE(($D114:$E114))),0)</f>
        <v>0</v>
      </c>
      <c r="AB114" s="31" cm="1">
        <f t="array" ref="AB114">AB$106+IF($C114&lt;&gt;0,SUMPRODUCT((AB$107:AB$108)*TRANSPOSE(($D114:$E114))),0)</f>
        <v>0</v>
      </c>
      <c r="AC114" s="31" cm="1">
        <f t="array" ref="AC114">AC$106+IF($C114&lt;&gt;0,SUMPRODUCT((AC$107:AC$108)*TRANSPOSE(($D114:$E114))),0)</f>
        <v>0</v>
      </c>
      <c r="AD114" s="31" cm="1">
        <f t="array" ref="AD114">AD$106+IF($C114&lt;&gt;0,SUMPRODUCT((AD$107:AD$108)*TRANSPOSE(($D114:$E114))),0)</f>
        <v>0</v>
      </c>
      <c r="AE114" s="31" cm="1">
        <f t="array" ref="AE114">AE$106+IF($C114&lt;&gt;0,SUMPRODUCT((AE$107:AE$108)*TRANSPOSE(($D114:$E114))),0)</f>
        <v>0</v>
      </c>
      <c r="AF114" s="31" cm="1">
        <f t="array" ref="AF114">AF$106+IF($C114&lt;&gt;0,SUMPRODUCT((AF$107:AF$108)*TRANSPOSE(($D114:$E114))),0)</f>
        <v>0</v>
      </c>
      <c r="AG114" s="31" cm="1">
        <f t="array" ref="AG114">AG$106+IF($C114&lt;&gt;0,SUMPRODUCT((AG$107:AG$108)*TRANSPOSE(($D114:$E114))),0)</f>
        <v>0</v>
      </c>
    </row>
    <row r="115" spans="1:33" x14ac:dyDescent="0.3">
      <c r="A115" s="1" t="str">
        <f>"sens"&amp;Assumptions!B128</f>
        <v>sens</v>
      </c>
      <c r="C115" s="300">
        <f>Assumptions!C128</f>
        <v>0</v>
      </c>
      <c r="D115" s="301">
        <f>Assumptions!G128</f>
        <v>0</v>
      </c>
      <c r="E115" s="301">
        <f>Assumptions!H128</f>
        <v>0</v>
      </c>
      <c r="G115" s="38" t="str">
        <f t="shared" si="22"/>
        <v>Option 1 (Base Case)sens</v>
      </c>
      <c r="I115" s="31" cm="1">
        <f t="array" ref="I115">I$106+IF($C115&lt;&gt;0,SUMPRODUCT((I$107:I$108)*TRANSPOSE(($D115:$E115))),0)</f>
        <v>0</v>
      </c>
      <c r="J115" s="31" cm="1">
        <f t="array" ref="J115">J$106+IF($C115&lt;&gt;0,SUMPRODUCT((J$107:J$108)*TRANSPOSE(($D115:$E115))),0)</f>
        <v>0</v>
      </c>
      <c r="K115" s="31" cm="1">
        <f t="array" ref="K115">K$106+IF($C115&lt;&gt;0,SUMPRODUCT((K$107:K$108)*TRANSPOSE(($D115:$E115))),0)</f>
        <v>0</v>
      </c>
      <c r="L115" s="31" cm="1">
        <f t="array" ref="L115">L$106+IF($C115&lt;&gt;0,SUMPRODUCT((L$107:L$108)*TRANSPOSE(($D115:$E115))),0)</f>
        <v>0</v>
      </c>
      <c r="M115" s="31" cm="1">
        <f t="array" ref="M115">M$106+IF($C115&lt;&gt;0,SUMPRODUCT((M$107:M$108)*TRANSPOSE(($D115:$E115))),0)</f>
        <v>0</v>
      </c>
      <c r="N115" s="31" cm="1">
        <f t="array" ref="N115">N$106+IF($C115&lt;&gt;0,SUMPRODUCT((N$107:N$108)*TRANSPOSE(($D115:$E115))),0)</f>
        <v>0</v>
      </c>
      <c r="O115" s="31" cm="1">
        <f t="array" ref="O115">O$106+IF($C115&lt;&gt;0,SUMPRODUCT((O$107:O$108)*TRANSPOSE(($D115:$E115))),0)</f>
        <v>0</v>
      </c>
      <c r="P115" s="31" cm="1">
        <f t="array" ref="P115">P$106+IF($C115&lt;&gt;0,SUMPRODUCT((P$107:P$108)*TRANSPOSE(($D115:$E115))),0)</f>
        <v>0</v>
      </c>
      <c r="Q115" s="31" cm="1">
        <f t="array" ref="Q115">Q$106+IF($C115&lt;&gt;0,SUMPRODUCT((Q$107:Q$108)*TRANSPOSE(($D115:$E115))),0)</f>
        <v>0</v>
      </c>
      <c r="R115" s="31" cm="1">
        <f t="array" ref="R115">R$106+IF($C115&lt;&gt;0,SUMPRODUCT((R$107:R$108)*TRANSPOSE(($D115:$E115))),0)</f>
        <v>0</v>
      </c>
      <c r="S115" s="31" cm="1">
        <f t="array" ref="S115">S$106+IF($C115&lt;&gt;0,SUMPRODUCT((S$107:S$108)*TRANSPOSE(($D115:$E115))),0)</f>
        <v>0</v>
      </c>
      <c r="T115" s="31" cm="1">
        <f t="array" ref="T115">T$106+IF($C115&lt;&gt;0,SUMPRODUCT((T$107:T$108)*TRANSPOSE(($D115:$E115))),0)</f>
        <v>0</v>
      </c>
      <c r="U115" s="31" cm="1">
        <f t="array" ref="U115">U$106+IF($C115&lt;&gt;0,SUMPRODUCT((U$107:U$108)*TRANSPOSE(($D115:$E115))),0)</f>
        <v>0</v>
      </c>
      <c r="V115" s="31" cm="1">
        <f t="array" ref="V115">V$106+IF($C115&lt;&gt;0,SUMPRODUCT((V$107:V$108)*TRANSPOSE(($D115:$E115))),0)</f>
        <v>0</v>
      </c>
      <c r="W115" s="31" cm="1">
        <f t="array" ref="W115">W$106+IF($C115&lt;&gt;0,SUMPRODUCT((W$107:W$108)*TRANSPOSE(($D115:$E115))),0)</f>
        <v>0</v>
      </c>
      <c r="X115" s="31" cm="1">
        <f t="array" ref="X115">X$106+IF($C115&lt;&gt;0,SUMPRODUCT((X$107:X$108)*TRANSPOSE(($D115:$E115))),0)</f>
        <v>0</v>
      </c>
      <c r="Y115" s="31" cm="1">
        <f t="array" ref="Y115">Y$106+IF($C115&lt;&gt;0,SUMPRODUCT((Y$107:Y$108)*TRANSPOSE(($D115:$E115))),0)</f>
        <v>0</v>
      </c>
      <c r="Z115" s="31" cm="1">
        <f t="array" ref="Z115">Z$106+IF($C115&lt;&gt;0,SUMPRODUCT((Z$107:Z$108)*TRANSPOSE(($D115:$E115))),0)</f>
        <v>0</v>
      </c>
      <c r="AA115" s="31" cm="1">
        <f t="array" ref="AA115">AA$106+IF($C115&lt;&gt;0,SUMPRODUCT((AA$107:AA$108)*TRANSPOSE(($D115:$E115))),0)</f>
        <v>0</v>
      </c>
      <c r="AB115" s="31" cm="1">
        <f t="array" ref="AB115">AB$106+IF($C115&lt;&gt;0,SUMPRODUCT((AB$107:AB$108)*TRANSPOSE(($D115:$E115))),0)</f>
        <v>0</v>
      </c>
      <c r="AC115" s="31" cm="1">
        <f t="array" ref="AC115">AC$106+IF($C115&lt;&gt;0,SUMPRODUCT((AC$107:AC$108)*TRANSPOSE(($D115:$E115))),0)</f>
        <v>0</v>
      </c>
      <c r="AD115" s="31" cm="1">
        <f t="array" ref="AD115">AD$106+IF($C115&lt;&gt;0,SUMPRODUCT((AD$107:AD$108)*TRANSPOSE(($D115:$E115))),0)</f>
        <v>0</v>
      </c>
      <c r="AE115" s="31" cm="1">
        <f t="array" ref="AE115">AE$106+IF($C115&lt;&gt;0,SUMPRODUCT((AE$107:AE$108)*TRANSPOSE(($D115:$E115))),0)</f>
        <v>0</v>
      </c>
      <c r="AF115" s="31" cm="1">
        <f t="array" ref="AF115">AF$106+IF($C115&lt;&gt;0,SUMPRODUCT((AF$107:AF$108)*TRANSPOSE(($D115:$E115))),0)</f>
        <v>0</v>
      </c>
      <c r="AG115" s="31" cm="1">
        <f t="array" ref="AG115">AG$106+IF($C115&lt;&gt;0,SUMPRODUCT((AG$107:AG$108)*TRANSPOSE(($D115:$E115))),0)</f>
        <v>0</v>
      </c>
    </row>
    <row r="116" spans="1:33" x14ac:dyDescent="0.3">
      <c r="A116" s="1" t="str">
        <f>"sens"&amp;Assumptions!B129</f>
        <v>sens</v>
      </c>
      <c r="C116" s="300">
        <f>Assumptions!C129</f>
        <v>0</v>
      </c>
      <c r="D116" s="301">
        <f>Assumptions!G129</f>
        <v>0</v>
      </c>
      <c r="E116" s="301">
        <f>Assumptions!H129</f>
        <v>0</v>
      </c>
      <c r="G116" s="38" t="str">
        <f t="shared" si="22"/>
        <v>Option 1 (Base Case)sens</v>
      </c>
      <c r="I116" s="31" cm="1">
        <f t="array" ref="I116">I$106+IF($C116&lt;&gt;0,SUMPRODUCT((I$107:I$108)*TRANSPOSE(($D116:$E116))),0)</f>
        <v>0</v>
      </c>
      <c r="J116" s="31" cm="1">
        <f t="array" ref="J116">J$106+IF($C116&lt;&gt;0,SUMPRODUCT((J$107:J$108)*TRANSPOSE(($D116:$E116))),0)</f>
        <v>0</v>
      </c>
      <c r="K116" s="31" cm="1">
        <f t="array" ref="K116">K$106+IF($C116&lt;&gt;0,SUMPRODUCT((K$107:K$108)*TRANSPOSE(($D116:$E116))),0)</f>
        <v>0</v>
      </c>
      <c r="L116" s="31" cm="1">
        <f t="array" ref="L116">L$106+IF($C116&lt;&gt;0,SUMPRODUCT((L$107:L$108)*TRANSPOSE(($D116:$E116))),0)</f>
        <v>0</v>
      </c>
      <c r="M116" s="31" cm="1">
        <f t="array" ref="M116">M$106+IF($C116&lt;&gt;0,SUMPRODUCT((M$107:M$108)*TRANSPOSE(($D116:$E116))),0)</f>
        <v>0</v>
      </c>
      <c r="N116" s="31" cm="1">
        <f t="array" ref="N116">N$106+IF($C116&lt;&gt;0,SUMPRODUCT((N$107:N$108)*TRANSPOSE(($D116:$E116))),0)</f>
        <v>0</v>
      </c>
      <c r="O116" s="31" cm="1">
        <f t="array" ref="O116">O$106+IF($C116&lt;&gt;0,SUMPRODUCT((O$107:O$108)*TRANSPOSE(($D116:$E116))),0)</f>
        <v>0</v>
      </c>
      <c r="P116" s="31" cm="1">
        <f t="array" ref="P116">P$106+IF($C116&lt;&gt;0,SUMPRODUCT((P$107:P$108)*TRANSPOSE(($D116:$E116))),0)</f>
        <v>0</v>
      </c>
      <c r="Q116" s="31" cm="1">
        <f t="array" ref="Q116">Q$106+IF($C116&lt;&gt;0,SUMPRODUCT((Q$107:Q$108)*TRANSPOSE(($D116:$E116))),0)</f>
        <v>0</v>
      </c>
      <c r="R116" s="31" cm="1">
        <f t="array" ref="R116">R$106+IF($C116&lt;&gt;0,SUMPRODUCT((R$107:R$108)*TRANSPOSE(($D116:$E116))),0)</f>
        <v>0</v>
      </c>
      <c r="S116" s="31" cm="1">
        <f t="array" ref="S116">S$106+IF($C116&lt;&gt;0,SUMPRODUCT((S$107:S$108)*TRANSPOSE(($D116:$E116))),0)</f>
        <v>0</v>
      </c>
      <c r="T116" s="31" cm="1">
        <f t="array" ref="T116">T$106+IF($C116&lt;&gt;0,SUMPRODUCT((T$107:T$108)*TRANSPOSE(($D116:$E116))),0)</f>
        <v>0</v>
      </c>
      <c r="U116" s="31" cm="1">
        <f t="array" ref="U116">U$106+IF($C116&lt;&gt;0,SUMPRODUCT((U$107:U$108)*TRANSPOSE(($D116:$E116))),0)</f>
        <v>0</v>
      </c>
      <c r="V116" s="31" cm="1">
        <f t="array" ref="V116">V$106+IF($C116&lt;&gt;0,SUMPRODUCT((V$107:V$108)*TRANSPOSE(($D116:$E116))),0)</f>
        <v>0</v>
      </c>
      <c r="W116" s="31" cm="1">
        <f t="array" ref="W116">W$106+IF($C116&lt;&gt;0,SUMPRODUCT((W$107:W$108)*TRANSPOSE(($D116:$E116))),0)</f>
        <v>0</v>
      </c>
      <c r="X116" s="31" cm="1">
        <f t="array" ref="X116">X$106+IF($C116&lt;&gt;0,SUMPRODUCT((X$107:X$108)*TRANSPOSE(($D116:$E116))),0)</f>
        <v>0</v>
      </c>
      <c r="Y116" s="31" cm="1">
        <f t="array" ref="Y116">Y$106+IF($C116&lt;&gt;0,SUMPRODUCT((Y$107:Y$108)*TRANSPOSE(($D116:$E116))),0)</f>
        <v>0</v>
      </c>
      <c r="Z116" s="31" cm="1">
        <f t="array" ref="Z116">Z$106+IF($C116&lt;&gt;0,SUMPRODUCT((Z$107:Z$108)*TRANSPOSE(($D116:$E116))),0)</f>
        <v>0</v>
      </c>
      <c r="AA116" s="31" cm="1">
        <f t="array" ref="AA116">AA$106+IF($C116&lt;&gt;0,SUMPRODUCT((AA$107:AA$108)*TRANSPOSE(($D116:$E116))),0)</f>
        <v>0</v>
      </c>
      <c r="AB116" s="31" cm="1">
        <f t="array" ref="AB116">AB$106+IF($C116&lt;&gt;0,SUMPRODUCT((AB$107:AB$108)*TRANSPOSE(($D116:$E116))),0)</f>
        <v>0</v>
      </c>
      <c r="AC116" s="31" cm="1">
        <f t="array" ref="AC116">AC$106+IF($C116&lt;&gt;0,SUMPRODUCT((AC$107:AC$108)*TRANSPOSE(($D116:$E116))),0)</f>
        <v>0</v>
      </c>
      <c r="AD116" s="31" cm="1">
        <f t="array" ref="AD116">AD$106+IF($C116&lt;&gt;0,SUMPRODUCT((AD$107:AD$108)*TRANSPOSE(($D116:$E116))),0)</f>
        <v>0</v>
      </c>
      <c r="AE116" s="31" cm="1">
        <f t="array" ref="AE116">AE$106+IF($C116&lt;&gt;0,SUMPRODUCT((AE$107:AE$108)*TRANSPOSE(($D116:$E116))),0)</f>
        <v>0</v>
      </c>
      <c r="AF116" s="31" cm="1">
        <f t="array" ref="AF116">AF$106+IF($C116&lt;&gt;0,SUMPRODUCT((AF$107:AF$108)*TRANSPOSE(($D116:$E116))),0)</f>
        <v>0</v>
      </c>
      <c r="AG116" s="31" cm="1">
        <f t="array" ref="AG116">AG$106+IF($C116&lt;&gt;0,SUMPRODUCT((AG$107:AG$108)*TRANSPOSE(($D116:$E116))),0)</f>
        <v>0</v>
      </c>
    </row>
    <row r="117" spans="1:33" x14ac:dyDescent="0.3">
      <c r="A117" s="1" t="str">
        <f>"sens"&amp;Assumptions!B130</f>
        <v>sens</v>
      </c>
      <c r="C117" s="300">
        <f>Assumptions!C130</f>
        <v>0</v>
      </c>
      <c r="D117" s="301">
        <f>Assumptions!G130</f>
        <v>0</v>
      </c>
      <c r="E117" s="301">
        <f>Assumptions!H130</f>
        <v>0</v>
      </c>
      <c r="G117" s="38" t="str">
        <f t="shared" si="22"/>
        <v>Option 1 (Base Case)sens</v>
      </c>
      <c r="I117" s="31" cm="1">
        <f t="array" ref="I117">I$106+IF($C117&lt;&gt;0,SUMPRODUCT((I$107:I$108)*TRANSPOSE(($D117:$E117))),0)</f>
        <v>0</v>
      </c>
      <c r="J117" s="31" cm="1">
        <f t="array" ref="J117">J$106+IF($C117&lt;&gt;0,SUMPRODUCT((J$107:J$108)*TRANSPOSE(($D117:$E117))),0)</f>
        <v>0</v>
      </c>
      <c r="K117" s="31" cm="1">
        <f t="array" ref="K117">K$106+IF($C117&lt;&gt;0,SUMPRODUCT((K$107:K$108)*TRANSPOSE(($D117:$E117))),0)</f>
        <v>0</v>
      </c>
      <c r="L117" s="31" cm="1">
        <f t="array" ref="L117">L$106+IF($C117&lt;&gt;0,SUMPRODUCT((L$107:L$108)*TRANSPOSE(($D117:$E117))),0)</f>
        <v>0</v>
      </c>
      <c r="M117" s="31" cm="1">
        <f t="array" ref="M117">M$106+IF($C117&lt;&gt;0,SUMPRODUCT((M$107:M$108)*TRANSPOSE(($D117:$E117))),0)</f>
        <v>0</v>
      </c>
      <c r="N117" s="31" cm="1">
        <f t="array" ref="N117">N$106+IF($C117&lt;&gt;0,SUMPRODUCT((N$107:N$108)*TRANSPOSE(($D117:$E117))),0)</f>
        <v>0</v>
      </c>
      <c r="O117" s="31" cm="1">
        <f t="array" ref="O117">O$106+IF($C117&lt;&gt;0,SUMPRODUCT((O$107:O$108)*TRANSPOSE(($D117:$E117))),0)</f>
        <v>0</v>
      </c>
      <c r="P117" s="31" cm="1">
        <f t="array" ref="P117">P$106+IF($C117&lt;&gt;0,SUMPRODUCT((P$107:P$108)*TRANSPOSE(($D117:$E117))),0)</f>
        <v>0</v>
      </c>
      <c r="Q117" s="31" cm="1">
        <f t="array" ref="Q117">Q$106+IF($C117&lt;&gt;0,SUMPRODUCT((Q$107:Q$108)*TRANSPOSE(($D117:$E117))),0)</f>
        <v>0</v>
      </c>
      <c r="R117" s="31" cm="1">
        <f t="array" ref="R117">R$106+IF($C117&lt;&gt;0,SUMPRODUCT((R$107:R$108)*TRANSPOSE(($D117:$E117))),0)</f>
        <v>0</v>
      </c>
      <c r="S117" s="31" cm="1">
        <f t="array" ref="S117">S$106+IF($C117&lt;&gt;0,SUMPRODUCT((S$107:S$108)*TRANSPOSE(($D117:$E117))),0)</f>
        <v>0</v>
      </c>
      <c r="T117" s="31" cm="1">
        <f t="array" ref="T117">T$106+IF($C117&lt;&gt;0,SUMPRODUCT((T$107:T$108)*TRANSPOSE(($D117:$E117))),0)</f>
        <v>0</v>
      </c>
      <c r="U117" s="31" cm="1">
        <f t="array" ref="U117">U$106+IF($C117&lt;&gt;0,SUMPRODUCT((U$107:U$108)*TRANSPOSE(($D117:$E117))),0)</f>
        <v>0</v>
      </c>
      <c r="V117" s="31" cm="1">
        <f t="array" ref="V117">V$106+IF($C117&lt;&gt;0,SUMPRODUCT((V$107:V$108)*TRANSPOSE(($D117:$E117))),0)</f>
        <v>0</v>
      </c>
      <c r="W117" s="31" cm="1">
        <f t="array" ref="W117">W$106+IF($C117&lt;&gt;0,SUMPRODUCT((W$107:W$108)*TRANSPOSE(($D117:$E117))),0)</f>
        <v>0</v>
      </c>
      <c r="X117" s="31" cm="1">
        <f t="array" ref="X117">X$106+IF($C117&lt;&gt;0,SUMPRODUCT((X$107:X$108)*TRANSPOSE(($D117:$E117))),0)</f>
        <v>0</v>
      </c>
      <c r="Y117" s="31" cm="1">
        <f t="array" ref="Y117">Y$106+IF($C117&lt;&gt;0,SUMPRODUCT((Y$107:Y$108)*TRANSPOSE(($D117:$E117))),0)</f>
        <v>0</v>
      </c>
      <c r="Z117" s="31" cm="1">
        <f t="array" ref="Z117">Z$106+IF($C117&lt;&gt;0,SUMPRODUCT((Z$107:Z$108)*TRANSPOSE(($D117:$E117))),0)</f>
        <v>0</v>
      </c>
      <c r="AA117" s="31" cm="1">
        <f t="array" ref="AA117">AA$106+IF($C117&lt;&gt;0,SUMPRODUCT((AA$107:AA$108)*TRANSPOSE(($D117:$E117))),0)</f>
        <v>0</v>
      </c>
      <c r="AB117" s="31" cm="1">
        <f t="array" ref="AB117">AB$106+IF($C117&lt;&gt;0,SUMPRODUCT((AB$107:AB$108)*TRANSPOSE(($D117:$E117))),0)</f>
        <v>0</v>
      </c>
      <c r="AC117" s="31" cm="1">
        <f t="array" ref="AC117">AC$106+IF($C117&lt;&gt;0,SUMPRODUCT((AC$107:AC$108)*TRANSPOSE(($D117:$E117))),0)</f>
        <v>0</v>
      </c>
      <c r="AD117" s="31" cm="1">
        <f t="array" ref="AD117">AD$106+IF($C117&lt;&gt;0,SUMPRODUCT((AD$107:AD$108)*TRANSPOSE(($D117:$E117))),0)</f>
        <v>0</v>
      </c>
      <c r="AE117" s="31" cm="1">
        <f t="array" ref="AE117">AE$106+IF($C117&lt;&gt;0,SUMPRODUCT((AE$107:AE$108)*TRANSPOSE(($D117:$E117))),0)</f>
        <v>0</v>
      </c>
      <c r="AF117" s="31" cm="1">
        <f t="array" ref="AF117">AF$106+IF($C117&lt;&gt;0,SUMPRODUCT((AF$107:AF$108)*TRANSPOSE(($D117:$E117))),0)</f>
        <v>0</v>
      </c>
      <c r="AG117" s="31" cm="1">
        <f t="array" ref="AG117">AG$106+IF($C117&lt;&gt;0,SUMPRODUCT((AG$107:AG$108)*TRANSPOSE(($D117:$E117))),0)</f>
        <v>0</v>
      </c>
    </row>
  </sheetData>
  <conditionalFormatting sqref="E14:E16">
    <cfRule type="expression" dxfId="13" priority="12">
      <formula>AND(SUM($I14:$AB14)&lt;&gt;0, E14=0)</formula>
    </cfRule>
  </conditionalFormatting>
  <conditionalFormatting sqref="E28">
    <cfRule type="expression" dxfId="12" priority="239">
      <formula>AND(SUM($I$27:$AG$27)&gt;0, $E$28=0)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XER136"/>
  <sheetViews>
    <sheetView showGridLines="0" zoomScale="90" zoomScaleNormal="90" workbookViewId="0">
      <pane xSplit="7" ySplit="10" topLeftCell="H11" activePane="bottomRight" state="frozen"/>
      <selection activeCell="J28" sqref="J28"/>
      <selection pane="topRight" activeCell="J28" sqref="J28"/>
      <selection pane="bottomLeft" activeCell="J28" sqref="J28"/>
      <selection pane="bottomRight" activeCell="H11" sqref="H11"/>
    </sheetView>
  </sheetViews>
  <sheetFormatPr defaultColWidth="8" defaultRowHeight="13" outlineLevelRow="1" x14ac:dyDescent="0.3"/>
  <cols>
    <col min="1" max="1" width="5.4609375" style="1" customWidth="1"/>
    <col min="2" max="2" width="4.15234375" style="1" customWidth="1"/>
    <col min="3" max="3" width="35.613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5" x14ac:dyDescent="0.45">
      <c r="A2" s="56" t="str">
        <f>proj</f>
        <v>BAN003-WND024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5" x14ac:dyDescent="0.35">
      <c r="A3" s="203" t="s">
        <v>131</v>
      </c>
      <c r="B3" s="5"/>
      <c r="C3" s="200" t="str">
        <f>INDEX(Assumptions!$E$14:$E$18, MATCH(A3,_xlfn.ANCHORARRAY( Assumptions!$C$14),0))</f>
        <v>Install diesel generator microgrid in Trentham township</v>
      </c>
    </row>
    <row r="4" spans="1:43" x14ac:dyDescent="0.3">
      <c r="A4" s="201" t="str">
        <f>(INDEX(Data!$D$9:$D$13, MATCH(A3, options,0)))</f>
        <v/>
      </c>
      <c r="B4" s="187"/>
      <c r="C4" s="238" t="str">
        <f>IF(INDEX(Misc_calcs!$D$49:$D$67, MATCH(A3, Misc_calcs!$B$49:$B$67,0)), Misc_calcs!$B$70, "")</f>
        <v/>
      </c>
    </row>
    <row r="5" spans="1:43" hidden="1" outlineLevel="1" x14ac:dyDescent="0.3">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3">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3">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3">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4.5" x14ac:dyDescent="0.3">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3">
      <c r="C10" s="3"/>
      <c r="D10" s="3"/>
      <c r="H10"/>
      <c r="I10"/>
      <c r="J10"/>
      <c r="K10"/>
      <c r="L10"/>
      <c r="M10"/>
      <c r="N10"/>
      <c r="O10"/>
      <c r="P10"/>
      <c r="Q10"/>
      <c r="R10"/>
      <c r="S10"/>
      <c r="T10"/>
      <c r="U10"/>
      <c r="V10"/>
      <c r="W10"/>
      <c r="X10"/>
      <c r="Y10"/>
      <c r="Z10"/>
      <c r="AA10"/>
      <c r="AB10"/>
      <c r="AC10"/>
      <c r="AD10"/>
      <c r="AE10"/>
      <c r="AF10"/>
      <c r="AG10"/>
    </row>
    <row r="11" spans="1:43" ht="14.5" x14ac:dyDescent="0.3">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3">
      <c r="A12" s="3"/>
      <c r="B12" s="3"/>
      <c r="C12" s="3"/>
      <c r="D12" s="3"/>
      <c r="G12" s="205"/>
    </row>
    <row r="13" spans="1:43" ht="13.5" x14ac:dyDescent="0.3">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3.5" x14ac:dyDescent="0.3">
      <c r="C14" s="57" t="s">
        <v>357</v>
      </c>
      <c r="D14"/>
      <c r="E14" s="148">
        <v>20</v>
      </c>
      <c r="G14" s="207">
        <f>input_dollars</f>
        <v>45291</v>
      </c>
      <c r="H14" s="149"/>
      <c r="I14" s="32">
        <v>0</v>
      </c>
      <c r="J14" s="32">
        <v>0</v>
      </c>
      <c r="K14" s="32">
        <v>0</v>
      </c>
      <c r="L14" s="32">
        <v>2834718.1174999997</v>
      </c>
      <c r="M14" s="32">
        <f>Workings_costs!I$40</f>
        <v>0</v>
      </c>
      <c r="N14" s="32">
        <f>Workings_costs!J$40</f>
        <v>0</v>
      </c>
      <c r="O14" s="32">
        <f>Workings_costs!K$40</f>
        <v>0</v>
      </c>
      <c r="P14" s="32">
        <f>Workings_costs!L$40</f>
        <v>0</v>
      </c>
      <c r="Q14" s="32">
        <f>Workings_costs!M$40</f>
        <v>0</v>
      </c>
      <c r="R14" s="32">
        <f>Workings_costs!N$40</f>
        <v>0</v>
      </c>
      <c r="S14" s="32">
        <f>Workings_costs!O$40</f>
        <v>0</v>
      </c>
      <c r="T14" s="32">
        <f>Workings_costs!P$40</f>
        <v>0</v>
      </c>
      <c r="U14" s="32">
        <f>Workings_costs!Q$40</f>
        <v>0</v>
      </c>
      <c r="V14" s="32">
        <f>Workings_costs!R$40</f>
        <v>0</v>
      </c>
      <c r="W14" s="32">
        <f>Workings_costs!S$40</f>
        <v>0</v>
      </c>
      <c r="X14" s="32">
        <f>Workings_costs!T$40</f>
        <v>0</v>
      </c>
      <c r="Y14" s="32">
        <f>Workings_costs!U$40</f>
        <v>0</v>
      </c>
      <c r="Z14" s="32">
        <f>Workings_costs!V$40</f>
        <v>0</v>
      </c>
      <c r="AA14" s="32">
        <f>Workings_costs!W$40</f>
        <v>0</v>
      </c>
      <c r="AB14" s="32">
        <f>Workings_costs!X$40</f>
        <v>0</v>
      </c>
      <c r="AC14" s="32">
        <f>Workings_costs!Y$40</f>
        <v>0</v>
      </c>
      <c r="AD14" s="32">
        <f>Workings_costs!Z$40</f>
        <v>0</v>
      </c>
      <c r="AE14" s="32">
        <f>Workings_costs!AA$40</f>
        <v>0</v>
      </c>
      <c r="AF14" s="32">
        <f>Workings_costs!AB$40</f>
        <v>0</v>
      </c>
      <c r="AG14" s="32">
        <f>Workings_costs!AC$40</f>
        <v>0</v>
      </c>
      <c r="AH14"/>
      <c r="AI14"/>
      <c r="AJ14"/>
      <c r="AK14"/>
      <c r="AL14"/>
      <c r="AM14"/>
      <c r="AN14"/>
      <c r="AO14"/>
      <c r="AP14"/>
      <c r="AQ14"/>
    </row>
    <row r="15" spans="1:43" ht="13.5" x14ac:dyDescent="0.3">
      <c r="C15" s="57"/>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ht="13.5" x14ac:dyDescent="0.3">
      <c r="C16" s="57"/>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ht="13.5" x14ac:dyDescent="0.3">
      <c r="C17" s="6" t="s">
        <v>30</v>
      </c>
      <c r="G17" s="207">
        <f>input_dollars</f>
        <v>45291</v>
      </c>
      <c r="H17" s="107"/>
      <c r="I17" s="106">
        <f t="shared" ref="I17:Q17" si="0">SUM(I14:I16)</f>
        <v>0</v>
      </c>
      <c r="J17" s="106">
        <f t="shared" si="0"/>
        <v>0</v>
      </c>
      <c r="K17" s="106">
        <f t="shared" si="0"/>
        <v>0</v>
      </c>
      <c r="L17" s="106">
        <f t="shared" si="0"/>
        <v>2834718.1174999997</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row>
    <row r="18" spans="1:43" ht="13.5" x14ac:dyDescent="0.3">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3.5" x14ac:dyDescent="0.3">
      <c r="C19" s="1" t="s">
        <v>31</v>
      </c>
      <c r="D19"/>
      <c r="E19"/>
      <c r="F19" s="107"/>
      <c r="G19" s="207">
        <f>input_dollars</f>
        <v>45291</v>
      </c>
      <c r="H19" s="107"/>
      <c r="I19" s="32">
        <v>0</v>
      </c>
      <c r="J19" s="32">
        <v>0</v>
      </c>
      <c r="K19" s="32">
        <v>0</v>
      </c>
      <c r="L19" s="32">
        <v>0</v>
      </c>
      <c r="M19" s="32">
        <v>80000</v>
      </c>
      <c r="N19" s="32">
        <v>80000</v>
      </c>
      <c r="O19" s="32">
        <v>80000</v>
      </c>
      <c r="P19" s="32">
        <v>80000</v>
      </c>
      <c r="Q19" s="32">
        <v>80000</v>
      </c>
      <c r="R19" s="32">
        <v>80000</v>
      </c>
      <c r="S19" s="32">
        <v>80000</v>
      </c>
      <c r="T19" s="32">
        <v>80000</v>
      </c>
      <c r="U19" s="32">
        <v>80000</v>
      </c>
      <c r="V19" s="32">
        <v>80000</v>
      </c>
      <c r="W19" s="32">
        <v>80000</v>
      </c>
      <c r="X19" s="32">
        <v>80000</v>
      </c>
      <c r="Y19" s="32">
        <v>80000</v>
      </c>
      <c r="Z19" s="32">
        <v>80000</v>
      </c>
      <c r="AA19" s="32">
        <v>80000</v>
      </c>
      <c r="AB19" s="32">
        <v>80000</v>
      </c>
      <c r="AC19" s="32">
        <v>80000</v>
      </c>
      <c r="AD19" s="32">
        <v>80000</v>
      </c>
      <c r="AE19" s="32">
        <v>80000</v>
      </c>
      <c r="AF19" s="32">
        <v>80000</v>
      </c>
      <c r="AG19" s="32">
        <v>80000</v>
      </c>
    </row>
    <row r="20" spans="1:43" x14ac:dyDescent="0.3">
      <c r="G20" s="205"/>
    </row>
    <row r="21" spans="1:43" ht="13.5" x14ac:dyDescent="0.3">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4.5" x14ac:dyDescent="0.3">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3">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3">
      <c r="A24" s="111"/>
      <c r="B24" s="111"/>
      <c r="C24" s="1" t="s">
        <v>157</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3">
      <c r="A25" s="111"/>
      <c r="B25" s="111"/>
      <c r="C25" s="1" t="s">
        <v>158</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3">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3.5" x14ac:dyDescent="0.3">
      <c r="C27" s="1" t="s">
        <v>124</v>
      </c>
      <c r="D27" s="205"/>
      <c r="E27"/>
      <c r="G27" s="207" t="s">
        <v>40</v>
      </c>
      <c r="H27"/>
      <c r="I27" s="168">
        <f>Workings_risks!I$57-(SUM(H17:$I17)&gt;0)*Workings_risks!I$60</f>
        <v>79.101563657236937</v>
      </c>
      <c r="J27" s="168">
        <f>Workings_risks!J$57-(SUM($I17:I17)&gt;0)*Workings_risks!J$60</f>
        <v>79.101563657236937</v>
      </c>
      <c r="K27" s="168">
        <f>Workings_risks!K$57-(SUM($I17:J17)&gt;0)*Workings_risks!K$60</f>
        <v>79.101563657236937</v>
      </c>
      <c r="L27" s="168">
        <f>Workings_risks!L$57-(SUM($I17:K17)&gt;0)*Workings_risks!L$60</f>
        <v>79.101563657236937</v>
      </c>
      <c r="M27" s="168">
        <f>Workings_risks!M$57-(SUM($I17:L17)&gt;0)*Workings_risks!M$60</f>
        <v>68.521378912039836</v>
      </c>
      <c r="N27" s="168">
        <f>Workings_risks!N$57-(SUM($I17:M17)&gt;0)*Workings_risks!N$60</f>
        <v>68.388067972315682</v>
      </c>
      <c r="O27" s="168">
        <f>Workings_risks!O$57-(SUM($I17:N17)&gt;0)*Workings_risks!O$60</f>
        <v>68.138343330105485</v>
      </c>
      <c r="P27" s="168">
        <f>Workings_risks!P$57-(SUM($I17:O17)&gt;0)*Workings_risks!P$60</f>
        <v>67.979002005415907</v>
      </c>
      <c r="Q27" s="168">
        <f>Workings_risks!Q$57-(SUM($I17:P17)&gt;0)*Workings_risks!Q$60</f>
        <v>67.796272098610231</v>
      </c>
      <c r="R27" s="168">
        <f>Workings_risks!R$57-(SUM($I17:Q17)&gt;0)*Workings_risks!R$60</f>
        <v>67.87582358670042</v>
      </c>
      <c r="S27" s="168">
        <f>Workings_risks!S$57-(SUM($I17:R17)&gt;0)*Workings_risks!S$60</f>
        <v>67.955375074790595</v>
      </c>
      <c r="T27" s="168">
        <f>Workings_risks!T$57-(SUM($I17:S17)&gt;0)*Workings_risks!T$60</f>
        <v>68.034926562880784</v>
      </c>
      <c r="U27" s="168">
        <f>Workings_risks!U$57-(SUM($I17:T17)&gt;0)*Workings_risks!U$60</f>
        <v>68.114478050970973</v>
      </c>
      <c r="V27" s="168">
        <f>Workings_risks!V$57-(SUM($I17:U17)&gt;0)*Workings_risks!V$60</f>
        <v>68.194029539061148</v>
      </c>
      <c r="W27" s="168">
        <f>Workings_risks!W$57-(SUM($I17:V17)&gt;0)*Workings_risks!W$60</f>
        <v>68.273581027151337</v>
      </c>
      <c r="X27" s="168">
        <f>Workings_risks!X$57-(SUM($I17:W17)&gt;0)*Workings_risks!X$60</f>
        <v>68.353132515241526</v>
      </c>
      <c r="Y27" s="168">
        <f>Workings_risks!Y$57-(SUM($I17:X17)&gt;0)*Workings_risks!Y$60</f>
        <v>68.432684003331701</v>
      </c>
      <c r="Z27" s="168">
        <f>Workings_risks!Z$57-(SUM($I17:Y17)&gt;0)*Workings_risks!Z$60</f>
        <v>68.51223549142189</v>
      </c>
      <c r="AA27" s="168">
        <f>Workings_risks!AA$57-(SUM($I17:Z17)&gt;0)*Workings_risks!AA$60</f>
        <v>68.591786979512079</v>
      </c>
      <c r="AB27" s="168">
        <f>Workings_risks!AB$57-(SUM($I17:AA17)&gt;0)*Workings_risks!AB$60</f>
        <v>68.671338467602254</v>
      </c>
      <c r="AC27" s="168">
        <f>Workings_risks!AC$57-(SUM($I17:AB17)&gt;0)*Workings_risks!AC$60</f>
        <v>68.750889955692443</v>
      </c>
      <c r="AD27" s="168">
        <f>Workings_risks!AD$57-(SUM($I17:AC17)&gt;0)*Workings_risks!AD$60</f>
        <v>68.830441443782632</v>
      </c>
      <c r="AE27" s="168">
        <f>Workings_risks!AE$57-(SUM($I17:AD17)&gt;0)*Workings_risks!AE$60</f>
        <v>68.909982477400547</v>
      </c>
      <c r="AF27" s="168">
        <f>Workings_risks!AF$57-(SUM($I17:AE17)&gt;0)*Workings_risks!AF$60</f>
        <v>68.989533965490722</v>
      </c>
      <c r="AG27" s="168">
        <f>Workings_risks!AG$57-(SUM($I17:AF17)&gt;0)*Workings_risks!AG$60</f>
        <v>69.069085453580911</v>
      </c>
      <c r="AH27"/>
      <c r="AI27"/>
      <c r="AJ27"/>
      <c r="AK27"/>
      <c r="AL27"/>
      <c r="AM27"/>
      <c r="AN27"/>
      <c r="AO27"/>
      <c r="AP27"/>
      <c r="AQ27"/>
    </row>
    <row r="28" spans="1:43" ht="13.5" x14ac:dyDescent="0.3">
      <c r="C28" s="1" t="s">
        <v>125</v>
      </c>
      <c r="D28" s="205" t="s">
        <v>64</v>
      </c>
      <c r="E28" s="112">
        <f>Assumptions!G43*vcr_esc</f>
        <v>44753.327047371298</v>
      </c>
      <c r="F28" s="238" t="str">
        <f>IF(AND(SUM(I27:AG27)&lt;&gt;0, E28=0), "!", "")</f>
        <v/>
      </c>
      <c r="G28" s="207">
        <f>input_dollars</f>
        <v>45291</v>
      </c>
      <c r="H28"/>
      <c r="I28" s="297">
        <f>I27*$E$28</f>
        <v>3540058.1483107843</v>
      </c>
      <c r="J28" s="297">
        <f t="shared" ref="J28:AG28" si="2">J27*$E$28</f>
        <v>3540058.1483107843</v>
      </c>
      <c r="K28" s="297">
        <f t="shared" si="2"/>
        <v>3540058.1483107843</v>
      </c>
      <c r="L28" s="297">
        <f t="shared" si="2"/>
        <v>3540058.1483107843</v>
      </c>
      <c r="M28" s="297">
        <f t="shared" si="2"/>
        <v>3066559.6801873697</v>
      </c>
      <c r="N28" s="297">
        <f t="shared" si="2"/>
        <v>3060593.572102902</v>
      </c>
      <c r="O28" s="297">
        <f t="shared" si="2"/>
        <v>3049417.5635182816</v>
      </c>
      <c r="P28" s="297">
        <f t="shared" si="2"/>
        <v>3042286.5091022872</v>
      </c>
      <c r="Q28" s="297">
        <f t="shared" si="2"/>
        <v>3034108.7378216772</v>
      </c>
      <c r="R28" s="297">
        <f t="shared" si="2"/>
        <v>3037668.9315852826</v>
      </c>
      <c r="S28" s="297">
        <f t="shared" si="2"/>
        <v>3041229.1253488874</v>
      </c>
      <c r="T28" s="297">
        <f t="shared" si="2"/>
        <v>3044789.3191124927</v>
      </c>
      <c r="U28" s="297">
        <f t="shared" si="2"/>
        <v>3048349.512876098</v>
      </c>
      <c r="V28" s="297">
        <f t="shared" si="2"/>
        <v>3051909.7066397024</v>
      </c>
      <c r="W28" s="297">
        <f t="shared" si="2"/>
        <v>3055469.9004033078</v>
      </c>
      <c r="X28" s="297">
        <f t="shared" si="2"/>
        <v>3059030.0941669131</v>
      </c>
      <c r="Y28" s="297">
        <f t="shared" si="2"/>
        <v>3062590.2879305179</v>
      </c>
      <c r="Z28" s="297">
        <f t="shared" si="2"/>
        <v>3066150.4816941232</v>
      </c>
      <c r="AA28" s="297">
        <f t="shared" si="2"/>
        <v>3069710.6754577286</v>
      </c>
      <c r="AB28" s="297">
        <f t="shared" si="2"/>
        <v>3073270.8692213329</v>
      </c>
      <c r="AC28" s="297">
        <f t="shared" si="2"/>
        <v>3076831.0629849383</v>
      </c>
      <c r="AD28" s="297">
        <f t="shared" si="2"/>
        <v>3080391.2567485436</v>
      </c>
      <c r="AE28" s="297">
        <f t="shared" si="2"/>
        <v>3083950.9826397323</v>
      </c>
      <c r="AF28" s="297">
        <f t="shared" si="2"/>
        <v>3087511.1764033367</v>
      </c>
      <c r="AG28" s="297">
        <f t="shared" si="2"/>
        <v>3091071.370166942</v>
      </c>
      <c r="AH28"/>
      <c r="AI28"/>
      <c r="AJ28"/>
      <c r="AK28"/>
      <c r="AL28"/>
      <c r="AM28"/>
      <c r="AN28"/>
      <c r="AO28"/>
      <c r="AP28"/>
      <c r="AQ28"/>
    </row>
    <row r="29" spans="1:43" ht="13.5" x14ac:dyDescent="0.3">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3.5" x14ac:dyDescent="0.3">
      <c r="C30" s="1" t="s">
        <v>115</v>
      </c>
      <c r="D30" s="205" t="s">
        <v>212</v>
      </c>
      <c r="G30" s="207">
        <f>input_dollars</f>
        <v>45291</v>
      </c>
      <c r="H30" s="149"/>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c r="AI30"/>
      <c r="AJ30"/>
      <c r="AK30"/>
      <c r="AL30"/>
      <c r="AM30"/>
      <c r="AN30"/>
      <c r="AO30"/>
      <c r="AP30"/>
      <c r="AQ30"/>
    </row>
    <row r="31" spans="1:43" ht="13.5" x14ac:dyDescent="0.3">
      <c r="C31" s="1" t="s">
        <v>117</v>
      </c>
      <c r="D31" s="206"/>
      <c r="E31"/>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ht="13.5" x14ac:dyDescent="0.3">
      <c r="C32" s="1" t="s">
        <v>116</v>
      </c>
      <c r="D32" s="205" t="s">
        <v>212</v>
      </c>
      <c r="E32"/>
      <c r="G32" s="207">
        <f>input_dollars</f>
        <v>45291</v>
      </c>
      <c r="H32"/>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ht="13.5" x14ac:dyDescent="0.3">
      <c r="C33" s="57" t="s">
        <v>179</v>
      </c>
      <c r="D33" s="219"/>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ht="13.5" x14ac:dyDescent="0.3">
      <c r="C34" s="57" t="s">
        <v>179</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ht="13.5" x14ac:dyDescent="0.3">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ht="13.5" x14ac:dyDescent="0.3">
      <c r="C36" s="3" t="s">
        <v>178</v>
      </c>
      <c r="D36" s="218"/>
      <c r="E36" s="107"/>
      <c r="F36" s="3"/>
      <c r="G36" s="209"/>
      <c r="H36" s="107"/>
      <c r="I36" s="170">
        <f>SUM(I28:I34)</f>
        <v>3540058.1483107843</v>
      </c>
      <c r="J36" s="170">
        <f t="shared" ref="J36:AG36" si="3">SUM(J28:J34)</f>
        <v>3540058.1483107843</v>
      </c>
      <c r="K36" s="170">
        <f t="shared" si="3"/>
        <v>3540058.1483107843</v>
      </c>
      <c r="L36" s="170">
        <f t="shared" si="3"/>
        <v>3540058.1483107843</v>
      </c>
      <c r="M36" s="170">
        <f t="shared" si="3"/>
        <v>3066559.6801873697</v>
      </c>
      <c r="N36" s="170">
        <f t="shared" si="3"/>
        <v>3060593.572102902</v>
      </c>
      <c r="O36" s="170">
        <f t="shared" si="3"/>
        <v>3049417.5635182816</v>
      </c>
      <c r="P36" s="170">
        <f t="shared" si="3"/>
        <v>3042286.5091022872</v>
      </c>
      <c r="Q36" s="170">
        <f t="shared" si="3"/>
        <v>3034108.7378216772</v>
      </c>
      <c r="R36" s="170">
        <f t="shared" si="3"/>
        <v>3037668.9315852826</v>
      </c>
      <c r="S36" s="170">
        <f t="shared" si="3"/>
        <v>3041229.1253488874</v>
      </c>
      <c r="T36" s="170">
        <f t="shared" si="3"/>
        <v>3044789.3191124927</v>
      </c>
      <c r="U36" s="170">
        <f t="shared" si="3"/>
        <v>3048349.512876098</v>
      </c>
      <c r="V36" s="170">
        <f t="shared" si="3"/>
        <v>3051909.7066397024</v>
      </c>
      <c r="W36" s="170">
        <f t="shared" si="3"/>
        <v>3055469.9004033078</v>
      </c>
      <c r="X36" s="170">
        <f t="shared" si="3"/>
        <v>3059030.0941669131</v>
      </c>
      <c r="Y36" s="170">
        <f t="shared" si="3"/>
        <v>3062590.2879305179</v>
      </c>
      <c r="Z36" s="170">
        <f t="shared" si="3"/>
        <v>3066150.4816941232</v>
      </c>
      <c r="AA36" s="170">
        <f t="shared" si="3"/>
        <v>3069710.6754577286</v>
      </c>
      <c r="AB36" s="170">
        <f t="shared" si="3"/>
        <v>3073270.8692213329</v>
      </c>
      <c r="AC36" s="170">
        <f t="shared" si="3"/>
        <v>3076831.0629849383</v>
      </c>
      <c r="AD36" s="170">
        <f t="shared" si="3"/>
        <v>3080391.2567485436</v>
      </c>
      <c r="AE36" s="170">
        <f t="shared" si="3"/>
        <v>3083950.9826397323</v>
      </c>
      <c r="AF36" s="170">
        <f t="shared" si="3"/>
        <v>3087511.1764033367</v>
      </c>
      <c r="AG36" s="170">
        <f t="shared" si="3"/>
        <v>3091071.370166942</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ht="13.5" x14ac:dyDescent="0.3">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4.5" x14ac:dyDescent="0.3">
      <c r="A38" s="89" t="s">
        <v>57</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ht="13.5" x14ac:dyDescent="0.3">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ht="13.5" x14ac:dyDescent="0.3">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35">
      <c r="C41" s="1" t="s">
        <v>60</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row>
    <row r="42" spans="1:16372" ht="13.5" x14ac:dyDescent="0.35">
      <c r="C42" s="1" t="s">
        <v>130</v>
      </c>
      <c r="G42" s="205" t="s">
        <v>105</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row>
    <row r="43" spans="1:16372" ht="13.5" x14ac:dyDescent="0.3">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ht="13.5" x14ac:dyDescent="0.3">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3">
      <c r="C45" s="1" t="s">
        <v>326</v>
      </c>
      <c r="D45" s="205" t="s">
        <v>64</v>
      </c>
      <c r="E45" s="158">
        <f>Assumptions!G106-Assumptions!G43</f>
        <v>22746.672952628702</v>
      </c>
      <c r="G45" s="207" t="s">
        <v>40</v>
      </c>
      <c r="I45" s="504">
        <f>(SUM(H$17:$I$17)&gt;0)*(Microgrid_reliability!$X$15*Workings_risks!$D$48*Workings_risks!I$50)</f>
        <v>0</v>
      </c>
      <c r="J45" s="504">
        <f>(SUM(I$17:$I$17)&gt;0)*(Microgrid_reliability!$X$15*Workings_risks!$D$48*Workings_risks!J$50)</f>
        <v>0</v>
      </c>
      <c r="K45" s="504">
        <f>(SUM($I$17:J$17)&gt;0)*(Microgrid_reliability!$X$15*Workings_risks!$D$48*Workings_risks!K$50)</f>
        <v>0</v>
      </c>
      <c r="L45" s="504">
        <f>(SUM($I$17:K$17)&gt;0)*(Microgrid_reliability!$X$15*Workings_risks!$D$48*Workings_risks!L$50)</f>
        <v>0</v>
      </c>
      <c r="M45" s="504">
        <f>(SUM($I$17:L$17)&gt;0)*(Microgrid_reliability!$X$15*Workings_risks!$D$48*Workings_risks!M$50)</f>
        <v>2.0774805333578996</v>
      </c>
      <c r="N45" s="504">
        <f>(SUM($I$17:M$17)&gt;0)*(Microgrid_reliability!$X$15*Workings_risks!$D$48*Workings_risks!N$50)</f>
        <v>2.0630070542188799</v>
      </c>
      <c r="O45" s="504">
        <f>(SUM($I$17:N$17)&gt;0)*(Microgrid_reliability!$X$15*Workings_risks!$D$48*Workings_risks!O$50)</f>
        <v>2.0485344019799996</v>
      </c>
      <c r="P45" s="504">
        <f>(SUM($I$17:O$17)&gt;0)*(Microgrid_reliability!$X$15*Workings_risks!$D$48*Workings_risks!P$50)</f>
        <v>2.0340608111999998</v>
      </c>
      <c r="Q45" s="504">
        <f>(SUM($I$17:P$17)&gt;0)*(Microgrid_reliability!$X$15*Workings_risks!$D$48*Workings_risks!Q$50)</f>
        <v>2.0195872204199996</v>
      </c>
      <c r="R45" s="504">
        <f>(SUM($I$17:Q$17)&gt;0)*(Microgrid_reliability!$X$15*Workings_risks!$D$48*Workings_risks!R$50)</f>
        <v>2.0051136296399998</v>
      </c>
      <c r="S45" s="504">
        <f>(SUM($I$17:R$17)&gt;0)*(Microgrid_reliability!$X$15*Workings_risks!$D$48*Workings_risks!S$50)</f>
        <v>1.9906400388599998</v>
      </c>
      <c r="T45" s="504">
        <f>(SUM($I$17:S$17)&gt;0)*(Microgrid_reliability!$X$15*Workings_risks!$D$48*Workings_risks!T$50)</f>
        <v>1.9761664480799999</v>
      </c>
      <c r="U45" s="504">
        <f>(SUM($I$17:T$17)&gt;0)*(Microgrid_reliability!$X$15*Workings_risks!$D$48*Workings_risks!U$50)</f>
        <v>1.9616928572999999</v>
      </c>
      <c r="V45" s="504">
        <f>(SUM($I$17:U$17)&gt;0)*(Microgrid_reliability!$X$15*Workings_risks!$D$48*Workings_risks!V$50)</f>
        <v>1.9472192665199999</v>
      </c>
      <c r="W45" s="504">
        <f>(SUM($I$17:V$17)&gt;0)*(Microgrid_reliability!$X$15*Workings_risks!$D$48*Workings_risks!W$50)</f>
        <v>1.9327456757399999</v>
      </c>
      <c r="X45" s="504">
        <f>(SUM($I$17:W$17)&gt;0)*(Microgrid_reliability!$X$15*Workings_risks!$D$48*Workings_risks!X$50)</f>
        <v>1.9182720849599999</v>
      </c>
      <c r="Y45" s="504">
        <f>(SUM($I$17:X$17)&gt;0)*(Microgrid_reliability!$X$15*Workings_risks!$D$48*Workings_risks!Y$50)</f>
        <v>1.9037984941799997</v>
      </c>
      <c r="Z45" s="504">
        <f>(SUM($I$17:Y$17)&gt;0)*(Microgrid_reliability!$X$15*Workings_risks!$D$48*Workings_risks!Z$50)</f>
        <v>1.8893249033999997</v>
      </c>
      <c r="AA45" s="504">
        <f>(SUM($I$17:Z$17)&gt;0)*(Microgrid_reliability!$X$15*Workings_risks!$D$48*Workings_risks!AA$50)</f>
        <v>1.8748513126199997</v>
      </c>
      <c r="AB45" s="504">
        <f>(SUM($I$17:AA$17)&gt;0)*(Microgrid_reliability!$X$15*Workings_risks!$D$48*Workings_risks!AB$50)</f>
        <v>1.8603777218399999</v>
      </c>
      <c r="AC45" s="504">
        <f>(SUM($I$17:AB$17)&gt;0)*(Microgrid_reliability!$X$15*Workings_risks!$D$48*Workings_risks!AC$50)</f>
        <v>1.84590413106</v>
      </c>
      <c r="AD45" s="504">
        <f>(SUM($I$17:AC$17)&gt;0)*(Microgrid_reliability!$X$15*Workings_risks!$D$48*Workings_risks!AD$50)</f>
        <v>1.8314305402799997</v>
      </c>
      <c r="AE45" s="504">
        <f>(SUM($I$17:AD$17)&gt;0)*(Microgrid_reliability!$X$15*Workings_risks!$D$48*Workings_risks!AE$50)</f>
        <v>1.8169588417199998</v>
      </c>
      <c r="AF45" s="504">
        <f>(SUM($I$17:AE$17)&gt;0)*(Microgrid_reliability!$X$15*Workings_risks!$D$48*Workings_risks!AF$50)</f>
        <v>1.8024852509399998</v>
      </c>
      <c r="AG45" s="504">
        <f>(SUM($I$17:AF$17)&gt;0)*(Microgrid_reliability!$X$15*Workings_risks!$D$48*Workings_risks!AG$50)</f>
        <v>1.7880116601599998</v>
      </c>
    </row>
    <row r="46" spans="1:16372" x14ac:dyDescent="0.3">
      <c r="C46" s="1" t="s">
        <v>327</v>
      </c>
      <c r="D46" s="205" t="s">
        <v>64</v>
      </c>
      <c r="E46" s="158">
        <f>Assumptions!G46</f>
        <v>19880</v>
      </c>
      <c r="G46" s="207" t="s">
        <v>40</v>
      </c>
      <c r="I46" s="504">
        <f>(SUM(H$17:$I$17)&gt;0)*(((Microgrid_reliability!$X$24+0.5*(Microgrid_reliability!$X$25))*Workings_risks!I$50+(IF(bushfire_outage_duration&gt;Assumptions!$G$54,Assumptions!$G$53,IF(bushfire_outage_duration&gt;Assumptions!$G$53,bushfire_outage_duration-Assumptions!$G$53,0)+0.5*IF(bushfire_outage_duration&gt;Assumptions!$G$54,bushfire_outage_duration-Assumptions!$G$54,0)))*Workings_risks!I$51)*Workings_risks!$D$48*Assumptions!$H$46)</f>
        <v>0</v>
      </c>
      <c r="J46" s="504">
        <f>(SUM(I$17:$I$17)&gt;0)*(((Microgrid_reliability!$X$24+0.5*(Microgrid_reliability!$X$25))*Workings_risks!J$50+(IF(bushfire_outage_duration&gt;Assumptions!$G$54,Assumptions!$G$53,IF(bushfire_outage_duration&gt;Assumptions!$G$53,bushfire_outage_duration-Assumptions!$G$53,0)+0.5*IF(bushfire_outage_duration&gt;Assumptions!$G$54,bushfire_outage_duration-Assumptions!$G$54,0)))*Workings_risks!J$51)*Workings_risks!$D$48*Assumptions!$H$46)</f>
        <v>0</v>
      </c>
      <c r="K46" s="504">
        <f>(SUM($I$17:J$17)&gt;0)*(((Microgrid_reliability!$X$24+0.5*(Microgrid_reliability!$X$25))*Workings_risks!K$50+(IF(bushfire_outage_duration&gt;Assumptions!$G$54,Assumptions!$G$53,IF(bushfire_outage_duration&gt;Assumptions!$G$53,bushfire_outage_duration-Assumptions!$G$53,0)+0.5*IF(bushfire_outage_duration&gt;Assumptions!$G$54,bushfire_outage_duration-Assumptions!$G$54,0)))*Workings_risks!K$51)*Workings_risks!$D$48*Assumptions!$H$46)</f>
        <v>0</v>
      </c>
      <c r="L46" s="504">
        <f>(SUM($I$17:K$17)&gt;0)*(((Microgrid_reliability!$X$24+0.5*(Microgrid_reliability!$X$25))*Workings_risks!L$50+(IF(bushfire_outage_duration&gt;Assumptions!$G$54,Assumptions!$G$53,IF(bushfire_outage_duration&gt;Assumptions!$G$53,bushfire_outage_duration-Assumptions!$G$53,0)+0.5*IF(bushfire_outage_duration&gt;Assumptions!$G$54,bushfire_outage_duration-Assumptions!$G$54,0)))*Workings_risks!L$51)*Workings_risks!$D$48*Assumptions!$H$46)</f>
        <v>0</v>
      </c>
      <c r="M46" s="504">
        <f>(SUM($I$17:L$17)&gt;0)*(((Microgrid_reliability!$X$24+0.5*(Microgrid_reliability!$X$25))*Workings_risks!M$50+(IF(bushfire_outage_duration&gt;Assumptions!$G$54,Assumptions!$G$53,IF(bushfire_outage_duration&gt;Assumptions!$G$53,bushfire_outage_duration-Assumptions!$G$53,0)+0.5*IF(bushfire_outage_duration&gt;Assumptions!$G$54,bushfire_outage_duration-Assumptions!$G$54,0)))*Workings_risks!M$51)*Workings_risks!$D$48*Assumptions!$H$46)</f>
        <v>0.5295797904288827</v>
      </c>
      <c r="N46" s="504">
        <f>(SUM($I$17:M$17)&gt;0)*(((Microgrid_reliability!$X$24+0.5*(Microgrid_reliability!$X$25))*Workings_risks!N$50+(IF(bushfire_outage_duration&gt;Assumptions!$G$54,Assumptions!$G$53,IF(bushfire_outage_duration&gt;Assumptions!$G$53,bushfire_outage_duration-Assumptions!$G$53,0)+0.5*IF(bushfire_outage_duration&gt;Assumptions!$G$54,bushfire_outage_duration-Assumptions!$G$54,0)))*Workings_risks!N$51)*Workings_risks!$D$48*Assumptions!$H$46)</f>
        <v>0.5260844264668223</v>
      </c>
      <c r="O46" s="504">
        <f>(SUM($I$17:N$17)&gt;0)*(((Microgrid_reliability!$X$24+0.5*(Microgrid_reliability!$X$25))*Workings_risks!O$50+(IF(bushfire_outage_duration&gt;Assumptions!$G$54,Assumptions!$G$53,IF(bushfire_outage_duration&gt;Assumptions!$G$53,bushfire_outage_duration-Assumptions!$G$53,0)+0.5*IF(bushfire_outage_duration&gt;Assumptions!$G$54,bushfire_outage_duration-Assumptions!$G$54,0)))*Workings_risks!O$51)*Workings_risks!$D$48*Assumptions!$H$46)</f>
        <v>0.52258926542338946</v>
      </c>
      <c r="P46" s="504">
        <f>(SUM($I$17:O$17)&gt;0)*(((Microgrid_reliability!$X$24+0.5*(Microgrid_reliability!$X$25))*Workings_risks!P$50+(IF(bushfire_outage_duration&gt;Assumptions!$G$54,Assumptions!$G$53,IF(bushfire_outage_duration&gt;Assumptions!$G$53,bushfire_outage_duration-Assumptions!$G$53,0)+0.5*IF(bushfire_outage_duration&gt;Assumptions!$G$54,bushfire_outage_duration-Assumptions!$G$54,0)))*Workings_risks!P$51)*Workings_risks!$D$48*Assumptions!$H$46)</f>
        <v>0.51909387406499263</v>
      </c>
      <c r="Q46" s="504">
        <f>(SUM($I$17:P$17)&gt;0)*(((Microgrid_reliability!$X$24+0.5*(Microgrid_reliability!$X$25))*Workings_risks!Q$50+(IF(bushfire_outage_duration&gt;Assumptions!$G$54,Assumptions!$G$53,IF(bushfire_outage_duration&gt;Assumptions!$G$53,bushfire_outage_duration-Assumptions!$G$53,0)+0.5*IF(bushfire_outage_duration&gt;Assumptions!$G$54,bushfire_outage_duration-Assumptions!$G$54,0)))*Workings_risks!Q$51)*Workings_risks!$D$48*Assumptions!$H$46)</f>
        <v>0.51559848270659581</v>
      </c>
      <c r="R46" s="504">
        <f>(SUM($I$17:Q$17)&gt;0)*(((Microgrid_reliability!$X$24+0.5*(Microgrid_reliability!$X$25))*Workings_risks!R$50+(IF(bushfire_outage_duration&gt;Assumptions!$G$54,Assumptions!$G$53,IF(bushfire_outage_duration&gt;Assumptions!$G$53,bushfire_outage_duration-Assumptions!$G$53,0)+0.5*IF(bushfire_outage_duration&gt;Assumptions!$G$54,bushfire_outage_duration-Assumptions!$G$54,0)))*Workings_risks!R$51)*Workings_risks!$D$48*Assumptions!$H$46)</f>
        <v>0.51210309134819909</v>
      </c>
      <c r="S46" s="504">
        <f>(SUM($I$17:R$17)&gt;0)*(((Microgrid_reliability!$X$24+0.5*(Microgrid_reliability!$X$25))*Workings_risks!S$50+(IF(bushfire_outage_duration&gt;Assumptions!$G$54,Assumptions!$G$53,IF(bushfire_outage_duration&gt;Assumptions!$G$53,bushfire_outage_duration-Assumptions!$G$53,0)+0.5*IF(bushfire_outage_duration&gt;Assumptions!$G$54,bushfire_outage_duration-Assumptions!$G$54,0)))*Workings_risks!S$51)*Workings_risks!$D$48*Assumptions!$H$46)</f>
        <v>0.50860769998980215</v>
      </c>
      <c r="T46" s="504">
        <f>(SUM($I$17:S$17)&gt;0)*(((Microgrid_reliability!$X$24+0.5*(Microgrid_reliability!$X$25))*Workings_risks!T$50+(IF(bushfire_outage_duration&gt;Assumptions!$G$54,Assumptions!$G$53,IF(bushfire_outage_duration&gt;Assumptions!$G$53,bushfire_outage_duration-Assumptions!$G$53,0)+0.5*IF(bushfire_outage_duration&gt;Assumptions!$G$54,bushfire_outage_duration-Assumptions!$G$54,0)))*Workings_risks!T$51)*Workings_risks!$D$48*Assumptions!$H$46)</f>
        <v>0.50511230863140533</v>
      </c>
      <c r="U46" s="504">
        <f>(SUM($I$17:T$17)&gt;0)*(((Microgrid_reliability!$X$24+0.5*(Microgrid_reliability!$X$25))*Workings_risks!U$50+(IF(bushfire_outage_duration&gt;Assumptions!$G$54,Assumptions!$G$53,IF(bushfire_outage_duration&gt;Assumptions!$G$53,bushfire_outage_duration-Assumptions!$G$53,0)+0.5*IF(bushfire_outage_duration&gt;Assumptions!$G$54,bushfire_outage_duration-Assumptions!$G$54,0)))*Workings_risks!U$51)*Workings_risks!$D$48*Assumptions!$H$46)</f>
        <v>0.50161691727300861</v>
      </c>
      <c r="V46" s="504">
        <f>(SUM($I$17:U$17)&gt;0)*(((Microgrid_reliability!$X$24+0.5*(Microgrid_reliability!$X$25))*Workings_risks!V$50+(IF(bushfire_outage_duration&gt;Assumptions!$G$54,Assumptions!$G$53,IF(bushfire_outage_duration&gt;Assumptions!$G$53,bushfire_outage_duration-Assumptions!$G$53,0)+0.5*IF(bushfire_outage_duration&gt;Assumptions!$G$54,bushfire_outage_duration-Assumptions!$G$54,0)))*Workings_risks!V$51)*Workings_risks!$D$48*Assumptions!$H$46)</f>
        <v>0.49812152591461178</v>
      </c>
      <c r="W46" s="504">
        <f>(SUM($I$17:V$17)&gt;0)*(((Microgrid_reliability!$X$24+0.5*(Microgrid_reliability!$X$25))*Workings_risks!W$50+(IF(bushfire_outage_duration&gt;Assumptions!$G$54,Assumptions!$G$53,IF(bushfire_outage_duration&gt;Assumptions!$G$53,bushfire_outage_duration-Assumptions!$G$53,0)+0.5*IF(bushfire_outage_duration&gt;Assumptions!$G$54,bushfire_outage_duration-Assumptions!$G$54,0)))*Workings_risks!W$51)*Workings_risks!$D$48*Assumptions!$H$46)</f>
        <v>0.49462613455621496</v>
      </c>
      <c r="X46" s="504">
        <f>(SUM($I$17:W$17)&gt;0)*(((Microgrid_reliability!$X$24+0.5*(Microgrid_reliability!$X$25))*Workings_risks!X$50+(IF(bushfire_outage_duration&gt;Assumptions!$G$54,Assumptions!$G$53,IF(bushfire_outage_duration&gt;Assumptions!$G$53,bushfire_outage_duration-Assumptions!$G$53,0)+0.5*IF(bushfire_outage_duration&gt;Assumptions!$G$54,bushfire_outage_duration-Assumptions!$G$54,0)))*Workings_risks!X$51)*Workings_risks!$D$48*Assumptions!$H$46)</f>
        <v>0.49113074319781813</v>
      </c>
      <c r="Y46" s="504">
        <f>(SUM($I$17:X$17)&gt;0)*(((Microgrid_reliability!$X$24+0.5*(Microgrid_reliability!$X$25))*Workings_risks!Y$50+(IF(bushfire_outage_duration&gt;Assumptions!$G$54,Assumptions!$G$53,IF(bushfire_outage_duration&gt;Assumptions!$G$53,bushfire_outage_duration-Assumptions!$G$53,0)+0.5*IF(bushfire_outage_duration&gt;Assumptions!$G$54,bushfire_outage_duration-Assumptions!$G$54,0)))*Workings_risks!Y$51)*Workings_risks!$D$48*Assumptions!$H$46)</f>
        <v>0.48763535183942136</v>
      </c>
      <c r="Z46" s="504">
        <f>(SUM($I$17:Y$17)&gt;0)*(((Microgrid_reliability!$X$24+0.5*(Microgrid_reliability!$X$25))*Workings_risks!Z$50+(IF(bushfire_outage_duration&gt;Assumptions!$G$54,Assumptions!$G$53,IF(bushfire_outage_duration&gt;Assumptions!$G$53,bushfire_outage_duration-Assumptions!$G$53,0)+0.5*IF(bushfire_outage_duration&gt;Assumptions!$G$54,bushfire_outage_duration-Assumptions!$G$54,0)))*Workings_risks!Z$51)*Workings_risks!$D$48*Assumptions!$H$46)</f>
        <v>0.48413996048102448</v>
      </c>
      <c r="AA46" s="504">
        <f>(SUM($I$17:Z$17)&gt;0)*(((Microgrid_reliability!$X$24+0.5*(Microgrid_reliability!$X$25))*Workings_risks!AA$50+(IF(bushfire_outage_duration&gt;Assumptions!$G$54,Assumptions!$G$53,IF(bushfire_outage_duration&gt;Assumptions!$G$53,bushfire_outage_duration-Assumptions!$G$53,0)+0.5*IF(bushfire_outage_duration&gt;Assumptions!$G$54,bushfire_outage_duration-Assumptions!$G$54,0)))*Workings_risks!AA$51)*Workings_risks!$D$48*Assumptions!$H$46)</f>
        <v>0.48064456912262771</v>
      </c>
      <c r="AB46" s="504">
        <f>(SUM($I$17:AA$17)&gt;0)*(((Microgrid_reliability!$X$24+0.5*(Microgrid_reliability!$X$25))*Workings_risks!AB$50+(IF(bushfire_outage_duration&gt;Assumptions!$G$54,Assumptions!$G$53,IF(bushfire_outage_duration&gt;Assumptions!$G$53,bushfire_outage_duration-Assumptions!$G$53,0)+0.5*IF(bushfire_outage_duration&gt;Assumptions!$G$54,bushfire_outage_duration-Assumptions!$G$54,0)))*Workings_risks!AB$51)*Workings_risks!$D$48*Assumptions!$H$46)</f>
        <v>0.47714917776423077</v>
      </c>
      <c r="AC46" s="504">
        <f>(SUM($I$17:AB$17)&gt;0)*(((Microgrid_reliability!$X$24+0.5*(Microgrid_reliability!$X$25))*Workings_risks!AC$50+(IF(bushfire_outage_duration&gt;Assumptions!$G$54,Assumptions!$G$53,IF(bushfire_outage_duration&gt;Assumptions!$G$53,bushfire_outage_duration-Assumptions!$G$53,0)+0.5*IF(bushfire_outage_duration&gt;Assumptions!$G$54,bushfire_outage_duration-Assumptions!$G$54,0)))*Workings_risks!AC$51)*Workings_risks!$D$48*Assumptions!$H$46)</f>
        <v>0.473653786405834</v>
      </c>
      <c r="AD46" s="504">
        <f>(SUM($I$17:AC$17)&gt;0)*(((Microgrid_reliability!$X$24+0.5*(Microgrid_reliability!$X$25))*Workings_risks!AD$50+(IF(bushfire_outage_duration&gt;Assumptions!$G$54,Assumptions!$G$53,IF(bushfire_outage_duration&gt;Assumptions!$G$53,bushfire_outage_duration-Assumptions!$G$53,0)+0.5*IF(bushfire_outage_duration&gt;Assumptions!$G$54,bushfire_outage_duration-Assumptions!$G$54,0)))*Workings_risks!AD$51)*Workings_risks!$D$48*Assumptions!$H$46)</f>
        <v>0.47015839504743723</v>
      </c>
      <c r="AE46" s="504">
        <f>(SUM($I$17:AD$17)&gt;0)*(((Microgrid_reliability!$X$24+0.5*(Microgrid_reliability!$X$25))*Workings_risks!AE$50+(IF(bushfire_outage_duration&gt;Assumptions!$G$54,Assumptions!$G$53,IF(bushfire_outage_duration&gt;Assumptions!$G$53,bushfire_outage_duration-Assumptions!$G$53,0)+0.5*IF(bushfire_outage_duration&gt;Assumptions!$G$54,bushfire_outage_duration-Assumptions!$G$54,0)))*Workings_risks!AE$51)*Workings_risks!$D$48*Assumptions!$H$46)</f>
        <v>0.46666346803372583</v>
      </c>
      <c r="AF46" s="504">
        <f>(SUM($I$17:AE$17)&gt;0)*(((Microgrid_reliability!$X$24+0.5*(Microgrid_reliability!$X$25))*Workings_risks!AF$50+(IF(bushfire_outage_duration&gt;Assumptions!$G$54,Assumptions!$G$53,IF(bushfire_outage_duration&gt;Assumptions!$G$53,bushfire_outage_duration-Assumptions!$G$53,0)+0.5*IF(bushfire_outage_duration&gt;Assumptions!$G$54,bushfire_outage_duration-Assumptions!$G$54,0)))*Workings_risks!AF$51)*Workings_risks!$D$48*Assumptions!$H$46)</f>
        <v>0.463168076675329</v>
      </c>
      <c r="AG46" s="504">
        <f>(SUM($I$17:AF$17)&gt;0)*(((Microgrid_reliability!$X$24+0.5*(Microgrid_reliability!$X$25))*Workings_risks!AG$50+(IF(bushfire_outage_duration&gt;Assumptions!$G$54,Assumptions!$G$53,IF(bushfire_outage_duration&gt;Assumptions!$G$53,bushfire_outage_duration-Assumptions!$G$53,0)+0.5*IF(bushfire_outage_duration&gt;Assumptions!$G$54,bushfire_outage_duration-Assumptions!$G$54,0)))*Workings_risks!AG$51)*Workings_risks!$D$48*Assumptions!$H$46)</f>
        <v>0.45967268531693212</v>
      </c>
    </row>
    <row r="47" spans="1:16372" x14ac:dyDescent="0.3">
      <c r="C47" s="1" t="s">
        <v>328</v>
      </c>
      <c r="D47" s="205" t="s">
        <v>64</v>
      </c>
      <c r="E47" s="158">
        <f>Assumptions!G47</f>
        <v>52200</v>
      </c>
      <c r="G47" s="207" t="s">
        <v>40</v>
      </c>
      <c r="I47" s="524">
        <f>(SUM(H$17:$I$17)&gt;0)*(((0.5*Microgrid_reliability!$X$27-0.5*(Microgrid_reliability!$X$28))*Workings_risks!I$50+(0.5*IF(bushfire_outage_duration&gt;Assumptions!$G$54,Assumptions!$G$53,IF(bushfire_outage_duration&gt;Assumptions!$G$53,bushfire_outage_duration-Assumptions!$G$53,0)-0.5*IF(bushfire_outage_duration&gt;Assumptions!$G$55,bushfire_outage_duration-Assumptions!$G$55,0)))*Workings_risks!I$51)*Workings_risks!$D$48*Assumptions!$H47)</f>
        <v>0</v>
      </c>
      <c r="J47" s="524">
        <f>(SUM(I$17:$I$17)&gt;0)*(((0.5*Microgrid_reliability!$X$27-0.5*(Microgrid_reliability!$X$28))*Workings_risks!J$50+(0.5*IF(bushfire_outage_duration&gt;Assumptions!$G$54,Assumptions!$G$53,IF(bushfire_outage_duration&gt;Assumptions!$G$53,bushfire_outage_duration-Assumptions!$G$53,0)-0.5*IF(bushfire_outage_duration&gt;Assumptions!$G$55,bushfire_outage_duration-Assumptions!$G$55,0)))*Workings_risks!J$51)*Workings_risks!$D$48*Assumptions!$H47)</f>
        <v>0</v>
      </c>
      <c r="K47" s="524">
        <f>(SUM($I$17:J$17)&gt;0)*(((0.5*Microgrid_reliability!$X$27-0.5*(Microgrid_reliability!$X$28))*Workings_risks!K$50+(0.5*IF(bushfire_outage_duration&gt;Assumptions!$G$54,Assumptions!$G$53,IF(bushfire_outage_duration&gt;Assumptions!$G$53,bushfire_outage_duration-Assumptions!$G$53,0)-0.5*IF(bushfire_outage_duration&gt;Assumptions!$G$55,bushfire_outage_duration-Assumptions!$G$55,0)))*Workings_risks!K$51)*Workings_risks!$D$48*Assumptions!$H47)</f>
        <v>0</v>
      </c>
      <c r="L47" s="524">
        <f>(SUM($I$17:K$17)&gt;0)*(((0.5*Microgrid_reliability!$X$27-0.5*(Microgrid_reliability!$X$28))*Workings_risks!L$50+(0.5*IF(bushfire_outage_duration&gt;Assumptions!$G$54,Assumptions!$G$53,IF(bushfire_outage_duration&gt;Assumptions!$G$53,bushfire_outage_duration-Assumptions!$G$53,0)-0.5*IF(bushfire_outage_duration&gt;Assumptions!$G$55,bushfire_outage_duration-Assumptions!$G$55,0)))*Workings_risks!L$51)*Workings_risks!$D$48*Assumptions!$H47)</f>
        <v>0</v>
      </c>
      <c r="M47" s="524">
        <f>(SUM($I$17:L$17)&gt;0)*(((0.5*Microgrid_reliability!$X$27-0.5*(Microgrid_reliability!$X$28))*Workings_risks!M$50+(0.5*IF(bushfire_outage_duration&gt;Assumptions!$G$54,Assumptions!$G$53,IF(bushfire_outage_duration&gt;Assumptions!$G$53,bushfire_outage_duration-Assumptions!$G$53,0)-0.5*IF(bushfire_outage_duration&gt;Assumptions!$G$55,bushfire_outage_duration-Assumptions!$G$55,0)))*Workings_risks!M$51)*Workings_risks!$D$48*Assumptions!$H47)</f>
        <v>1.1462814087335568E-2</v>
      </c>
      <c r="N47" s="524">
        <f>(SUM($I$17:M$17)&gt;0)*(((0.5*Microgrid_reliability!$X$27-0.5*(Microgrid_reliability!$X$28))*Workings_risks!N$50+(0.5*IF(bushfire_outage_duration&gt;Assumptions!$G$54,Assumptions!$G$53,IF(bushfire_outage_duration&gt;Assumptions!$G$53,bushfire_outage_duration-Assumptions!$G$53,0)-0.5*IF(bushfire_outage_duration&gt;Assumptions!$G$55,bushfire_outage_duration-Assumptions!$G$55,0)))*Workings_risks!N$51)*Workings_risks!$D$48*Assumptions!$H47)</f>
        <v>1.1495499776113477E-2</v>
      </c>
      <c r="O47" s="524">
        <f>(SUM($I$17:N$17)&gt;0)*(((0.5*Microgrid_reliability!$X$27-0.5*(Microgrid_reliability!$X$28))*Workings_risks!O$50+(0.5*IF(bushfire_outage_duration&gt;Assumptions!$G$54,Assumptions!$G$53,IF(bushfire_outage_duration&gt;Assumptions!$G$53,bushfire_outage_duration-Assumptions!$G$53,0)-0.5*IF(bushfire_outage_duration&gt;Assumptions!$G$55,bushfire_outage_duration-Assumptions!$G$55,0)))*Workings_risks!O$51)*Workings_risks!$D$48*Assumptions!$H47)</f>
        <v>1.1528185464891386E-2</v>
      </c>
      <c r="P47" s="524">
        <f>(SUM($I$17:O$17)&gt;0)*(((0.5*Microgrid_reliability!$X$27-0.5*(Microgrid_reliability!$X$28))*Workings_risks!P$50+(0.5*IF(bushfire_outage_duration&gt;Assumptions!$G$54,Assumptions!$G$53,IF(bushfire_outage_duration&gt;Assumptions!$G$53,bushfire_outage_duration-Assumptions!$G$53,0)-0.5*IF(bushfire_outage_duration&gt;Assumptions!$G$55,bushfire_outage_duration-Assumptions!$G$55,0)))*Workings_risks!P$51)*Workings_risks!$D$48*Assumptions!$H47)</f>
        <v>1.1560871153669293E-2</v>
      </c>
      <c r="Q47" s="524">
        <f>(SUM($I$17:P$17)&gt;0)*(((0.5*Microgrid_reliability!$X$27-0.5*(Microgrid_reliability!$X$28))*Workings_risks!Q$50+(0.5*IF(bushfire_outage_duration&gt;Assumptions!$G$54,Assumptions!$G$53,IF(bushfire_outage_duration&gt;Assumptions!$G$53,bushfire_outage_duration-Assumptions!$G$53,0)-0.5*IF(bushfire_outage_duration&gt;Assumptions!$G$55,bushfire_outage_duration-Assumptions!$G$55,0)))*Workings_risks!Q$51)*Workings_risks!$D$48*Assumptions!$H47)</f>
        <v>1.15935568424472E-2</v>
      </c>
      <c r="R47" s="524">
        <f>(SUM($I$17:Q$17)&gt;0)*(((0.5*Microgrid_reliability!$X$27-0.5*(Microgrid_reliability!$X$28))*Workings_risks!R$50+(0.5*IF(bushfire_outage_duration&gt;Assumptions!$G$54,Assumptions!$G$53,IF(bushfire_outage_duration&gt;Assumptions!$G$53,bushfire_outage_duration-Assumptions!$G$53,0)-0.5*IF(bushfire_outage_duration&gt;Assumptions!$G$55,bushfire_outage_duration-Assumptions!$G$55,0)))*Workings_risks!R$51)*Workings_risks!$D$48*Assumptions!$H47)</f>
        <v>1.1626242531225107E-2</v>
      </c>
      <c r="S47" s="524">
        <f>(SUM($I$17:R$17)&gt;0)*(((0.5*Microgrid_reliability!$X$27-0.5*(Microgrid_reliability!$X$28))*Workings_risks!S$50+(0.5*IF(bushfire_outage_duration&gt;Assumptions!$G$54,Assumptions!$G$53,IF(bushfire_outage_duration&gt;Assumptions!$G$53,bushfire_outage_duration-Assumptions!$G$53,0)-0.5*IF(bushfire_outage_duration&gt;Assumptions!$G$55,bushfire_outage_duration-Assumptions!$G$55,0)))*Workings_risks!S$51)*Workings_risks!$D$48*Assumptions!$H47)</f>
        <v>1.1658928220003016E-2</v>
      </c>
      <c r="T47" s="524">
        <f>(SUM($I$17:S$17)&gt;0)*(((0.5*Microgrid_reliability!$X$27-0.5*(Microgrid_reliability!$X$28))*Workings_risks!T$50+(0.5*IF(bushfire_outage_duration&gt;Assumptions!$G$54,Assumptions!$G$53,IF(bushfire_outage_duration&gt;Assumptions!$G$53,bushfire_outage_duration-Assumptions!$G$53,0)-0.5*IF(bushfire_outage_duration&gt;Assumptions!$G$55,bushfire_outage_duration-Assumptions!$G$55,0)))*Workings_risks!T$51)*Workings_risks!$D$48*Assumptions!$H47)</f>
        <v>1.1691613908780924E-2</v>
      </c>
      <c r="U47" s="524">
        <f>(SUM($I$17:T$17)&gt;0)*(((0.5*Microgrid_reliability!$X$27-0.5*(Microgrid_reliability!$X$28))*Workings_risks!U$50+(0.5*IF(bushfire_outage_duration&gt;Assumptions!$G$54,Assumptions!$G$53,IF(bushfire_outage_duration&gt;Assumptions!$G$53,bushfire_outage_duration-Assumptions!$G$53,0)-0.5*IF(bushfire_outage_duration&gt;Assumptions!$G$55,bushfire_outage_duration-Assumptions!$G$55,0)))*Workings_risks!U$51)*Workings_risks!$D$48*Assumptions!$H47)</f>
        <v>1.1724299597558831E-2</v>
      </c>
      <c r="V47" s="524">
        <f>(SUM($I$17:U$17)&gt;0)*(((0.5*Microgrid_reliability!$X$27-0.5*(Microgrid_reliability!$X$28))*Workings_risks!V$50+(0.5*IF(bushfire_outage_duration&gt;Assumptions!$G$54,Assumptions!$G$53,IF(bushfire_outage_duration&gt;Assumptions!$G$53,bushfire_outage_duration-Assumptions!$G$53,0)-0.5*IF(bushfire_outage_duration&gt;Assumptions!$G$55,bushfire_outage_duration-Assumptions!$G$55,0)))*Workings_risks!V$51)*Workings_risks!$D$48*Assumptions!$H47)</f>
        <v>1.175698528633674E-2</v>
      </c>
      <c r="W47" s="524">
        <f>(SUM($I$17:V$17)&gt;0)*(((0.5*Microgrid_reliability!$X$27-0.5*(Microgrid_reliability!$X$28))*Workings_risks!W$50+(0.5*IF(bushfire_outage_duration&gt;Assumptions!$G$54,Assumptions!$G$53,IF(bushfire_outage_duration&gt;Assumptions!$G$53,bushfire_outage_duration-Assumptions!$G$53,0)-0.5*IF(bushfire_outage_duration&gt;Assumptions!$G$55,bushfire_outage_duration-Assumptions!$G$55,0)))*Workings_risks!W$51)*Workings_risks!$D$48*Assumptions!$H47)</f>
        <v>1.1789670975114647E-2</v>
      </c>
      <c r="X47" s="524">
        <f>(SUM($I$17:W$17)&gt;0)*(((0.5*Microgrid_reliability!$X$27-0.5*(Microgrid_reliability!$X$28))*Workings_risks!X$50+(0.5*IF(bushfire_outage_duration&gt;Assumptions!$G$54,Assumptions!$G$53,IF(bushfire_outage_duration&gt;Assumptions!$G$53,bushfire_outage_duration-Assumptions!$G$53,0)-0.5*IF(bushfire_outage_duration&gt;Assumptions!$G$55,bushfire_outage_duration-Assumptions!$G$55,0)))*Workings_risks!X$51)*Workings_risks!$D$48*Assumptions!$H47)</f>
        <v>1.1822356663892555E-2</v>
      </c>
      <c r="Y47" s="524">
        <f>(SUM($I$17:X$17)&gt;0)*(((0.5*Microgrid_reliability!$X$27-0.5*(Microgrid_reliability!$X$28))*Workings_risks!Y$50+(0.5*IF(bushfire_outage_duration&gt;Assumptions!$G$54,Assumptions!$G$53,IF(bushfire_outage_duration&gt;Assumptions!$G$53,bushfire_outage_duration-Assumptions!$G$53,0)-0.5*IF(bushfire_outage_duration&gt;Assumptions!$G$55,bushfire_outage_duration-Assumptions!$G$55,0)))*Workings_risks!Y$51)*Workings_risks!$D$48*Assumptions!$H47)</f>
        <v>1.1855042352670462E-2</v>
      </c>
      <c r="Z47" s="524">
        <f>(SUM($I$17:Y$17)&gt;0)*(((0.5*Microgrid_reliability!$X$27-0.5*(Microgrid_reliability!$X$28))*Workings_risks!Z$50+(0.5*IF(bushfire_outage_duration&gt;Assumptions!$G$54,Assumptions!$G$53,IF(bushfire_outage_duration&gt;Assumptions!$G$53,bushfire_outage_duration-Assumptions!$G$53,0)-0.5*IF(bushfire_outage_duration&gt;Assumptions!$G$55,bushfire_outage_duration-Assumptions!$G$55,0)))*Workings_risks!Z$51)*Workings_risks!$D$48*Assumptions!$H47)</f>
        <v>1.1887728041448371E-2</v>
      </c>
      <c r="AA47" s="524">
        <f>(SUM($I$17:Z$17)&gt;0)*(((0.5*Microgrid_reliability!$X$27-0.5*(Microgrid_reliability!$X$28))*Workings_risks!AA$50+(0.5*IF(bushfire_outage_duration&gt;Assumptions!$G$54,Assumptions!$G$53,IF(bushfire_outage_duration&gt;Assumptions!$G$53,bushfire_outage_duration-Assumptions!$G$53,0)-0.5*IF(bushfire_outage_duration&gt;Assumptions!$G$55,bushfire_outage_duration-Assumptions!$G$55,0)))*Workings_risks!AA$51)*Workings_risks!$D$48*Assumptions!$H47)</f>
        <v>1.192041373022628E-2</v>
      </c>
      <c r="AB47" s="524">
        <f>(SUM($I$17:AA$17)&gt;0)*(((0.5*Microgrid_reliability!$X$27-0.5*(Microgrid_reliability!$X$28))*Workings_risks!AB$50+(0.5*IF(bushfire_outage_duration&gt;Assumptions!$G$54,Assumptions!$G$53,IF(bushfire_outage_duration&gt;Assumptions!$G$53,bushfire_outage_duration-Assumptions!$G$53,0)-0.5*IF(bushfire_outage_duration&gt;Assumptions!$G$55,bushfire_outage_duration-Assumptions!$G$55,0)))*Workings_risks!AB$51)*Workings_risks!$D$48*Assumptions!$H47)</f>
        <v>1.1953099419004186E-2</v>
      </c>
      <c r="AC47" s="524">
        <f>(SUM($I$17:AB$17)&gt;0)*(((0.5*Microgrid_reliability!$X$27-0.5*(Microgrid_reliability!$X$28))*Workings_risks!AC$50+(0.5*IF(bushfire_outage_duration&gt;Assumptions!$G$54,Assumptions!$G$53,IF(bushfire_outage_duration&gt;Assumptions!$G$53,bushfire_outage_duration-Assumptions!$G$53,0)-0.5*IF(bushfire_outage_duration&gt;Assumptions!$G$55,bushfire_outage_duration-Assumptions!$G$55,0)))*Workings_risks!AC$51)*Workings_risks!$D$48*Assumptions!$H47)</f>
        <v>1.1985785107782093E-2</v>
      </c>
      <c r="AD47" s="524">
        <f>(SUM($I$17:AC$17)&gt;0)*(((0.5*Microgrid_reliability!$X$27-0.5*(Microgrid_reliability!$X$28))*Workings_risks!AD$50+(0.5*IF(bushfire_outage_duration&gt;Assumptions!$G$54,Assumptions!$G$53,IF(bushfire_outage_duration&gt;Assumptions!$G$53,bushfire_outage_duration-Assumptions!$G$53,0)-0.5*IF(bushfire_outage_duration&gt;Assumptions!$G$55,bushfire_outage_duration-Assumptions!$G$55,0)))*Workings_risks!AD$51)*Workings_risks!$D$48*Assumptions!$H47)</f>
        <v>1.2018470796560002E-2</v>
      </c>
      <c r="AE47" s="524">
        <f>(SUM($I$17:AD$17)&gt;0)*(((0.5*Microgrid_reliability!$X$27-0.5*(Microgrid_reliability!$X$28))*Workings_risks!AE$50+(0.5*IF(bushfire_outage_duration&gt;Assumptions!$G$54,Assumptions!$G$53,IF(bushfire_outage_duration&gt;Assumptions!$G$53,bushfire_outage_duration-Assumptions!$G$53,0)-0.5*IF(bushfire_outage_duration&gt;Assumptions!$G$55,bushfire_outage_duration-Assumptions!$G$55,0)))*Workings_risks!AE$51)*Workings_risks!$D$48*Assumptions!$H47)</f>
        <v>1.2051156485337911E-2</v>
      </c>
      <c r="AF47" s="524">
        <f>(SUM($I$17:AE$17)&gt;0)*(((0.5*Microgrid_reliability!$X$27-0.5*(Microgrid_reliability!$X$28))*Workings_risks!AF$50+(0.5*IF(bushfire_outage_duration&gt;Assumptions!$G$54,Assumptions!$G$53,IF(bushfire_outage_duration&gt;Assumptions!$G$53,bushfire_outage_duration-Assumptions!$G$53,0)-0.5*IF(bushfire_outage_duration&gt;Assumptions!$G$55,bushfire_outage_duration-Assumptions!$G$55,0)))*Workings_risks!AF$51)*Workings_risks!$D$48*Assumptions!$H47)</f>
        <v>1.2083842174115818E-2</v>
      </c>
      <c r="AG47" s="524">
        <f>(SUM($I$17:AF$17)&gt;0)*(((0.5*Microgrid_reliability!$X$27-0.5*(Microgrid_reliability!$X$28))*Workings_risks!AG$50+(0.5*IF(bushfire_outage_duration&gt;Assumptions!$G$54,Assumptions!$G$53,IF(bushfire_outage_duration&gt;Assumptions!$G$53,bushfire_outage_duration-Assumptions!$G$53,0)-0.5*IF(bushfire_outage_duration&gt;Assumptions!$G$55,bushfire_outage_duration-Assumptions!$G$55,0)))*Workings_risks!AG$51)*Workings_risks!$D$48*Assumptions!$H47)</f>
        <v>1.2116527862893725E-2</v>
      </c>
    </row>
    <row r="48" spans="1:16372" x14ac:dyDescent="0.3">
      <c r="C48" s="1" t="s">
        <v>329</v>
      </c>
      <c r="D48" s="205" t="s">
        <v>64</v>
      </c>
      <c r="E48" s="158">
        <f>Assumptions!G48</f>
        <v>74790</v>
      </c>
      <c r="G48" s="207" t="s">
        <v>209</v>
      </c>
      <c r="I48" s="524">
        <f>(SUM(H$17:$I$17)&gt;0)*(((0.5*Microgrid_reliability!$X$27-0.5*(Microgrid_reliability!$X$28))*Workings_risks!I$50+(0.5*IF(bushfire_outage_duration&gt;Assumptions!$G$54,Assumptions!$G$53,IF(bushfire_outage_duration&gt;Assumptions!$G$53,bushfire_outage_duration-Assumptions!$G$53,0)-0.5*IF(bushfire_outage_duration&gt;Assumptions!$G$55,bushfire_outage_duration-Assumptions!$G$55,0)))*Workings_risks!I$51)*Workings_risks!$D$48*Assumptions!$H48)</f>
        <v>0</v>
      </c>
      <c r="J48" s="524">
        <f>(SUM(I$17:$I$17)&gt;0)*(((0.5*Microgrid_reliability!$X$27-0.5*(Microgrid_reliability!$X$28))*Workings_risks!J$50+(0.5*IF(bushfire_outage_duration&gt;Assumptions!$G$54,Assumptions!$G$53,IF(bushfire_outage_duration&gt;Assumptions!$G$53,bushfire_outage_duration-Assumptions!$G$53,0)-0.5*IF(bushfire_outage_duration&gt;Assumptions!$G$55,bushfire_outage_duration-Assumptions!$G$55,0)))*Workings_risks!J$51)*Workings_risks!$D$48*Assumptions!$H48)</f>
        <v>0</v>
      </c>
      <c r="K48" s="524">
        <f>(SUM($I$17:J$17)&gt;0)*(((0.5*Microgrid_reliability!$X$27-0.5*(Microgrid_reliability!$X$28))*Workings_risks!K$50+(0.5*IF(bushfire_outage_duration&gt;Assumptions!$G$54,Assumptions!$G$53,IF(bushfire_outage_duration&gt;Assumptions!$G$53,bushfire_outage_duration-Assumptions!$G$53,0)-0.5*IF(bushfire_outage_duration&gt;Assumptions!$G$55,bushfire_outage_duration-Assumptions!$G$55,0)))*Workings_risks!K$51)*Workings_risks!$D$48*Assumptions!$H48)</f>
        <v>0</v>
      </c>
      <c r="L48" s="524">
        <f>(SUM($I$17:K$17)&gt;0)*(((0.5*Microgrid_reliability!$X$27-0.5*(Microgrid_reliability!$X$28))*Workings_risks!L$50+(0.5*IF(bushfire_outage_duration&gt;Assumptions!$G$54,Assumptions!$G$53,IF(bushfire_outage_duration&gt;Assumptions!$G$53,bushfire_outage_duration-Assumptions!$G$53,0)-0.5*IF(bushfire_outage_duration&gt;Assumptions!$G$55,bushfire_outage_duration-Assumptions!$G$55,0)))*Workings_risks!L$51)*Workings_risks!$D$48*Assumptions!$H48)</f>
        <v>0</v>
      </c>
      <c r="M48" s="524">
        <f>(SUM($I$17:L$17)&gt;0)*(((0.5*Microgrid_reliability!$X$27-0.5*(Microgrid_reliability!$X$28))*Workings_risks!M$50+(0.5*IF(bushfire_outage_duration&gt;Assumptions!$G$54,Assumptions!$G$53,IF(bushfire_outage_duration&gt;Assumptions!$G$53,bushfire_outage_duration-Assumptions!$G$53,0)-0.5*IF(bushfire_outage_duration&gt;Assumptions!$G$55,bushfire_outage_duration-Assumptions!$G$55,0)))*Workings_risks!M$51)*Workings_risks!$D$48*Assumptions!$H48)</f>
        <v>5.3493967967937978E-3</v>
      </c>
      <c r="N48" s="524">
        <f>(SUM($I$17:M$17)&gt;0)*(((0.5*Microgrid_reliability!$X$27-0.5*(Microgrid_reliability!$X$28))*Workings_risks!N$50+(0.5*IF(bushfire_outage_duration&gt;Assumptions!$G$54,Assumptions!$G$53,IF(bushfire_outage_duration&gt;Assumptions!$G$53,bushfire_outage_duration-Assumptions!$G$53,0)-0.5*IF(bushfire_outage_duration&gt;Assumptions!$G$55,bushfire_outage_duration-Assumptions!$G$55,0)))*Workings_risks!N$51)*Workings_risks!$D$48*Assumptions!$H48)</f>
        <v>5.3646503564796985E-3</v>
      </c>
      <c r="O48" s="524">
        <f>(SUM($I$17:N$17)&gt;0)*(((0.5*Microgrid_reliability!$X$27-0.5*(Microgrid_reliability!$X$28))*Workings_risks!O$50+(0.5*IF(bushfire_outage_duration&gt;Assumptions!$G$54,Assumptions!$G$53,IF(bushfire_outage_duration&gt;Assumptions!$G$53,bushfire_outage_duration-Assumptions!$G$53,0)-0.5*IF(bushfire_outage_duration&gt;Assumptions!$G$55,bushfire_outage_duration-Assumptions!$G$55,0)))*Workings_risks!O$51)*Workings_risks!$D$48*Assumptions!$H48)</f>
        <v>5.3799039161655975E-3</v>
      </c>
      <c r="P48" s="524">
        <f>(SUM($I$17:O$17)&gt;0)*(((0.5*Microgrid_reliability!$X$27-0.5*(Microgrid_reliability!$X$28))*Workings_risks!P$50+(0.5*IF(bushfire_outage_duration&gt;Assumptions!$G$54,Assumptions!$G$53,IF(bushfire_outage_duration&gt;Assumptions!$G$53,bushfire_outage_duration-Assumptions!$G$53,0)-0.5*IF(bushfire_outage_duration&gt;Assumptions!$G$55,bushfire_outage_duration-Assumptions!$G$55,0)))*Workings_risks!P$51)*Workings_risks!$D$48*Assumptions!$H48)</f>
        <v>5.3951574758514965E-3</v>
      </c>
      <c r="Q48" s="524">
        <f>(SUM($I$17:P$17)&gt;0)*(((0.5*Microgrid_reliability!$X$27-0.5*(Microgrid_reliability!$X$28))*Workings_risks!Q$50+(0.5*IF(bushfire_outage_duration&gt;Assumptions!$G$54,Assumptions!$G$53,IF(bushfire_outage_duration&gt;Assumptions!$G$53,bushfire_outage_duration-Assumptions!$G$53,0)-0.5*IF(bushfire_outage_duration&gt;Assumptions!$G$55,bushfire_outage_duration-Assumptions!$G$55,0)))*Workings_risks!Q$51)*Workings_risks!$D$48*Assumptions!$H48)</f>
        <v>5.4104110355373955E-3</v>
      </c>
      <c r="R48" s="524">
        <f>(SUM($I$17:Q$17)&gt;0)*(((0.5*Microgrid_reliability!$X$27-0.5*(Microgrid_reliability!$X$28))*Workings_risks!R$50+(0.5*IF(bushfire_outage_duration&gt;Assumptions!$G$54,Assumptions!$G$53,IF(bushfire_outage_duration&gt;Assumptions!$G$53,bushfire_outage_duration-Assumptions!$G$53,0)-0.5*IF(bushfire_outage_duration&gt;Assumptions!$G$55,bushfire_outage_duration-Assumptions!$G$55,0)))*Workings_risks!R$51)*Workings_risks!$D$48*Assumptions!$H48)</f>
        <v>5.4256645952232944E-3</v>
      </c>
      <c r="S48" s="524">
        <f>(SUM($I$17:R$17)&gt;0)*(((0.5*Microgrid_reliability!$X$27-0.5*(Microgrid_reliability!$X$28))*Workings_risks!S$50+(0.5*IF(bushfire_outage_duration&gt;Assumptions!$G$54,Assumptions!$G$53,IF(bushfire_outage_duration&gt;Assumptions!$G$53,bushfire_outage_duration-Assumptions!$G$53,0)-0.5*IF(bushfire_outage_duration&gt;Assumptions!$G$55,bushfire_outage_duration-Assumptions!$G$55,0)))*Workings_risks!S$51)*Workings_risks!$D$48*Assumptions!$H48)</f>
        <v>5.4409181549091943E-3</v>
      </c>
      <c r="T48" s="524">
        <f>(SUM($I$17:S$17)&gt;0)*(((0.5*Microgrid_reliability!$X$27-0.5*(Microgrid_reliability!$X$28))*Workings_risks!T$50+(0.5*IF(bushfire_outage_duration&gt;Assumptions!$G$54,Assumptions!$G$53,IF(bushfire_outage_duration&gt;Assumptions!$G$53,bushfire_outage_duration-Assumptions!$G$53,0)-0.5*IF(bushfire_outage_duration&gt;Assumptions!$G$55,bushfire_outage_duration-Assumptions!$G$55,0)))*Workings_risks!T$51)*Workings_risks!$D$48*Assumptions!$H48)</f>
        <v>5.4561717145950933E-3</v>
      </c>
      <c r="U48" s="524">
        <f>(SUM($I$17:T$17)&gt;0)*(((0.5*Microgrid_reliability!$X$27-0.5*(Microgrid_reliability!$X$28))*Workings_risks!U$50+(0.5*IF(bushfire_outage_duration&gt;Assumptions!$G$54,Assumptions!$G$53,IF(bushfire_outage_duration&gt;Assumptions!$G$53,bushfire_outage_duration-Assumptions!$G$53,0)-0.5*IF(bushfire_outage_duration&gt;Assumptions!$G$55,bushfire_outage_duration-Assumptions!$G$55,0)))*Workings_risks!U$51)*Workings_risks!$D$48*Assumptions!$H48)</f>
        <v>5.4714252742809923E-3</v>
      </c>
      <c r="V48" s="524">
        <f>(SUM($I$17:U$17)&gt;0)*(((0.5*Microgrid_reliability!$X$27-0.5*(Microgrid_reliability!$X$28))*Workings_risks!V$50+(0.5*IF(bushfire_outage_duration&gt;Assumptions!$G$54,Assumptions!$G$53,IF(bushfire_outage_duration&gt;Assumptions!$G$53,bushfire_outage_duration-Assumptions!$G$53,0)-0.5*IF(bushfire_outage_duration&gt;Assumptions!$G$55,bushfire_outage_duration-Assumptions!$G$55,0)))*Workings_risks!V$51)*Workings_risks!$D$48*Assumptions!$H48)</f>
        <v>5.4866788339668912E-3</v>
      </c>
      <c r="W48" s="524">
        <f>(SUM($I$17:V$17)&gt;0)*(((0.5*Microgrid_reliability!$X$27-0.5*(Microgrid_reliability!$X$28))*Workings_risks!W$50+(0.5*IF(bushfire_outage_duration&gt;Assumptions!$G$54,Assumptions!$G$53,IF(bushfire_outage_duration&gt;Assumptions!$G$53,bushfire_outage_duration-Assumptions!$G$53,0)-0.5*IF(bushfire_outage_duration&gt;Assumptions!$G$55,bushfire_outage_duration-Assumptions!$G$55,0)))*Workings_risks!W$51)*Workings_risks!$D$48*Assumptions!$H48)</f>
        <v>5.5019323936527911E-3</v>
      </c>
      <c r="X48" s="524">
        <f>(SUM($I$17:W$17)&gt;0)*(((0.5*Microgrid_reliability!$X$27-0.5*(Microgrid_reliability!$X$28))*Workings_risks!X$50+(0.5*IF(bushfire_outage_duration&gt;Assumptions!$G$54,Assumptions!$G$53,IF(bushfire_outage_duration&gt;Assumptions!$G$53,bushfire_outage_duration-Assumptions!$G$53,0)-0.5*IF(bushfire_outage_duration&gt;Assumptions!$G$55,bushfire_outage_duration-Assumptions!$G$55,0)))*Workings_risks!X$51)*Workings_risks!$D$48*Assumptions!$H48)</f>
        <v>5.5171859533386901E-3</v>
      </c>
      <c r="Y48" s="524">
        <f>(SUM($I$17:X$17)&gt;0)*(((0.5*Microgrid_reliability!$X$27-0.5*(Microgrid_reliability!$X$28))*Workings_risks!Y$50+(0.5*IF(bushfire_outage_duration&gt;Assumptions!$G$54,Assumptions!$G$53,IF(bushfire_outage_duration&gt;Assumptions!$G$53,bushfire_outage_duration-Assumptions!$G$53,0)-0.5*IF(bushfire_outage_duration&gt;Assumptions!$G$55,bushfire_outage_duration-Assumptions!$G$55,0)))*Workings_risks!Y$51)*Workings_risks!$D$48*Assumptions!$H48)</f>
        <v>5.5324395130245891E-3</v>
      </c>
      <c r="Z48" s="524">
        <f>(SUM($I$17:Y$17)&gt;0)*(((0.5*Microgrid_reliability!$X$27-0.5*(Microgrid_reliability!$X$28))*Workings_risks!Z$50+(0.5*IF(bushfire_outage_duration&gt;Assumptions!$G$54,Assumptions!$G$53,IF(bushfire_outage_duration&gt;Assumptions!$G$53,bushfire_outage_duration-Assumptions!$G$53,0)-0.5*IF(bushfire_outage_duration&gt;Assumptions!$G$55,bushfire_outage_duration-Assumptions!$G$55,0)))*Workings_risks!Z$51)*Workings_risks!$D$48*Assumptions!$H48)</f>
        <v>5.547693072710488E-3</v>
      </c>
      <c r="AA48" s="524">
        <f>(SUM($I$17:Z$17)&gt;0)*(((0.5*Microgrid_reliability!$X$27-0.5*(Microgrid_reliability!$X$28))*Workings_risks!AA$50+(0.5*IF(bushfire_outage_duration&gt;Assumptions!$G$54,Assumptions!$G$53,IF(bushfire_outage_duration&gt;Assumptions!$G$53,bushfire_outage_duration-Assumptions!$G$53,0)-0.5*IF(bushfire_outage_duration&gt;Assumptions!$G$55,bushfire_outage_duration-Assumptions!$G$55,0)))*Workings_risks!AA$51)*Workings_risks!$D$48*Assumptions!$H48)</f>
        <v>5.5629466323963879E-3</v>
      </c>
      <c r="AB48" s="524">
        <f>(SUM($I$17:AA$17)&gt;0)*(((0.5*Microgrid_reliability!$X$27-0.5*(Microgrid_reliability!$X$28))*Workings_risks!AB$50+(0.5*IF(bushfire_outage_duration&gt;Assumptions!$G$54,Assumptions!$G$53,IF(bushfire_outage_duration&gt;Assumptions!$G$53,bushfire_outage_duration-Assumptions!$G$53,0)-0.5*IF(bushfire_outage_duration&gt;Assumptions!$G$55,bushfire_outage_duration-Assumptions!$G$55,0)))*Workings_risks!AB$51)*Workings_risks!$D$48*Assumptions!$H48)</f>
        <v>5.5782001920822869E-3</v>
      </c>
      <c r="AC48" s="524">
        <f>(SUM($I$17:AB$17)&gt;0)*(((0.5*Microgrid_reliability!$X$27-0.5*(Microgrid_reliability!$X$28))*Workings_risks!AC$50+(0.5*IF(bushfire_outage_duration&gt;Assumptions!$G$54,Assumptions!$G$53,IF(bushfire_outage_duration&gt;Assumptions!$G$53,bushfire_outage_duration-Assumptions!$G$53,0)-0.5*IF(bushfire_outage_duration&gt;Assumptions!$G$55,bushfire_outage_duration-Assumptions!$G$55,0)))*Workings_risks!AC$51)*Workings_risks!$D$48*Assumptions!$H48)</f>
        <v>5.5934537517681859E-3</v>
      </c>
      <c r="AD48" s="524">
        <f>(SUM($I$17:AC$17)&gt;0)*(((0.5*Microgrid_reliability!$X$27-0.5*(Microgrid_reliability!$X$28))*Workings_risks!AD$50+(0.5*IF(bushfire_outage_duration&gt;Assumptions!$G$54,Assumptions!$G$53,IF(bushfire_outage_duration&gt;Assumptions!$G$53,bushfire_outage_duration-Assumptions!$G$53,0)-0.5*IF(bushfire_outage_duration&gt;Assumptions!$G$55,bushfire_outage_duration-Assumptions!$G$55,0)))*Workings_risks!AD$51)*Workings_risks!$D$48*Assumptions!$H48)</f>
        <v>5.6087073114540848E-3</v>
      </c>
      <c r="AE48" s="524">
        <f>(SUM($I$17:AD$17)&gt;0)*(((0.5*Microgrid_reliability!$X$27-0.5*(Microgrid_reliability!$X$28))*Workings_risks!AE$50+(0.5*IF(bushfire_outage_duration&gt;Assumptions!$G$54,Assumptions!$G$53,IF(bushfire_outage_duration&gt;Assumptions!$G$53,bushfire_outage_duration-Assumptions!$G$53,0)-0.5*IF(bushfire_outage_duration&gt;Assumptions!$G$55,bushfire_outage_duration-Assumptions!$G$55,0)))*Workings_risks!AE$51)*Workings_risks!$D$48*Assumptions!$H48)</f>
        <v>5.6239608711399847E-3</v>
      </c>
      <c r="AF48" s="524">
        <f>(SUM($I$17:AE$17)&gt;0)*(((0.5*Microgrid_reliability!$X$27-0.5*(Microgrid_reliability!$X$28))*Workings_risks!AF$50+(0.5*IF(bushfire_outage_duration&gt;Assumptions!$G$54,Assumptions!$G$53,IF(bushfire_outage_duration&gt;Assumptions!$G$53,bushfire_outage_duration-Assumptions!$G$53,0)-0.5*IF(bushfire_outage_duration&gt;Assumptions!$G$55,bushfire_outage_duration-Assumptions!$G$55,0)))*Workings_risks!AF$51)*Workings_risks!$D$48*Assumptions!$H48)</f>
        <v>5.6392144308258837E-3</v>
      </c>
      <c r="AG48" s="524">
        <f>(SUM($I$17:AF$17)&gt;0)*(((0.5*Microgrid_reliability!$X$27-0.5*(Microgrid_reliability!$X$28))*Workings_risks!AG$50+(0.5*IF(bushfire_outage_duration&gt;Assumptions!$G$54,Assumptions!$G$53,IF(bushfire_outage_duration&gt;Assumptions!$G$53,bushfire_outage_duration-Assumptions!$G$53,0)-0.5*IF(bushfire_outage_duration&gt;Assumptions!$G$55,bushfire_outage_duration-Assumptions!$G$55,0)))*Workings_risks!AG$51)*Workings_risks!$D$48*Assumptions!$H48)</f>
        <v>5.6544679905117827E-3</v>
      </c>
    </row>
    <row r="49" spans="1:43" x14ac:dyDescent="0.3">
      <c r="C49" s="1" t="s">
        <v>330</v>
      </c>
      <c r="D49" s="205" t="s">
        <v>64</v>
      </c>
      <c r="E49" s="158">
        <f>Assumptions!G49</f>
        <v>44400</v>
      </c>
      <c r="G49" s="207" t="s">
        <v>211</v>
      </c>
      <c r="I49" s="524">
        <f>(SUM(H$17:$I$17)&gt;0)*(((0.5*Microgrid_reliability!$X$27-0.5*(Microgrid_reliability!$X$28))*Workings_risks!I$50+(0.5*IF(bushfire_outage_duration&gt;Assumptions!$G$54,Assumptions!$G$53,IF(bushfire_outage_duration&gt;Assumptions!$G$53,bushfire_outage_duration-Assumptions!$G$53,0)-0.5*IF(bushfire_outage_duration&gt;Assumptions!$G$55,bushfire_outage_duration-Assumptions!$G$55,0)))*Workings_risks!I$51)*Workings_risks!$D$48*Assumptions!$H49)</f>
        <v>0</v>
      </c>
      <c r="J49" s="524">
        <f>(SUM(I$17:$I$17)&gt;0)*(((0.5*Microgrid_reliability!$X$27-0.5*(Microgrid_reliability!$X$28))*Workings_risks!J$50+(0.5*IF(bushfire_outage_duration&gt;Assumptions!$G$54,Assumptions!$G$53,IF(bushfire_outage_duration&gt;Assumptions!$G$53,bushfire_outage_duration-Assumptions!$G$53,0)-0.5*IF(bushfire_outage_duration&gt;Assumptions!$G$55,bushfire_outage_duration-Assumptions!$G$55,0)))*Workings_risks!J$51)*Workings_risks!$D$48*Assumptions!$H49)</f>
        <v>0</v>
      </c>
      <c r="K49" s="524">
        <f>(SUM($I$17:J$17)&gt;0)*(((0.5*Microgrid_reliability!$X$27-0.5*(Microgrid_reliability!$X$28))*Workings_risks!K$50+(0.5*IF(bushfire_outage_duration&gt;Assumptions!$G$54,Assumptions!$G$53,IF(bushfire_outage_duration&gt;Assumptions!$G$53,bushfire_outage_duration-Assumptions!$G$53,0)-0.5*IF(bushfire_outage_duration&gt;Assumptions!$G$55,bushfire_outage_duration-Assumptions!$G$55,0)))*Workings_risks!K$51)*Workings_risks!$D$48*Assumptions!$H49)</f>
        <v>0</v>
      </c>
      <c r="L49" s="524">
        <f>(SUM($I$17:K$17)&gt;0)*(((0.5*Microgrid_reliability!$X$27-0.5*(Microgrid_reliability!$X$28))*Workings_risks!L$50+(0.5*IF(bushfire_outage_duration&gt;Assumptions!$G$54,Assumptions!$G$53,IF(bushfire_outage_duration&gt;Assumptions!$G$53,bushfire_outage_duration-Assumptions!$G$53,0)-0.5*IF(bushfire_outage_duration&gt;Assumptions!$G$55,bushfire_outage_duration-Assumptions!$G$55,0)))*Workings_risks!L$51)*Workings_risks!$D$48*Assumptions!$H49)</f>
        <v>0</v>
      </c>
      <c r="M49" s="524">
        <f>(SUM($I$17:L$17)&gt;0)*(((0.5*Microgrid_reliability!$X$27-0.5*(Microgrid_reliability!$X$28))*Workings_risks!M$50+(0.5*IF(bushfire_outage_duration&gt;Assumptions!$G$54,Assumptions!$G$53,IF(bushfire_outage_duration&gt;Assumptions!$G$53,bushfire_outage_duration-Assumptions!$G$53,0)-0.5*IF(bushfire_outage_duration&gt;Assumptions!$G$55,bushfire_outage_duration-Assumptions!$G$55,0)))*Workings_risks!M$51)*Workings_risks!$D$48*Assumptions!$H49)</f>
        <v>3.6977596456022615E-4</v>
      </c>
      <c r="N49" s="524">
        <f>(SUM($I$17:M$17)&gt;0)*(((0.5*Microgrid_reliability!$X$27-0.5*(Microgrid_reliability!$X$28))*Workings_risks!N$50+(0.5*IF(bushfire_outage_duration&gt;Assumptions!$G$54,Assumptions!$G$53,IF(bushfire_outage_duration&gt;Assumptions!$G$53,bushfire_outage_duration-Assumptions!$G$53,0)-0.5*IF(bushfire_outage_duration&gt;Assumptions!$G$55,bushfire_outage_duration-Assumptions!$G$55,0)))*Workings_risks!N$51)*Workings_risks!$D$48*Assumptions!$H49)</f>
        <v>3.708303637682287E-4</v>
      </c>
      <c r="O49" s="524">
        <f>(SUM($I$17:N$17)&gt;0)*(((0.5*Microgrid_reliability!$X$27-0.5*(Microgrid_reliability!$X$28))*Workings_risks!O$50+(0.5*IF(bushfire_outage_duration&gt;Assumptions!$G$54,Assumptions!$G$53,IF(bushfire_outage_duration&gt;Assumptions!$G$53,bushfire_outage_duration-Assumptions!$G$53,0)-0.5*IF(bushfire_outage_duration&gt;Assumptions!$G$55,bushfire_outage_duration-Assumptions!$G$55,0)))*Workings_risks!O$51)*Workings_risks!$D$48*Assumptions!$H49)</f>
        <v>3.7188476297623119E-4</v>
      </c>
      <c r="P49" s="524">
        <f>(SUM($I$17:O$17)&gt;0)*(((0.5*Microgrid_reliability!$X$27-0.5*(Microgrid_reliability!$X$28))*Workings_risks!P$50+(0.5*IF(bushfire_outage_duration&gt;Assumptions!$G$54,Assumptions!$G$53,IF(bushfire_outage_duration&gt;Assumptions!$G$53,bushfire_outage_duration-Assumptions!$G$53,0)-0.5*IF(bushfire_outage_duration&gt;Assumptions!$G$55,bushfire_outage_duration-Assumptions!$G$55,0)))*Workings_risks!P$51)*Workings_risks!$D$48*Assumptions!$H49)</f>
        <v>3.7293916218423368E-4</v>
      </c>
      <c r="Q49" s="524">
        <f>(SUM($I$17:P$17)&gt;0)*(((0.5*Microgrid_reliability!$X$27-0.5*(Microgrid_reliability!$X$28))*Workings_risks!Q$50+(0.5*IF(bushfire_outage_duration&gt;Assumptions!$G$54,Assumptions!$G$53,IF(bushfire_outage_duration&gt;Assumptions!$G$53,bushfire_outage_duration-Assumptions!$G$53,0)-0.5*IF(bushfire_outage_duration&gt;Assumptions!$G$55,bushfire_outage_duration-Assumptions!$G$55,0)))*Workings_risks!Q$51)*Workings_risks!$D$48*Assumptions!$H49)</f>
        <v>3.7399356139223612E-4</v>
      </c>
      <c r="R49" s="524">
        <f>(SUM($I$17:Q$17)&gt;0)*(((0.5*Microgrid_reliability!$X$27-0.5*(Microgrid_reliability!$X$28))*Workings_risks!R$50+(0.5*IF(bushfire_outage_duration&gt;Assumptions!$G$54,Assumptions!$G$53,IF(bushfire_outage_duration&gt;Assumptions!$G$53,bushfire_outage_duration-Assumptions!$G$53,0)-0.5*IF(bushfire_outage_duration&gt;Assumptions!$G$55,bushfire_outage_duration-Assumptions!$G$55,0)))*Workings_risks!R$51)*Workings_risks!$D$48*Assumptions!$H49)</f>
        <v>3.7504796060023861E-4</v>
      </c>
      <c r="S49" s="524">
        <f>(SUM($I$17:R$17)&gt;0)*(((0.5*Microgrid_reliability!$X$27-0.5*(Microgrid_reliability!$X$28))*Workings_risks!S$50+(0.5*IF(bushfire_outage_duration&gt;Assumptions!$G$54,Assumptions!$G$53,IF(bushfire_outage_duration&gt;Assumptions!$G$53,bushfire_outage_duration-Assumptions!$G$53,0)-0.5*IF(bushfire_outage_duration&gt;Assumptions!$G$55,bushfire_outage_duration-Assumptions!$G$55,0)))*Workings_risks!S$51)*Workings_risks!$D$48*Assumptions!$H49)</f>
        <v>3.761023598082411E-4</v>
      </c>
      <c r="T49" s="524">
        <f>(SUM($I$17:S$17)&gt;0)*(((0.5*Microgrid_reliability!$X$27-0.5*(Microgrid_reliability!$X$28))*Workings_risks!T$50+(0.5*IF(bushfire_outage_duration&gt;Assumptions!$G$54,Assumptions!$G$53,IF(bushfire_outage_duration&gt;Assumptions!$G$53,bushfire_outage_duration-Assumptions!$G$53,0)-0.5*IF(bushfire_outage_duration&gt;Assumptions!$G$55,bushfire_outage_duration-Assumptions!$G$55,0)))*Workings_risks!T$51)*Workings_risks!$D$48*Assumptions!$H49)</f>
        <v>3.7715675901624354E-4</v>
      </c>
      <c r="U49" s="524">
        <f>(SUM($I$17:T$17)&gt;0)*(((0.5*Microgrid_reliability!$X$27-0.5*(Microgrid_reliability!$X$28))*Workings_risks!U$50+(0.5*IF(bushfire_outage_duration&gt;Assumptions!$G$54,Assumptions!$G$53,IF(bushfire_outage_duration&gt;Assumptions!$G$53,bushfire_outage_duration-Assumptions!$G$53,0)-0.5*IF(bushfire_outage_duration&gt;Assumptions!$G$55,bushfire_outage_duration-Assumptions!$G$55,0)))*Workings_risks!U$51)*Workings_risks!$D$48*Assumptions!$H49)</f>
        <v>3.7821115822424598E-4</v>
      </c>
      <c r="V49" s="524">
        <f>(SUM($I$17:U$17)&gt;0)*(((0.5*Microgrid_reliability!$X$27-0.5*(Microgrid_reliability!$X$28))*Workings_risks!V$50+(0.5*IF(bushfire_outage_duration&gt;Assumptions!$G$54,Assumptions!$G$53,IF(bushfire_outage_duration&gt;Assumptions!$G$53,bushfire_outage_duration-Assumptions!$G$53,0)-0.5*IF(bushfire_outage_duration&gt;Assumptions!$G$55,bushfire_outage_duration-Assumptions!$G$55,0)))*Workings_risks!V$51)*Workings_risks!$D$48*Assumptions!$H49)</f>
        <v>3.7926555743224852E-4</v>
      </c>
      <c r="W49" s="524">
        <f>(SUM($I$17:V$17)&gt;0)*(((0.5*Microgrid_reliability!$X$27-0.5*(Microgrid_reliability!$X$28))*Workings_risks!W$50+(0.5*IF(bushfire_outage_duration&gt;Assumptions!$G$54,Assumptions!$G$53,IF(bushfire_outage_duration&gt;Assumptions!$G$53,bushfire_outage_duration-Assumptions!$G$53,0)-0.5*IF(bushfire_outage_duration&gt;Assumptions!$G$55,bushfire_outage_duration-Assumptions!$G$55,0)))*Workings_risks!W$51)*Workings_risks!$D$48*Assumptions!$H49)</f>
        <v>3.8031995664025101E-4</v>
      </c>
      <c r="X49" s="524">
        <f>(SUM($I$17:W$17)&gt;0)*(((0.5*Microgrid_reliability!$X$27-0.5*(Microgrid_reliability!$X$28))*Workings_risks!X$50+(0.5*IF(bushfire_outage_duration&gt;Assumptions!$G$54,Assumptions!$G$53,IF(bushfire_outage_duration&gt;Assumptions!$G$53,bushfire_outage_duration-Assumptions!$G$53,0)-0.5*IF(bushfire_outage_duration&gt;Assumptions!$G$55,bushfire_outage_duration-Assumptions!$G$55,0)))*Workings_risks!X$51)*Workings_risks!$D$48*Assumptions!$H49)</f>
        <v>3.8137435584825345E-4</v>
      </c>
      <c r="Y49" s="524">
        <f>(SUM($I$17:X$17)&gt;0)*(((0.5*Microgrid_reliability!$X$27-0.5*(Microgrid_reliability!$X$28))*Workings_risks!Y$50+(0.5*IF(bushfire_outage_duration&gt;Assumptions!$G$54,Assumptions!$G$53,IF(bushfire_outage_duration&gt;Assumptions!$G$53,bushfire_outage_duration-Assumptions!$G$53,0)-0.5*IF(bushfire_outage_duration&gt;Assumptions!$G$55,bushfire_outage_duration-Assumptions!$G$55,0)))*Workings_risks!Y$51)*Workings_risks!$D$48*Assumptions!$H49)</f>
        <v>3.8242875505625589E-4</v>
      </c>
      <c r="Z49" s="524">
        <f>(SUM($I$17:Y$17)&gt;0)*(((0.5*Microgrid_reliability!$X$27-0.5*(Microgrid_reliability!$X$28))*Workings_risks!Z$50+(0.5*IF(bushfire_outage_duration&gt;Assumptions!$G$54,Assumptions!$G$53,IF(bushfire_outage_duration&gt;Assumptions!$G$53,bushfire_outage_duration-Assumptions!$G$53,0)-0.5*IF(bushfire_outage_duration&gt;Assumptions!$G$55,bushfire_outage_duration-Assumptions!$G$55,0)))*Workings_risks!Z$51)*Workings_risks!$D$48*Assumptions!$H49)</f>
        <v>3.8348315426425838E-4</v>
      </c>
      <c r="AA49" s="524">
        <f>(SUM($I$17:Z$17)&gt;0)*(((0.5*Microgrid_reliability!$X$27-0.5*(Microgrid_reliability!$X$28))*Workings_risks!AA$50+(0.5*IF(bushfire_outage_duration&gt;Assumptions!$G$54,Assumptions!$G$53,IF(bushfire_outage_duration&gt;Assumptions!$G$53,bushfire_outage_duration-Assumptions!$G$53,0)-0.5*IF(bushfire_outage_duration&gt;Assumptions!$G$55,bushfire_outage_duration-Assumptions!$G$55,0)))*Workings_risks!AA$51)*Workings_risks!$D$48*Assumptions!$H49)</f>
        <v>3.8453755347226087E-4</v>
      </c>
      <c r="AB49" s="524">
        <f>(SUM($I$17:AA$17)&gt;0)*(((0.5*Microgrid_reliability!$X$27-0.5*(Microgrid_reliability!$X$28))*Workings_risks!AB$50+(0.5*IF(bushfire_outage_duration&gt;Assumptions!$G$54,Assumptions!$G$53,IF(bushfire_outage_duration&gt;Assumptions!$G$53,bushfire_outage_duration-Assumptions!$G$53,0)-0.5*IF(bushfire_outage_duration&gt;Assumptions!$G$55,bushfire_outage_duration-Assumptions!$G$55,0)))*Workings_risks!AB$51)*Workings_risks!$D$48*Assumptions!$H49)</f>
        <v>3.8559195268026336E-4</v>
      </c>
      <c r="AC49" s="524">
        <f>(SUM($I$17:AB$17)&gt;0)*(((0.5*Microgrid_reliability!$X$27-0.5*(Microgrid_reliability!$X$28))*Workings_risks!AC$50+(0.5*IF(bushfire_outage_duration&gt;Assumptions!$G$54,Assumptions!$G$53,IF(bushfire_outage_duration&gt;Assumptions!$G$53,bushfire_outage_duration-Assumptions!$G$53,0)-0.5*IF(bushfire_outage_duration&gt;Assumptions!$G$55,bushfire_outage_duration-Assumptions!$G$55,0)))*Workings_risks!AC$51)*Workings_risks!$D$48*Assumptions!$H49)</f>
        <v>3.866463518882658E-4</v>
      </c>
      <c r="AD49" s="524">
        <f>(SUM($I$17:AC$17)&gt;0)*(((0.5*Microgrid_reliability!$X$27-0.5*(Microgrid_reliability!$X$28))*Workings_risks!AD$50+(0.5*IF(bushfire_outage_duration&gt;Assumptions!$G$54,Assumptions!$G$53,IF(bushfire_outage_duration&gt;Assumptions!$G$53,bushfire_outage_duration-Assumptions!$G$53,0)-0.5*IF(bushfire_outage_duration&gt;Assumptions!$G$55,bushfire_outage_duration-Assumptions!$G$55,0)))*Workings_risks!AD$51)*Workings_risks!$D$48*Assumptions!$H49)</f>
        <v>3.8770075109626829E-4</v>
      </c>
      <c r="AE49" s="524">
        <f>(SUM($I$17:AD$17)&gt;0)*(((0.5*Microgrid_reliability!$X$27-0.5*(Microgrid_reliability!$X$28))*Workings_risks!AE$50+(0.5*IF(bushfire_outage_duration&gt;Assumptions!$G$54,Assumptions!$G$53,IF(bushfire_outage_duration&gt;Assumptions!$G$53,bushfire_outage_duration-Assumptions!$G$53,0)-0.5*IF(bushfire_outage_duration&gt;Assumptions!$G$55,bushfire_outage_duration-Assumptions!$G$55,0)))*Workings_risks!AE$51)*Workings_risks!$D$48*Assumptions!$H49)</f>
        <v>3.8875515030427078E-4</v>
      </c>
      <c r="AF49" s="524">
        <f>(SUM($I$17:AE$17)&gt;0)*(((0.5*Microgrid_reliability!$X$27-0.5*(Microgrid_reliability!$X$28))*Workings_risks!AF$50+(0.5*IF(bushfire_outage_duration&gt;Assumptions!$G$54,Assumptions!$G$53,IF(bushfire_outage_duration&gt;Assumptions!$G$53,bushfire_outage_duration-Assumptions!$G$53,0)-0.5*IF(bushfire_outage_duration&gt;Assumptions!$G$55,bushfire_outage_duration-Assumptions!$G$55,0)))*Workings_risks!AF$51)*Workings_risks!$D$48*Assumptions!$H49)</f>
        <v>3.8980954951227322E-4</v>
      </c>
      <c r="AG49" s="524">
        <f>(SUM($I$17:AF$17)&gt;0)*(((0.5*Microgrid_reliability!$X$27-0.5*(Microgrid_reliability!$X$28))*Workings_risks!AG$50+(0.5*IF(bushfire_outage_duration&gt;Assumptions!$G$54,Assumptions!$G$53,IF(bushfire_outage_duration&gt;Assumptions!$G$53,bushfire_outage_duration-Assumptions!$G$53,0)-0.5*IF(bushfire_outage_duration&gt;Assumptions!$G$55,bushfire_outage_duration-Assumptions!$G$55,0)))*Workings_risks!AG$51)*Workings_risks!$D$48*Assumptions!$H49)</f>
        <v>3.9086394872027571E-4</v>
      </c>
    </row>
    <row r="50" spans="1:43" x14ac:dyDescent="0.3">
      <c r="C50" s="1" t="s">
        <v>331</v>
      </c>
      <c r="D50" s="205" t="s">
        <v>64</v>
      </c>
      <c r="E50" s="158">
        <f>Assumptions!G50</f>
        <v>52200</v>
      </c>
      <c r="G50" s="207"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3">
      <c r="C51" s="1" t="s">
        <v>6</v>
      </c>
      <c r="D51" s="205" t="s">
        <v>127</v>
      </c>
      <c r="E51" s="502">
        <f>Assumptions!G112</f>
        <v>0.28000000000000003</v>
      </c>
      <c r="G51" s="207" t="s">
        <v>209</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3">
      <c r="C52" s="1" t="s">
        <v>7</v>
      </c>
      <c r="D52" s="205" t="s">
        <v>127</v>
      </c>
      <c r="E52" s="502">
        <f>Assumptions!G113</f>
        <v>0.17</v>
      </c>
      <c r="G52" s="207"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3">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3">
      <c r="C54" s="1" t="s">
        <v>118</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3">
      <c r="C55" s="1" t="s">
        <v>119</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3">
      <c r="D56" s="205"/>
      <c r="G56" s="205"/>
    </row>
    <row r="57" spans="1:43" ht="13.5" x14ac:dyDescent="0.3">
      <c r="C57" s="3" t="s">
        <v>126</v>
      </c>
      <c r="D57" s="218"/>
      <c r="E57" s="107"/>
      <c r="F57" s="3"/>
      <c r="G57" s="210">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58798.67482608858</v>
      </c>
      <c r="N57" s="170" cm="1">
        <f t="array" ref="N57">SUMPRODUCT((N$45:N$52)*($E$45:$E$52))+SUM(N54:N55)+N42</f>
        <v>58402.857316068781</v>
      </c>
      <c r="O57" s="170" cm="1">
        <f t="array" ref="O57">SUMPRODUCT((O$45:O$52)*($E$45:$E$52))+SUM(O54:O55)+O42</f>
        <v>58007.06264929835</v>
      </c>
      <c r="P57" s="170" cm="1">
        <f t="array" ref="P57">SUMPRODUCT((P$45:P$52)*($E$45:$E$52))+SUM(P54:P55)+P42</f>
        <v>57611.242055178533</v>
      </c>
      <c r="Q57" s="170" cm="1">
        <f t="array" ref="Q57">SUMPRODUCT((Q$45:Q$52)*($E$45:$E$52))+SUM(Q54:Q55)+Q42</f>
        <v>57215.421461058708</v>
      </c>
      <c r="R57" s="170" cm="1">
        <f t="array" ref="R57">SUMPRODUCT((R$45:R$52)*($E$45:$E$52))+SUM(R54:R55)+R42</f>
        <v>56819.600866938898</v>
      </c>
      <c r="S57" s="170" cm="1">
        <f t="array" ref="S57">SUMPRODUCT((S$45:S$52)*($E$45:$E$52))+SUM(S54:S55)+S42</f>
        <v>56423.780272819073</v>
      </c>
      <c r="T57" s="170" cm="1">
        <f t="array" ref="T57">SUMPRODUCT((T$45:T$52)*($E$45:$E$52))+SUM(T54:T55)+T42</f>
        <v>56027.959678699248</v>
      </c>
      <c r="U57" s="170" cm="1">
        <f t="array" ref="U57">SUMPRODUCT((U$45:U$52)*($E$45:$E$52))+SUM(U54:U55)+U42</f>
        <v>55632.139084579438</v>
      </c>
      <c r="V57" s="170" cm="1">
        <f t="array" ref="V57">SUMPRODUCT((V$45:V$52)*($E$45:$E$52))+SUM(V54:V55)+V42</f>
        <v>55236.318490459613</v>
      </c>
      <c r="W57" s="170" cm="1">
        <f t="array" ref="W57">SUMPRODUCT((W$45:W$52)*($E$45:$E$52))+SUM(W54:W55)+W42</f>
        <v>54840.497896339795</v>
      </c>
      <c r="X57" s="170" cm="1">
        <f t="array" ref="X57">SUMPRODUCT((X$45:X$52)*($E$45:$E$52))+SUM(X54:X55)+X42</f>
        <v>54444.677302219985</v>
      </c>
      <c r="Y57" s="170" cm="1">
        <f t="array" ref="Y57">SUMPRODUCT((Y$45:Y$52)*($E$45:$E$52))+SUM(Y54:Y55)+Y42</f>
        <v>54048.856708100138</v>
      </c>
      <c r="Z57" s="170" cm="1">
        <f t="array" ref="Z57">SUMPRODUCT((Z$45:Z$52)*($E$45:$E$52))+SUM(Z54:Z55)+Z42</f>
        <v>53653.036113980328</v>
      </c>
      <c r="AA57" s="170" cm="1">
        <f t="array" ref="AA57">SUMPRODUCT((AA$45:AA$52)*($E$45:$E$52))+SUM(AA54:AA55)+AA42</f>
        <v>53257.215519860511</v>
      </c>
      <c r="AB57" s="170" cm="1">
        <f t="array" ref="AB57">SUMPRODUCT((AB$45:AB$52)*($E$45:$E$52))+SUM(AB54:AB55)+AB42</f>
        <v>52861.394925740693</v>
      </c>
      <c r="AC57" s="170" cm="1">
        <f t="array" ref="AC57">SUMPRODUCT((AC$45:AC$52)*($E$45:$E$52))+SUM(AC54:AC55)+AC42</f>
        <v>52465.574331620875</v>
      </c>
      <c r="AD57" s="170" cm="1">
        <f t="array" ref="AD57">SUMPRODUCT((AD$45:AD$52)*($E$45:$E$52))+SUM(AD54:AD55)+AD42</f>
        <v>52069.753737501051</v>
      </c>
      <c r="AE57" s="170" cm="1">
        <f t="array" ref="AE57">SUMPRODUCT((AE$45:AE$52)*($E$45:$E$52))+SUM(AE54:AE55)+AE42</f>
        <v>51673.985416263065</v>
      </c>
      <c r="AF57" s="170" cm="1">
        <f t="array" ref="AF57">SUMPRODUCT((AF$45:AF$52)*($E$45:$E$52))+SUM(AF54:AF55)+AF42</f>
        <v>51278.164822143255</v>
      </c>
      <c r="AG57" s="170" cm="1">
        <f t="array" ref="AG57">SUMPRODUCT((AG$45:AG$52)*($E$45:$E$52))+SUM(AG54:AG55)+AG42</f>
        <v>50882.34422802343</v>
      </c>
    </row>
    <row r="58" spans="1:43" x14ac:dyDescent="0.3">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3">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4.5" x14ac:dyDescent="0.3">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4.5" x14ac:dyDescent="0.3">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3">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3">
      <c r="C63" s="4"/>
      <c r="F63" s="2"/>
      <c r="G63" s="212"/>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43" x14ac:dyDescent="0.3">
      <c r="C64" s="4" t="str">
        <f>'Option1 (base case)'!C64</f>
        <v>Risks mitigated vs base case</v>
      </c>
      <c r="G64" s="210">
        <f>input_dollars</f>
        <v>45291</v>
      </c>
      <c r="I64" s="132">
        <f>(1-INDEX(Data!$C$9:$C$13, MATCH($A$3, options,0)))*('Option1 (base case)'!I36-I36)</f>
        <v>0</v>
      </c>
      <c r="J64" s="132">
        <f>(1-INDEX(Data!$C$9:$C$13, MATCH($A$3, options,0)))*('Option1 (base case)'!J36-J36)</f>
        <v>86650.00329620298</v>
      </c>
      <c r="K64" s="132">
        <f>(1-INDEX(Data!$C$9:$C$13, MATCH($A$3, options,0)))*('Option1 (base case)'!K36-K36)</f>
        <v>173296.46653425787</v>
      </c>
      <c r="L64" s="132">
        <f>(1-INDEX(Data!$C$9:$C$13, MATCH($A$3, options,0)))*('Option1 (base case)'!L36-L36)</f>
        <v>259945.87864075042</v>
      </c>
      <c r="M64" s="132">
        <f>(1-INDEX(Data!$C$9:$C$13, MATCH($A$3, options,0)))*('Option1 (base case)'!M36-M36)</f>
        <v>820092.9765178063</v>
      </c>
      <c r="N64" s="132">
        <f>(1-INDEX(Data!$C$9:$C$13, MATCH($A$3, options,0)))*('Option1 (base case)'!N36-N36)</f>
        <v>798981.38868927583</v>
      </c>
      <c r="O64" s="132">
        <f>(1-INDEX(Data!$C$9:$C$13, MATCH($A$3, options,0)))*('Option1 (base case)'!O36-O36)</f>
        <v>783081.24836630793</v>
      </c>
      <c r="P64" s="132">
        <f>(1-INDEX(Data!$C$9:$C$13, MATCH($A$3, options,0)))*('Option1 (base case)'!P36-P36)</f>
        <v>763134.39800587343</v>
      </c>
      <c r="Q64" s="132">
        <f>(1-INDEX(Data!$C$9:$C$13, MATCH($A$3, options,0)))*('Option1 (base case)'!Q36-Q36)</f>
        <v>744234.26451005414</v>
      </c>
      <c r="R64" s="132">
        <f>(1-INDEX(Data!$C$9:$C$13, MATCH($A$3, options,0)))*('Option1 (base case)'!R36-R36)</f>
        <v>713596.16597002046</v>
      </c>
      <c r="S64" s="132">
        <f>(1-INDEX(Data!$C$9:$C$13, MATCH($A$3, options,0)))*('Option1 (base case)'!S36-S36)</f>
        <v>682958.06742998585</v>
      </c>
      <c r="T64" s="132">
        <f>(1-INDEX(Data!$C$9:$C$13, MATCH($A$3, options,0)))*('Option1 (base case)'!T36-T36)</f>
        <v>652319.96888995171</v>
      </c>
      <c r="U64" s="132">
        <f>(1-INDEX(Data!$C$9:$C$13, MATCH($A$3, options,0)))*('Option1 (base case)'!U36-U36)</f>
        <v>621681.8703499171</v>
      </c>
      <c r="V64" s="132">
        <f>(1-INDEX(Data!$C$9:$C$13, MATCH($A$3, options,0)))*('Option1 (base case)'!V36-V36)</f>
        <v>591043.77180988295</v>
      </c>
      <c r="W64" s="132">
        <f>(1-INDEX(Data!$C$9:$C$13, MATCH($A$3, options,0)))*('Option1 (base case)'!W36-W36)</f>
        <v>560405.6732698488</v>
      </c>
      <c r="X64" s="132">
        <f>(1-INDEX(Data!$C$9:$C$13, MATCH($A$3, options,0)))*('Option1 (base case)'!X36-X36)</f>
        <v>529767.57472981419</v>
      </c>
      <c r="Y64" s="132">
        <f>(1-INDEX(Data!$C$9:$C$13, MATCH($A$3, options,0)))*('Option1 (base case)'!Y36-Y36)</f>
        <v>499129.47618978005</v>
      </c>
      <c r="Z64" s="132">
        <f>(1-INDEX(Data!$C$9:$C$13, MATCH($A$3, options,0)))*('Option1 (base case)'!Z36-Z36)</f>
        <v>468491.37764974544</v>
      </c>
      <c r="AA64" s="132">
        <f>(1-INDEX(Data!$C$9:$C$13, MATCH($A$3, options,0)))*('Option1 (base case)'!AA36-AA36)</f>
        <v>437853.27910971083</v>
      </c>
      <c r="AB64" s="132">
        <f>(1-INDEX(Data!$C$9:$C$13, MATCH($A$3, options,0)))*('Option1 (base case)'!AB36-AB36)</f>
        <v>407215.18056967715</v>
      </c>
      <c r="AC64" s="132">
        <f>(1-INDEX(Data!$C$9:$C$13, MATCH($A$3, options,0)))*('Option1 (base case)'!AC36-AC36)</f>
        <v>376577.082029643</v>
      </c>
      <c r="AD64" s="132">
        <f>(1-INDEX(Data!$C$9:$C$13, MATCH($A$3, options,0)))*('Option1 (base case)'!AD36-AD36)</f>
        <v>345938.98348960839</v>
      </c>
      <c r="AE64" s="132">
        <f>(1-INDEX(Data!$C$9:$C$13, MATCH($A$3, options,0)))*('Option1 (base case)'!AE36-AE36)</f>
        <v>315304.89288013894</v>
      </c>
      <c r="AF64" s="132">
        <f>(1-INDEX(Data!$C$9:$C$13, MATCH($A$3, options,0)))*('Option1 (base case)'!AF36-AF36)</f>
        <v>284666.79434010573</v>
      </c>
      <c r="AG64" s="132">
        <f>(1-INDEX(Data!$C$9:$C$13, MATCH($A$3, options,0)))*('Option1 (base case)'!AG36-AG36)</f>
        <v>254028.69580007065</v>
      </c>
    </row>
    <row r="65" spans="1:33" x14ac:dyDescent="0.3">
      <c r="G65" s="212"/>
    </row>
    <row r="66" spans="1:33" x14ac:dyDescent="0.3">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3">
      <c r="A67" s="8"/>
      <c r="B67" s="8"/>
      <c r="C67" s="4" t="str">
        <f>C14</f>
        <v>Diesel generator microgrid</v>
      </c>
      <c r="D67" s="38"/>
      <c r="F67" s="97"/>
      <c r="G67" s="210">
        <f>input_dollars</f>
        <v>45291</v>
      </c>
      <c r="H67" s="31"/>
      <c r="I67" s="118">
        <f t="shared" ref="I67:AG67" si="5">-I14</f>
        <v>0</v>
      </c>
      <c r="J67" s="118">
        <f t="shared" si="5"/>
        <v>0</v>
      </c>
      <c r="K67" s="118">
        <f t="shared" si="5"/>
        <v>0</v>
      </c>
      <c r="L67" s="118">
        <f t="shared" si="5"/>
        <v>-2834718.1174999997</v>
      </c>
      <c r="M67" s="118">
        <f t="shared" si="5"/>
        <v>0</v>
      </c>
      <c r="N67" s="118">
        <f t="shared" si="5"/>
        <v>0</v>
      </c>
      <c r="O67" s="118">
        <f t="shared" si="5"/>
        <v>0</v>
      </c>
      <c r="P67" s="118">
        <f t="shared" si="5"/>
        <v>0</v>
      </c>
      <c r="Q67" s="118">
        <f t="shared" si="5"/>
        <v>0</v>
      </c>
      <c r="R67" s="118">
        <f t="shared" si="5"/>
        <v>0</v>
      </c>
      <c r="S67" s="118">
        <f t="shared" si="5"/>
        <v>0</v>
      </c>
      <c r="T67" s="118">
        <f t="shared" si="5"/>
        <v>0</v>
      </c>
      <c r="U67" s="118">
        <f t="shared" si="5"/>
        <v>0</v>
      </c>
      <c r="V67" s="118">
        <f t="shared" si="5"/>
        <v>0</v>
      </c>
      <c r="W67" s="118">
        <f t="shared" si="5"/>
        <v>0</v>
      </c>
      <c r="X67" s="118">
        <f t="shared" si="5"/>
        <v>0</v>
      </c>
      <c r="Y67" s="118">
        <f t="shared" si="5"/>
        <v>0</v>
      </c>
      <c r="Z67" s="118">
        <f t="shared" si="5"/>
        <v>0</v>
      </c>
      <c r="AA67" s="118">
        <f t="shared" si="5"/>
        <v>0</v>
      </c>
      <c r="AB67" s="118">
        <f t="shared" si="5"/>
        <v>0</v>
      </c>
      <c r="AC67" s="118">
        <f t="shared" si="5"/>
        <v>0</v>
      </c>
      <c r="AD67" s="118">
        <f t="shared" si="5"/>
        <v>0</v>
      </c>
      <c r="AE67" s="118">
        <f t="shared" si="5"/>
        <v>0</v>
      </c>
      <c r="AF67" s="118">
        <f t="shared" si="5"/>
        <v>0</v>
      </c>
      <c r="AG67" s="118">
        <f t="shared" si="5"/>
        <v>0</v>
      </c>
    </row>
    <row r="68" spans="1:33" x14ac:dyDescent="0.3">
      <c r="A68" s="8"/>
      <c r="B68" s="8"/>
      <c r="C68" s="4">
        <f>C15</f>
        <v>0</v>
      </c>
      <c r="D68" s="38"/>
      <c r="F68" s="97"/>
      <c r="G68" s="210">
        <f>input_dollars</f>
        <v>45291</v>
      </c>
      <c r="H68" s="31"/>
      <c r="I68" s="118">
        <f t="shared" ref="I68:AG68" si="6">-I15</f>
        <v>0</v>
      </c>
      <c r="J68" s="118">
        <f t="shared" si="6"/>
        <v>0</v>
      </c>
      <c r="K68" s="118">
        <f t="shared" si="6"/>
        <v>0</v>
      </c>
      <c r="L68" s="118">
        <f t="shared" si="6"/>
        <v>0</v>
      </c>
      <c r="M68" s="118">
        <f t="shared" si="6"/>
        <v>0</v>
      </c>
      <c r="N68" s="118">
        <f t="shared" si="6"/>
        <v>0</v>
      </c>
      <c r="O68" s="118">
        <f t="shared" si="6"/>
        <v>0</v>
      </c>
      <c r="P68" s="118">
        <f t="shared" si="6"/>
        <v>0</v>
      </c>
      <c r="Q68" s="118">
        <f t="shared" si="6"/>
        <v>0</v>
      </c>
      <c r="R68" s="118">
        <f t="shared" si="6"/>
        <v>0</v>
      </c>
      <c r="S68" s="118">
        <f t="shared" si="6"/>
        <v>0</v>
      </c>
      <c r="T68" s="118">
        <f t="shared" si="6"/>
        <v>0</v>
      </c>
      <c r="U68" s="118">
        <f t="shared" si="6"/>
        <v>0</v>
      </c>
      <c r="V68" s="118">
        <f t="shared" si="6"/>
        <v>0</v>
      </c>
      <c r="W68" s="118">
        <f t="shared" si="6"/>
        <v>0</v>
      </c>
      <c r="X68" s="118">
        <f t="shared" si="6"/>
        <v>0</v>
      </c>
      <c r="Y68" s="118">
        <f t="shared" si="6"/>
        <v>0</v>
      </c>
      <c r="Z68" s="118">
        <f t="shared" si="6"/>
        <v>0</v>
      </c>
      <c r="AA68" s="118">
        <f t="shared" si="6"/>
        <v>0</v>
      </c>
      <c r="AB68" s="118">
        <f t="shared" si="6"/>
        <v>0</v>
      </c>
      <c r="AC68" s="118">
        <f t="shared" si="6"/>
        <v>0</v>
      </c>
      <c r="AD68" s="118">
        <f t="shared" si="6"/>
        <v>0</v>
      </c>
      <c r="AE68" s="118">
        <f t="shared" si="6"/>
        <v>0</v>
      </c>
      <c r="AF68" s="118">
        <f t="shared" si="6"/>
        <v>0</v>
      </c>
      <c r="AG68" s="118">
        <f t="shared" si="6"/>
        <v>0</v>
      </c>
    </row>
    <row r="69" spans="1:33" x14ac:dyDescent="0.3">
      <c r="A69" s="8"/>
      <c r="B69" s="8"/>
      <c r="C69" s="4">
        <f>C16</f>
        <v>0</v>
      </c>
      <c r="D69" s="38"/>
      <c r="F69" s="97"/>
      <c r="G69" s="210">
        <f>input_dollars</f>
        <v>45291</v>
      </c>
      <c r="H69" s="31"/>
      <c r="I69" s="118">
        <f t="shared" ref="I69:AG69" si="7">-I16</f>
        <v>0</v>
      </c>
      <c r="J69" s="118">
        <f t="shared" si="7"/>
        <v>0</v>
      </c>
      <c r="K69" s="118">
        <f t="shared" si="7"/>
        <v>0</v>
      </c>
      <c r="L69" s="118">
        <f t="shared" si="7"/>
        <v>0</v>
      </c>
      <c r="M69" s="118">
        <f t="shared" si="7"/>
        <v>0</v>
      </c>
      <c r="N69" s="118">
        <f t="shared" si="7"/>
        <v>0</v>
      </c>
      <c r="O69" s="118">
        <f t="shared" si="7"/>
        <v>0</v>
      </c>
      <c r="P69" s="118">
        <f t="shared" si="7"/>
        <v>0</v>
      </c>
      <c r="Q69" s="118">
        <f t="shared" si="7"/>
        <v>0</v>
      </c>
      <c r="R69" s="118">
        <f t="shared" si="7"/>
        <v>0</v>
      </c>
      <c r="S69" s="118">
        <f t="shared" si="7"/>
        <v>0</v>
      </c>
      <c r="T69" s="118">
        <f t="shared" si="7"/>
        <v>0</v>
      </c>
      <c r="U69" s="118">
        <f t="shared" si="7"/>
        <v>0</v>
      </c>
      <c r="V69" s="118">
        <f t="shared" si="7"/>
        <v>0</v>
      </c>
      <c r="W69" s="118">
        <f t="shared" si="7"/>
        <v>0</v>
      </c>
      <c r="X69" s="118">
        <f t="shared" si="7"/>
        <v>0</v>
      </c>
      <c r="Y69" s="118">
        <f t="shared" si="7"/>
        <v>0</v>
      </c>
      <c r="Z69" s="118">
        <f t="shared" si="7"/>
        <v>0</v>
      </c>
      <c r="AA69" s="118">
        <f t="shared" si="7"/>
        <v>0</v>
      </c>
      <c r="AB69" s="118">
        <f t="shared" si="7"/>
        <v>0</v>
      </c>
      <c r="AC69" s="118">
        <f t="shared" si="7"/>
        <v>0</v>
      </c>
      <c r="AD69" s="118">
        <f t="shared" si="7"/>
        <v>0</v>
      </c>
      <c r="AE69" s="118">
        <f t="shared" si="7"/>
        <v>0</v>
      </c>
      <c r="AF69" s="118">
        <f t="shared" si="7"/>
        <v>0</v>
      </c>
      <c r="AG69" s="118">
        <f t="shared" si="7"/>
        <v>0</v>
      </c>
    </row>
    <row r="70" spans="1:33" x14ac:dyDescent="0.3">
      <c r="A70" s="8"/>
      <c r="B70" s="8"/>
      <c r="C70" s="4"/>
      <c r="D70" s="38"/>
      <c r="F70" s="97"/>
      <c r="G70" s="214"/>
      <c r="H70" s="31"/>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row>
    <row r="71" spans="1:33" x14ac:dyDescent="0.3">
      <c r="A71" s="8"/>
      <c r="B71" s="8"/>
      <c r="C71" s="147" t="s">
        <v>162</v>
      </c>
      <c r="D71" s="38"/>
      <c r="F71" s="97"/>
      <c r="G71" s="213"/>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3">
      <c r="A72" s="8"/>
      <c r="B72" s="8"/>
      <c r="C72" s="4" t="str">
        <f>C14</f>
        <v>Diesel generator microgrid</v>
      </c>
      <c r="D72" s="38"/>
      <c r="F72" s="97"/>
      <c r="G72" s="210">
        <f>input_dollars</f>
        <v>45291</v>
      </c>
      <c r="H72" s="31"/>
      <c r="I72" s="118" cm="1">
        <f t="array" ref="I72">SUMPRODUCT(($I67:I67))-SUMPRODUCT(($I67:I67)*($I$6:I$6&lt;=(I$6-$E14)))</f>
        <v>0</v>
      </c>
      <c r="J72" s="118" cm="1">
        <f t="array" ref="J72">SUMPRODUCT(($I67:J67))-SUMPRODUCT(($I67:J67)*($I$6:J$6&lt;=(J$6-$E14)))</f>
        <v>0</v>
      </c>
      <c r="K72" s="118" cm="1">
        <f t="array" ref="K72">SUMPRODUCT(($I67:K67))-SUMPRODUCT(($I67:K67)*($I$6:K$6&lt;=(K$6-$E14)))</f>
        <v>0</v>
      </c>
      <c r="L72" s="118" cm="1">
        <f t="array" ref="L72">SUMPRODUCT(($I67:L67))-SUMPRODUCT(($I67:L67)*($I$6:L$6&lt;=(L$6-$E14)))</f>
        <v>-2834718.1174999997</v>
      </c>
      <c r="M72" s="118" cm="1">
        <f t="array" ref="M72">SUMPRODUCT(($I67:M67))-SUMPRODUCT(($I67:M67)*($I$6:M$6&lt;=(M$6-$E14)))</f>
        <v>-2834718.1174999997</v>
      </c>
      <c r="N72" s="118" cm="1">
        <f t="array" ref="N72">SUMPRODUCT(($I67:N67))-SUMPRODUCT(($I67:N67)*($I$6:N$6&lt;=(N$6-$E14)))</f>
        <v>-2834718.1174999997</v>
      </c>
      <c r="O72" s="118" cm="1">
        <f t="array" ref="O72">SUMPRODUCT(($I67:O67))-SUMPRODUCT(($I67:O67)*($I$6:O$6&lt;=(O$6-$E14)))</f>
        <v>-2834718.1174999997</v>
      </c>
      <c r="P72" s="118" cm="1">
        <f t="array" ref="P72">SUMPRODUCT(($I67:P67))-SUMPRODUCT(($I67:P67)*($I$6:P$6&lt;=(P$6-$E14)))</f>
        <v>-2834718.1174999997</v>
      </c>
      <c r="Q72" s="118" cm="1">
        <f t="array" ref="Q72">SUMPRODUCT(($I67:Q67))-SUMPRODUCT(($I67:Q67)*($I$6:Q$6&lt;=(Q$6-$E14)))</f>
        <v>-2834718.1174999997</v>
      </c>
      <c r="R72" s="118" cm="1">
        <f t="array" ref="R72">SUMPRODUCT(($I67:R67))-SUMPRODUCT(($I67:R67)*($I$6:R$6&lt;=(R$6-$E14)))</f>
        <v>-2834718.1174999997</v>
      </c>
      <c r="S72" s="118" cm="1">
        <f t="array" ref="S72">SUMPRODUCT(($I67:S67))-SUMPRODUCT(($I67:S67)*($I$6:S$6&lt;=(S$6-$E14)))</f>
        <v>-2834718.1174999997</v>
      </c>
      <c r="T72" s="118" cm="1">
        <f t="array" ref="T72">SUMPRODUCT(($I67:T67))-SUMPRODUCT(($I67:T67)*($I$6:T$6&lt;=(T$6-$E14)))</f>
        <v>-2834718.1174999997</v>
      </c>
      <c r="U72" s="118" cm="1">
        <f t="array" ref="U72">SUMPRODUCT(($I67:U67))-SUMPRODUCT(($I67:U67)*($I$6:U$6&lt;=(U$6-$E14)))</f>
        <v>-2834718.1174999997</v>
      </c>
      <c r="V72" s="118" cm="1">
        <f t="array" ref="V72">SUMPRODUCT(($I67:V67))-SUMPRODUCT(($I67:V67)*($I$6:V$6&lt;=(V$6-$E14)))</f>
        <v>-2834718.1174999997</v>
      </c>
      <c r="W72" s="118" cm="1">
        <f t="array" ref="W72">SUMPRODUCT(($I67:W67))-SUMPRODUCT(($I67:W67)*($I$6:W$6&lt;=(W$6-$E14)))</f>
        <v>-2834718.1174999997</v>
      </c>
      <c r="X72" s="118" cm="1">
        <f t="array" ref="X72">SUMPRODUCT(($I67:X67))-SUMPRODUCT(($I67:X67)*($I$6:X$6&lt;=(X$6-$E14)))</f>
        <v>-2834718.1174999997</v>
      </c>
      <c r="Y72" s="118" cm="1">
        <f t="array" ref="Y72">SUMPRODUCT(($I67:Y67))-SUMPRODUCT(($I67:Y67)*($I$6:Y$6&lt;=(Y$6-$E14)))</f>
        <v>-2834718.1174999997</v>
      </c>
      <c r="Z72" s="118" cm="1">
        <f t="array" ref="Z72">SUMPRODUCT(($I67:Z67))-SUMPRODUCT(($I67:Z67)*($I$6:Z$6&lt;=(Z$6-$E14)))</f>
        <v>-2834718.1174999997</v>
      </c>
      <c r="AA72" s="118" cm="1">
        <f t="array" ref="AA72">SUMPRODUCT(($I67:AA67))-SUMPRODUCT(($I67:AA67)*($I$6:AA$6&lt;=(AA$6-$E14)))</f>
        <v>-2834718.1174999997</v>
      </c>
      <c r="AB72" s="118" cm="1">
        <f t="array" ref="AB72">SUMPRODUCT(($I67:AB67))-SUMPRODUCT(($I67:AB67)*($I$6:AB$6&lt;=(AB$6-$E14)))</f>
        <v>-2834718.1174999997</v>
      </c>
      <c r="AC72" s="118" cm="1">
        <f t="array" ref="AC72">SUMPRODUCT(($I67:AC67))-SUMPRODUCT(($I67:AC67)*($I$6:AC$6&lt;=(AC$6-$E14)))</f>
        <v>-2834718.1174999997</v>
      </c>
      <c r="AD72" s="118" cm="1">
        <f t="array" ref="AD72">SUMPRODUCT(($I67:AD67))-SUMPRODUCT(($I67:AD67)*($I$6:AD$6&lt;=(AD$6-$E14)))</f>
        <v>-2834718.1174999997</v>
      </c>
      <c r="AE72" s="118" cm="1">
        <f t="array" ref="AE72">SUMPRODUCT(($I67:AE67))-SUMPRODUCT(($I67:AE67)*($I$6:AE$6&lt;=(AE$6-$E14)))</f>
        <v>-2834718.1174999997</v>
      </c>
      <c r="AF72" s="118" cm="1">
        <f t="array" ref="AF72">SUMPRODUCT(($I67:AF67))-SUMPRODUCT(($I67:AF67)*($I$6:AF$6&lt;=(AF$6-$E14)))</f>
        <v>0</v>
      </c>
      <c r="AG72" s="118" cm="1">
        <f t="array" ref="AG72">SUMPRODUCT(($I67:AG67))-SUMPRODUCT(($I67:AG67)*($I$6:AG$6&lt;=(AG$6-$E14)))</f>
        <v>0</v>
      </c>
    </row>
    <row r="73" spans="1:33" x14ac:dyDescent="0.3">
      <c r="A73" s="8"/>
      <c r="B73" s="8"/>
      <c r="C73" s="4">
        <f>C15</f>
        <v>0</v>
      </c>
      <c r="D73" s="38"/>
      <c r="F73" s="97"/>
      <c r="G73" s="210">
        <f>input_dollars</f>
        <v>45291</v>
      </c>
      <c r="H73" s="31"/>
      <c r="I73" s="118" cm="1">
        <f t="array" ref="I73">SUMPRODUCT(($I68:I68))-SUMPRODUCT(($I68:I68)*($I$6:I$6&lt;=(I$6-$E15)))</f>
        <v>0</v>
      </c>
      <c r="J73" s="118" cm="1">
        <f t="array" ref="J73">SUMPRODUCT(($I68:J68))-SUMPRODUCT(($I68:J68)*($I$6:J$6&lt;=(J$6-$E15)))</f>
        <v>0</v>
      </c>
      <c r="K73" s="118" cm="1">
        <f t="array" ref="K73">SUMPRODUCT(($I68:K68))-SUMPRODUCT(($I68:K68)*($I$6:K$6&lt;=(K$6-$E15)))</f>
        <v>0</v>
      </c>
      <c r="L73" s="118" cm="1">
        <f t="array" ref="L73">SUMPRODUCT(($I68:L68))-SUMPRODUCT(($I68:L68)*($I$6:L$6&lt;=(L$6-$E15)))</f>
        <v>0</v>
      </c>
      <c r="M73" s="118" cm="1">
        <f t="array" ref="M73">SUMPRODUCT(($I68:M68))-SUMPRODUCT(($I68:M68)*($I$6:M$6&lt;=(M$6-$E15)))</f>
        <v>0</v>
      </c>
      <c r="N73" s="118" cm="1">
        <f t="array" ref="N73">SUMPRODUCT(($I68:N68))-SUMPRODUCT(($I68:N68)*($I$6:N$6&lt;=(N$6-$E15)))</f>
        <v>0</v>
      </c>
      <c r="O73" s="118" cm="1">
        <f t="array" ref="O73">SUMPRODUCT(($I68:O68))-SUMPRODUCT(($I68:O68)*($I$6:O$6&lt;=(O$6-$E15)))</f>
        <v>0</v>
      </c>
      <c r="P73" s="118" cm="1">
        <f t="array" ref="P73">SUMPRODUCT(($I68:P68))-SUMPRODUCT(($I68:P68)*($I$6:P$6&lt;=(P$6-$E15)))</f>
        <v>0</v>
      </c>
      <c r="Q73" s="118" cm="1">
        <f t="array" ref="Q73">SUMPRODUCT(($I68:Q68))-SUMPRODUCT(($I68:Q68)*($I$6:Q$6&lt;=(Q$6-$E15)))</f>
        <v>0</v>
      </c>
      <c r="R73" s="118" cm="1">
        <f t="array" ref="R73">SUMPRODUCT(($I68:R68))-SUMPRODUCT(($I68:R68)*($I$6:R$6&lt;=(R$6-$E15)))</f>
        <v>0</v>
      </c>
      <c r="S73" s="118" cm="1">
        <f t="array" ref="S73">SUMPRODUCT(($I68:S68))-SUMPRODUCT(($I68:S68)*($I$6:S$6&lt;=(S$6-$E15)))</f>
        <v>0</v>
      </c>
      <c r="T73" s="118" cm="1">
        <f t="array" ref="T73">SUMPRODUCT(($I68:T68))-SUMPRODUCT(($I68:T68)*($I$6:T$6&lt;=(T$6-$E15)))</f>
        <v>0</v>
      </c>
      <c r="U73" s="118" cm="1">
        <f t="array" ref="U73">SUMPRODUCT(($I68:U68))-SUMPRODUCT(($I68:U68)*($I$6:U$6&lt;=(U$6-$E15)))</f>
        <v>0</v>
      </c>
      <c r="V73" s="118" cm="1">
        <f t="array" ref="V73">SUMPRODUCT(($I68:V68))-SUMPRODUCT(($I68:V68)*($I$6:V$6&lt;=(V$6-$E15)))</f>
        <v>0</v>
      </c>
      <c r="W73" s="118" cm="1">
        <f t="array" ref="W73">SUMPRODUCT(($I68:W68))-SUMPRODUCT(($I68:W68)*($I$6:W$6&lt;=(W$6-$E15)))</f>
        <v>0</v>
      </c>
      <c r="X73" s="118" cm="1">
        <f t="array" ref="X73">SUMPRODUCT(($I68:X68))-SUMPRODUCT(($I68:X68)*($I$6:X$6&lt;=(X$6-$E15)))</f>
        <v>0</v>
      </c>
      <c r="Y73" s="118" cm="1">
        <f t="array" ref="Y73">SUMPRODUCT(($I68:Y68))-SUMPRODUCT(($I68:Y68)*($I$6:Y$6&lt;=(Y$6-$E15)))</f>
        <v>0</v>
      </c>
      <c r="Z73" s="118" cm="1">
        <f t="array" ref="Z73">SUMPRODUCT(($I68:Z68))-SUMPRODUCT(($I68:Z68)*($I$6:Z$6&lt;=(Z$6-$E15)))</f>
        <v>0</v>
      </c>
      <c r="AA73" s="118" cm="1">
        <f t="array" ref="AA73">SUMPRODUCT(($I68:AA68))-SUMPRODUCT(($I68:AA68)*($I$6:AA$6&lt;=(AA$6-$E15)))</f>
        <v>0</v>
      </c>
      <c r="AB73" s="118" cm="1">
        <f t="array" ref="AB73">SUMPRODUCT(($I68:AB68))-SUMPRODUCT(($I68:AB68)*($I$6:AB$6&lt;=(AB$6-$E15)))</f>
        <v>0</v>
      </c>
      <c r="AC73" s="118" cm="1">
        <f t="array" ref="AC73">SUMPRODUCT(($I68:AC68))-SUMPRODUCT(($I68:AC68)*($I$6:AC$6&lt;=(AC$6-$E15)))</f>
        <v>0</v>
      </c>
      <c r="AD73" s="118" cm="1">
        <f t="array" ref="AD73">SUMPRODUCT(($I68:AD68))-SUMPRODUCT(($I68:AD68)*($I$6:AD$6&lt;=(AD$6-$E15)))</f>
        <v>0</v>
      </c>
      <c r="AE73" s="118" cm="1">
        <f t="array" ref="AE73">SUMPRODUCT(($I68:AE68))-SUMPRODUCT(($I68:AE68)*($I$6:AE$6&lt;=(AE$6-$E15)))</f>
        <v>0</v>
      </c>
      <c r="AF73" s="118" cm="1">
        <f t="array" ref="AF73">SUMPRODUCT(($I68:AF68))-SUMPRODUCT(($I68:AF68)*($I$6:AF$6&lt;=(AF$6-$E15)))</f>
        <v>0</v>
      </c>
      <c r="AG73" s="118" cm="1">
        <f t="array" ref="AG73">SUMPRODUCT(($I68:AG68))-SUMPRODUCT(($I68:AG68)*($I$6:AG$6&lt;=(AG$6-$E15)))</f>
        <v>0</v>
      </c>
    </row>
    <row r="74" spans="1:33" x14ac:dyDescent="0.3">
      <c r="A74" s="8"/>
      <c r="B74" s="8"/>
      <c r="C74" s="4">
        <f>C16</f>
        <v>0</v>
      </c>
      <c r="D74" s="38"/>
      <c r="F74" s="97"/>
      <c r="G74" s="210">
        <f>input_dollars</f>
        <v>45291</v>
      </c>
      <c r="H74" s="31"/>
      <c r="I74" s="118" cm="1">
        <f t="array" ref="I74">SUMPRODUCT(($I69:I69))-SUMPRODUCT(($I69:I69)*($I$6:I$6&lt;=(I$6-$E16)))</f>
        <v>0</v>
      </c>
      <c r="J74" s="118" cm="1">
        <f t="array" ref="J74">SUMPRODUCT(($I69:J69))-SUMPRODUCT(($I69:J69)*($I$6:J$6&lt;=(J$6-$E16)))</f>
        <v>0</v>
      </c>
      <c r="K74" s="118" cm="1">
        <f t="array" ref="K74">SUMPRODUCT(($I69:K69))-SUMPRODUCT(($I69:K69)*($I$6:K$6&lt;=(K$6-$E16)))</f>
        <v>0</v>
      </c>
      <c r="L74" s="118" cm="1">
        <f t="array" ref="L74">SUMPRODUCT(($I69:L69))-SUMPRODUCT(($I69:L69)*($I$6:L$6&lt;=(L$6-$E16)))</f>
        <v>0</v>
      </c>
      <c r="M74" s="118" cm="1">
        <f t="array" ref="M74">SUMPRODUCT(($I69:M69))-SUMPRODUCT(($I69:M69)*($I$6:M$6&lt;=(M$6-$E16)))</f>
        <v>0</v>
      </c>
      <c r="N74" s="118" cm="1">
        <f t="array" ref="N74">SUMPRODUCT(($I69:N69))-SUMPRODUCT(($I69:N69)*($I$6:N$6&lt;=(N$6-$E16)))</f>
        <v>0</v>
      </c>
      <c r="O74" s="118" cm="1">
        <f t="array" ref="O74">SUMPRODUCT(($I69:O69))-SUMPRODUCT(($I69:O69)*($I$6:O$6&lt;=(O$6-$E16)))</f>
        <v>0</v>
      </c>
      <c r="P74" s="118" cm="1">
        <f t="array" ref="P74">SUMPRODUCT(($I69:P69))-SUMPRODUCT(($I69:P69)*($I$6:P$6&lt;=(P$6-$E16)))</f>
        <v>0</v>
      </c>
      <c r="Q74" s="118" cm="1">
        <f t="array" ref="Q74">SUMPRODUCT(($I69:Q69))-SUMPRODUCT(($I69:Q69)*($I$6:Q$6&lt;=(Q$6-$E16)))</f>
        <v>0</v>
      </c>
      <c r="R74" s="118" cm="1">
        <f t="array" ref="R74">SUMPRODUCT(($I69:R69))-SUMPRODUCT(($I69:R69)*($I$6:R$6&lt;=(R$6-$E16)))</f>
        <v>0</v>
      </c>
      <c r="S74" s="118" cm="1">
        <f t="array" ref="S74">SUMPRODUCT(($I69:S69))-SUMPRODUCT(($I69:S69)*($I$6:S$6&lt;=(S$6-$E16)))</f>
        <v>0</v>
      </c>
      <c r="T74" s="118" cm="1">
        <f t="array" ref="T74">SUMPRODUCT(($I69:T69))-SUMPRODUCT(($I69:T69)*($I$6:T$6&lt;=(T$6-$E16)))</f>
        <v>0</v>
      </c>
      <c r="U74" s="118" cm="1">
        <f t="array" ref="U74">SUMPRODUCT(($I69:U69))-SUMPRODUCT(($I69:U69)*($I$6:U$6&lt;=(U$6-$E16)))</f>
        <v>0</v>
      </c>
      <c r="V74" s="118" cm="1">
        <f t="array" ref="V74">SUMPRODUCT(($I69:V69))-SUMPRODUCT(($I69:V69)*($I$6:V$6&lt;=(V$6-$E16)))</f>
        <v>0</v>
      </c>
      <c r="W74" s="118" cm="1">
        <f t="array" ref="W74">SUMPRODUCT(($I69:W69))-SUMPRODUCT(($I69:W69)*($I$6:W$6&lt;=(W$6-$E16)))</f>
        <v>0</v>
      </c>
      <c r="X74" s="118" cm="1">
        <f t="array" ref="X74">SUMPRODUCT(($I69:X69))-SUMPRODUCT(($I69:X69)*($I$6:X$6&lt;=(X$6-$E16)))</f>
        <v>0</v>
      </c>
      <c r="Y74" s="118" cm="1">
        <f t="array" ref="Y74">SUMPRODUCT(($I69:Y69))-SUMPRODUCT(($I69:Y69)*($I$6:Y$6&lt;=(Y$6-$E16)))</f>
        <v>0</v>
      </c>
      <c r="Z74" s="118" cm="1">
        <f t="array" ref="Z74">SUMPRODUCT(($I69:Z69))-SUMPRODUCT(($I69:Z69)*($I$6:Z$6&lt;=(Z$6-$E16)))</f>
        <v>0</v>
      </c>
      <c r="AA74" s="118" cm="1">
        <f t="array" ref="AA74">SUMPRODUCT(($I69:AA69))-SUMPRODUCT(($I69:AA69)*($I$6:AA$6&lt;=(AA$6-$E16)))</f>
        <v>0</v>
      </c>
      <c r="AB74" s="118" cm="1">
        <f t="array" ref="AB74">SUMPRODUCT(($I69:AB69))-SUMPRODUCT(($I69:AB69)*($I$6:AB$6&lt;=(AB$6-$E16)))</f>
        <v>0</v>
      </c>
      <c r="AC74" s="118" cm="1">
        <f t="array" ref="AC74">SUMPRODUCT(($I69:AC69))-SUMPRODUCT(($I69:AC69)*($I$6:AC$6&lt;=(AC$6-$E16)))</f>
        <v>0</v>
      </c>
      <c r="AD74" s="118" cm="1">
        <f t="array" ref="AD74">SUMPRODUCT(($I69:AD69))-SUMPRODUCT(($I69:AD69)*($I$6:AD$6&lt;=(AD$6-$E16)))</f>
        <v>0</v>
      </c>
      <c r="AE74" s="118" cm="1">
        <f t="array" ref="AE74">SUMPRODUCT(($I69:AE69))-SUMPRODUCT(($I69:AE69)*($I$6:AE$6&lt;=(AE$6-$E16)))</f>
        <v>0</v>
      </c>
      <c r="AF74" s="118" cm="1">
        <f t="array" ref="AF74">SUMPRODUCT(($I69:AF69))-SUMPRODUCT(($I69:AF69)*($I$6:AF$6&lt;=(AF$6-$E16)))</f>
        <v>0</v>
      </c>
      <c r="AG74" s="118" cm="1">
        <f t="array" ref="AG74">SUMPRODUCT(($I69:AG69))-SUMPRODUCT(($I69:AG69)*($I$6:AG$6&lt;=(AG$6-$E16)))</f>
        <v>0</v>
      </c>
    </row>
    <row r="75" spans="1:33" x14ac:dyDescent="0.3">
      <c r="A75" s="8"/>
      <c r="B75" s="8"/>
      <c r="C75" s="4"/>
      <c r="D75" s="38"/>
      <c r="F75" s="97"/>
      <c r="G75" s="214"/>
      <c r="H75" s="31"/>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row>
    <row r="76" spans="1:33" x14ac:dyDescent="0.3">
      <c r="A76" s="8"/>
      <c r="B76" s="8"/>
      <c r="C76" s="147" t="s">
        <v>92</v>
      </c>
      <c r="D76" s="38"/>
      <c r="F76" s="97"/>
      <c r="G76" s="213"/>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3">
      <c r="A77" s="8"/>
      <c r="B77" s="8"/>
      <c r="C77" s="4" t="str">
        <f>$C$76&amp;" - "&amp;C14</f>
        <v>Annualised capex - Diesel generator microgrid</v>
      </c>
      <c r="D77" s="38"/>
      <c r="F77" s="97"/>
      <c r="G77" s="210">
        <f>input_dollars</f>
        <v>45291</v>
      </c>
      <c r="H77" s="31"/>
      <c r="I77" s="118">
        <f t="shared" ref="I77:AG77" si="8">IF($E14=0,0,-PMT(real_disc, $E14,H72,))</f>
        <v>0</v>
      </c>
      <c r="J77" s="118">
        <f t="shared" si="8"/>
        <v>0</v>
      </c>
      <c r="K77" s="118">
        <f t="shared" si="8"/>
        <v>0</v>
      </c>
      <c r="L77" s="118">
        <f t="shared" si="8"/>
        <v>0</v>
      </c>
      <c r="M77" s="118">
        <f t="shared" si="8"/>
        <v>-199453.81912365297</v>
      </c>
      <c r="N77" s="118">
        <f t="shared" si="8"/>
        <v>-199453.81912365297</v>
      </c>
      <c r="O77" s="118">
        <f t="shared" si="8"/>
        <v>-199453.81912365297</v>
      </c>
      <c r="P77" s="118">
        <f t="shared" si="8"/>
        <v>-199453.81912365297</v>
      </c>
      <c r="Q77" s="118">
        <f t="shared" si="8"/>
        <v>-199453.81912365297</v>
      </c>
      <c r="R77" s="118">
        <f t="shared" si="8"/>
        <v>-199453.81912365297</v>
      </c>
      <c r="S77" s="118">
        <f t="shared" si="8"/>
        <v>-199453.81912365297</v>
      </c>
      <c r="T77" s="118">
        <f t="shared" si="8"/>
        <v>-199453.81912365297</v>
      </c>
      <c r="U77" s="118">
        <f t="shared" si="8"/>
        <v>-199453.81912365297</v>
      </c>
      <c r="V77" s="118">
        <f t="shared" si="8"/>
        <v>-199453.81912365297</v>
      </c>
      <c r="W77" s="118">
        <f t="shared" si="8"/>
        <v>-199453.81912365297</v>
      </c>
      <c r="X77" s="118">
        <f t="shared" si="8"/>
        <v>-199453.81912365297</v>
      </c>
      <c r="Y77" s="118">
        <f t="shared" si="8"/>
        <v>-199453.81912365297</v>
      </c>
      <c r="Z77" s="118">
        <f t="shared" si="8"/>
        <v>-199453.81912365297</v>
      </c>
      <c r="AA77" s="118">
        <f t="shared" si="8"/>
        <v>-199453.81912365297</v>
      </c>
      <c r="AB77" s="118">
        <f t="shared" si="8"/>
        <v>-199453.81912365297</v>
      </c>
      <c r="AC77" s="118">
        <f t="shared" si="8"/>
        <v>-199453.81912365297</v>
      </c>
      <c r="AD77" s="118">
        <f t="shared" si="8"/>
        <v>-199453.81912365297</v>
      </c>
      <c r="AE77" s="118">
        <f t="shared" si="8"/>
        <v>-199453.81912365297</v>
      </c>
      <c r="AF77" s="118">
        <f t="shared" si="8"/>
        <v>-199453.81912365297</v>
      </c>
      <c r="AG77" s="118">
        <f t="shared" si="8"/>
        <v>0</v>
      </c>
    </row>
    <row r="78" spans="1:33" x14ac:dyDescent="0.3">
      <c r="A78" s="8"/>
      <c r="B78" s="8"/>
      <c r="C78" s="4" t="str">
        <f>$C$76&amp;" - "&amp;C15</f>
        <v xml:space="preserve">Annualised capex - </v>
      </c>
      <c r="D78" s="38"/>
      <c r="F78" s="97"/>
      <c r="G78" s="210">
        <f>input_dollars</f>
        <v>45291</v>
      </c>
      <c r="H78" s="31"/>
      <c r="I78" s="118">
        <f t="shared" ref="I78:AG78" si="9">IF($E15=0,0,-PMT(real_disc, $E15,H73,))</f>
        <v>0</v>
      </c>
      <c r="J78" s="118">
        <f t="shared" si="9"/>
        <v>0</v>
      </c>
      <c r="K78" s="118">
        <f t="shared" si="9"/>
        <v>0</v>
      </c>
      <c r="L78" s="118">
        <f t="shared" si="9"/>
        <v>0</v>
      </c>
      <c r="M78" s="118">
        <f t="shared" si="9"/>
        <v>0</v>
      </c>
      <c r="N78" s="118">
        <f t="shared" si="9"/>
        <v>0</v>
      </c>
      <c r="O78" s="118">
        <f t="shared" si="9"/>
        <v>0</v>
      </c>
      <c r="P78" s="118">
        <f t="shared" si="9"/>
        <v>0</v>
      </c>
      <c r="Q78" s="118">
        <f t="shared" si="9"/>
        <v>0</v>
      </c>
      <c r="R78" s="118">
        <f t="shared" si="9"/>
        <v>0</v>
      </c>
      <c r="S78" s="118">
        <f t="shared" si="9"/>
        <v>0</v>
      </c>
      <c r="T78" s="118">
        <f t="shared" si="9"/>
        <v>0</v>
      </c>
      <c r="U78" s="118">
        <f t="shared" si="9"/>
        <v>0</v>
      </c>
      <c r="V78" s="118">
        <f t="shared" si="9"/>
        <v>0</v>
      </c>
      <c r="W78" s="118">
        <f t="shared" si="9"/>
        <v>0</v>
      </c>
      <c r="X78" s="118">
        <f t="shared" si="9"/>
        <v>0</v>
      </c>
      <c r="Y78" s="118">
        <f t="shared" si="9"/>
        <v>0</v>
      </c>
      <c r="Z78" s="118">
        <f t="shared" si="9"/>
        <v>0</v>
      </c>
      <c r="AA78" s="118">
        <f t="shared" si="9"/>
        <v>0</v>
      </c>
      <c r="AB78" s="118">
        <f t="shared" si="9"/>
        <v>0</v>
      </c>
      <c r="AC78" s="118">
        <f t="shared" si="9"/>
        <v>0</v>
      </c>
      <c r="AD78" s="118">
        <f t="shared" si="9"/>
        <v>0</v>
      </c>
      <c r="AE78" s="118">
        <f t="shared" si="9"/>
        <v>0</v>
      </c>
      <c r="AF78" s="118">
        <f t="shared" si="9"/>
        <v>0</v>
      </c>
      <c r="AG78" s="118">
        <f t="shared" si="9"/>
        <v>0</v>
      </c>
    </row>
    <row r="79" spans="1:33" x14ac:dyDescent="0.3">
      <c r="A79" s="8"/>
      <c r="B79" s="8"/>
      <c r="C79" s="4" t="str">
        <f>$C$76&amp;" - "&amp;C16</f>
        <v xml:space="preserve">Annualised capex - </v>
      </c>
      <c r="D79" s="38"/>
      <c r="F79" s="97"/>
      <c r="G79" s="210">
        <f>input_dollars</f>
        <v>45291</v>
      </c>
      <c r="H79" s="31"/>
      <c r="I79" s="118">
        <f t="shared" ref="I79:AG79" si="10">IF($E16=0,0,-PMT(real_disc, $E16,H74,))</f>
        <v>0</v>
      </c>
      <c r="J79" s="118">
        <f t="shared" si="10"/>
        <v>0</v>
      </c>
      <c r="K79" s="118">
        <f t="shared" si="10"/>
        <v>0</v>
      </c>
      <c r="L79" s="118">
        <f t="shared" si="10"/>
        <v>0</v>
      </c>
      <c r="M79" s="118">
        <f t="shared" si="10"/>
        <v>0</v>
      </c>
      <c r="N79" s="118">
        <f t="shared" si="10"/>
        <v>0</v>
      </c>
      <c r="O79" s="118">
        <f t="shared" si="10"/>
        <v>0</v>
      </c>
      <c r="P79" s="118">
        <f t="shared" si="10"/>
        <v>0</v>
      </c>
      <c r="Q79" s="118">
        <f t="shared" si="10"/>
        <v>0</v>
      </c>
      <c r="R79" s="118">
        <f t="shared" si="10"/>
        <v>0</v>
      </c>
      <c r="S79" s="118">
        <f t="shared" si="10"/>
        <v>0</v>
      </c>
      <c r="T79" s="118">
        <f t="shared" si="10"/>
        <v>0</v>
      </c>
      <c r="U79" s="118">
        <f t="shared" si="10"/>
        <v>0</v>
      </c>
      <c r="V79" s="118">
        <f t="shared" si="10"/>
        <v>0</v>
      </c>
      <c r="W79" s="118">
        <f t="shared" si="10"/>
        <v>0</v>
      </c>
      <c r="X79" s="118">
        <f t="shared" si="10"/>
        <v>0</v>
      </c>
      <c r="Y79" s="118">
        <f t="shared" si="10"/>
        <v>0</v>
      </c>
      <c r="Z79" s="118">
        <f t="shared" si="10"/>
        <v>0</v>
      </c>
      <c r="AA79" s="118">
        <f t="shared" si="10"/>
        <v>0</v>
      </c>
      <c r="AB79" s="118">
        <f t="shared" si="10"/>
        <v>0</v>
      </c>
      <c r="AC79" s="118">
        <f t="shared" si="10"/>
        <v>0</v>
      </c>
      <c r="AD79" s="118">
        <f t="shared" si="10"/>
        <v>0</v>
      </c>
      <c r="AE79" s="118">
        <f t="shared" si="10"/>
        <v>0</v>
      </c>
      <c r="AF79" s="118">
        <f t="shared" si="10"/>
        <v>0</v>
      </c>
      <c r="AG79" s="118">
        <f t="shared" si="10"/>
        <v>0</v>
      </c>
    </row>
    <row r="80" spans="1:33" x14ac:dyDescent="0.3">
      <c r="A80" s="8"/>
      <c r="B80" s="8"/>
      <c r="C80" s="172" t="s">
        <v>163</v>
      </c>
      <c r="D80" s="172"/>
      <c r="E80" s="173"/>
      <c r="F80" s="174"/>
      <c r="G80" s="215">
        <f>input_dollars</f>
        <v>45291</v>
      </c>
      <c r="H80" s="175"/>
      <c r="I80" s="176">
        <f>SUM(I77:I79)</f>
        <v>0</v>
      </c>
      <c r="J80" s="176">
        <f t="shared" ref="J80:AB80" si="11">SUM(J77:J79)</f>
        <v>0</v>
      </c>
      <c r="K80" s="176">
        <f t="shared" si="11"/>
        <v>0</v>
      </c>
      <c r="L80" s="176">
        <f t="shared" si="11"/>
        <v>0</v>
      </c>
      <c r="M80" s="176">
        <f t="shared" si="11"/>
        <v>-199453.81912365297</v>
      </c>
      <c r="N80" s="176">
        <f t="shared" si="11"/>
        <v>-199453.81912365297</v>
      </c>
      <c r="O80" s="176">
        <f t="shared" si="11"/>
        <v>-199453.81912365297</v>
      </c>
      <c r="P80" s="176">
        <f t="shared" si="11"/>
        <v>-199453.81912365297</v>
      </c>
      <c r="Q80" s="176">
        <f t="shared" si="11"/>
        <v>-199453.81912365297</v>
      </c>
      <c r="R80" s="176">
        <f t="shared" si="11"/>
        <v>-199453.81912365297</v>
      </c>
      <c r="S80" s="176">
        <f t="shared" si="11"/>
        <v>-199453.81912365297</v>
      </c>
      <c r="T80" s="176">
        <f t="shared" si="11"/>
        <v>-199453.81912365297</v>
      </c>
      <c r="U80" s="176">
        <f t="shared" si="11"/>
        <v>-199453.81912365297</v>
      </c>
      <c r="V80" s="176">
        <f t="shared" si="11"/>
        <v>-199453.81912365297</v>
      </c>
      <c r="W80" s="176">
        <f t="shared" si="11"/>
        <v>-199453.81912365297</v>
      </c>
      <c r="X80" s="176">
        <f t="shared" si="11"/>
        <v>-199453.81912365297</v>
      </c>
      <c r="Y80" s="176">
        <f t="shared" si="11"/>
        <v>-199453.81912365297</v>
      </c>
      <c r="Z80" s="176">
        <f t="shared" si="11"/>
        <v>-199453.81912365297</v>
      </c>
      <c r="AA80" s="176">
        <f t="shared" si="11"/>
        <v>-199453.81912365297</v>
      </c>
      <c r="AB80" s="176">
        <f t="shared" si="11"/>
        <v>-199453.81912365297</v>
      </c>
      <c r="AC80" s="176">
        <f>SUM(AC77:AC79)</f>
        <v>-199453.81912365297</v>
      </c>
      <c r="AD80" s="176">
        <f>SUM(AD77:AD79)</f>
        <v>-199453.81912365297</v>
      </c>
      <c r="AE80" s="176">
        <f>SUM(AE77:AE79)</f>
        <v>-199453.81912365297</v>
      </c>
      <c r="AF80" s="176">
        <f>SUM(AF77:AF79)</f>
        <v>-199453.81912365297</v>
      </c>
      <c r="AG80" s="176">
        <f>SUM(AG77:AG79)</f>
        <v>0</v>
      </c>
    </row>
    <row r="81" spans="1:33" ht="13.5" x14ac:dyDescent="0.3">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3">
      <c r="A82" s="8"/>
      <c r="B82" s="8"/>
      <c r="C82" s="4" t="s">
        <v>92</v>
      </c>
      <c r="D82" s="38"/>
      <c r="F82" s="97"/>
      <c r="G82" s="210">
        <f t="shared" ref="G82:G87" si="12">input_dollars</f>
        <v>45291</v>
      </c>
      <c r="H82" s="31"/>
      <c r="I82" s="118">
        <f>I80</f>
        <v>0</v>
      </c>
      <c r="J82" s="118">
        <f t="shared" ref="J82:AB82" si="13">J80</f>
        <v>0</v>
      </c>
      <c r="K82" s="118">
        <f t="shared" si="13"/>
        <v>0</v>
      </c>
      <c r="L82" s="118">
        <f t="shared" si="13"/>
        <v>0</v>
      </c>
      <c r="M82" s="118">
        <f t="shared" si="13"/>
        <v>-199453.81912365297</v>
      </c>
      <c r="N82" s="118">
        <f t="shared" si="13"/>
        <v>-199453.81912365297</v>
      </c>
      <c r="O82" s="118">
        <f t="shared" si="13"/>
        <v>-199453.81912365297</v>
      </c>
      <c r="P82" s="118">
        <f t="shared" si="13"/>
        <v>-199453.81912365297</v>
      </c>
      <c r="Q82" s="118">
        <f t="shared" si="13"/>
        <v>-199453.81912365297</v>
      </c>
      <c r="R82" s="118">
        <f t="shared" si="13"/>
        <v>-199453.81912365297</v>
      </c>
      <c r="S82" s="118">
        <f t="shared" si="13"/>
        <v>-199453.81912365297</v>
      </c>
      <c r="T82" s="118">
        <f t="shared" si="13"/>
        <v>-199453.81912365297</v>
      </c>
      <c r="U82" s="118">
        <f t="shared" si="13"/>
        <v>-199453.81912365297</v>
      </c>
      <c r="V82" s="118">
        <f t="shared" si="13"/>
        <v>-199453.81912365297</v>
      </c>
      <c r="W82" s="118">
        <f t="shared" si="13"/>
        <v>-199453.81912365297</v>
      </c>
      <c r="X82" s="118">
        <f t="shared" si="13"/>
        <v>-199453.81912365297</v>
      </c>
      <c r="Y82" s="118">
        <f t="shared" si="13"/>
        <v>-199453.81912365297</v>
      </c>
      <c r="Z82" s="118">
        <f t="shared" si="13"/>
        <v>-199453.81912365297</v>
      </c>
      <c r="AA82" s="118">
        <f t="shared" si="13"/>
        <v>-199453.81912365297</v>
      </c>
      <c r="AB82" s="118">
        <f t="shared" si="13"/>
        <v>-199453.81912365297</v>
      </c>
      <c r="AC82" s="118">
        <f>AC80</f>
        <v>-199453.81912365297</v>
      </c>
      <c r="AD82" s="118">
        <f>AD80</f>
        <v>-199453.81912365297</v>
      </c>
      <c r="AE82" s="118">
        <f>AE80</f>
        <v>-199453.81912365297</v>
      </c>
      <c r="AF82" s="118">
        <f>AF80</f>
        <v>-199453.81912365297</v>
      </c>
      <c r="AG82" s="118">
        <f>AG80</f>
        <v>0</v>
      </c>
    </row>
    <row r="83" spans="1:33" x14ac:dyDescent="0.3">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-80000</v>
      </c>
      <c r="N83" s="31">
        <f t="shared" si="14"/>
        <v>-80000</v>
      </c>
      <c r="O83" s="31">
        <f t="shared" si="14"/>
        <v>-80000</v>
      </c>
      <c r="P83" s="31">
        <f t="shared" si="14"/>
        <v>-80000</v>
      </c>
      <c r="Q83" s="31">
        <f t="shared" si="14"/>
        <v>-80000</v>
      </c>
      <c r="R83" s="31">
        <f t="shared" si="14"/>
        <v>-80000</v>
      </c>
      <c r="S83" s="31">
        <f t="shared" si="14"/>
        <v>-80000</v>
      </c>
      <c r="T83" s="31">
        <f t="shared" si="14"/>
        <v>-80000</v>
      </c>
      <c r="U83" s="31">
        <f t="shared" si="14"/>
        <v>-80000</v>
      </c>
      <c r="V83" s="31">
        <f t="shared" si="14"/>
        <v>-80000</v>
      </c>
      <c r="W83" s="31">
        <f t="shared" si="14"/>
        <v>-80000</v>
      </c>
      <c r="X83" s="31">
        <f t="shared" si="14"/>
        <v>-80000</v>
      </c>
      <c r="Y83" s="31">
        <f t="shared" si="14"/>
        <v>-80000</v>
      </c>
      <c r="Z83" s="31">
        <f t="shared" si="14"/>
        <v>-80000</v>
      </c>
      <c r="AA83" s="31">
        <f t="shared" si="14"/>
        <v>-80000</v>
      </c>
      <c r="AB83" s="31">
        <f t="shared" si="14"/>
        <v>-80000</v>
      </c>
      <c r="AC83" s="31">
        <f t="shared" si="14"/>
        <v>-80000</v>
      </c>
      <c r="AD83" s="31">
        <f t="shared" si="14"/>
        <v>-80000</v>
      </c>
      <c r="AE83" s="31">
        <f t="shared" si="14"/>
        <v>-80000</v>
      </c>
      <c r="AF83" s="31">
        <f t="shared" si="14"/>
        <v>-80000</v>
      </c>
      <c r="AG83" s="31">
        <f t="shared" si="14"/>
        <v>-80000</v>
      </c>
    </row>
    <row r="84" spans="1:33" x14ac:dyDescent="0.3">
      <c r="A84" s="8"/>
      <c r="B84" s="8"/>
      <c r="C84" s="4" t="s">
        <v>144</v>
      </c>
      <c r="D84" s="38"/>
      <c r="F84" s="97"/>
      <c r="G84" s="210">
        <f t="shared" si="12"/>
        <v>45291</v>
      </c>
      <c r="H84" s="31"/>
      <c r="I84" s="31">
        <f>I64</f>
        <v>0</v>
      </c>
      <c r="J84" s="31">
        <f t="shared" ref="J84:AB84" si="15">J64</f>
        <v>86650.00329620298</v>
      </c>
      <c r="K84" s="31">
        <f t="shared" si="15"/>
        <v>173296.46653425787</v>
      </c>
      <c r="L84" s="31">
        <f t="shared" si="15"/>
        <v>259945.87864075042</v>
      </c>
      <c r="M84" s="31">
        <f t="shared" si="15"/>
        <v>820092.9765178063</v>
      </c>
      <c r="N84" s="31">
        <f t="shared" si="15"/>
        <v>798981.38868927583</v>
      </c>
      <c r="O84" s="31">
        <f t="shared" si="15"/>
        <v>783081.24836630793</v>
      </c>
      <c r="P84" s="31">
        <f t="shared" si="15"/>
        <v>763134.39800587343</v>
      </c>
      <c r="Q84" s="31">
        <f t="shared" si="15"/>
        <v>744234.26451005414</v>
      </c>
      <c r="R84" s="31">
        <f t="shared" si="15"/>
        <v>713596.16597002046</v>
      </c>
      <c r="S84" s="31">
        <f t="shared" si="15"/>
        <v>682958.06742998585</v>
      </c>
      <c r="T84" s="31">
        <f t="shared" si="15"/>
        <v>652319.96888995171</v>
      </c>
      <c r="U84" s="31">
        <f t="shared" si="15"/>
        <v>621681.8703499171</v>
      </c>
      <c r="V84" s="31">
        <f t="shared" si="15"/>
        <v>591043.77180988295</v>
      </c>
      <c r="W84" s="31">
        <f t="shared" si="15"/>
        <v>560405.6732698488</v>
      </c>
      <c r="X84" s="31">
        <f t="shared" si="15"/>
        <v>529767.57472981419</v>
      </c>
      <c r="Y84" s="31">
        <f t="shared" si="15"/>
        <v>499129.47618978005</v>
      </c>
      <c r="Z84" s="31">
        <f t="shared" si="15"/>
        <v>468491.37764974544</v>
      </c>
      <c r="AA84" s="31">
        <f t="shared" si="15"/>
        <v>437853.27910971083</v>
      </c>
      <c r="AB84" s="31">
        <f t="shared" si="15"/>
        <v>407215.18056967715</v>
      </c>
      <c r="AC84" s="31">
        <f>AC64</f>
        <v>376577.082029643</v>
      </c>
      <c r="AD84" s="31">
        <f>AD64</f>
        <v>345938.98348960839</v>
      </c>
      <c r="AE84" s="31">
        <f>AE64</f>
        <v>315304.89288013894</v>
      </c>
      <c r="AF84" s="31">
        <f>AF64</f>
        <v>284666.79434010573</v>
      </c>
      <c r="AG84" s="31">
        <f>AG64</f>
        <v>254028.69580007065</v>
      </c>
    </row>
    <row r="85" spans="1:33" x14ac:dyDescent="0.3">
      <c r="A85" s="8"/>
      <c r="B85" s="8"/>
      <c r="C85" s="4" t="s">
        <v>123</v>
      </c>
      <c r="D85" s="38"/>
      <c r="F85" s="97"/>
      <c r="G85" s="210">
        <f t="shared" si="12"/>
        <v>45291</v>
      </c>
      <c r="H85" s="31"/>
      <c r="I85" s="31">
        <f t="shared" ref="I85:AG85" si="16">I57</f>
        <v>0</v>
      </c>
      <c r="J85" s="31">
        <f t="shared" si="16"/>
        <v>0</v>
      </c>
      <c r="K85" s="31">
        <f t="shared" si="16"/>
        <v>0</v>
      </c>
      <c r="L85" s="31">
        <f t="shared" si="16"/>
        <v>0</v>
      </c>
      <c r="M85" s="31">
        <f t="shared" si="16"/>
        <v>58798.67482608858</v>
      </c>
      <c r="N85" s="31">
        <f t="shared" si="16"/>
        <v>58402.857316068781</v>
      </c>
      <c r="O85" s="31">
        <f t="shared" si="16"/>
        <v>58007.06264929835</v>
      </c>
      <c r="P85" s="31">
        <f t="shared" si="16"/>
        <v>57611.242055178533</v>
      </c>
      <c r="Q85" s="31">
        <f t="shared" si="16"/>
        <v>57215.421461058708</v>
      </c>
      <c r="R85" s="31">
        <f t="shared" si="16"/>
        <v>56819.600866938898</v>
      </c>
      <c r="S85" s="31">
        <f t="shared" si="16"/>
        <v>56423.780272819073</v>
      </c>
      <c r="T85" s="31">
        <f t="shared" si="16"/>
        <v>56027.959678699248</v>
      </c>
      <c r="U85" s="31">
        <f t="shared" si="16"/>
        <v>55632.139084579438</v>
      </c>
      <c r="V85" s="31">
        <f t="shared" si="16"/>
        <v>55236.318490459613</v>
      </c>
      <c r="W85" s="31">
        <f t="shared" si="16"/>
        <v>54840.497896339795</v>
      </c>
      <c r="X85" s="31">
        <f t="shared" si="16"/>
        <v>54444.677302219985</v>
      </c>
      <c r="Y85" s="31">
        <f t="shared" si="16"/>
        <v>54048.856708100138</v>
      </c>
      <c r="Z85" s="31">
        <f t="shared" si="16"/>
        <v>53653.036113980328</v>
      </c>
      <c r="AA85" s="31">
        <f t="shared" si="16"/>
        <v>53257.215519860511</v>
      </c>
      <c r="AB85" s="31">
        <f t="shared" si="16"/>
        <v>52861.394925740693</v>
      </c>
      <c r="AC85" s="31">
        <f t="shared" si="16"/>
        <v>52465.574331620875</v>
      </c>
      <c r="AD85" s="31">
        <f t="shared" si="16"/>
        <v>52069.753737501051</v>
      </c>
      <c r="AE85" s="31">
        <f t="shared" si="16"/>
        <v>51673.985416263065</v>
      </c>
      <c r="AF85" s="31">
        <f t="shared" si="16"/>
        <v>51278.164822143255</v>
      </c>
      <c r="AG85" s="31">
        <f t="shared" si="16"/>
        <v>50882.34422802343</v>
      </c>
    </row>
    <row r="86" spans="1:33" x14ac:dyDescent="0.3">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3">
      <c r="A87" s="8"/>
      <c r="B87" s="8"/>
      <c r="C87" s="177" t="s">
        <v>194</v>
      </c>
      <c r="D87" s="178"/>
      <c r="E87" s="173"/>
      <c r="F87" s="179"/>
      <c r="G87" s="215">
        <f t="shared" si="12"/>
        <v>45291</v>
      </c>
      <c r="H87" s="179"/>
      <c r="I87" s="179">
        <f t="shared" ref="I87:AB87" si="17">SUM(I82:I86)</f>
        <v>0</v>
      </c>
      <c r="J87" s="179">
        <f t="shared" si="17"/>
        <v>86650.00329620298</v>
      </c>
      <c r="K87" s="179">
        <f t="shared" si="17"/>
        <v>173296.46653425787</v>
      </c>
      <c r="L87" s="179">
        <f t="shared" si="17"/>
        <v>259945.87864075042</v>
      </c>
      <c r="M87" s="179">
        <f t="shared" si="17"/>
        <v>599437.83222024189</v>
      </c>
      <c r="N87" s="179">
        <f t="shared" si="17"/>
        <v>577930.42688169167</v>
      </c>
      <c r="O87" s="179">
        <f t="shared" si="17"/>
        <v>561634.49189195328</v>
      </c>
      <c r="P87" s="179">
        <f t="shared" si="17"/>
        <v>541291.82093739894</v>
      </c>
      <c r="Q87" s="179">
        <f t="shared" si="17"/>
        <v>521995.86684745987</v>
      </c>
      <c r="R87" s="179">
        <f t="shared" si="17"/>
        <v>490961.94771330635</v>
      </c>
      <c r="S87" s="179">
        <f t="shared" si="17"/>
        <v>459928.02857915196</v>
      </c>
      <c r="T87" s="179">
        <f t="shared" si="17"/>
        <v>428894.10944499797</v>
      </c>
      <c r="U87" s="179">
        <f t="shared" si="17"/>
        <v>397860.19031084352</v>
      </c>
      <c r="V87" s="179">
        <f t="shared" si="17"/>
        <v>366826.27117668954</v>
      </c>
      <c r="W87" s="179">
        <f t="shared" si="17"/>
        <v>335792.35204253561</v>
      </c>
      <c r="X87" s="179">
        <f t="shared" si="17"/>
        <v>304758.43290838116</v>
      </c>
      <c r="Y87" s="179">
        <f t="shared" si="17"/>
        <v>273724.51377422718</v>
      </c>
      <c r="Z87" s="179">
        <f t="shared" si="17"/>
        <v>242690.59464007278</v>
      </c>
      <c r="AA87" s="179">
        <f t="shared" si="17"/>
        <v>211656.67550591833</v>
      </c>
      <c r="AB87" s="179">
        <f t="shared" si="17"/>
        <v>180622.75637176484</v>
      </c>
      <c r="AC87" s="179">
        <f>SUM(AC82:AC86)</f>
        <v>149588.83723761089</v>
      </c>
      <c r="AD87" s="179">
        <f>SUM(AD82:AD86)</f>
        <v>118554.91810345644</v>
      </c>
      <c r="AE87" s="179">
        <f>SUM(AE82:AE86)</f>
        <v>87525.05917274901</v>
      </c>
      <c r="AF87" s="179">
        <f>SUM(AF82:AF86)</f>
        <v>56491.140038595986</v>
      </c>
      <c r="AG87" s="179">
        <f>SUM(AG82:AG86)</f>
        <v>224911.04002809408</v>
      </c>
    </row>
    <row r="88" spans="1:33" x14ac:dyDescent="0.3">
      <c r="A88" s="8"/>
      <c r="B88" s="8"/>
      <c r="C88" s="75"/>
      <c r="D88" s="138"/>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3">
      <c r="A89" s="8"/>
      <c r="B89" s="8"/>
      <c r="C89" s="75"/>
      <c r="D89" s="138"/>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3">
      <c r="A90" s="8"/>
      <c r="B90" s="8"/>
      <c r="C90" s="230" t="s">
        <v>204</v>
      </c>
      <c r="D90" s="82"/>
      <c r="E90" s="231"/>
      <c r="F90" s="232"/>
      <c r="G90" s="233" cm="1">
        <f t="array" ref="G90">IF(SUM($I17:$AG17)=0,0,(INDEX(I$6:AG$6,MATCH(TRUE,INDEX($I17:$AG17&lt;&gt;0,),0))))</f>
        <v>4</v>
      </c>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3">
      <c r="A91" s="8"/>
      <c r="B91" s="8"/>
      <c r="C91" s="82"/>
      <c r="D91" s="234"/>
      <c r="E91" s="231"/>
      <c r="F91" s="232"/>
      <c r="G91" s="233"/>
      <c r="H91" s="3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row>
    <row r="92" spans="1:33" x14ac:dyDescent="0.3">
      <c r="C92" s="235" t="s">
        <v>199</v>
      </c>
      <c r="D92" s="236"/>
      <c r="E92" s="236"/>
      <c r="F92" s="236"/>
      <c r="G92" s="237">
        <f>IF(_xlfn.MINIFS($G$90:$G$91, $G$90:$G$91, "&gt;"&amp;0)=0, $A$4, _xlfn.MINIFS($G$90:$G$91, $G$90:$G$91, "&gt;"&amp;0))</f>
        <v>4</v>
      </c>
    </row>
    <row r="94" spans="1:33" x14ac:dyDescent="0.3">
      <c r="G94" s="12"/>
      <c r="I94" s="248"/>
      <c r="J94" s="248"/>
      <c r="K94" s="248"/>
      <c r="L94" s="248"/>
      <c r="M94" s="248"/>
      <c r="N94" s="248"/>
      <c r="O94" s="248"/>
      <c r="P94" s="248"/>
      <c r="Q94" s="248"/>
      <c r="R94" s="248"/>
      <c r="S94" s="248"/>
      <c r="T94" s="248"/>
      <c r="U94" s="248"/>
      <c r="V94" s="248"/>
      <c r="W94" s="248"/>
      <c r="X94" s="248"/>
      <c r="Y94" s="31"/>
      <c r="Z94" s="31"/>
      <c r="AA94" s="31"/>
      <c r="AB94" s="31"/>
      <c r="AC94" s="31"/>
      <c r="AD94" s="31"/>
      <c r="AE94" s="31"/>
      <c r="AF94" s="31"/>
      <c r="AG94" s="31"/>
    </row>
    <row r="95" spans="1:33" x14ac:dyDescent="0.3">
      <c r="I95" s="242"/>
      <c r="J95" s="242"/>
      <c r="K95" s="242"/>
      <c r="L95" s="242"/>
      <c r="M95" s="242"/>
      <c r="N95" s="242"/>
      <c r="O95" s="242"/>
      <c r="P95" s="242"/>
      <c r="Q95" s="242"/>
      <c r="R95" s="242"/>
      <c r="S95" s="242"/>
      <c r="T95" s="242"/>
      <c r="U95" s="242"/>
      <c r="V95" s="242"/>
      <c r="W95" s="242"/>
      <c r="X95" s="242"/>
      <c r="Y95" s="242"/>
      <c r="Z95" s="242"/>
    </row>
    <row r="96" spans="1:33" x14ac:dyDescent="0.3">
      <c r="I96" s="242"/>
      <c r="J96" s="242"/>
      <c r="K96" s="242"/>
      <c r="L96" s="242"/>
      <c r="M96" s="242"/>
      <c r="N96" s="242"/>
      <c r="O96" s="242"/>
      <c r="P96" s="242"/>
      <c r="Q96" s="242"/>
      <c r="R96" s="242"/>
      <c r="S96" s="242"/>
      <c r="T96" s="242"/>
      <c r="U96" s="242"/>
      <c r="V96" s="242"/>
      <c r="W96" s="242"/>
      <c r="X96" s="242"/>
      <c r="Y96" s="242"/>
      <c r="Z96" s="242"/>
    </row>
    <row r="97" spans="1:43" x14ac:dyDescent="0.3">
      <c r="I97" s="242"/>
      <c r="J97" s="242"/>
      <c r="K97" s="242"/>
      <c r="L97" s="242"/>
      <c r="M97" s="242"/>
      <c r="N97" s="242"/>
      <c r="O97" s="242"/>
      <c r="P97" s="242"/>
      <c r="Q97" s="242"/>
      <c r="R97" s="242"/>
      <c r="S97" s="242"/>
      <c r="T97" s="242"/>
      <c r="U97" s="242"/>
      <c r="V97" s="242"/>
      <c r="W97" s="242"/>
      <c r="X97" s="242"/>
      <c r="Y97" s="242"/>
      <c r="Z97" s="242"/>
    </row>
    <row r="98" spans="1:43" x14ac:dyDescent="0.3">
      <c r="I98" s="242"/>
      <c r="J98" s="242"/>
      <c r="K98" s="242"/>
      <c r="L98" s="242"/>
      <c r="M98" s="242"/>
      <c r="N98" s="242"/>
      <c r="O98" s="242"/>
      <c r="P98" s="242"/>
      <c r="Q98" s="242"/>
      <c r="R98" s="242"/>
      <c r="S98" s="242"/>
      <c r="T98" s="242"/>
      <c r="U98" s="242"/>
      <c r="V98" s="242"/>
      <c r="W98" s="242"/>
      <c r="X98" s="242"/>
      <c r="Y98" s="242"/>
      <c r="Z98" s="242"/>
    </row>
    <row r="99" spans="1:43" x14ac:dyDescent="0.3">
      <c r="I99" s="242"/>
      <c r="J99" s="242"/>
      <c r="K99" s="242"/>
      <c r="L99" s="242"/>
      <c r="M99" s="242"/>
      <c r="N99" s="242"/>
      <c r="O99" s="242"/>
      <c r="P99" s="242"/>
      <c r="Q99" s="242"/>
      <c r="R99" s="242"/>
      <c r="S99" s="242"/>
      <c r="T99" s="242"/>
      <c r="U99" s="242"/>
      <c r="V99" s="242"/>
      <c r="W99" s="242"/>
      <c r="X99" s="242"/>
      <c r="Y99" s="242"/>
      <c r="Z99" s="242"/>
    </row>
    <row r="100" spans="1:43" x14ac:dyDescent="0.3">
      <c r="I100" s="242"/>
      <c r="J100" s="242"/>
      <c r="K100" s="242"/>
      <c r="L100" s="242"/>
      <c r="M100" s="242"/>
      <c r="N100" s="242"/>
      <c r="O100" s="242"/>
      <c r="P100" s="242"/>
      <c r="Q100" s="242"/>
      <c r="R100" s="242"/>
      <c r="S100" s="242"/>
      <c r="T100" s="242"/>
      <c r="U100" s="242"/>
      <c r="V100" s="242"/>
      <c r="W100" s="242"/>
      <c r="X100" s="242"/>
      <c r="Y100" s="242"/>
      <c r="Z100" s="242"/>
    </row>
    <row r="101" spans="1:43" x14ac:dyDescent="0.3">
      <c r="I101" s="242"/>
      <c r="J101" s="242"/>
      <c r="K101" s="242"/>
      <c r="L101" s="242"/>
      <c r="M101" s="242"/>
      <c r="N101" s="242"/>
      <c r="O101" s="242"/>
      <c r="P101" s="242"/>
      <c r="Q101" s="242"/>
      <c r="R101" s="242"/>
      <c r="S101" s="242"/>
      <c r="T101" s="242"/>
      <c r="U101" s="242"/>
      <c r="V101" s="242"/>
      <c r="W101" s="242"/>
      <c r="X101" s="242"/>
      <c r="Y101" s="242"/>
      <c r="Z101" s="242"/>
    </row>
    <row r="102" spans="1:43" ht="14.5" x14ac:dyDescent="0.3">
      <c r="A102" s="89" t="s">
        <v>220</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3">
      <c r="I104" s="242"/>
      <c r="J104" s="242"/>
      <c r="K104" s="242"/>
      <c r="L104" s="242"/>
      <c r="M104" s="242"/>
      <c r="N104" s="242"/>
      <c r="O104" s="242"/>
      <c r="P104" s="242"/>
      <c r="Q104" s="242"/>
      <c r="R104" s="242"/>
      <c r="S104" s="242"/>
      <c r="T104" s="242"/>
      <c r="U104" s="242"/>
      <c r="V104" s="242"/>
      <c r="W104" s="242"/>
      <c r="X104" s="242"/>
      <c r="Y104" s="242"/>
      <c r="Z104" s="242"/>
    </row>
    <row r="105" spans="1:43" ht="13.5" x14ac:dyDescent="0.3">
      <c r="D105"/>
      <c r="E105"/>
      <c r="F105"/>
      <c r="G105"/>
      <c r="I105" s="242"/>
      <c r="J105" s="242"/>
      <c r="K105" s="242"/>
      <c r="L105" s="242"/>
      <c r="M105" s="242"/>
      <c r="N105" s="242"/>
      <c r="O105" s="242"/>
      <c r="P105" s="242"/>
      <c r="Q105" s="242"/>
      <c r="R105" s="242"/>
      <c r="S105" s="242"/>
      <c r="T105" s="242"/>
      <c r="U105" s="242"/>
      <c r="V105" s="242"/>
      <c r="W105" s="242"/>
      <c r="X105" s="242"/>
      <c r="Y105" s="242"/>
      <c r="Z105" s="242"/>
    </row>
    <row r="106" spans="1:43" ht="13.5" x14ac:dyDescent="0.3">
      <c r="A106" s="1" t="s">
        <v>120</v>
      </c>
      <c r="C106" s="1" t="s">
        <v>194</v>
      </c>
      <c r="D106"/>
      <c r="E106"/>
      <c r="F106"/>
      <c r="G106" s="38" t="str">
        <f>PROPER($A$3)&amp;A106</f>
        <v>Option 2NPV</v>
      </c>
      <c r="I106" s="31">
        <f>I87</f>
        <v>0</v>
      </c>
      <c r="J106" s="31">
        <f t="shared" ref="J106:AG106" si="18">J87</f>
        <v>86650.00329620298</v>
      </c>
      <c r="K106" s="31">
        <f t="shared" si="18"/>
        <v>173296.46653425787</v>
      </c>
      <c r="L106" s="31">
        <f t="shared" si="18"/>
        <v>259945.87864075042</v>
      </c>
      <c r="M106" s="31">
        <f t="shared" si="18"/>
        <v>599437.83222024189</v>
      </c>
      <c r="N106" s="31">
        <f t="shared" si="18"/>
        <v>577930.42688169167</v>
      </c>
      <c r="O106" s="31">
        <f t="shared" si="18"/>
        <v>561634.49189195328</v>
      </c>
      <c r="P106" s="31">
        <f t="shared" si="18"/>
        <v>541291.82093739894</v>
      </c>
      <c r="Q106" s="31">
        <f t="shared" si="18"/>
        <v>521995.86684745987</v>
      </c>
      <c r="R106" s="31">
        <f t="shared" si="18"/>
        <v>490961.94771330635</v>
      </c>
      <c r="S106" s="31">
        <f t="shared" si="18"/>
        <v>459928.02857915196</v>
      </c>
      <c r="T106" s="31">
        <f t="shared" si="18"/>
        <v>428894.10944499797</v>
      </c>
      <c r="U106" s="31">
        <f t="shared" si="18"/>
        <v>397860.19031084352</v>
      </c>
      <c r="V106" s="31">
        <f t="shared" si="18"/>
        <v>366826.27117668954</v>
      </c>
      <c r="W106" s="31">
        <f t="shared" si="18"/>
        <v>335792.35204253561</v>
      </c>
      <c r="X106" s="31">
        <f t="shared" si="18"/>
        <v>304758.43290838116</v>
      </c>
      <c r="Y106" s="31">
        <f t="shared" si="18"/>
        <v>273724.51377422718</v>
      </c>
      <c r="Z106" s="31">
        <f t="shared" si="18"/>
        <v>242690.59464007278</v>
      </c>
      <c r="AA106" s="31">
        <f t="shared" si="18"/>
        <v>211656.67550591833</v>
      </c>
      <c r="AB106" s="31">
        <f t="shared" si="18"/>
        <v>180622.75637176484</v>
      </c>
      <c r="AC106" s="31">
        <f t="shared" si="18"/>
        <v>149588.83723761089</v>
      </c>
      <c r="AD106" s="31">
        <f t="shared" si="18"/>
        <v>118554.91810345644</v>
      </c>
      <c r="AE106" s="31">
        <f t="shared" si="18"/>
        <v>87525.05917274901</v>
      </c>
      <c r="AF106" s="31">
        <f t="shared" si="18"/>
        <v>56491.140038595986</v>
      </c>
      <c r="AG106" s="31">
        <f t="shared" si="18"/>
        <v>224911.04002809408</v>
      </c>
    </row>
    <row r="107" spans="1:43" ht="13.5" x14ac:dyDescent="0.3">
      <c r="C107" s="1" t="s">
        <v>163</v>
      </c>
      <c r="D107"/>
      <c r="E107"/>
      <c r="F107"/>
      <c r="G107"/>
      <c r="I107" s="31">
        <f>I82</f>
        <v>0</v>
      </c>
      <c r="J107" s="31">
        <f t="shared" ref="J107:AG107" si="19">J82</f>
        <v>0</v>
      </c>
      <c r="K107" s="31">
        <f t="shared" si="19"/>
        <v>0</v>
      </c>
      <c r="L107" s="31">
        <f t="shared" si="19"/>
        <v>0</v>
      </c>
      <c r="M107" s="31">
        <f t="shared" si="19"/>
        <v>-199453.81912365297</v>
      </c>
      <c r="N107" s="31">
        <f t="shared" si="19"/>
        <v>-199453.81912365297</v>
      </c>
      <c r="O107" s="31">
        <f t="shared" si="19"/>
        <v>-199453.81912365297</v>
      </c>
      <c r="P107" s="31">
        <f t="shared" si="19"/>
        <v>-199453.81912365297</v>
      </c>
      <c r="Q107" s="31">
        <f t="shared" si="19"/>
        <v>-199453.81912365297</v>
      </c>
      <c r="R107" s="31">
        <f t="shared" si="19"/>
        <v>-199453.81912365297</v>
      </c>
      <c r="S107" s="31">
        <f t="shared" si="19"/>
        <v>-199453.81912365297</v>
      </c>
      <c r="T107" s="31">
        <f t="shared" si="19"/>
        <v>-199453.81912365297</v>
      </c>
      <c r="U107" s="31">
        <f t="shared" si="19"/>
        <v>-199453.81912365297</v>
      </c>
      <c r="V107" s="31">
        <f t="shared" si="19"/>
        <v>-199453.81912365297</v>
      </c>
      <c r="W107" s="31">
        <f t="shared" si="19"/>
        <v>-199453.81912365297</v>
      </c>
      <c r="X107" s="31">
        <f t="shared" si="19"/>
        <v>-199453.81912365297</v>
      </c>
      <c r="Y107" s="31">
        <f t="shared" si="19"/>
        <v>-199453.81912365297</v>
      </c>
      <c r="Z107" s="31">
        <f t="shared" si="19"/>
        <v>-199453.81912365297</v>
      </c>
      <c r="AA107" s="31">
        <f t="shared" si="19"/>
        <v>-199453.81912365297</v>
      </c>
      <c r="AB107" s="31">
        <f t="shared" si="19"/>
        <v>-199453.81912365297</v>
      </c>
      <c r="AC107" s="31">
        <f t="shared" si="19"/>
        <v>-199453.81912365297</v>
      </c>
      <c r="AD107" s="31">
        <f t="shared" si="19"/>
        <v>-199453.81912365297</v>
      </c>
      <c r="AE107" s="31">
        <f t="shared" si="19"/>
        <v>-199453.81912365297</v>
      </c>
      <c r="AF107" s="31">
        <f t="shared" si="19"/>
        <v>-199453.81912365297</v>
      </c>
      <c r="AG107" s="31">
        <f t="shared" si="19"/>
        <v>0</v>
      </c>
    </row>
    <row r="108" spans="1:43" x14ac:dyDescent="0.3">
      <c r="C108" s="1" t="s">
        <v>245</v>
      </c>
      <c r="D108" s="252"/>
      <c r="E108" s="38"/>
      <c r="I108" s="31">
        <f>SUM(I84:I85)</f>
        <v>0</v>
      </c>
      <c r="J108" s="31">
        <f t="shared" ref="J108:AG108" si="20">SUM(J84:J85)</f>
        <v>86650.00329620298</v>
      </c>
      <c r="K108" s="31">
        <f t="shared" si="20"/>
        <v>173296.46653425787</v>
      </c>
      <c r="L108" s="31">
        <f t="shared" si="20"/>
        <v>259945.87864075042</v>
      </c>
      <c r="M108" s="31">
        <f t="shared" si="20"/>
        <v>878891.65134389489</v>
      </c>
      <c r="N108" s="31">
        <f t="shared" si="20"/>
        <v>857384.24600534467</v>
      </c>
      <c r="O108" s="31">
        <f t="shared" si="20"/>
        <v>841088.31101560628</v>
      </c>
      <c r="P108" s="31">
        <f t="shared" si="20"/>
        <v>820745.64006105193</v>
      </c>
      <c r="Q108" s="31">
        <f t="shared" si="20"/>
        <v>801449.68597111281</v>
      </c>
      <c r="R108" s="31">
        <f t="shared" si="20"/>
        <v>770415.7668369594</v>
      </c>
      <c r="S108" s="31">
        <f t="shared" si="20"/>
        <v>739381.84770280495</v>
      </c>
      <c r="T108" s="31">
        <f t="shared" si="20"/>
        <v>708347.92856865097</v>
      </c>
      <c r="U108" s="31">
        <f t="shared" si="20"/>
        <v>677314.00943449652</v>
      </c>
      <c r="V108" s="31">
        <f t="shared" si="20"/>
        <v>646280.09030034253</v>
      </c>
      <c r="W108" s="31">
        <f t="shared" si="20"/>
        <v>615246.17116618855</v>
      </c>
      <c r="X108" s="31">
        <f t="shared" si="20"/>
        <v>584212.25203203422</v>
      </c>
      <c r="Y108" s="31">
        <f t="shared" si="20"/>
        <v>553178.33289788023</v>
      </c>
      <c r="Z108" s="31">
        <f t="shared" si="20"/>
        <v>522144.41376372578</v>
      </c>
      <c r="AA108" s="31">
        <f t="shared" si="20"/>
        <v>491110.49462957133</v>
      </c>
      <c r="AB108" s="31">
        <f t="shared" si="20"/>
        <v>460076.57549541781</v>
      </c>
      <c r="AC108" s="31">
        <f t="shared" si="20"/>
        <v>429042.65636126389</v>
      </c>
      <c r="AD108" s="31">
        <f t="shared" si="20"/>
        <v>398008.73722710944</v>
      </c>
      <c r="AE108" s="31">
        <f t="shared" si="20"/>
        <v>366978.87829640199</v>
      </c>
      <c r="AF108" s="31">
        <f t="shared" si="20"/>
        <v>335944.959162249</v>
      </c>
      <c r="AG108" s="31">
        <f t="shared" si="20"/>
        <v>304911.04002809408</v>
      </c>
    </row>
    <row r="109" spans="1:43" x14ac:dyDescent="0.3">
      <c r="D109" s="301" t="str">
        <f>Assumptions!G122</f>
        <v>Capex</v>
      </c>
      <c r="E109" s="301" t="str">
        <f>Assumptions!H122</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3">
      <c r="A110" s="1" t="str">
        <f>"sens"&amp;Assumptions!B123</f>
        <v>sens1</v>
      </c>
      <c r="C110" s="300" t="str">
        <f>Assumptions!C123</f>
        <v>Capex 10% higher</v>
      </c>
      <c r="D110" s="301">
        <f>Assumptions!G123</f>
        <v>0.1</v>
      </c>
      <c r="E110" s="301">
        <f>Assumptions!H123</f>
        <v>0</v>
      </c>
      <c r="G110" s="38" t="str">
        <f>PROPER($A$3)&amp;A110</f>
        <v>Option 2sens1</v>
      </c>
      <c r="I110" s="31" cm="1">
        <f t="array" ref="I110">I$106+IF($C110&lt;&gt;0,SUMPRODUCT((I$107:I$108)*TRANSPOSE(($D110:$E110))),0)</f>
        <v>0</v>
      </c>
      <c r="J110" s="31" cm="1">
        <f t="array" ref="J110">J$106+IF($C110&lt;&gt;0,SUMPRODUCT((J$107:J$108)*TRANSPOSE(($D110:$E110))),0)</f>
        <v>86650.00329620298</v>
      </c>
      <c r="K110" s="31" cm="1">
        <f t="array" ref="K110">K$106+IF($C110&lt;&gt;0,SUMPRODUCT((K$107:K$108)*TRANSPOSE(($D110:$E110))),0)</f>
        <v>173296.46653425787</v>
      </c>
      <c r="L110" s="31" cm="1">
        <f t="array" ref="L110">L$106+IF($C110&lt;&gt;0,SUMPRODUCT((L$107:L$108)*TRANSPOSE(($D110:$E110))),0)</f>
        <v>259945.87864075042</v>
      </c>
      <c r="M110" s="31" cm="1">
        <f t="array" ref="M110">M$106+IF($C110&lt;&gt;0,SUMPRODUCT((M$107:M$108)*TRANSPOSE(($D110:$E110))),0)</f>
        <v>579492.45030787657</v>
      </c>
      <c r="N110" s="31" cm="1">
        <f t="array" ref="N110">N$106+IF($C110&lt;&gt;0,SUMPRODUCT((N$107:N$108)*TRANSPOSE(($D110:$E110))),0)</f>
        <v>557985.04496932635</v>
      </c>
      <c r="O110" s="31" cm="1">
        <f t="array" ref="O110">O$106+IF($C110&lt;&gt;0,SUMPRODUCT((O$107:O$108)*TRANSPOSE(($D110:$E110))),0)</f>
        <v>541689.10997958796</v>
      </c>
      <c r="P110" s="31" cm="1">
        <f t="array" ref="P110">P$106+IF($C110&lt;&gt;0,SUMPRODUCT((P$107:P$108)*TRANSPOSE(($D110:$E110))),0)</f>
        <v>521346.43902503361</v>
      </c>
      <c r="Q110" s="31" cm="1">
        <f t="array" ref="Q110">Q$106+IF($C110&lt;&gt;0,SUMPRODUCT((Q$107:Q$108)*TRANSPOSE(($D110:$E110))),0)</f>
        <v>502050.48493509454</v>
      </c>
      <c r="R110" s="31" cm="1">
        <f t="array" ref="R110">R$106+IF($C110&lt;&gt;0,SUMPRODUCT((R$107:R$108)*TRANSPOSE(($D110:$E110))),0)</f>
        <v>471016.56580094103</v>
      </c>
      <c r="S110" s="31" cm="1">
        <f t="array" ref="S110">S$106+IF($C110&lt;&gt;0,SUMPRODUCT((S$107:S$108)*TRANSPOSE(($D110:$E110))),0)</f>
        <v>439982.64666678663</v>
      </c>
      <c r="T110" s="31" cm="1">
        <f t="array" ref="T110">T$106+IF($C110&lt;&gt;0,SUMPRODUCT((T$107:T$108)*TRANSPOSE(($D110:$E110))),0)</f>
        <v>408948.72753263265</v>
      </c>
      <c r="U110" s="31" cm="1">
        <f t="array" ref="U110">U$106+IF($C110&lt;&gt;0,SUMPRODUCT((U$107:U$108)*TRANSPOSE(($D110:$E110))),0)</f>
        <v>377914.8083984782</v>
      </c>
      <c r="V110" s="31" cm="1">
        <f t="array" ref="V110">V$106+IF($C110&lt;&gt;0,SUMPRODUCT((V$107:V$108)*TRANSPOSE(($D110:$E110))),0)</f>
        <v>346880.88926432421</v>
      </c>
      <c r="W110" s="31" cm="1">
        <f t="array" ref="W110">W$106+IF($C110&lt;&gt;0,SUMPRODUCT((W$107:W$108)*TRANSPOSE(($D110:$E110))),0)</f>
        <v>315846.97013017029</v>
      </c>
      <c r="X110" s="31" cm="1">
        <f t="array" ref="X110">X$106+IF($C110&lt;&gt;0,SUMPRODUCT((X$107:X$108)*TRANSPOSE(($D110:$E110))),0)</f>
        <v>284813.05099601584</v>
      </c>
      <c r="Y110" s="31" cm="1">
        <f t="array" ref="Y110">Y$106+IF($C110&lt;&gt;0,SUMPRODUCT((Y$107:Y$108)*TRANSPOSE(($D110:$E110))),0)</f>
        <v>253779.13186186188</v>
      </c>
      <c r="Z110" s="31" cm="1">
        <f t="array" ref="Z110">Z$106+IF($C110&lt;&gt;0,SUMPRODUCT((Z$107:Z$108)*TRANSPOSE(($D110:$E110))),0)</f>
        <v>222745.21272770749</v>
      </c>
      <c r="AA110" s="31" cm="1">
        <f t="array" ref="AA110">AA$106+IF($C110&lt;&gt;0,SUMPRODUCT((AA$107:AA$108)*TRANSPOSE(($D110:$E110))),0)</f>
        <v>191711.29359355304</v>
      </c>
      <c r="AB110" s="31" cm="1">
        <f t="array" ref="AB110">AB$106+IF($C110&lt;&gt;0,SUMPRODUCT((AB$107:AB$108)*TRANSPOSE(($D110:$E110))),0)</f>
        <v>160677.37445939955</v>
      </c>
      <c r="AC110" s="31" cm="1">
        <f t="array" ref="AC110">AC$106+IF($C110&lt;&gt;0,SUMPRODUCT((AC$107:AC$108)*TRANSPOSE(($D110:$E110))),0)</f>
        <v>129643.4553252456</v>
      </c>
      <c r="AD110" s="31" cm="1">
        <f t="array" ref="AD110">AD$106+IF($C110&lt;&gt;0,SUMPRODUCT((AD$107:AD$108)*TRANSPOSE(($D110:$E110))),0)</f>
        <v>98609.536191091145</v>
      </c>
      <c r="AE110" s="31" cm="1">
        <f t="array" ref="AE110">AE$106+IF($C110&lt;&gt;0,SUMPRODUCT((AE$107:AE$108)*TRANSPOSE(($D110:$E110))),0)</f>
        <v>67579.677260383716</v>
      </c>
      <c r="AF110" s="31" cm="1">
        <f t="array" ref="AF110">AF$106+IF($C110&lt;&gt;0,SUMPRODUCT((AF$107:AF$108)*TRANSPOSE(($D110:$E110))),0)</f>
        <v>36545.758126230692</v>
      </c>
      <c r="AG110" s="31" cm="1">
        <f t="array" ref="AG110">AG$106+IF($C110&lt;&gt;0,SUMPRODUCT((AG$107:AG$108)*TRANSPOSE(($D110:$E110))),0)</f>
        <v>224911.04002809408</v>
      </c>
    </row>
    <row r="111" spans="1:43" x14ac:dyDescent="0.3">
      <c r="A111" s="1" t="str">
        <f>"sens"&amp;Assumptions!B124</f>
        <v>sens2</v>
      </c>
      <c r="C111" s="300" t="str">
        <f>Assumptions!C124</f>
        <v>Capex 10% lower</v>
      </c>
      <c r="D111" s="301">
        <f>Assumptions!G124</f>
        <v>-0.1</v>
      </c>
      <c r="E111" s="301">
        <f>Assumptions!H124</f>
        <v>0</v>
      </c>
      <c r="G111" s="38" t="str">
        <f t="shared" ref="G111:G117" si="21">PROPER($A$3)&amp;A111</f>
        <v>Option 2sens2</v>
      </c>
      <c r="I111" s="31" cm="1">
        <f t="array" ref="I111">I$106+IF($C111&lt;&gt;0,SUMPRODUCT((I$107:I$108)*TRANSPOSE(($D111:$E111))),0)</f>
        <v>0</v>
      </c>
      <c r="J111" s="31" cm="1">
        <f t="array" ref="J111">J$106+IF($C111&lt;&gt;0,SUMPRODUCT((J$107:J$108)*TRANSPOSE(($D111:$E111))),0)</f>
        <v>86650.00329620298</v>
      </c>
      <c r="K111" s="31" cm="1">
        <f t="array" ref="K111">K$106+IF($C111&lt;&gt;0,SUMPRODUCT((K$107:K$108)*TRANSPOSE(($D111:$E111))),0)</f>
        <v>173296.46653425787</v>
      </c>
      <c r="L111" s="31" cm="1">
        <f t="array" ref="L111">L$106+IF($C111&lt;&gt;0,SUMPRODUCT((L$107:L$108)*TRANSPOSE(($D111:$E111))),0)</f>
        <v>259945.87864075042</v>
      </c>
      <c r="M111" s="31" cm="1">
        <f t="array" ref="M111">M$106+IF($C111&lt;&gt;0,SUMPRODUCT((M$107:M$108)*TRANSPOSE(($D111:$E111))),0)</f>
        <v>619383.21413260722</v>
      </c>
      <c r="N111" s="31" cm="1">
        <f t="array" ref="N111">N$106+IF($C111&lt;&gt;0,SUMPRODUCT((N$107:N$108)*TRANSPOSE(($D111:$E111))),0)</f>
        <v>597875.808794057</v>
      </c>
      <c r="O111" s="31" cm="1">
        <f t="array" ref="O111">O$106+IF($C111&lt;&gt;0,SUMPRODUCT((O$107:O$108)*TRANSPOSE(($D111:$E111))),0)</f>
        <v>581579.8738043186</v>
      </c>
      <c r="P111" s="31" cm="1">
        <f t="array" ref="P111">P$106+IF($C111&lt;&gt;0,SUMPRODUCT((P$107:P$108)*TRANSPOSE(($D111:$E111))),0)</f>
        <v>561237.20284976426</v>
      </c>
      <c r="Q111" s="31" cm="1">
        <f t="array" ref="Q111">Q$106+IF($C111&lt;&gt;0,SUMPRODUCT((Q$107:Q$108)*TRANSPOSE(($D111:$E111))),0)</f>
        <v>541941.24875982513</v>
      </c>
      <c r="R111" s="31" cm="1">
        <f t="array" ref="R111">R$106+IF($C111&lt;&gt;0,SUMPRODUCT((R$107:R$108)*TRANSPOSE(($D111:$E111))),0)</f>
        <v>510907.32962567167</v>
      </c>
      <c r="S111" s="31" cm="1">
        <f t="array" ref="S111">S$106+IF($C111&lt;&gt;0,SUMPRODUCT((S$107:S$108)*TRANSPOSE(($D111:$E111))),0)</f>
        <v>479873.41049151728</v>
      </c>
      <c r="T111" s="31" cm="1">
        <f t="array" ref="T111">T$106+IF($C111&lt;&gt;0,SUMPRODUCT((T$107:T$108)*TRANSPOSE(($D111:$E111))),0)</f>
        <v>448839.49135736329</v>
      </c>
      <c r="U111" s="31" cm="1">
        <f t="array" ref="U111">U$106+IF($C111&lt;&gt;0,SUMPRODUCT((U$107:U$108)*TRANSPOSE(($D111:$E111))),0)</f>
        <v>417805.57222320884</v>
      </c>
      <c r="V111" s="31" cm="1">
        <f t="array" ref="V111">V$106+IF($C111&lt;&gt;0,SUMPRODUCT((V$107:V$108)*TRANSPOSE(($D111:$E111))),0)</f>
        <v>386771.65308905486</v>
      </c>
      <c r="W111" s="31" cm="1">
        <f t="array" ref="W111">W$106+IF($C111&lt;&gt;0,SUMPRODUCT((W$107:W$108)*TRANSPOSE(($D111:$E111))),0)</f>
        <v>355737.73395490093</v>
      </c>
      <c r="X111" s="31" cm="1">
        <f t="array" ref="X111">X$106+IF($C111&lt;&gt;0,SUMPRODUCT((X$107:X$108)*TRANSPOSE(($D111:$E111))),0)</f>
        <v>324703.81482074648</v>
      </c>
      <c r="Y111" s="31" cm="1">
        <f t="array" ref="Y111">Y$106+IF($C111&lt;&gt;0,SUMPRODUCT((Y$107:Y$108)*TRANSPOSE(($D111:$E111))),0)</f>
        <v>293669.8956865925</v>
      </c>
      <c r="Z111" s="31" cm="1">
        <f t="array" ref="Z111">Z$106+IF($C111&lt;&gt;0,SUMPRODUCT((Z$107:Z$108)*TRANSPOSE(($D111:$E111))),0)</f>
        <v>262635.97655243811</v>
      </c>
      <c r="AA111" s="31" cm="1">
        <f t="array" ref="AA111">AA$106+IF($C111&lt;&gt;0,SUMPRODUCT((AA$107:AA$108)*TRANSPOSE(($D111:$E111))),0)</f>
        <v>231602.05741828363</v>
      </c>
      <c r="AB111" s="31" cm="1">
        <f t="array" ref="AB111">AB$106+IF($C111&lt;&gt;0,SUMPRODUCT((AB$107:AB$108)*TRANSPOSE(($D111:$E111))),0)</f>
        <v>200568.13828413014</v>
      </c>
      <c r="AC111" s="31" cm="1">
        <f t="array" ref="AC111">AC$106+IF($C111&lt;&gt;0,SUMPRODUCT((AC$107:AC$108)*TRANSPOSE(($D111:$E111))),0)</f>
        <v>169534.21914997618</v>
      </c>
      <c r="AD111" s="31" cm="1">
        <f t="array" ref="AD111">AD$106+IF($C111&lt;&gt;0,SUMPRODUCT((AD$107:AD$108)*TRANSPOSE(($D111:$E111))),0)</f>
        <v>138500.30001582173</v>
      </c>
      <c r="AE111" s="31" cm="1">
        <f t="array" ref="AE111">AE$106+IF($C111&lt;&gt;0,SUMPRODUCT((AE$107:AE$108)*TRANSPOSE(($D111:$E111))),0)</f>
        <v>107470.4410851143</v>
      </c>
      <c r="AF111" s="31" cm="1">
        <f t="array" ref="AF111">AF$106+IF($C111&lt;&gt;0,SUMPRODUCT((AF$107:AF$108)*TRANSPOSE(($D111:$E111))),0)</f>
        <v>76436.52195096128</v>
      </c>
      <c r="AG111" s="31" cm="1">
        <f t="array" ref="AG111">AG$106+IF($C111&lt;&gt;0,SUMPRODUCT((AG$107:AG$108)*TRANSPOSE(($D111:$E111))),0)</f>
        <v>224911.04002809408</v>
      </c>
    </row>
    <row r="112" spans="1:43" x14ac:dyDescent="0.3">
      <c r="A112" s="1" t="str">
        <f>"sens"&amp;Assumptions!B125</f>
        <v>sens3</v>
      </c>
      <c r="C112" s="300" t="str">
        <f>Assumptions!C125</f>
        <v>Total benefits 10% higher</v>
      </c>
      <c r="D112" s="301">
        <f>Assumptions!G125</f>
        <v>0</v>
      </c>
      <c r="E112" s="301">
        <f>Assumptions!H125</f>
        <v>0.1</v>
      </c>
      <c r="G112" s="38" t="str">
        <f t="shared" si="21"/>
        <v>Option 2sens3</v>
      </c>
      <c r="I112" s="31" cm="1">
        <f t="array" ref="I112">I$106+IF($C112&lt;&gt;0,SUMPRODUCT((I$107:I$108)*TRANSPOSE(($D112:$E112))),0)</f>
        <v>0</v>
      </c>
      <c r="J112" s="31" cm="1">
        <f t="array" ref="J112">J$106+IF($C112&lt;&gt;0,SUMPRODUCT((J$107:J$108)*TRANSPOSE(($D112:$E112))),0)</f>
        <v>95315.003625823272</v>
      </c>
      <c r="K112" s="31" cm="1">
        <f t="array" ref="K112">K$106+IF($C112&lt;&gt;0,SUMPRODUCT((K$107:K$108)*TRANSPOSE(($D112:$E112))),0)</f>
        <v>190626.11318768366</v>
      </c>
      <c r="L112" s="31" cm="1">
        <f t="array" ref="L112">L$106+IF($C112&lt;&gt;0,SUMPRODUCT((L$107:L$108)*TRANSPOSE(($D112:$E112))),0)</f>
        <v>285940.46650482545</v>
      </c>
      <c r="M112" s="31" cm="1">
        <f t="array" ref="M112">M$106+IF($C112&lt;&gt;0,SUMPRODUCT((M$107:M$108)*TRANSPOSE(($D112:$E112))),0)</f>
        <v>687326.99735463143</v>
      </c>
      <c r="N112" s="31" cm="1">
        <f t="array" ref="N112">N$106+IF($C112&lt;&gt;0,SUMPRODUCT((N$107:N$108)*TRANSPOSE(($D112:$E112))),0)</f>
        <v>663668.85148222616</v>
      </c>
      <c r="O112" s="31" cm="1">
        <f t="array" ref="O112">O$106+IF($C112&lt;&gt;0,SUMPRODUCT((O$107:O$108)*TRANSPOSE(($D112:$E112))),0)</f>
        <v>645743.3229935139</v>
      </c>
      <c r="P112" s="31" cm="1">
        <f t="array" ref="P112">P$106+IF($C112&lt;&gt;0,SUMPRODUCT((P$107:P$108)*TRANSPOSE(($D112:$E112))),0)</f>
        <v>623366.38494350412</v>
      </c>
      <c r="Q112" s="31" cm="1">
        <f t="array" ref="Q112">Q$106+IF($C112&lt;&gt;0,SUMPRODUCT((Q$107:Q$108)*TRANSPOSE(($D112:$E112))),0)</f>
        <v>602140.83544457122</v>
      </c>
      <c r="R112" s="31" cm="1">
        <f t="array" ref="R112">R$106+IF($C112&lt;&gt;0,SUMPRODUCT((R$107:R$108)*TRANSPOSE(($D112:$E112))),0)</f>
        <v>568003.5243970023</v>
      </c>
      <c r="S112" s="31" cm="1">
        <f t="array" ref="S112">S$106+IF($C112&lt;&gt;0,SUMPRODUCT((S$107:S$108)*TRANSPOSE(($D112:$E112))),0)</f>
        <v>533866.21334943245</v>
      </c>
      <c r="T112" s="31" cm="1">
        <f t="array" ref="T112">T$106+IF($C112&lt;&gt;0,SUMPRODUCT((T$107:T$108)*TRANSPOSE(($D112:$E112))),0)</f>
        <v>499728.90230186307</v>
      </c>
      <c r="U112" s="31" cm="1">
        <f t="array" ref="U112">U$106+IF($C112&lt;&gt;0,SUMPRODUCT((U$107:U$108)*TRANSPOSE(($D112:$E112))),0)</f>
        <v>465591.59125429316</v>
      </c>
      <c r="V112" s="31" cm="1">
        <f t="array" ref="V112">V$106+IF($C112&lt;&gt;0,SUMPRODUCT((V$107:V$108)*TRANSPOSE(($D112:$E112))),0)</f>
        <v>431454.28020672378</v>
      </c>
      <c r="W112" s="31" cm="1">
        <f t="array" ref="W112">W$106+IF($C112&lt;&gt;0,SUMPRODUCT((W$107:W$108)*TRANSPOSE(($D112:$E112))),0)</f>
        <v>397316.96915915445</v>
      </c>
      <c r="X112" s="31" cm="1">
        <f t="array" ref="X112">X$106+IF($C112&lt;&gt;0,SUMPRODUCT((X$107:X$108)*TRANSPOSE(($D112:$E112))),0)</f>
        <v>363179.65811158461</v>
      </c>
      <c r="Y112" s="31" cm="1">
        <f t="array" ref="Y112">Y$106+IF($C112&lt;&gt;0,SUMPRODUCT((Y$107:Y$108)*TRANSPOSE(($D112:$E112))),0)</f>
        <v>329042.34706401522</v>
      </c>
      <c r="Z112" s="31" cm="1">
        <f t="array" ref="Z112">Z$106+IF($C112&lt;&gt;0,SUMPRODUCT((Z$107:Z$108)*TRANSPOSE(($D112:$E112))),0)</f>
        <v>294905.03601644537</v>
      </c>
      <c r="AA112" s="31" cm="1">
        <f t="array" ref="AA112">AA$106+IF($C112&lt;&gt;0,SUMPRODUCT((AA$107:AA$108)*TRANSPOSE(($D112:$E112))),0)</f>
        <v>260767.72496887547</v>
      </c>
      <c r="AB112" s="31" cm="1">
        <f t="array" ref="AB112">AB$106+IF($C112&lt;&gt;0,SUMPRODUCT((AB$107:AB$108)*TRANSPOSE(($D112:$E112))),0)</f>
        <v>226630.41392130664</v>
      </c>
      <c r="AC112" s="31" cm="1">
        <f t="array" ref="AC112">AC$106+IF($C112&lt;&gt;0,SUMPRODUCT((AC$107:AC$108)*TRANSPOSE(($D112:$E112))),0)</f>
        <v>192493.10287373728</v>
      </c>
      <c r="AD112" s="31" cm="1">
        <f t="array" ref="AD112">AD$106+IF($C112&lt;&gt;0,SUMPRODUCT((AD$107:AD$108)*TRANSPOSE(($D112:$E112))),0)</f>
        <v>158355.79182616738</v>
      </c>
      <c r="AE112" s="31" cm="1">
        <f t="array" ref="AE112">AE$106+IF($C112&lt;&gt;0,SUMPRODUCT((AE$107:AE$108)*TRANSPOSE(($D112:$E112))),0)</f>
        <v>124222.94700238921</v>
      </c>
      <c r="AF112" s="31" cm="1">
        <f t="array" ref="AF112">AF$106+IF($C112&lt;&gt;0,SUMPRODUCT((AF$107:AF$108)*TRANSPOSE(($D112:$E112))),0)</f>
        <v>90085.635954820886</v>
      </c>
      <c r="AG112" s="31" cm="1">
        <f t="array" ref="AG112">AG$106+IF($C112&lt;&gt;0,SUMPRODUCT((AG$107:AG$108)*TRANSPOSE(($D112:$E112))),0)</f>
        <v>255402.1440309035</v>
      </c>
    </row>
    <row r="113" spans="1:33" x14ac:dyDescent="0.3">
      <c r="A113" s="1" t="str">
        <f>"sens"&amp;Assumptions!B126</f>
        <v>sens4</v>
      </c>
      <c r="C113" s="300" t="str">
        <f>Assumptions!C126</f>
        <v>Total benefits 10% lower</v>
      </c>
      <c r="D113" s="301">
        <f>Assumptions!G126</f>
        <v>0</v>
      </c>
      <c r="E113" s="301">
        <f>Assumptions!H126</f>
        <v>-0.1</v>
      </c>
      <c r="G113" s="38" t="str">
        <f t="shared" si="21"/>
        <v>Option 2sens4</v>
      </c>
      <c r="I113" s="31" cm="1">
        <f t="array" ref="I113">I$106+IF($C113&lt;&gt;0,SUMPRODUCT((I$107:I$108)*TRANSPOSE(($D113:$E113))),0)</f>
        <v>0</v>
      </c>
      <c r="J113" s="31" cm="1">
        <f t="array" ref="J113">J$106+IF($C113&lt;&gt;0,SUMPRODUCT((J$107:J$108)*TRANSPOSE(($D113:$E113))),0)</f>
        <v>77985.002966582688</v>
      </c>
      <c r="K113" s="31" cm="1">
        <f t="array" ref="K113">K$106+IF($C113&lt;&gt;0,SUMPRODUCT((K$107:K$108)*TRANSPOSE(($D113:$E113))),0)</f>
        <v>155966.81988083207</v>
      </c>
      <c r="L113" s="31" cm="1">
        <f t="array" ref="L113">L$106+IF($C113&lt;&gt;0,SUMPRODUCT((L$107:L$108)*TRANSPOSE(($D113:$E113))),0)</f>
        <v>233951.29077667539</v>
      </c>
      <c r="M113" s="31" cm="1">
        <f t="array" ref="M113">M$106+IF($C113&lt;&gt;0,SUMPRODUCT((M$107:M$108)*TRANSPOSE(($D113:$E113))),0)</f>
        <v>511548.66708585242</v>
      </c>
      <c r="N113" s="31" cm="1">
        <f t="array" ref="N113">N$106+IF($C113&lt;&gt;0,SUMPRODUCT((N$107:N$108)*TRANSPOSE(($D113:$E113))),0)</f>
        <v>492192.00228115718</v>
      </c>
      <c r="O113" s="31" cm="1">
        <f t="array" ref="O113">O$106+IF($C113&lt;&gt;0,SUMPRODUCT((O$107:O$108)*TRANSPOSE(($D113:$E113))),0)</f>
        <v>477525.66079039266</v>
      </c>
      <c r="P113" s="31" cm="1">
        <f t="array" ref="P113">P$106+IF($C113&lt;&gt;0,SUMPRODUCT((P$107:P$108)*TRANSPOSE(($D113:$E113))),0)</f>
        <v>459217.25693129376</v>
      </c>
      <c r="Q113" s="31" cm="1">
        <f t="array" ref="Q113">Q$106+IF($C113&lt;&gt;0,SUMPRODUCT((Q$107:Q$108)*TRANSPOSE(($D113:$E113))),0)</f>
        <v>441850.89825034857</v>
      </c>
      <c r="R113" s="31" cm="1">
        <f t="array" ref="R113">R$106+IF($C113&lt;&gt;0,SUMPRODUCT((R$107:R$108)*TRANSPOSE(($D113:$E113))),0)</f>
        <v>413920.3710296104</v>
      </c>
      <c r="S113" s="31" cm="1">
        <f t="array" ref="S113">S$106+IF($C113&lt;&gt;0,SUMPRODUCT((S$107:S$108)*TRANSPOSE(($D113:$E113))),0)</f>
        <v>385989.84380887146</v>
      </c>
      <c r="T113" s="31" cm="1">
        <f t="array" ref="T113">T$106+IF($C113&lt;&gt;0,SUMPRODUCT((T$107:T$108)*TRANSPOSE(($D113:$E113))),0)</f>
        <v>358059.31658813288</v>
      </c>
      <c r="U113" s="31" cm="1">
        <f t="array" ref="U113">U$106+IF($C113&lt;&gt;0,SUMPRODUCT((U$107:U$108)*TRANSPOSE(($D113:$E113))),0)</f>
        <v>330128.78936739388</v>
      </c>
      <c r="V113" s="31" cm="1">
        <f t="array" ref="V113">V$106+IF($C113&lt;&gt;0,SUMPRODUCT((V$107:V$108)*TRANSPOSE(($D113:$E113))),0)</f>
        <v>302198.2621466553</v>
      </c>
      <c r="W113" s="31" cm="1">
        <f t="array" ref="W113">W$106+IF($C113&lt;&gt;0,SUMPRODUCT((W$107:W$108)*TRANSPOSE(($D113:$E113))),0)</f>
        <v>274267.73492591677</v>
      </c>
      <c r="X113" s="31" cm="1">
        <f t="array" ref="X113">X$106+IF($C113&lt;&gt;0,SUMPRODUCT((X$107:X$108)*TRANSPOSE(($D113:$E113))),0)</f>
        <v>246337.20770517775</v>
      </c>
      <c r="Y113" s="31" cm="1">
        <f t="array" ref="Y113">Y$106+IF($C113&lt;&gt;0,SUMPRODUCT((Y$107:Y$108)*TRANSPOSE(($D113:$E113))),0)</f>
        <v>218406.68048443916</v>
      </c>
      <c r="Z113" s="31" cm="1">
        <f t="array" ref="Z113">Z$106+IF($C113&lt;&gt;0,SUMPRODUCT((Z$107:Z$108)*TRANSPOSE(($D113:$E113))),0)</f>
        <v>190476.15326370019</v>
      </c>
      <c r="AA113" s="31" cm="1">
        <f t="array" ref="AA113">AA$106+IF($C113&lt;&gt;0,SUMPRODUCT((AA$107:AA$108)*TRANSPOSE(($D113:$E113))),0)</f>
        <v>162545.6260429612</v>
      </c>
      <c r="AB113" s="31" cm="1">
        <f t="array" ref="AB113">AB$106+IF($C113&lt;&gt;0,SUMPRODUCT((AB$107:AB$108)*TRANSPOSE(($D113:$E113))),0)</f>
        <v>134615.09882222305</v>
      </c>
      <c r="AC113" s="31" cm="1">
        <f t="array" ref="AC113">AC$106+IF($C113&lt;&gt;0,SUMPRODUCT((AC$107:AC$108)*TRANSPOSE(($D113:$E113))),0)</f>
        <v>106684.57160148449</v>
      </c>
      <c r="AD113" s="31" cm="1">
        <f t="array" ref="AD113">AD$106+IF($C113&lt;&gt;0,SUMPRODUCT((AD$107:AD$108)*TRANSPOSE(($D113:$E113))),0)</f>
        <v>78754.044380745501</v>
      </c>
      <c r="AE113" s="31" cm="1">
        <f t="array" ref="AE113">AE$106+IF($C113&lt;&gt;0,SUMPRODUCT((AE$107:AE$108)*TRANSPOSE(($D113:$E113))),0)</f>
        <v>50827.171343108806</v>
      </c>
      <c r="AF113" s="31" cm="1">
        <f t="array" ref="AF113">AF$106+IF($C113&lt;&gt;0,SUMPRODUCT((AF$107:AF$108)*TRANSPOSE(($D113:$E113))),0)</f>
        <v>22896.644122371086</v>
      </c>
      <c r="AG113" s="31" cm="1">
        <f t="array" ref="AG113">AG$106+IF($C113&lt;&gt;0,SUMPRODUCT((AG$107:AG$108)*TRANSPOSE(($D113:$E113))),0)</f>
        <v>194419.93602528467</v>
      </c>
    </row>
    <row r="114" spans="1:33" x14ac:dyDescent="0.3">
      <c r="A114" s="1" t="str">
        <f>"sens"&amp;Assumptions!B127</f>
        <v>sens5</v>
      </c>
      <c r="C114" s="300" t="str">
        <f>Assumptions!C127</f>
        <v>Capex 10% higher &amp; Total benefits 10% lower</v>
      </c>
      <c r="D114" s="301">
        <f>Assumptions!G127</f>
        <v>0.1</v>
      </c>
      <c r="E114" s="301">
        <f>Assumptions!H127</f>
        <v>-0.1</v>
      </c>
      <c r="G114" s="38" t="str">
        <f t="shared" si="21"/>
        <v>Option 2sens5</v>
      </c>
      <c r="I114" s="31" cm="1">
        <f t="array" ref="I114">I$106+IF($C114&lt;&gt;0,SUMPRODUCT((I$107:I$108)*TRANSPOSE(($D114:$E114))),0)</f>
        <v>0</v>
      </c>
      <c r="J114" s="31" cm="1">
        <f t="array" ref="J114">J$106+IF($C114&lt;&gt;0,SUMPRODUCT((J$107:J$108)*TRANSPOSE(($D114:$E114))),0)</f>
        <v>77985.002966582688</v>
      </c>
      <c r="K114" s="31" cm="1">
        <f t="array" ref="K114">K$106+IF($C114&lt;&gt;0,SUMPRODUCT((K$107:K$108)*TRANSPOSE(($D114:$E114))),0)</f>
        <v>155966.81988083207</v>
      </c>
      <c r="L114" s="31" cm="1">
        <f t="array" ref="L114">L$106+IF($C114&lt;&gt;0,SUMPRODUCT((L$107:L$108)*TRANSPOSE(($D114:$E114))),0)</f>
        <v>233951.29077667539</v>
      </c>
      <c r="M114" s="31" cm="1">
        <f t="array" ref="M114">M$106+IF($C114&lt;&gt;0,SUMPRODUCT((M$107:M$108)*TRANSPOSE(($D114:$E114))),0)</f>
        <v>491603.28517348709</v>
      </c>
      <c r="N114" s="31" cm="1">
        <f t="array" ref="N114">N$106+IF($C114&lt;&gt;0,SUMPRODUCT((N$107:N$108)*TRANSPOSE(($D114:$E114))),0)</f>
        <v>472246.62036879192</v>
      </c>
      <c r="O114" s="31" cm="1">
        <f t="array" ref="O114">O$106+IF($C114&lt;&gt;0,SUMPRODUCT((O$107:O$108)*TRANSPOSE(($D114:$E114))),0)</f>
        <v>457580.27887802734</v>
      </c>
      <c r="P114" s="31" cm="1">
        <f t="array" ref="P114">P$106+IF($C114&lt;&gt;0,SUMPRODUCT((P$107:P$108)*TRANSPOSE(($D114:$E114))),0)</f>
        <v>439271.87501892843</v>
      </c>
      <c r="Q114" s="31" cm="1">
        <f t="array" ref="Q114">Q$106+IF($C114&lt;&gt;0,SUMPRODUCT((Q$107:Q$108)*TRANSPOSE(($D114:$E114))),0)</f>
        <v>421905.51633798331</v>
      </c>
      <c r="R114" s="31" cm="1">
        <f t="array" ref="R114">R$106+IF($C114&lt;&gt;0,SUMPRODUCT((R$107:R$108)*TRANSPOSE(($D114:$E114))),0)</f>
        <v>393974.98911724513</v>
      </c>
      <c r="S114" s="31" cm="1">
        <f t="array" ref="S114">S$106+IF($C114&lt;&gt;0,SUMPRODUCT((S$107:S$108)*TRANSPOSE(($D114:$E114))),0)</f>
        <v>366044.46189650614</v>
      </c>
      <c r="T114" s="31" cm="1">
        <f t="array" ref="T114">T$106+IF($C114&lt;&gt;0,SUMPRODUCT((T$107:T$108)*TRANSPOSE(($D114:$E114))),0)</f>
        <v>338113.93467576755</v>
      </c>
      <c r="U114" s="31" cm="1">
        <f t="array" ref="U114">U$106+IF($C114&lt;&gt;0,SUMPRODUCT((U$107:U$108)*TRANSPOSE(($D114:$E114))),0)</f>
        <v>310183.40745502856</v>
      </c>
      <c r="V114" s="31" cm="1">
        <f t="array" ref="V114">V$106+IF($C114&lt;&gt;0,SUMPRODUCT((V$107:V$108)*TRANSPOSE(($D114:$E114))),0)</f>
        <v>282252.88023428997</v>
      </c>
      <c r="W114" s="31" cm="1">
        <f t="array" ref="W114">W$106+IF($C114&lt;&gt;0,SUMPRODUCT((W$107:W$108)*TRANSPOSE(($D114:$E114))),0)</f>
        <v>254322.35301355144</v>
      </c>
      <c r="X114" s="31" cm="1">
        <f t="array" ref="X114">X$106+IF($C114&lt;&gt;0,SUMPRODUCT((X$107:X$108)*TRANSPOSE(($D114:$E114))),0)</f>
        <v>226391.82579281245</v>
      </c>
      <c r="Y114" s="31" cm="1">
        <f t="array" ref="Y114">Y$106+IF($C114&lt;&gt;0,SUMPRODUCT((Y$107:Y$108)*TRANSPOSE(($D114:$E114))),0)</f>
        <v>198461.29857207387</v>
      </c>
      <c r="Z114" s="31" cm="1">
        <f t="array" ref="Z114">Z$106+IF($C114&lt;&gt;0,SUMPRODUCT((Z$107:Z$108)*TRANSPOSE(($D114:$E114))),0)</f>
        <v>170530.7713513349</v>
      </c>
      <c r="AA114" s="31" cm="1">
        <f t="array" ref="AA114">AA$106+IF($C114&lt;&gt;0,SUMPRODUCT((AA$107:AA$108)*TRANSPOSE(($D114:$E114))),0)</f>
        <v>142600.24413059591</v>
      </c>
      <c r="AB114" s="31" cm="1">
        <f t="array" ref="AB114">AB$106+IF($C114&lt;&gt;0,SUMPRODUCT((AB$107:AB$108)*TRANSPOSE(($D114:$E114))),0)</f>
        <v>114669.71690985776</v>
      </c>
      <c r="AC114" s="31" cm="1">
        <f t="array" ref="AC114">AC$106+IF($C114&lt;&gt;0,SUMPRODUCT((AC$107:AC$108)*TRANSPOSE(($D114:$E114))),0)</f>
        <v>86739.189689119201</v>
      </c>
      <c r="AD114" s="31" cm="1">
        <f t="array" ref="AD114">AD$106+IF($C114&lt;&gt;0,SUMPRODUCT((AD$107:AD$108)*TRANSPOSE(($D114:$E114))),0)</f>
        <v>58808.662468380193</v>
      </c>
      <c r="AE114" s="31" cm="1">
        <f t="array" ref="AE114">AE$106+IF($C114&lt;&gt;0,SUMPRODUCT((AE$107:AE$108)*TRANSPOSE(($D114:$E114))),0)</f>
        <v>30881.789430743505</v>
      </c>
      <c r="AF114" s="31" cm="1">
        <f t="array" ref="AF114">AF$106+IF($C114&lt;&gt;0,SUMPRODUCT((AF$107:AF$108)*TRANSPOSE(($D114:$E114))),0)</f>
        <v>2951.2622100057924</v>
      </c>
      <c r="AG114" s="31" cm="1">
        <f t="array" ref="AG114">AG$106+IF($C114&lt;&gt;0,SUMPRODUCT((AG$107:AG$108)*TRANSPOSE(($D114:$E114))),0)</f>
        <v>194419.93602528467</v>
      </c>
    </row>
    <row r="115" spans="1:33" x14ac:dyDescent="0.3">
      <c r="A115" s="1" t="str">
        <f>"sens"&amp;Assumptions!B128</f>
        <v>sens</v>
      </c>
      <c r="C115" s="300">
        <f>Assumptions!C128</f>
        <v>0</v>
      </c>
      <c r="D115" s="301">
        <f>Assumptions!G128</f>
        <v>0</v>
      </c>
      <c r="E115" s="301">
        <f>Assumptions!H128</f>
        <v>0</v>
      </c>
      <c r="G115" s="38" t="str">
        <f t="shared" si="21"/>
        <v>Option 2sens</v>
      </c>
      <c r="I115" s="31" cm="1">
        <f t="array" ref="I115">I$106+IF($C115&lt;&gt;0,SUMPRODUCT((I$107:I$108)*TRANSPOSE(($D115:$E115))),0)</f>
        <v>0</v>
      </c>
      <c r="J115" s="31" cm="1">
        <f t="array" ref="J115">J$106+IF($C115&lt;&gt;0,SUMPRODUCT((J$107:J$108)*TRANSPOSE(($D115:$E115))),0)</f>
        <v>86650.00329620298</v>
      </c>
      <c r="K115" s="31" cm="1">
        <f t="array" ref="K115">K$106+IF($C115&lt;&gt;0,SUMPRODUCT((K$107:K$108)*TRANSPOSE(($D115:$E115))),0)</f>
        <v>173296.46653425787</v>
      </c>
      <c r="L115" s="31" cm="1">
        <f t="array" ref="L115">L$106+IF($C115&lt;&gt;0,SUMPRODUCT((L$107:L$108)*TRANSPOSE(($D115:$E115))),0)</f>
        <v>259945.87864075042</v>
      </c>
      <c r="M115" s="31" cm="1">
        <f t="array" ref="M115">M$106+IF($C115&lt;&gt;0,SUMPRODUCT((M$107:M$108)*TRANSPOSE(($D115:$E115))),0)</f>
        <v>599437.83222024189</v>
      </c>
      <c r="N115" s="31" cm="1">
        <f t="array" ref="N115">N$106+IF($C115&lt;&gt;0,SUMPRODUCT((N$107:N$108)*TRANSPOSE(($D115:$E115))),0)</f>
        <v>577930.42688169167</v>
      </c>
      <c r="O115" s="31" cm="1">
        <f t="array" ref="O115">O$106+IF($C115&lt;&gt;0,SUMPRODUCT((O$107:O$108)*TRANSPOSE(($D115:$E115))),0)</f>
        <v>561634.49189195328</v>
      </c>
      <c r="P115" s="31" cm="1">
        <f t="array" ref="P115">P$106+IF($C115&lt;&gt;0,SUMPRODUCT((P$107:P$108)*TRANSPOSE(($D115:$E115))),0)</f>
        <v>541291.82093739894</v>
      </c>
      <c r="Q115" s="31" cm="1">
        <f t="array" ref="Q115">Q$106+IF($C115&lt;&gt;0,SUMPRODUCT((Q$107:Q$108)*TRANSPOSE(($D115:$E115))),0)</f>
        <v>521995.86684745987</v>
      </c>
      <c r="R115" s="31" cm="1">
        <f t="array" ref="R115">R$106+IF($C115&lt;&gt;0,SUMPRODUCT((R$107:R$108)*TRANSPOSE(($D115:$E115))),0)</f>
        <v>490961.94771330635</v>
      </c>
      <c r="S115" s="31" cm="1">
        <f t="array" ref="S115">S$106+IF($C115&lt;&gt;0,SUMPRODUCT((S$107:S$108)*TRANSPOSE(($D115:$E115))),0)</f>
        <v>459928.02857915196</v>
      </c>
      <c r="T115" s="31" cm="1">
        <f t="array" ref="T115">T$106+IF($C115&lt;&gt;0,SUMPRODUCT((T$107:T$108)*TRANSPOSE(($D115:$E115))),0)</f>
        <v>428894.10944499797</v>
      </c>
      <c r="U115" s="31" cm="1">
        <f t="array" ref="U115">U$106+IF($C115&lt;&gt;0,SUMPRODUCT((U$107:U$108)*TRANSPOSE(($D115:$E115))),0)</f>
        <v>397860.19031084352</v>
      </c>
      <c r="V115" s="31" cm="1">
        <f t="array" ref="V115">V$106+IF($C115&lt;&gt;0,SUMPRODUCT((V$107:V$108)*TRANSPOSE(($D115:$E115))),0)</f>
        <v>366826.27117668954</v>
      </c>
      <c r="W115" s="31" cm="1">
        <f t="array" ref="W115">W$106+IF($C115&lt;&gt;0,SUMPRODUCT((W$107:W$108)*TRANSPOSE(($D115:$E115))),0)</f>
        <v>335792.35204253561</v>
      </c>
      <c r="X115" s="31" cm="1">
        <f t="array" ref="X115">X$106+IF($C115&lt;&gt;0,SUMPRODUCT((X$107:X$108)*TRANSPOSE(($D115:$E115))),0)</f>
        <v>304758.43290838116</v>
      </c>
      <c r="Y115" s="31" cm="1">
        <f t="array" ref="Y115">Y$106+IF($C115&lt;&gt;0,SUMPRODUCT((Y$107:Y$108)*TRANSPOSE(($D115:$E115))),0)</f>
        <v>273724.51377422718</v>
      </c>
      <c r="Z115" s="31" cm="1">
        <f t="array" ref="Z115">Z$106+IF($C115&lt;&gt;0,SUMPRODUCT((Z$107:Z$108)*TRANSPOSE(($D115:$E115))),0)</f>
        <v>242690.59464007278</v>
      </c>
      <c r="AA115" s="31" cm="1">
        <f t="array" ref="AA115">AA$106+IF($C115&lt;&gt;0,SUMPRODUCT((AA$107:AA$108)*TRANSPOSE(($D115:$E115))),0)</f>
        <v>211656.67550591833</v>
      </c>
      <c r="AB115" s="31" cm="1">
        <f t="array" ref="AB115">AB$106+IF($C115&lt;&gt;0,SUMPRODUCT((AB$107:AB$108)*TRANSPOSE(($D115:$E115))),0)</f>
        <v>180622.75637176484</v>
      </c>
      <c r="AC115" s="31" cm="1">
        <f t="array" ref="AC115">AC$106+IF($C115&lt;&gt;0,SUMPRODUCT((AC$107:AC$108)*TRANSPOSE(($D115:$E115))),0)</f>
        <v>149588.83723761089</v>
      </c>
      <c r="AD115" s="31" cm="1">
        <f t="array" ref="AD115">AD$106+IF($C115&lt;&gt;0,SUMPRODUCT((AD$107:AD$108)*TRANSPOSE(($D115:$E115))),0)</f>
        <v>118554.91810345644</v>
      </c>
      <c r="AE115" s="31" cm="1">
        <f t="array" ref="AE115">AE$106+IF($C115&lt;&gt;0,SUMPRODUCT((AE$107:AE$108)*TRANSPOSE(($D115:$E115))),0)</f>
        <v>87525.05917274901</v>
      </c>
      <c r="AF115" s="31" cm="1">
        <f t="array" ref="AF115">AF$106+IF($C115&lt;&gt;0,SUMPRODUCT((AF$107:AF$108)*TRANSPOSE(($D115:$E115))),0)</f>
        <v>56491.140038595986</v>
      </c>
      <c r="AG115" s="31" cm="1">
        <f t="array" ref="AG115">AG$106+IF($C115&lt;&gt;0,SUMPRODUCT((AG$107:AG$108)*TRANSPOSE(($D115:$E115))),0)</f>
        <v>224911.04002809408</v>
      </c>
    </row>
    <row r="116" spans="1:33" x14ac:dyDescent="0.3">
      <c r="A116" s="1" t="str">
        <f>"sens"&amp;Assumptions!B129</f>
        <v>sens</v>
      </c>
      <c r="C116" s="300">
        <f>Assumptions!C129</f>
        <v>0</v>
      </c>
      <c r="D116" s="301">
        <f>Assumptions!G129</f>
        <v>0</v>
      </c>
      <c r="E116" s="301">
        <f>Assumptions!H129</f>
        <v>0</v>
      </c>
      <c r="G116" s="38" t="str">
        <f t="shared" si="21"/>
        <v>Option 2sens</v>
      </c>
      <c r="I116" s="31" cm="1">
        <f t="array" ref="I116">I$106+IF($C116&lt;&gt;0,SUMPRODUCT((I$107:I$108)*TRANSPOSE(($D116:$E116))),0)</f>
        <v>0</v>
      </c>
      <c r="J116" s="31" cm="1">
        <f t="array" ref="J116">J$106+IF($C116&lt;&gt;0,SUMPRODUCT((J$107:J$108)*TRANSPOSE(($D116:$E116))),0)</f>
        <v>86650.00329620298</v>
      </c>
      <c r="K116" s="31" cm="1">
        <f t="array" ref="K116">K$106+IF($C116&lt;&gt;0,SUMPRODUCT((K$107:K$108)*TRANSPOSE(($D116:$E116))),0)</f>
        <v>173296.46653425787</v>
      </c>
      <c r="L116" s="31" cm="1">
        <f t="array" ref="L116">L$106+IF($C116&lt;&gt;0,SUMPRODUCT((L$107:L$108)*TRANSPOSE(($D116:$E116))),0)</f>
        <v>259945.87864075042</v>
      </c>
      <c r="M116" s="31" cm="1">
        <f t="array" ref="M116">M$106+IF($C116&lt;&gt;0,SUMPRODUCT((M$107:M$108)*TRANSPOSE(($D116:$E116))),0)</f>
        <v>599437.83222024189</v>
      </c>
      <c r="N116" s="31" cm="1">
        <f t="array" ref="N116">N$106+IF($C116&lt;&gt;0,SUMPRODUCT((N$107:N$108)*TRANSPOSE(($D116:$E116))),0)</f>
        <v>577930.42688169167</v>
      </c>
      <c r="O116" s="31" cm="1">
        <f t="array" ref="O116">O$106+IF($C116&lt;&gt;0,SUMPRODUCT((O$107:O$108)*TRANSPOSE(($D116:$E116))),0)</f>
        <v>561634.49189195328</v>
      </c>
      <c r="P116" s="31" cm="1">
        <f t="array" ref="P116">P$106+IF($C116&lt;&gt;0,SUMPRODUCT((P$107:P$108)*TRANSPOSE(($D116:$E116))),0)</f>
        <v>541291.82093739894</v>
      </c>
      <c r="Q116" s="31" cm="1">
        <f t="array" ref="Q116">Q$106+IF($C116&lt;&gt;0,SUMPRODUCT((Q$107:Q$108)*TRANSPOSE(($D116:$E116))),0)</f>
        <v>521995.86684745987</v>
      </c>
      <c r="R116" s="31" cm="1">
        <f t="array" ref="R116">R$106+IF($C116&lt;&gt;0,SUMPRODUCT((R$107:R$108)*TRANSPOSE(($D116:$E116))),0)</f>
        <v>490961.94771330635</v>
      </c>
      <c r="S116" s="31" cm="1">
        <f t="array" ref="S116">S$106+IF($C116&lt;&gt;0,SUMPRODUCT((S$107:S$108)*TRANSPOSE(($D116:$E116))),0)</f>
        <v>459928.02857915196</v>
      </c>
      <c r="T116" s="31" cm="1">
        <f t="array" ref="T116">T$106+IF($C116&lt;&gt;0,SUMPRODUCT((T$107:T$108)*TRANSPOSE(($D116:$E116))),0)</f>
        <v>428894.10944499797</v>
      </c>
      <c r="U116" s="31" cm="1">
        <f t="array" ref="U116">U$106+IF($C116&lt;&gt;0,SUMPRODUCT((U$107:U$108)*TRANSPOSE(($D116:$E116))),0)</f>
        <v>397860.19031084352</v>
      </c>
      <c r="V116" s="31" cm="1">
        <f t="array" ref="V116">V$106+IF($C116&lt;&gt;0,SUMPRODUCT((V$107:V$108)*TRANSPOSE(($D116:$E116))),0)</f>
        <v>366826.27117668954</v>
      </c>
      <c r="W116" s="31" cm="1">
        <f t="array" ref="W116">W$106+IF($C116&lt;&gt;0,SUMPRODUCT((W$107:W$108)*TRANSPOSE(($D116:$E116))),0)</f>
        <v>335792.35204253561</v>
      </c>
      <c r="X116" s="31" cm="1">
        <f t="array" ref="X116">X$106+IF($C116&lt;&gt;0,SUMPRODUCT((X$107:X$108)*TRANSPOSE(($D116:$E116))),0)</f>
        <v>304758.43290838116</v>
      </c>
      <c r="Y116" s="31" cm="1">
        <f t="array" ref="Y116">Y$106+IF($C116&lt;&gt;0,SUMPRODUCT((Y$107:Y$108)*TRANSPOSE(($D116:$E116))),0)</f>
        <v>273724.51377422718</v>
      </c>
      <c r="Z116" s="31" cm="1">
        <f t="array" ref="Z116">Z$106+IF($C116&lt;&gt;0,SUMPRODUCT((Z$107:Z$108)*TRANSPOSE(($D116:$E116))),0)</f>
        <v>242690.59464007278</v>
      </c>
      <c r="AA116" s="31" cm="1">
        <f t="array" ref="AA116">AA$106+IF($C116&lt;&gt;0,SUMPRODUCT((AA$107:AA$108)*TRANSPOSE(($D116:$E116))),0)</f>
        <v>211656.67550591833</v>
      </c>
      <c r="AB116" s="31" cm="1">
        <f t="array" ref="AB116">AB$106+IF($C116&lt;&gt;0,SUMPRODUCT((AB$107:AB$108)*TRANSPOSE(($D116:$E116))),0)</f>
        <v>180622.75637176484</v>
      </c>
      <c r="AC116" s="31" cm="1">
        <f t="array" ref="AC116">AC$106+IF($C116&lt;&gt;0,SUMPRODUCT((AC$107:AC$108)*TRANSPOSE(($D116:$E116))),0)</f>
        <v>149588.83723761089</v>
      </c>
      <c r="AD116" s="31" cm="1">
        <f t="array" ref="AD116">AD$106+IF($C116&lt;&gt;0,SUMPRODUCT((AD$107:AD$108)*TRANSPOSE(($D116:$E116))),0)</f>
        <v>118554.91810345644</v>
      </c>
      <c r="AE116" s="31" cm="1">
        <f t="array" ref="AE116">AE$106+IF($C116&lt;&gt;0,SUMPRODUCT((AE$107:AE$108)*TRANSPOSE(($D116:$E116))),0)</f>
        <v>87525.05917274901</v>
      </c>
      <c r="AF116" s="31" cm="1">
        <f t="array" ref="AF116">AF$106+IF($C116&lt;&gt;0,SUMPRODUCT((AF$107:AF$108)*TRANSPOSE(($D116:$E116))),0)</f>
        <v>56491.140038595986</v>
      </c>
      <c r="AG116" s="31" cm="1">
        <f t="array" ref="AG116">AG$106+IF($C116&lt;&gt;0,SUMPRODUCT((AG$107:AG$108)*TRANSPOSE(($D116:$E116))),0)</f>
        <v>224911.04002809408</v>
      </c>
    </row>
    <row r="117" spans="1:33" x14ac:dyDescent="0.3">
      <c r="A117" s="1" t="str">
        <f>"sens"&amp;Assumptions!B130</f>
        <v>sens</v>
      </c>
      <c r="C117" s="300">
        <f>Assumptions!C130</f>
        <v>0</v>
      </c>
      <c r="D117" s="301">
        <f>Assumptions!G130</f>
        <v>0</v>
      </c>
      <c r="E117" s="301">
        <f>Assumptions!H130</f>
        <v>0</v>
      </c>
      <c r="G117" s="38" t="str">
        <f t="shared" si="21"/>
        <v>Option 2sens</v>
      </c>
      <c r="I117" s="31" cm="1">
        <f t="array" ref="I117">I$106+IF($C117&lt;&gt;0,SUMPRODUCT((I$107:I$108)*TRANSPOSE(($D117:$E117))),0)</f>
        <v>0</v>
      </c>
      <c r="J117" s="31" cm="1">
        <f t="array" ref="J117">J$106+IF($C117&lt;&gt;0,SUMPRODUCT((J$107:J$108)*TRANSPOSE(($D117:$E117))),0)</f>
        <v>86650.00329620298</v>
      </c>
      <c r="K117" s="31" cm="1">
        <f t="array" ref="K117">K$106+IF($C117&lt;&gt;0,SUMPRODUCT((K$107:K$108)*TRANSPOSE(($D117:$E117))),0)</f>
        <v>173296.46653425787</v>
      </c>
      <c r="L117" s="31" cm="1">
        <f t="array" ref="L117">L$106+IF($C117&lt;&gt;0,SUMPRODUCT((L$107:L$108)*TRANSPOSE(($D117:$E117))),0)</f>
        <v>259945.87864075042</v>
      </c>
      <c r="M117" s="31" cm="1">
        <f t="array" ref="M117">M$106+IF($C117&lt;&gt;0,SUMPRODUCT((M$107:M$108)*TRANSPOSE(($D117:$E117))),0)</f>
        <v>599437.83222024189</v>
      </c>
      <c r="N117" s="31" cm="1">
        <f t="array" ref="N117">N$106+IF($C117&lt;&gt;0,SUMPRODUCT((N$107:N$108)*TRANSPOSE(($D117:$E117))),0)</f>
        <v>577930.42688169167</v>
      </c>
      <c r="O117" s="31" cm="1">
        <f t="array" ref="O117">O$106+IF($C117&lt;&gt;0,SUMPRODUCT((O$107:O$108)*TRANSPOSE(($D117:$E117))),0)</f>
        <v>561634.49189195328</v>
      </c>
      <c r="P117" s="31" cm="1">
        <f t="array" ref="P117">P$106+IF($C117&lt;&gt;0,SUMPRODUCT((P$107:P$108)*TRANSPOSE(($D117:$E117))),0)</f>
        <v>541291.82093739894</v>
      </c>
      <c r="Q117" s="31" cm="1">
        <f t="array" ref="Q117">Q$106+IF($C117&lt;&gt;0,SUMPRODUCT((Q$107:Q$108)*TRANSPOSE(($D117:$E117))),0)</f>
        <v>521995.86684745987</v>
      </c>
      <c r="R117" s="31" cm="1">
        <f t="array" ref="R117">R$106+IF($C117&lt;&gt;0,SUMPRODUCT((R$107:R$108)*TRANSPOSE(($D117:$E117))),0)</f>
        <v>490961.94771330635</v>
      </c>
      <c r="S117" s="31" cm="1">
        <f t="array" ref="S117">S$106+IF($C117&lt;&gt;0,SUMPRODUCT((S$107:S$108)*TRANSPOSE(($D117:$E117))),0)</f>
        <v>459928.02857915196</v>
      </c>
      <c r="T117" s="31" cm="1">
        <f t="array" ref="T117">T$106+IF($C117&lt;&gt;0,SUMPRODUCT((T$107:T$108)*TRANSPOSE(($D117:$E117))),0)</f>
        <v>428894.10944499797</v>
      </c>
      <c r="U117" s="31" cm="1">
        <f t="array" ref="U117">U$106+IF($C117&lt;&gt;0,SUMPRODUCT((U$107:U$108)*TRANSPOSE(($D117:$E117))),0)</f>
        <v>397860.19031084352</v>
      </c>
      <c r="V117" s="31" cm="1">
        <f t="array" ref="V117">V$106+IF($C117&lt;&gt;0,SUMPRODUCT((V$107:V$108)*TRANSPOSE(($D117:$E117))),0)</f>
        <v>366826.27117668954</v>
      </c>
      <c r="W117" s="31" cm="1">
        <f t="array" ref="W117">W$106+IF($C117&lt;&gt;0,SUMPRODUCT((W$107:W$108)*TRANSPOSE(($D117:$E117))),0)</f>
        <v>335792.35204253561</v>
      </c>
      <c r="X117" s="31" cm="1">
        <f t="array" ref="X117">X$106+IF($C117&lt;&gt;0,SUMPRODUCT((X$107:X$108)*TRANSPOSE(($D117:$E117))),0)</f>
        <v>304758.43290838116</v>
      </c>
      <c r="Y117" s="31" cm="1">
        <f t="array" ref="Y117">Y$106+IF($C117&lt;&gt;0,SUMPRODUCT((Y$107:Y$108)*TRANSPOSE(($D117:$E117))),0)</f>
        <v>273724.51377422718</v>
      </c>
      <c r="Z117" s="31" cm="1">
        <f t="array" ref="Z117">Z$106+IF($C117&lt;&gt;0,SUMPRODUCT((Z$107:Z$108)*TRANSPOSE(($D117:$E117))),0)</f>
        <v>242690.59464007278</v>
      </c>
      <c r="AA117" s="31" cm="1">
        <f t="array" ref="AA117">AA$106+IF($C117&lt;&gt;0,SUMPRODUCT((AA$107:AA$108)*TRANSPOSE(($D117:$E117))),0)</f>
        <v>211656.67550591833</v>
      </c>
      <c r="AB117" s="31" cm="1">
        <f t="array" ref="AB117">AB$106+IF($C117&lt;&gt;0,SUMPRODUCT((AB$107:AB$108)*TRANSPOSE(($D117:$E117))),0)</f>
        <v>180622.75637176484</v>
      </c>
      <c r="AC117" s="31" cm="1">
        <f t="array" ref="AC117">AC$106+IF($C117&lt;&gt;0,SUMPRODUCT((AC$107:AC$108)*TRANSPOSE(($D117:$E117))),0)</f>
        <v>149588.83723761089</v>
      </c>
      <c r="AD117" s="31" cm="1">
        <f t="array" ref="AD117">AD$106+IF($C117&lt;&gt;0,SUMPRODUCT((AD$107:AD$108)*TRANSPOSE(($D117:$E117))),0)</f>
        <v>118554.91810345644</v>
      </c>
      <c r="AE117" s="31" cm="1">
        <f t="array" ref="AE117">AE$106+IF($C117&lt;&gt;0,SUMPRODUCT((AE$107:AE$108)*TRANSPOSE(($D117:$E117))),0)</f>
        <v>87525.05917274901</v>
      </c>
      <c r="AF117" s="31" cm="1">
        <f t="array" ref="AF117">AF$106+IF($C117&lt;&gt;0,SUMPRODUCT((AF$107:AF$108)*TRANSPOSE(($D117:$E117))),0)</f>
        <v>56491.140038595986</v>
      </c>
      <c r="AG117" s="31" cm="1">
        <f t="array" ref="AG117">AG$106+IF($C117&lt;&gt;0,SUMPRODUCT((AG$107:AG$108)*TRANSPOSE(($D117:$E117))),0)</f>
        <v>224911.04002809408</v>
      </c>
    </row>
    <row r="118" spans="1:33" x14ac:dyDescent="0.3">
      <c r="E118" s="243"/>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row r="129" spans="9:12" x14ac:dyDescent="0.3">
      <c r="I129" s="248"/>
      <c r="J129" s="248"/>
      <c r="K129" s="248"/>
      <c r="L129" s="248"/>
    </row>
    <row r="130" spans="9:12" x14ac:dyDescent="0.3">
      <c r="I130" s="248"/>
      <c r="J130" s="248"/>
      <c r="K130" s="248"/>
      <c r="L130" s="248"/>
    </row>
    <row r="131" spans="9:12" x14ac:dyDescent="0.3">
      <c r="I131" s="248"/>
      <c r="J131" s="248"/>
      <c r="K131" s="248"/>
      <c r="L131" s="248"/>
    </row>
    <row r="132" spans="9:12" x14ac:dyDescent="0.3">
      <c r="I132" s="248"/>
      <c r="J132" s="248"/>
      <c r="K132" s="248"/>
      <c r="L132" s="248"/>
    </row>
    <row r="133" spans="9:12" x14ac:dyDescent="0.3">
      <c r="I133" s="248"/>
      <c r="J133" s="248"/>
      <c r="K133" s="248"/>
      <c r="L133" s="248"/>
    </row>
    <row r="134" spans="9:12" x14ac:dyDescent="0.3">
      <c r="I134" s="248"/>
      <c r="J134" s="248"/>
      <c r="K134" s="248"/>
      <c r="L134" s="248"/>
    </row>
    <row r="135" spans="9:12" x14ac:dyDescent="0.3">
      <c r="I135" s="248"/>
      <c r="J135" s="248"/>
      <c r="K135" s="248"/>
      <c r="L135" s="248"/>
    </row>
    <row r="136" spans="9:12" x14ac:dyDescent="0.3">
      <c r="I136" s="248"/>
      <c r="J136" s="248"/>
      <c r="K136" s="248"/>
      <c r="L136" s="248"/>
    </row>
  </sheetData>
  <conditionalFormatting sqref="E14:E16">
    <cfRule type="expression" dxfId="10" priority="1">
      <formula>AND(SUM($I14:$AB14)&lt;&gt;0, E14=0)</formula>
    </cfRule>
  </conditionalFormatting>
  <conditionalFormatting sqref="E28">
    <cfRule type="expression" dxfId="9" priority="236">
      <formula>AND(SUM($I$27:$AG$27)&gt;0, $E$28=0)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0" id="{4F65EB60-FCE6-4945-964C-D8B8AF8E6CEB}">
            <xm:f>$A$4=Data!$C$8</xm:f>
            <x14:dxf>
              <font>
                <color theme="0" tint="-0.499984740745262"/>
              </font>
            </x14:dxf>
          </x14:cfRule>
          <xm:sqref>C3 A4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E919-3C6A-4976-AA18-0C14B57A2441}">
  <sheetPr codeName="Sheet5">
    <tabColor rgb="FF0099FF"/>
  </sheetPr>
  <dimension ref="A1:XER117"/>
  <sheetViews>
    <sheetView showGridLines="0" zoomScale="90" zoomScaleNormal="90" workbookViewId="0">
      <pane xSplit="7" ySplit="10" topLeftCell="H11" activePane="bottomRight" state="frozen"/>
      <selection activeCell="J28" sqref="J28"/>
      <selection pane="topRight" activeCell="J28" sqref="J28"/>
      <selection pane="bottomLeft" activeCell="J28" sqref="J28"/>
      <selection pane="bottomRight" activeCell="H11" sqref="H11"/>
    </sheetView>
  </sheetViews>
  <sheetFormatPr defaultColWidth="8" defaultRowHeight="13" outlineLevelRow="1" x14ac:dyDescent="0.3"/>
  <cols>
    <col min="1" max="1" width="5.4609375" style="1" customWidth="1"/>
    <col min="2" max="2" width="4.15234375" style="1" customWidth="1"/>
    <col min="3" max="3" width="35.613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5" x14ac:dyDescent="0.45">
      <c r="A2" s="56" t="str">
        <f>proj</f>
        <v>BAN003-WND024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5" x14ac:dyDescent="0.35">
      <c r="A3" s="203" t="s">
        <v>136</v>
      </c>
      <c r="B3" s="5"/>
      <c r="C3" s="200" t="str">
        <f>INDEX(Assumptions!$E$14:$E$18, MATCH(A3,_xlfn.ANCHORARRAY( Assumptions!$C$14),0))</f>
        <v>Install BESS + diesel generator microgrid in Trentham township</v>
      </c>
    </row>
    <row r="4" spans="1:43" x14ac:dyDescent="0.3">
      <c r="A4" s="201" t="str">
        <f>(INDEX(Data!$D$9:$D$13, MATCH(A3, options,0)))</f>
        <v/>
      </c>
      <c r="B4" s="187"/>
      <c r="C4" s="238" t="str">
        <f>IF(INDEX(Misc_calcs!$D$49:$D$67, MATCH(A3, Misc_calcs!$B$49:$B$67,0)), Misc_calcs!$B$70, "")</f>
        <v/>
      </c>
    </row>
    <row r="5" spans="1:43" hidden="1" outlineLevel="1" x14ac:dyDescent="0.3">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3">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3">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3">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4.5" x14ac:dyDescent="0.3">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3">
      <c r="C10" s="3"/>
      <c r="D10" s="3"/>
      <c r="H10"/>
      <c r="I10"/>
      <c r="J10"/>
      <c r="K10"/>
      <c r="L10"/>
      <c r="M10"/>
      <c r="N10"/>
      <c r="O10"/>
      <c r="P10"/>
      <c r="Q10"/>
      <c r="R10"/>
      <c r="S10"/>
      <c r="T10"/>
      <c r="U10"/>
      <c r="V10"/>
      <c r="W10"/>
      <c r="X10"/>
      <c r="Y10"/>
      <c r="Z10"/>
      <c r="AA10"/>
      <c r="AB10"/>
      <c r="AC10"/>
      <c r="AD10"/>
      <c r="AE10"/>
      <c r="AF10"/>
      <c r="AG10"/>
    </row>
    <row r="11" spans="1:43" ht="14.5" x14ac:dyDescent="0.3">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ht="13.5" x14ac:dyDescent="0.3">
      <c r="A12" s="3"/>
      <c r="B12" s="3"/>
      <c r="C12" s="3"/>
      <c r="D12" s="3"/>
      <c r="G12" s="205"/>
      <c r="AH12"/>
    </row>
    <row r="13" spans="1:43" ht="13.5" x14ac:dyDescent="0.3">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3.5" x14ac:dyDescent="0.3">
      <c r="C14" s="57" t="s">
        <v>663</v>
      </c>
      <c r="D14"/>
      <c r="E14" s="148">
        <v>20</v>
      </c>
      <c r="G14" s="207">
        <f>input_dollars</f>
        <v>45291</v>
      </c>
      <c r="H14" s="149"/>
      <c r="I14" s="32">
        <v>0</v>
      </c>
      <c r="J14" s="32">
        <v>0</v>
      </c>
      <c r="K14" s="32">
        <v>0</v>
      </c>
      <c r="L14" s="32">
        <v>4557799</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ht="13.5" x14ac:dyDescent="0.3">
      <c r="C15" s="57" t="s">
        <v>664</v>
      </c>
      <c r="D15"/>
      <c r="E15" s="148">
        <v>20</v>
      </c>
      <c r="G15" s="207">
        <f>input_dollars</f>
        <v>45291</v>
      </c>
      <c r="H15" s="2"/>
      <c r="I15" s="32">
        <v>0</v>
      </c>
      <c r="J15" s="32">
        <v>0</v>
      </c>
      <c r="K15" s="32">
        <v>0</v>
      </c>
      <c r="L15" s="32">
        <v>1715596</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ht="13.5" x14ac:dyDescent="0.3">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ht="13.5" x14ac:dyDescent="0.3">
      <c r="C17" s="1" t="s">
        <v>30</v>
      </c>
      <c r="G17" s="207">
        <f>input_dollars</f>
        <v>45291</v>
      </c>
      <c r="H17" s="107"/>
      <c r="I17" s="106">
        <f t="shared" ref="I17:Q17" si="0">SUM(I14:I16)</f>
        <v>0</v>
      </c>
      <c r="J17" s="106">
        <f t="shared" si="0"/>
        <v>0</v>
      </c>
      <c r="K17" s="106">
        <f t="shared" si="0"/>
        <v>0</v>
      </c>
      <c r="L17" s="106">
        <f t="shared" si="0"/>
        <v>6273395</v>
      </c>
      <c r="M17" s="106">
        <f t="shared" si="0"/>
        <v>0</v>
      </c>
      <c r="N17" s="106">
        <f t="shared" si="0"/>
        <v>0</v>
      </c>
      <c r="O17" s="106">
        <f t="shared" si="0"/>
        <v>0</v>
      </c>
      <c r="P17" s="106">
        <f t="shared" si="0"/>
        <v>0</v>
      </c>
      <c r="Q17" s="106">
        <f t="shared" si="0"/>
        <v>0</v>
      </c>
      <c r="R17" s="106">
        <f t="shared" ref="R17:AB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SUM(AC14:AC16)</f>
        <v>0</v>
      </c>
      <c r="AD17" s="106">
        <f>SUM(AD14:AD16)</f>
        <v>0</v>
      </c>
      <c r="AE17" s="106">
        <f>SUM(AE14:AE16)</f>
        <v>0</v>
      </c>
      <c r="AF17" s="106">
        <f>SUM(AF14:AF16)</f>
        <v>0</v>
      </c>
      <c r="AG17" s="106">
        <f>SUM(AG14:AG16)</f>
        <v>0</v>
      </c>
      <c r="AH17"/>
    </row>
    <row r="18" spans="1:43" ht="13.5" x14ac:dyDescent="0.3">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3.5" x14ac:dyDescent="0.3">
      <c r="C19" s="1" t="s">
        <v>31</v>
      </c>
      <c r="D19"/>
      <c r="E19"/>
      <c r="F19" s="107"/>
      <c r="G19" s="207">
        <f>input_dollars</f>
        <v>45291</v>
      </c>
      <c r="H19" s="107"/>
      <c r="I19" s="32">
        <v>0</v>
      </c>
      <c r="J19" s="32">
        <v>0</v>
      </c>
      <c r="K19" s="32">
        <v>0</v>
      </c>
      <c r="L19" s="32">
        <v>0</v>
      </c>
      <c r="M19" s="32">
        <v>180000</v>
      </c>
      <c r="N19" s="32">
        <v>180000</v>
      </c>
      <c r="O19" s="32">
        <v>180000</v>
      </c>
      <c r="P19" s="32">
        <v>180000</v>
      </c>
      <c r="Q19" s="32">
        <v>180000</v>
      </c>
      <c r="R19" s="32">
        <v>180000</v>
      </c>
      <c r="S19" s="32">
        <v>180000</v>
      </c>
      <c r="T19" s="32">
        <v>180000</v>
      </c>
      <c r="U19" s="32">
        <v>180000</v>
      </c>
      <c r="V19" s="32">
        <v>180000</v>
      </c>
      <c r="W19" s="32">
        <v>180000</v>
      </c>
      <c r="X19" s="32">
        <v>180000</v>
      </c>
      <c r="Y19" s="32">
        <v>180000</v>
      </c>
      <c r="Z19" s="32">
        <v>180000</v>
      </c>
      <c r="AA19" s="32">
        <v>180000</v>
      </c>
      <c r="AB19" s="32">
        <v>180000</v>
      </c>
      <c r="AC19" s="32">
        <v>180000</v>
      </c>
      <c r="AD19" s="32">
        <v>180000</v>
      </c>
      <c r="AE19" s="32">
        <v>180000</v>
      </c>
      <c r="AF19" s="32">
        <v>180000</v>
      </c>
      <c r="AG19" s="32">
        <v>180000</v>
      </c>
      <c r="AH19"/>
    </row>
    <row r="20" spans="1:43" ht="13.5" x14ac:dyDescent="0.3">
      <c r="G20" s="205"/>
      <c r="AH20"/>
    </row>
    <row r="21" spans="1:43" ht="13.5" x14ac:dyDescent="0.3">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4.5" x14ac:dyDescent="0.3">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3">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3">
      <c r="A24" s="111"/>
      <c r="B24" s="111"/>
      <c r="C24" s="1" t="s">
        <v>157</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3">
      <c r="A25" s="111"/>
      <c r="B25" s="111"/>
      <c r="C25" s="1" t="s">
        <v>158</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3">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3.5" x14ac:dyDescent="0.3">
      <c r="C27" s="1" t="s">
        <v>124</v>
      </c>
      <c r="D27" s="205"/>
      <c r="E27"/>
      <c r="G27" s="207" t="s">
        <v>40</v>
      </c>
      <c r="H27"/>
      <c r="I27" s="168">
        <f>Option2!I27</f>
        <v>79.101563657236937</v>
      </c>
      <c r="J27" s="168">
        <f>Option2!J27</f>
        <v>79.101563657236937</v>
      </c>
      <c r="K27" s="168">
        <f>Option2!K27</f>
        <v>79.101563657236937</v>
      </c>
      <c r="L27" s="168">
        <f>Option2!L27</f>
        <v>79.101563657236937</v>
      </c>
      <c r="M27" s="168">
        <f>Option2!M27</f>
        <v>68.521378912039836</v>
      </c>
      <c r="N27" s="168">
        <f>Option2!N27</f>
        <v>68.388067972315682</v>
      </c>
      <c r="O27" s="168">
        <f>Option2!O27</f>
        <v>68.138343330105485</v>
      </c>
      <c r="P27" s="168">
        <f>Option2!P27</f>
        <v>67.979002005415907</v>
      </c>
      <c r="Q27" s="168">
        <f>Option2!Q27</f>
        <v>67.796272098610231</v>
      </c>
      <c r="R27" s="168">
        <f>Option2!R27</f>
        <v>67.87582358670042</v>
      </c>
      <c r="S27" s="168">
        <f>Option2!S27</f>
        <v>67.955375074790595</v>
      </c>
      <c r="T27" s="168">
        <f>Option2!T27</f>
        <v>68.034926562880784</v>
      </c>
      <c r="U27" s="168">
        <f>Option2!U27</f>
        <v>68.114478050970973</v>
      </c>
      <c r="V27" s="168">
        <f>Option2!V27</f>
        <v>68.194029539061148</v>
      </c>
      <c r="W27" s="168">
        <f>Option2!W27</f>
        <v>68.273581027151337</v>
      </c>
      <c r="X27" s="168">
        <f>Option2!X27</f>
        <v>68.353132515241526</v>
      </c>
      <c r="Y27" s="168">
        <f>Option2!Y27</f>
        <v>68.432684003331701</v>
      </c>
      <c r="Z27" s="168">
        <f>Option2!Z27</f>
        <v>68.51223549142189</v>
      </c>
      <c r="AA27" s="168">
        <f>Option2!AA27</f>
        <v>68.591786979512079</v>
      </c>
      <c r="AB27" s="168">
        <f>Option2!AB27</f>
        <v>68.671338467602254</v>
      </c>
      <c r="AC27" s="168">
        <f>Option2!AC27</f>
        <v>68.750889955692443</v>
      </c>
      <c r="AD27" s="168">
        <f>Option2!AD27</f>
        <v>68.830441443782632</v>
      </c>
      <c r="AE27" s="168">
        <f>Option2!AE27</f>
        <v>68.909982477400547</v>
      </c>
      <c r="AF27" s="168">
        <f>Option2!AF27</f>
        <v>68.989533965490722</v>
      </c>
      <c r="AG27" s="168">
        <f>Option2!AG27</f>
        <v>69.069085453580911</v>
      </c>
      <c r="AH27"/>
      <c r="AI27"/>
      <c r="AJ27"/>
      <c r="AK27"/>
      <c r="AL27"/>
      <c r="AM27"/>
      <c r="AN27"/>
      <c r="AO27"/>
      <c r="AP27"/>
      <c r="AQ27"/>
    </row>
    <row r="28" spans="1:43" ht="13.5" x14ac:dyDescent="0.3">
      <c r="C28" s="1" t="s">
        <v>125</v>
      </c>
      <c r="D28" s="205" t="s">
        <v>64</v>
      </c>
      <c r="E28" s="112">
        <f>Assumptions!G43*vcr_esc</f>
        <v>44753.327047371298</v>
      </c>
      <c r="F28" s="238" t="str">
        <f>IF(AND(SUM(I27:AG27)&lt;&gt;0, E28=0), "!", "")</f>
        <v/>
      </c>
      <c r="G28" s="207">
        <f>input_dollars</f>
        <v>45291</v>
      </c>
      <c r="H28"/>
      <c r="I28" s="297">
        <f>I27*$E$28</f>
        <v>3540058.1483107843</v>
      </c>
      <c r="J28" s="297">
        <f t="shared" ref="J28:AG28" si="2">J27*$E$28</f>
        <v>3540058.1483107843</v>
      </c>
      <c r="K28" s="297">
        <f t="shared" si="2"/>
        <v>3540058.1483107843</v>
      </c>
      <c r="L28" s="297">
        <f t="shared" si="2"/>
        <v>3540058.1483107843</v>
      </c>
      <c r="M28" s="297">
        <f t="shared" si="2"/>
        <v>3066559.6801873697</v>
      </c>
      <c r="N28" s="297">
        <f t="shared" si="2"/>
        <v>3060593.572102902</v>
      </c>
      <c r="O28" s="297">
        <f t="shared" si="2"/>
        <v>3049417.5635182816</v>
      </c>
      <c r="P28" s="297">
        <f t="shared" si="2"/>
        <v>3042286.5091022872</v>
      </c>
      <c r="Q28" s="297">
        <f t="shared" si="2"/>
        <v>3034108.7378216772</v>
      </c>
      <c r="R28" s="297">
        <f t="shared" si="2"/>
        <v>3037668.9315852826</v>
      </c>
      <c r="S28" s="297">
        <f t="shared" si="2"/>
        <v>3041229.1253488874</v>
      </c>
      <c r="T28" s="297">
        <f t="shared" si="2"/>
        <v>3044789.3191124927</v>
      </c>
      <c r="U28" s="297">
        <f t="shared" si="2"/>
        <v>3048349.512876098</v>
      </c>
      <c r="V28" s="297">
        <f t="shared" si="2"/>
        <v>3051909.7066397024</v>
      </c>
      <c r="W28" s="297">
        <f t="shared" si="2"/>
        <v>3055469.9004033078</v>
      </c>
      <c r="X28" s="297">
        <f t="shared" si="2"/>
        <v>3059030.0941669131</v>
      </c>
      <c r="Y28" s="297">
        <f t="shared" si="2"/>
        <v>3062590.2879305179</v>
      </c>
      <c r="Z28" s="297">
        <f t="shared" si="2"/>
        <v>3066150.4816941232</v>
      </c>
      <c r="AA28" s="297">
        <f t="shared" si="2"/>
        <v>3069710.6754577286</v>
      </c>
      <c r="AB28" s="297">
        <f t="shared" si="2"/>
        <v>3073270.8692213329</v>
      </c>
      <c r="AC28" s="297">
        <f t="shared" si="2"/>
        <v>3076831.0629849383</v>
      </c>
      <c r="AD28" s="297">
        <f t="shared" si="2"/>
        <v>3080391.2567485436</v>
      </c>
      <c r="AE28" s="297">
        <f t="shared" si="2"/>
        <v>3083950.9826397323</v>
      </c>
      <c r="AF28" s="297">
        <f t="shared" si="2"/>
        <v>3087511.1764033367</v>
      </c>
      <c r="AG28" s="297">
        <f t="shared" si="2"/>
        <v>3091071.370166942</v>
      </c>
      <c r="AH28"/>
      <c r="AI28"/>
      <c r="AJ28"/>
      <c r="AK28"/>
      <c r="AL28"/>
      <c r="AM28"/>
      <c r="AN28"/>
      <c r="AO28"/>
      <c r="AP28"/>
      <c r="AQ28"/>
    </row>
    <row r="29" spans="1:43" ht="13.5" x14ac:dyDescent="0.3">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3.5" x14ac:dyDescent="0.3">
      <c r="C30" s="1" t="s">
        <v>115</v>
      </c>
      <c r="D30" s="205" t="s">
        <v>212</v>
      </c>
      <c r="G30" s="207">
        <f>input_dollars</f>
        <v>45291</v>
      </c>
      <c r="H30" s="149"/>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c r="AI30"/>
      <c r="AJ30"/>
      <c r="AK30"/>
      <c r="AL30"/>
      <c r="AM30"/>
      <c r="AN30"/>
      <c r="AO30"/>
      <c r="AP30"/>
      <c r="AQ30"/>
    </row>
    <row r="31" spans="1:43" ht="13.5" x14ac:dyDescent="0.3">
      <c r="C31" s="1" t="s">
        <v>117</v>
      </c>
      <c r="D31" s="206"/>
      <c r="E31"/>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ht="13.5" x14ac:dyDescent="0.3">
      <c r="C32" s="1" t="s">
        <v>116</v>
      </c>
      <c r="D32" s="205" t="s">
        <v>212</v>
      </c>
      <c r="E32"/>
      <c r="G32" s="207">
        <f>input_dollars</f>
        <v>45291</v>
      </c>
      <c r="H32"/>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ht="13.5" x14ac:dyDescent="0.3">
      <c r="C33" s="284" t="s">
        <v>179</v>
      </c>
      <c r="D33" s="219"/>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ht="13.5" x14ac:dyDescent="0.3">
      <c r="C34" s="284" t="s">
        <v>179</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ht="13.5" x14ac:dyDescent="0.3">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ht="13.5" x14ac:dyDescent="0.3">
      <c r="C36" s="3" t="s">
        <v>178</v>
      </c>
      <c r="D36" s="218"/>
      <c r="E36" s="107"/>
      <c r="F36" s="3"/>
      <c r="G36" s="209"/>
      <c r="H36" s="107"/>
      <c r="I36" s="170">
        <f>SUM(I28:I34)</f>
        <v>3540058.1483107843</v>
      </c>
      <c r="J36" s="170">
        <f t="shared" ref="J36:AB36" si="3">SUM(J28:J34)</f>
        <v>3540058.1483107843</v>
      </c>
      <c r="K36" s="170">
        <f t="shared" si="3"/>
        <v>3540058.1483107843</v>
      </c>
      <c r="L36" s="170">
        <f t="shared" si="3"/>
        <v>3540058.1483107843</v>
      </c>
      <c r="M36" s="170">
        <f t="shared" si="3"/>
        <v>3066559.6801873697</v>
      </c>
      <c r="N36" s="170">
        <f t="shared" si="3"/>
        <v>3060593.572102902</v>
      </c>
      <c r="O36" s="170">
        <f t="shared" si="3"/>
        <v>3049417.5635182816</v>
      </c>
      <c r="P36" s="170">
        <f t="shared" si="3"/>
        <v>3042286.5091022872</v>
      </c>
      <c r="Q36" s="170">
        <f t="shared" si="3"/>
        <v>3034108.7378216772</v>
      </c>
      <c r="R36" s="170">
        <f t="shared" si="3"/>
        <v>3037668.9315852826</v>
      </c>
      <c r="S36" s="170">
        <f t="shared" si="3"/>
        <v>3041229.1253488874</v>
      </c>
      <c r="T36" s="170">
        <f t="shared" si="3"/>
        <v>3044789.3191124927</v>
      </c>
      <c r="U36" s="170">
        <f t="shared" si="3"/>
        <v>3048349.512876098</v>
      </c>
      <c r="V36" s="170">
        <f t="shared" si="3"/>
        <v>3051909.7066397024</v>
      </c>
      <c r="W36" s="170">
        <f t="shared" si="3"/>
        <v>3055469.9004033078</v>
      </c>
      <c r="X36" s="170">
        <f t="shared" si="3"/>
        <v>3059030.0941669131</v>
      </c>
      <c r="Y36" s="170">
        <f t="shared" si="3"/>
        <v>3062590.2879305179</v>
      </c>
      <c r="Z36" s="170">
        <f t="shared" si="3"/>
        <v>3066150.4816941232</v>
      </c>
      <c r="AA36" s="170">
        <f t="shared" si="3"/>
        <v>3069710.6754577286</v>
      </c>
      <c r="AB36" s="170">
        <f t="shared" si="3"/>
        <v>3073270.8692213329</v>
      </c>
      <c r="AC36" s="170">
        <f>SUM(AC28:AC34)</f>
        <v>3076831.0629849383</v>
      </c>
      <c r="AD36" s="170">
        <f>SUM(AD28:AD34)</f>
        <v>3080391.2567485436</v>
      </c>
      <c r="AE36" s="170">
        <f>SUM(AE28:AE34)</f>
        <v>3083950.9826397323</v>
      </c>
      <c r="AF36" s="170">
        <f>SUM(AF28:AF34)</f>
        <v>3087511.1764033367</v>
      </c>
      <c r="AG36" s="170">
        <f>SUM(AG28:AG34)</f>
        <v>3091071.370166942</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ht="13.5" x14ac:dyDescent="0.3">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4.5" x14ac:dyDescent="0.3">
      <c r="A38" s="89" t="s">
        <v>57</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ht="13.5" x14ac:dyDescent="0.3">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ht="13.5" x14ac:dyDescent="0.3">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4" x14ac:dyDescent="0.35">
      <c r="C41" s="1" t="s">
        <v>60</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c r="AH41"/>
    </row>
    <row r="42" spans="1:16372" ht="14" x14ac:dyDescent="0.35">
      <c r="C42" s="1" t="s">
        <v>130</v>
      </c>
      <c r="G42" s="205" t="s">
        <v>105</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c r="AH42"/>
    </row>
    <row r="43" spans="1:16372" ht="13.5" x14ac:dyDescent="0.3">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ht="13.5" x14ac:dyDescent="0.3">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ht="13.5" x14ac:dyDescent="0.3">
      <c r="C45" s="1" t="s">
        <v>326</v>
      </c>
      <c r="D45" s="205" t="s">
        <v>64</v>
      </c>
      <c r="E45" s="158">
        <f>Assumptions!G106-Assumptions!G43</f>
        <v>22746.672952628702</v>
      </c>
      <c r="G45" s="207" t="s">
        <v>40</v>
      </c>
      <c r="I45" s="503">
        <f>Option2!I45</f>
        <v>0</v>
      </c>
      <c r="J45" s="503">
        <f>Option2!J45</f>
        <v>0</v>
      </c>
      <c r="K45" s="503">
        <f>Option2!K45</f>
        <v>0</v>
      </c>
      <c r="L45" s="503">
        <f>Option2!L45</f>
        <v>0</v>
      </c>
      <c r="M45" s="503">
        <f>Option2!M45</f>
        <v>2.0774805333578996</v>
      </c>
      <c r="N45" s="503">
        <f>Option2!N45</f>
        <v>2.0630070542188799</v>
      </c>
      <c r="O45" s="503">
        <f>Option2!O45</f>
        <v>2.0485344019799996</v>
      </c>
      <c r="P45" s="503">
        <f>Option2!P45</f>
        <v>2.0340608111999998</v>
      </c>
      <c r="Q45" s="503">
        <f>Option2!Q45</f>
        <v>2.0195872204199996</v>
      </c>
      <c r="R45" s="503">
        <f>Option2!R45</f>
        <v>2.0051136296399998</v>
      </c>
      <c r="S45" s="503">
        <f>Option2!S45</f>
        <v>1.9906400388599998</v>
      </c>
      <c r="T45" s="503">
        <f>Option2!T45</f>
        <v>1.9761664480799999</v>
      </c>
      <c r="U45" s="503">
        <f>Option2!U45</f>
        <v>1.9616928572999999</v>
      </c>
      <c r="V45" s="503">
        <f>Option2!V45</f>
        <v>1.9472192665199999</v>
      </c>
      <c r="W45" s="503">
        <f>Option2!W45</f>
        <v>1.9327456757399999</v>
      </c>
      <c r="X45" s="503">
        <f>Option2!X45</f>
        <v>1.9182720849599999</v>
      </c>
      <c r="Y45" s="503">
        <f>Option2!Y45</f>
        <v>1.9037984941799997</v>
      </c>
      <c r="Z45" s="503">
        <f>Option2!Z45</f>
        <v>1.8893249033999997</v>
      </c>
      <c r="AA45" s="503">
        <f>Option2!AA45</f>
        <v>1.8748513126199997</v>
      </c>
      <c r="AB45" s="503">
        <f>Option2!AB45</f>
        <v>1.8603777218399999</v>
      </c>
      <c r="AC45" s="503">
        <f>Option2!AC45</f>
        <v>1.84590413106</v>
      </c>
      <c r="AD45" s="503">
        <f>Option2!AD45</f>
        <v>1.8314305402799997</v>
      </c>
      <c r="AE45" s="503">
        <f>Option2!AE45</f>
        <v>1.8169588417199998</v>
      </c>
      <c r="AF45" s="503">
        <f>Option2!AF45</f>
        <v>1.8024852509399998</v>
      </c>
      <c r="AG45" s="503">
        <f>Option2!AG45</f>
        <v>1.7880116601599998</v>
      </c>
      <c r="AH45"/>
    </row>
    <row r="46" spans="1:16372" ht="13.5" x14ac:dyDescent="0.3">
      <c r="C46" s="1" t="s">
        <v>327</v>
      </c>
      <c r="D46" s="205" t="s">
        <v>64</v>
      </c>
      <c r="E46" s="158">
        <f>Assumptions!G46</f>
        <v>19880</v>
      </c>
      <c r="G46" s="207" t="s">
        <v>40</v>
      </c>
      <c r="I46" s="503">
        <f>Option2!I46</f>
        <v>0</v>
      </c>
      <c r="J46" s="503">
        <f>Option2!J46</f>
        <v>0</v>
      </c>
      <c r="K46" s="503">
        <f>Option2!K46</f>
        <v>0</v>
      </c>
      <c r="L46" s="503">
        <f>Option2!L46</f>
        <v>0</v>
      </c>
      <c r="M46" s="503">
        <f>Option2!M46</f>
        <v>0.5295797904288827</v>
      </c>
      <c r="N46" s="503">
        <f>Option2!N46</f>
        <v>0.5260844264668223</v>
      </c>
      <c r="O46" s="503">
        <f>Option2!O46</f>
        <v>0.52258926542338946</v>
      </c>
      <c r="P46" s="503">
        <f>Option2!P46</f>
        <v>0.51909387406499263</v>
      </c>
      <c r="Q46" s="503">
        <f>Option2!Q46</f>
        <v>0.51559848270659581</v>
      </c>
      <c r="R46" s="503">
        <f>Option2!R46</f>
        <v>0.51210309134819909</v>
      </c>
      <c r="S46" s="503">
        <f>Option2!S46</f>
        <v>0.50860769998980215</v>
      </c>
      <c r="T46" s="503">
        <f>Option2!T46</f>
        <v>0.50511230863140533</v>
      </c>
      <c r="U46" s="503">
        <f>Option2!U46</f>
        <v>0.50161691727300861</v>
      </c>
      <c r="V46" s="503">
        <f>Option2!V46</f>
        <v>0.49812152591461178</v>
      </c>
      <c r="W46" s="503">
        <f>Option2!W46</f>
        <v>0.49462613455621496</v>
      </c>
      <c r="X46" s="503">
        <f>Option2!X46</f>
        <v>0.49113074319781813</v>
      </c>
      <c r="Y46" s="503">
        <f>Option2!Y46</f>
        <v>0.48763535183942136</v>
      </c>
      <c r="Z46" s="503">
        <f>Option2!Z46</f>
        <v>0.48413996048102448</v>
      </c>
      <c r="AA46" s="503">
        <f>Option2!AA46</f>
        <v>0.48064456912262771</v>
      </c>
      <c r="AB46" s="503">
        <f>Option2!AB46</f>
        <v>0.47714917776423077</v>
      </c>
      <c r="AC46" s="503">
        <f>Option2!AC46</f>
        <v>0.473653786405834</v>
      </c>
      <c r="AD46" s="503">
        <f>Option2!AD46</f>
        <v>0.47015839504743723</v>
      </c>
      <c r="AE46" s="503">
        <f>Option2!AE46</f>
        <v>0.46666346803372583</v>
      </c>
      <c r="AF46" s="503">
        <f>Option2!AF46</f>
        <v>0.463168076675329</v>
      </c>
      <c r="AG46" s="503">
        <f>Option2!AG46</f>
        <v>0.45967268531693212</v>
      </c>
      <c r="AH46"/>
    </row>
    <row r="47" spans="1:16372" ht="13.5" x14ac:dyDescent="0.3">
      <c r="C47" s="1" t="s">
        <v>328</v>
      </c>
      <c r="D47" s="205" t="s">
        <v>64</v>
      </c>
      <c r="E47" s="158">
        <f>Assumptions!G47</f>
        <v>52200</v>
      </c>
      <c r="G47" s="207" t="s">
        <v>40</v>
      </c>
      <c r="I47" s="503">
        <f>Option2!I47</f>
        <v>0</v>
      </c>
      <c r="J47" s="503">
        <f>Option2!J47</f>
        <v>0</v>
      </c>
      <c r="K47" s="503">
        <f>Option2!K47</f>
        <v>0</v>
      </c>
      <c r="L47" s="503">
        <f>Option2!L47</f>
        <v>0</v>
      </c>
      <c r="M47" s="503">
        <f>Option2!M47</f>
        <v>1.1462814087335568E-2</v>
      </c>
      <c r="N47" s="503">
        <f>Option2!N47</f>
        <v>1.1495499776113477E-2</v>
      </c>
      <c r="O47" s="503">
        <f>Option2!O47</f>
        <v>1.1528185464891386E-2</v>
      </c>
      <c r="P47" s="503">
        <f>Option2!P47</f>
        <v>1.1560871153669293E-2</v>
      </c>
      <c r="Q47" s="503">
        <f>Option2!Q47</f>
        <v>1.15935568424472E-2</v>
      </c>
      <c r="R47" s="503">
        <f>Option2!R47</f>
        <v>1.1626242531225107E-2</v>
      </c>
      <c r="S47" s="503">
        <f>Option2!S47</f>
        <v>1.1658928220003016E-2</v>
      </c>
      <c r="T47" s="503">
        <f>Option2!T47</f>
        <v>1.1691613908780924E-2</v>
      </c>
      <c r="U47" s="503">
        <f>Option2!U47</f>
        <v>1.1724299597558831E-2</v>
      </c>
      <c r="V47" s="503">
        <f>Option2!V47</f>
        <v>1.175698528633674E-2</v>
      </c>
      <c r="W47" s="503">
        <f>Option2!W47</f>
        <v>1.1789670975114647E-2</v>
      </c>
      <c r="X47" s="503">
        <f>Option2!X47</f>
        <v>1.1822356663892555E-2</v>
      </c>
      <c r="Y47" s="503">
        <f>Option2!Y47</f>
        <v>1.1855042352670462E-2</v>
      </c>
      <c r="Z47" s="503">
        <f>Option2!Z47</f>
        <v>1.1887728041448371E-2</v>
      </c>
      <c r="AA47" s="503">
        <f>Option2!AA47</f>
        <v>1.192041373022628E-2</v>
      </c>
      <c r="AB47" s="503">
        <f>Option2!AB47</f>
        <v>1.1953099419004186E-2</v>
      </c>
      <c r="AC47" s="503">
        <f>Option2!AC47</f>
        <v>1.1985785107782093E-2</v>
      </c>
      <c r="AD47" s="503">
        <f>Option2!AD47</f>
        <v>1.2018470796560002E-2</v>
      </c>
      <c r="AE47" s="503">
        <f>Option2!AE47</f>
        <v>1.2051156485337911E-2</v>
      </c>
      <c r="AF47" s="503">
        <f>Option2!AF47</f>
        <v>1.2083842174115818E-2</v>
      </c>
      <c r="AG47" s="503">
        <f>Option2!AG47</f>
        <v>1.2116527862893725E-2</v>
      </c>
      <c r="AH47"/>
    </row>
    <row r="48" spans="1:16372" ht="13.5" x14ac:dyDescent="0.3">
      <c r="C48" s="1" t="s">
        <v>329</v>
      </c>
      <c r="D48" s="205" t="s">
        <v>127</v>
      </c>
      <c r="E48" s="158">
        <f>Assumptions!G48</f>
        <v>74790</v>
      </c>
      <c r="G48" s="207" t="s">
        <v>209</v>
      </c>
      <c r="I48" s="503">
        <f>Option2!I48</f>
        <v>0</v>
      </c>
      <c r="J48" s="503">
        <f>Option2!J48</f>
        <v>0</v>
      </c>
      <c r="K48" s="503">
        <f>Option2!K48</f>
        <v>0</v>
      </c>
      <c r="L48" s="503">
        <f>Option2!L48</f>
        <v>0</v>
      </c>
      <c r="M48" s="503">
        <f>Option2!M48</f>
        <v>5.3493967967937978E-3</v>
      </c>
      <c r="N48" s="503">
        <f>Option2!N48</f>
        <v>5.3646503564796985E-3</v>
      </c>
      <c r="O48" s="503">
        <f>Option2!O48</f>
        <v>5.3799039161655975E-3</v>
      </c>
      <c r="P48" s="503">
        <f>Option2!P48</f>
        <v>5.3951574758514965E-3</v>
      </c>
      <c r="Q48" s="503">
        <f>Option2!Q48</f>
        <v>5.4104110355373955E-3</v>
      </c>
      <c r="R48" s="503">
        <f>Option2!R48</f>
        <v>5.4256645952232944E-3</v>
      </c>
      <c r="S48" s="503">
        <f>Option2!S48</f>
        <v>5.4409181549091943E-3</v>
      </c>
      <c r="T48" s="503">
        <f>Option2!T48</f>
        <v>5.4561717145950933E-3</v>
      </c>
      <c r="U48" s="503">
        <f>Option2!U48</f>
        <v>5.4714252742809923E-3</v>
      </c>
      <c r="V48" s="503">
        <f>Option2!V48</f>
        <v>5.4866788339668912E-3</v>
      </c>
      <c r="W48" s="503">
        <f>Option2!W48</f>
        <v>5.5019323936527911E-3</v>
      </c>
      <c r="X48" s="503">
        <f>Option2!X48</f>
        <v>5.5171859533386901E-3</v>
      </c>
      <c r="Y48" s="503">
        <f>Option2!Y48</f>
        <v>5.5324395130245891E-3</v>
      </c>
      <c r="Z48" s="503">
        <f>Option2!Z48</f>
        <v>5.547693072710488E-3</v>
      </c>
      <c r="AA48" s="503">
        <f>Option2!AA48</f>
        <v>5.5629466323963879E-3</v>
      </c>
      <c r="AB48" s="503">
        <f>Option2!AB48</f>
        <v>5.5782001920822869E-3</v>
      </c>
      <c r="AC48" s="503">
        <f>Option2!AC48</f>
        <v>5.5934537517681859E-3</v>
      </c>
      <c r="AD48" s="503">
        <f>Option2!AD48</f>
        <v>5.6087073114540848E-3</v>
      </c>
      <c r="AE48" s="503">
        <f>Option2!AE48</f>
        <v>5.6239608711399847E-3</v>
      </c>
      <c r="AF48" s="503">
        <f>Option2!AF48</f>
        <v>5.6392144308258837E-3</v>
      </c>
      <c r="AG48" s="503">
        <f>Option2!AG48</f>
        <v>5.6544679905117827E-3</v>
      </c>
      <c r="AH48"/>
    </row>
    <row r="49" spans="1:43" ht="13.5" x14ac:dyDescent="0.3">
      <c r="C49" s="1" t="s">
        <v>330</v>
      </c>
      <c r="D49" s="205" t="s">
        <v>210</v>
      </c>
      <c r="E49" s="158">
        <f>Assumptions!G49</f>
        <v>44400</v>
      </c>
      <c r="G49" s="207" t="s">
        <v>211</v>
      </c>
      <c r="I49" s="503">
        <f>Option2!I49</f>
        <v>0</v>
      </c>
      <c r="J49" s="503">
        <f>Option2!J49</f>
        <v>0</v>
      </c>
      <c r="K49" s="503">
        <f>Option2!K49</f>
        <v>0</v>
      </c>
      <c r="L49" s="503">
        <f>Option2!L49</f>
        <v>0</v>
      </c>
      <c r="M49" s="503">
        <f>Option2!M49</f>
        <v>3.6977596456022615E-4</v>
      </c>
      <c r="N49" s="503">
        <f>Option2!N49</f>
        <v>3.708303637682287E-4</v>
      </c>
      <c r="O49" s="503">
        <f>Option2!O49</f>
        <v>3.7188476297623119E-4</v>
      </c>
      <c r="P49" s="503">
        <f>Option2!P49</f>
        <v>3.7293916218423368E-4</v>
      </c>
      <c r="Q49" s="503">
        <f>Option2!Q49</f>
        <v>3.7399356139223612E-4</v>
      </c>
      <c r="R49" s="503">
        <f>Option2!R49</f>
        <v>3.7504796060023861E-4</v>
      </c>
      <c r="S49" s="503">
        <f>Option2!S49</f>
        <v>3.761023598082411E-4</v>
      </c>
      <c r="T49" s="503">
        <f>Option2!T49</f>
        <v>3.7715675901624354E-4</v>
      </c>
      <c r="U49" s="503">
        <f>Option2!U49</f>
        <v>3.7821115822424598E-4</v>
      </c>
      <c r="V49" s="503">
        <f>Option2!V49</f>
        <v>3.7926555743224852E-4</v>
      </c>
      <c r="W49" s="503">
        <f>Option2!W49</f>
        <v>3.8031995664025101E-4</v>
      </c>
      <c r="X49" s="503">
        <f>Option2!X49</f>
        <v>3.8137435584825345E-4</v>
      </c>
      <c r="Y49" s="503">
        <f>Option2!Y49</f>
        <v>3.8242875505625589E-4</v>
      </c>
      <c r="Z49" s="503">
        <f>Option2!Z49</f>
        <v>3.8348315426425838E-4</v>
      </c>
      <c r="AA49" s="503">
        <f>Option2!AA49</f>
        <v>3.8453755347226087E-4</v>
      </c>
      <c r="AB49" s="503">
        <f>Option2!AB49</f>
        <v>3.8559195268026336E-4</v>
      </c>
      <c r="AC49" s="503">
        <f>Option2!AC49</f>
        <v>3.866463518882658E-4</v>
      </c>
      <c r="AD49" s="503">
        <f>Option2!AD49</f>
        <v>3.8770075109626829E-4</v>
      </c>
      <c r="AE49" s="503">
        <f>Option2!AE49</f>
        <v>3.8875515030427078E-4</v>
      </c>
      <c r="AF49" s="503">
        <f>Option2!AF49</f>
        <v>3.8980954951227322E-4</v>
      </c>
      <c r="AG49" s="503">
        <f>Option2!AG49</f>
        <v>3.9086394872027571E-4</v>
      </c>
      <c r="AH49"/>
    </row>
    <row r="50" spans="1:43" ht="13.5" x14ac:dyDescent="0.3">
      <c r="C50" s="1" t="s">
        <v>331</v>
      </c>
      <c r="D50" s="205" t="s">
        <v>210</v>
      </c>
      <c r="E50" s="158">
        <f>Assumptions!G50</f>
        <v>52200</v>
      </c>
      <c r="G50" s="207" t="s">
        <v>211</v>
      </c>
      <c r="I50" s="503">
        <f>Option2!I50</f>
        <v>0</v>
      </c>
      <c r="J50" s="503">
        <f>Option2!J50</f>
        <v>0</v>
      </c>
      <c r="K50" s="503">
        <f>Option2!K50</f>
        <v>0</v>
      </c>
      <c r="L50" s="503">
        <f>Option2!L50</f>
        <v>0</v>
      </c>
      <c r="M50" s="503">
        <f>Option2!M50</f>
        <v>0</v>
      </c>
      <c r="N50" s="503">
        <f>Option2!N50</f>
        <v>0</v>
      </c>
      <c r="O50" s="503">
        <f>Option2!O50</f>
        <v>0</v>
      </c>
      <c r="P50" s="503">
        <f>Option2!P50</f>
        <v>0</v>
      </c>
      <c r="Q50" s="503">
        <f>Option2!Q50</f>
        <v>0</v>
      </c>
      <c r="R50" s="503">
        <f>Option2!R50</f>
        <v>0</v>
      </c>
      <c r="S50" s="503">
        <f>Option2!S50</f>
        <v>0</v>
      </c>
      <c r="T50" s="503">
        <f>Option2!T50</f>
        <v>0</v>
      </c>
      <c r="U50" s="503">
        <f>Option2!U50</f>
        <v>0</v>
      </c>
      <c r="V50" s="503">
        <f>Option2!V50</f>
        <v>0</v>
      </c>
      <c r="W50" s="503">
        <f>Option2!W50</f>
        <v>0</v>
      </c>
      <c r="X50" s="503">
        <f>Option2!X50</f>
        <v>0</v>
      </c>
      <c r="Y50" s="503">
        <f>Option2!Y50</f>
        <v>0</v>
      </c>
      <c r="Z50" s="503">
        <f>Option2!Z50</f>
        <v>0</v>
      </c>
      <c r="AA50" s="503">
        <f>Option2!AA50</f>
        <v>0</v>
      </c>
      <c r="AB50" s="503">
        <f>Option2!AB50</f>
        <v>0</v>
      </c>
      <c r="AC50" s="503">
        <f>Option2!AC50</f>
        <v>0</v>
      </c>
      <c r="AD50" s="503">
        <f>Option2!AD50</f>
        <v>0</v>
      </c>
      <c r="AE50" s="503">
        <f>Option2!AE50</f>
        <v>0</v>
      </c>
      <c r="AF50" s="503">
        <f>Option2!AF50</f>
        <v>0</v>
      </c>
      <c r="AG50" s="503">
        <f>Option2!AG50</f>
        <v>0</v>
      </c>
      <c r="AH50"/>
    </row>
    <row r="51" spans="1:43" ht="13.5" x14ac:dyDescent="0.3">
      <c r="C51" s="1" t="s">
        <v>6</v>
      </c>
      <c r="D51" s="205" t="s">
        <v>127</v>
      </c>
      <c r="E51" s="502">
        <f>Assumptions!G112</f>
        <v>0.28000000000000003</v>
      </c>
      <c r="G51" s="207" t="s">
        <v>209</v>
      </c>
      <c r="I51" s="503">
        <f>Option2!I51</f>
        <v>0</v>
      </c>
      <c r="J51" s="503">
        <f>Option2!J51</f>
        <v>0</v>
      </c>
      <c r="K51" s="503">
        <f>Option2!K51</f>
        <v>0</v>
      </c>
      <c r="L51" s="503">
        <f>Option2!L51</f>
        <v>0</v>
      </c>
      <c r="M51" s="503">
        <f>Option2!M51</f>
        <v>0</v>
      </c>
      <c r="N51" s="503">
        <f>Option2!N51</f>
        <v>0</v>
      </c>
      <c r="O51" s="503">
        <f>Option2!O51</f>
        <v>0</v>
      </c>
      <c r="P51" s="503">
        <f>Option2!P51</f>
        <v>0</v>
      </c>
      <c r="Q51" s="503">
        <f>Option2!Q51</f>
        <v>0</v>
      </c>
      <c r="R51" s="503">
        <f>Option2!R51</f>
        <v>0</v>
      </c>
      <c r="S51" s="503">
        <f>Option2!S51</f>
        <v>0</v>
      </c>
      <c r="T51" s="503">
        <f>Option2!T51</f>
        <v>0</v>
      </c>
      <c r="U51" s="503">
        <f>Option2!U51</f>
        <v>0</v>
      </c>
      <c r="V51" s="503">
        <f>Option2!V51</f>
        <v>0</v>
      </c>
      <c r="W51" s="503">
        <f>Option2!W51</f>
        <v>0</v>
      </c>
      <c r="X51" s="503">
        <f>Option2!X51</f>
        <v>0</v>
      </c>
      <c r="Y51" s="503">
        <f>Option2!Y51</f>
        <v>0</v>
      </c>
      <c r="Z51" s="503">
        <f>Option2!Z51</f>
        <v>0</v>
      </c>
      <c r="AA51" s="503">
        <f>Option2!AA51</f>
        <v>0</v>
      </c>
      <c r="AB51" s="503">
        <f>Option2!AB51</f>
        <v>0</v>
      </c>
      <c r="AC51" s="503">
        <f>Option2!AC51</f>
        <v>0</v>
      </c>
      <c r="AD51" s="503">
        <f>Option2!AD51</f>
        <v>0</v>
      </c>
      <c r="AE51" s="503">
        <f>Option2!AE51</f>
        <v>0</v>
      </c>
      <c r="AF51" s="503">
        <f>Option2!AF51</f>
        <v>0</v>
      </c>
      <c r="AG51" s="503">
        <f>Option2!AG51</f>
        <v>0</v>
      </c>
      <c r="AH51"/>
    </row>
    <row r="52" spans="1:43" ht="13.5" x14ac:dyDescent="0.3">
      <c r="C52" s="1" t="s">
        <v>662</v>
      </c>
      <c r="D52" s="205" t="s">
        <v>127</v>
      </c>
      <c r="E52" s="502">
        <f>Assumptions!G113</f>
        <v>0.17</v>
      </c>
      <c r="G52" s="207" t="s">
        <v>209</v>
      </c>
      <c r="I52" s="32">
        <v>0</v>
      </c>
      <c r="J52" s="32">
        <v>0</v>
      </c>
      <c r="K52" s="32">
        <v>0</v>
      </c>
      <c r="L52" s="32">
        <v>0</v>
      </c>
      <c r="M52" s="503">
        <v>1</v>
      </c>
      <c r="N52" s="503">
        <v>1</v>
      </c>
      <c r="O52" s="503">
        <v>1</v>
      </c>
      <c r="P52" s="503">
        <v>1</v>
      </c>
      <c r="Q52" s="503">
        <v>1</v>
      </c>
      <c r="R52" s="503">
        <v>1</v>
      </c>
      <c r="S52" s="503">
        <v>1</v>
      </c>
      <c r="T52" s="503">
        <v>1</v>
      </c>
      <c r="U52" s="503">
        <v>1</v>
      </c>
      <c r="V52" s="503">
        <v>1</v>
      </c>
      <c r="W52" s="503">
        <v>1</v>
      </c>
      <c r="X52" s="503">
        <v>1</v>
      </c>
      <c r="Y52" s="503">
        <v>1</v>
      </c>
      <c r="Z52" s="503">
        <v>1</v>
      </c>
      <c r="AA52" s="503">
        <v>1</v>
      </c>
      <c r="AB52" s="503">
        <v>1</v>
      </c>
      <c r="AC52" s="503">
        <v>1</v>
      </c>
      <c r="AD52" s="503">
        <v>1</v>
      </c>
      <c r="AE52" s="503">
        <v>1</v>
      </c>
      <c r="AF52" s="503">
        <v>1</v>
      </c>
      <c r="AG52" s="503">
        <v>1</v>
      </c>
      <c r="AH52"/>
    </row>
    <row r="53" spans="1:43" ht="13.5" x14ac:dyDescent="0.3">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row>
    <row r="54" spans="1:43" ht="13.5" x14ac:dyDescent="0.3">
      <c r="C54" s="1" t="s">
        <v>118</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c r="AH54"/>
    </row>
    <row r="55" spans="1:43" ht="13.5" x14ac:dyDescent="0.3">
      <c r="C55" s="1" t="s">
        <v>119</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row>
    <row r="56" spans="1:43" ht="13.5" x14ac:dyDescent="0.3">
      <c r="D56" s="205"/>
      <c r="G56" s="205"/>
      <c r="AH56"/>
    </row>
    <row r="57" spans="1:43" ht="13.5" x14ac:dyDescent="0.3">
      <c r="C57" s="3" t="s">
        <v>126</v>
      </c>
      <c r="D57" s="218"/>
      <c r="E57" s="107"/>
      <c r="F57" s="3"/>
      <c r="G57" s="210">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58798.844826088578</v>
      </c>
      <c r="N57" s="170" cm="1">
        <f t="array" ref="N57">SUMPRODUCT((N$45:N$52)*($E$45:$E$52))+SUM(N54:N55)+N42</f>
        <v>58403.027316068779</v>
      </c>
      <c r="O57" s="170" cm="1">
        <f t="array" ref="O57">SUMPRODUCT((O$45:O$52)*($E$45:$E$52))+SUM(O54:O55)+O42</f>
        <v>58007.232649298348</v>
      </c>
      <c r="P57" s="170" cm="1">
        <f t="array" ref="P57">SUMPRODUCT((P$45:P$52)*($E$45:$E$52))+SUM(P54:P55)+P42</f>
        <v>57611.412055178531</v>
      </c>
      <c r="Q57" s="170" cm="1">
        <f t="array" ref="Q57">SUMPRODUCT((Q$45:Q$52)*($E$45:$E$52))+SUM(Q54:Q55)+Q42</f>
        <v>57215.591461058706</v>
      </c>
      <c r="R57" s="170" cm="1">
        <f t="array" ref="R57">SUMPRODUCT((R$45:R$52)*($E$45:$E$52))+SUM(R54:R55)+R42</f>
        <v>56819.770866938896</v>
      </c>
      <c r="S57" s="170" cm="1">
        <f t="array" ref="S57">SUMPRODUCT((S$45:S$52)*($E$45:$E$52))+SUM(S54:S55)+S42</f>
        <v>56423.950272819071</v>
      </c>
      <c r="T57" s="170" cm="1">
        <f t="array" ref="T57">SUMPRODUCT((T$45:T$52)*($E$45:$E$52))+SUM(T54:T55)+T42</f>
        <v>56028.129678699246</v>
      </c>
      <c r="U57" s="170" cm="1">
        <f t="array" ref="U57">SUMPRODUCT((U$45:U$52)*($E$45:$E$52))+SUM(U54:U55)+U42</f>
        <v>55632.309084579436</v>
      </c>
      <c r="V57" s="170" cm="1">
        <f t="array" ref="V57">SUMPRODUCT((V$45:V$52)*($E$45:$E$52))+SUM(V54:V55)+V42</f>
        <v>55236.488490459611</v>
      </c>
      <c r="W57" s="170" cm="1">
        <f t="array" ref="W57">SUMPRODUCT((W$45:W$52)*($E$45:$E$52))+SUM(W54:W55)+W42</f>
        <v>54840.667896339794</v>
      </c>
      <c r="X57" s="170" cm="1">
        <f t="array" ref="X57">SUMPRODUCT((X$45:X$52)*($E$45:$E$52))+SUM(X54:X55)+X42</f>
        <v>54444.847302219983</v>
      </c>
      <c r="Y57" s="170" cm="1">
        <f t="array" ref="Y57">SUMPRODUCT((Y$45:Y$52)*($E$45:$E$52))+SUM(Y54:Y55)+Y42</f>
        <v>54049.026708100137</v>
      </c>
      <c r="Z57" s="170" cm="1">
        <f t="array" ref="Z57">SUMPRODUCT((Z$45:Z$52)*($E$45:$E$52))+SUM(Z54:Z55)+Z42</f>
        <v>53653.206113980326</v>
      </c>
      <c r="AA57" s="170" cm="1">
        <f t="array" ref="AA57">SUMPRODUCT((AA$45:AA$52)*($E$45:$E$52))+SUM(AA54:AA55)+AA42</f>
        <v>53257.385519860509</v>
      </c>
      <c r="AB57" s="170" cm="1">
        <f t="array" ref="AB57">SUMPRODUCT((AB$45:AB$52)*($E$45:$E$52))+SUM(AB54:AB55)+AB42</f>
        <v>52861.564925740691</v>
      </c>
      <c r="AC57" s="170" cm="1">
        <f t="array" ref="AC57">SUMPRODUCT((AC$45:AC$52)*($E$45:$E$52))+SUM(AC54:AC55)+AC42</f>
        <v>52465.744331620874</v>
      </c>
      <c r="AD57" s="170" cm="1">
        <f t="array" ref="AD57">SUMPRODUCT((AD$45:AD$52)*($E$45:$E$52))+SUM(AD54:AD55)+AD42</f>
        <v>52069.923737501049</v>
      </c>
      <c r="AE57" s="170" cm="1">
        <f t="array" ref="AE57">SUMPRODUCT((AE$45:AE$52)*($E$45:$E$52))+SUM(AE54:AE55)+AE42</f>
        <v>51674.155416263064</v>
      </c>
      <c r="AF57" s="170" cm="1">
        <f t="array" ref="AF57">SUMPRODUCT((AF$45:AF$52)*($E$45:$E$52))+SUM(AF54:AF55)+AF42</f>
        <v>51278.334822143253</v>
      </c>
      <c r="AG57" s="170" cm="1">
        <f t="array" ref="AG57">SUMPRODUCT((AG$45:AG$52)*($E$45:$E$52))+SUM(AG54:AG55)+AG42</f>
        <v>50882.514228023429</v>
      </c>
      <c r="AH57"/>
    </row>
    <row r="58" spans="1:43" ht="13.5" x14ac:dyDescent="0.3">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row>
    <row r="59" spans="1:43" ht="13.5" x14ac:dyDescent="0.3">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row>
    <row r="60" spans="1:43" ht="14.5" x14ac:dyDescent="0.3">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4.5" x14ac:dyDescent="0.3">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3">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ht="13.5" x14ac:dyDescent="0.3">
      <c r="C63" s="4"/>
      <c r="F63" s="2"/>
      <c r="G63" s="212"/>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row>
    <row r="64" spans="1:43" ht="13.5" x14ac:dyDescent="0.3">
      <c r="C64" s="4" t="str">
        <f>'Option1 (base case)'!C64</f>
        <v>Risks mitigated vs base case</v>
      </c>
      <c r="G64" s="210">
        <f>input_dollars</f>
        <v>45291</v>
      </c>
      <c r="I64" s="132">
        <f>(1-INDEX(Data!$C$9:$C$13, MATCH($A$3, options,0)))*('Option1 (base case)'!I36-I36)</f>
        <v>0</v>
      </c>
      <c r="J64" s="132">
        <f>(1-INDEX(Data!$C$9:$C$13, MATCH($A$3, options,0)))*('Option1 (base case)'!J36-J36)</f>
        <v>86650.00329620298</v>
      </c>
      <c r="K64" s="132">
        <f>(1-INDEX(Data!$C$9:$C$13, MATCH($A$3, options,0)))*('Option1 (base case)'!K36-K36)</f>
        <v>173296.46653425787</v>
      </c>
      <c r="L64" s="132">
        <f>(1-INDEX(Data!$C$9:$C$13, MATCH($A$3, options,0)))*('Option1 (base case)'!L36-L36)</f>
        <v>259945.87864075042</v>
      </c>
      <c r="M64" s="132">
        <f>(1-INDEX(Data!$C$9:$C$13, MATCH($A$3, options,0)))*('Option1 (base case)'!M36-M36)</f>
        <v>820092.9765178063</v>
      </c>
      <c r="N64" s="132">
        <f>(1-INDEX(Data!$C$9:$C$13, MATCH($A$3, options,0)))*('Option1 (base case)'!N36-N36)</f>
        <v>798981.38868927583</v>
      </c>
      <c r="O64" s="132">
        <f>(1-INDEX(Data!$C$9:$C$13, MATCH($A$3, options,0)))*('Option1 (base case)'!O36-O36)</f>
        <v>783081.24836630793</v>
      </c>
      <c r="P64" s="132">
        <f>(1-INDEX(Data!$C$9:$C$13, MATCH($A$3, options,0)))*('Option1 (base case)'!P36-P36)</f>
        <v>763134.39800587343</v>
      </c>
      <c r="Q64" s="132">
        <f>(1-INDEX(Data!$C$9:$C$13, MATCH($A$3, options,0)))*('Option1 (base case)'!Q36-Q36)</f>
        <v>744234.26451005414</v>
      </c>
      <c r="R64" s="132">
        <f>(1-INDEX(Data!$C$9:$C$13, MATCH($A$3, options,0)))*('Option1 (base case)'!R36-R36)</f>
        <v>713596.16597002046</v>
      </c>
      <c r="S64" s="132">
        <f>(1-INDEX(Data!$C$9:$C$13, MATCH($A$3, options,0)))*('Option1 (base case)'!S36-S36)</f>
        <v>682958.06742998585</v>
      </c>
      <c r="T64" s="132">
        <f>(1-INDEX(Data!$C$9:$C$13, MATCH($A$3, options,0)))*('Option1 (base case)'!T36-T36)</f>
        <v>652319.96888995171</v>
      </c>
      <c r="U64" s="132">
        <f>(1-INDEX(Data!$C$9:$C$13, MATCH($A$3, options,0)))*('Option1 (base case)'!U36-U36)</f>
        <v>621681.8703499171</v>
      </c>
      <c r="V64" s="132">
        <f>(1-INDEX(Data!$C$9:$C$13, MATCH($A$3, options,0)))*('Option1 (base case)'!V36-V36)</f>
        <v>591043.77180988295</v>
      </c>
      <c r="W64" s="132">
        <f>(1-INDEX(Data!$C$9:$C$13, MATCH($A$3, options,0)))*('Option1 (base case)'!W36-W36)</f>
        <v>560405.6732698488</v>
      </c>
      <c r="X64" s="132">
        <f>(1-INDEX(Data!$C$9:$C$13, MATCH($A$3, options,0)))*('Option1 (base case)'!X36-X36)</f>
        <v>529767.57472981419</v>
      </c>
      <c r="Y64" s="132">
        <f>(1-INDEX(Data!$C$9:$C$13, MATCH($A$3, options,0)))*('Option1 (base case)'!Y36-Y36)</f>
        <v>499129.47618978005</v>
      </c>
      <c r="Z64" s="132">
        <f>(1-INDEX(Data!$C$9:$C$13, MATCH($A$3, options,0)))*('Option1 (base case)'!Z36-Z36)</f>
        <v>468491.37764974544</v>
      </c>
      <c r="AA64" s="132">
        <f>(1-INDEX(Data!$C$9:$C$13, MATCH($A$3, options,0)))*('Option1 (base case)'!AA36-AA36)</f>
        <v>437853.27910971083</v>
      </c>
      <c r="AB64" s="132">
        <f>(1-INDEX(Data!$C$9:$C$13, MATCH($A$3, options,0)))*('Option1 (base case)'!AB36-AB36)</f>
        <v>407215.18056967715</v>
      </c>
      <c r="AC64" s="132">
        <f>(1-INDEX(Data!$C$9:$C$13, MATCH($A$3, options,0)))*('Option1 (base case)'!AC36-AC36)</f>
        <v>376577.082029643</v>
      </c>
      <c r="AD64" s="132">
        <f>(1-INDEX(Data!$C$9:$C$13, MATCH($A$3, options,0)))*('Option1 (base case)'!AD36-AD36)</f>
        <v>345938.98348960839</v>
      </c>
      <c r="AE64" s="132">
        <f>(1-INDEX(Data!$C$9:$C$13, MATCH($A$3, options,0)))*('Option1 (base case)'!AE36-AE36)</f>
        <v>315304.89288013894</v>
      </c>
      <c r="AF64" s="132">
        <f>(1-INDEX(Data!$C$9:$C$13, MATCH($A$3, options,0)))*('Option1 (base case)'!AF36-AF36)</f>
        <v>284666.79434010573</v>
      </c>
      <c r="AG64" s="132">
        <f>(1-INDEX(Data!$C$9:$C$13, MATCH($A$3, options,0)))*('Option1 (base case)'!AG36-AG36)</f>
        <v>254028.69580007065</v>
      </c>
      <c r="AH64"/>
    </row>
    <row r="65" spans="1:34" ht="13.5" x14ac:dyDescent="0.3">
      <c r="G65" s="212"/>
      <c r="AH65"/>
    </row>
    <row r="66" spans="1:34" ht="13.5" x14ac:dyDescent="0.3">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row>
    <row r="67" spans="1:34" ht="13.5" x14ac:dyDescent="0.3">
      <c r="A67" s="8"/>
      <c r="B67" s="8"/>
      <c r="C67" s="4" t="str">
        <f>C14</f>
        <v>Microgrid CAPEX (exc BESS)</v>
      </c>
      <c r="D67" s="38"/>
      <c r="F67" s="97"/>
      <c r="G67" s="210">
        <f>input_dollars</f>
        <v>45291</v>
      </c>
      <c r="H67" s="31"/>
      <c r="I67" s="118">
        <f t="shared" ref="I67:AG67" si="5">-I14</f>
        <v>0</v>
      </c>
      <c r="J67" s="118">
        <f t="shared" si="5"/>
        <v>0</v>
      </c>
      <c r="K67" s="118">
        <f t="shared" si="5"/>
        <v>0</v>
      </c>
      <c r="L67" s="118">
        <f t="shared" si="5"/>
        <v>-4557799</v>
      </c>
      <c r="M67" s="118">
        <f t="shared" si="5"/>
        <v>0</v>
      </c>
      <c r="N67" s="118">
        <f t="shared" si="5"/>
        <v>0</v>
      </c>
      <c r="O67" s="118">
        <f t="shared" si="5"/>
        <v>0</v>
      </c>
      <c r="P67" s="118">
        <f t="shared" si="5"/>
        <v>0</v>
      </c>
      <c r="Q67" s="118">
        <f t="shared" si="5"/>
        <v>0</v>
      </c>
      <c r="R67" s="118">
        <f t="shared" si="5"/>
        <v>0</v>
      </c>
      <c r="S67" s="118">
        <f t="shared" si="5"/>
        <v>0</v>
      </c>
      <c r="T67" s="118">
        <f t="shared" si="5"/>
        <v>0</v>
      </c>
      <c r="U67" s="118">
        <f t="shared" si="5"/>
        <v>0</v>
      </c>
      <c r="V67" s="118">
        <f t="shared" si="5"/>
        <v>0</v>
      </c>
      <c r="W67" s="118">
        <f t="shared" si="5"/>
        <v>0</v>
      </c>
      <c r="X67" s="118">
        <f t="shared" si="5"/>
        <v>0</v>
      </c>
      <c r="Y67" s="118">
        <f t="shared" si="5"/>
        <v>0</v>
      </c>
      <c r="Z67" s="118">
        <f t="shared" si="5"/>
        <v>0</v>
      </c>
      <c r="AA67" s="118">
        <f t="shared" si="5"/>
        <v>0</v>
      </c>
      <c r="AB67" s="118">
        <f t="shared" si="5"/>
        <v>0</v>
      </c>
      <c r="AC67" s="118">
        <f t="shared" si="5"/>
        <v>0</v>
      </c>
      <c r="AD67" s="118">
        <f t="shared" si="5"/>
        <v>0</v>
      </c>
      <c r="AE67" s="118">
        <f t="shared" si="5"/>
        <v>0</v>
      </c>
      <c r="AF67" s="118">
        <f t="shared" si="5"/>
        <v>0</v>
      </c>
      <c r="AG67" s="118">
        <f t="shared" si="5"/>
        <v>0</v>
      </c>
      <c r="AH67"/>
    </row>
    <row r="68" spans="1:34" ht="13.5" x14ac:dyDescent="0.3">
      <c r="A68" s="8"/>
      <c r="B68" s="8"/>
      <c r="C68" s="4" t="str">
        <f>C15</f>
        <v>BESS CAPEX</v>
      </c>
      <c r="D68" s="38"/>
      <c r="F68" s="97"/>
      <c r="G68" s="210">
        <f>input_dollars</f>
        <v>45291</v>
      </c>
      <c r="H68" s="31"/>
      <c r="I68" s="118">
        <f t="shared" ref="I68:AG68" si="6">-I15</f>
        <v>0</v>
      </c>
      <c r="J68" s="118">
        <f t="shared" si="6"/>
        <v>0</v>
      </c>
      <c r="K68" s="118">
        <f t="shared" si="6"/>
        <v>0</v>
      </c>
      <c r="L68" s="118">
        <f t="shared" si="6"/>
        <v>-1715596</v>
      </c>
      <c r="M68" s="118">
        <f t="shared" si="6"/>
        <v>0</v>
      </c>
      <c r="N68" s="118">
        <f t="shared" si="6"/>
        <v>0</v>
      </c>
      <c r="O68" s="118">
        <f t="shared" si="6"/>
        <v>0</v>
      </c>
      <c r="P68" s="118">
        <f t="shared" si="6"/>
        <v>0</v>
      </c>
      <c r="Q68" s="118">
        <f t="shared" si="6"/>
        <v>0</v>
      </c>
      <c r="R68" s="118">
        <f t="shared" si="6"/>
        <v>0</v>
      </c>
      <c r="S68" s="118">
        <f t="shared" si="6"/>
        <v>0</v>
      </c>
      <c r="T68" s="118">
        <f t="shared" si="6"/>
        <v>0</v>
      </c>
      <c r="U68" s="118">
        <f t="shared" si="6"/>
        <v>0</v>
      </c>
      <c r="V68" s="118">
        <f t="shared" si="6"/>
        <v>0</v>
      </c>
      <c r="W68" s="118">
        <f t="shared" si="6"/>
        <v>0</v>
      </c>
      <c r="X68" s="118">
        <f t="shared" si="6"/>
        <v>0</v>
      </c>
      <c r="Y68" s="118">
        <f t="shared" si="6"/>
        <v>0</v>
      </c>
      <c r="Z68" s="118">
        <f t="shared" si="6"/>
        <v>0</v>
      </c>
      <c r="AA68" s="118">
        <f t="shared" si="6"/>
        <v>0</v>
      </c>
      <c r="AB68" s="118">
        <f t="shared" si="6"/>
        <v>0</v>
      </c>
      <c r="AC68" s="118">
        <f t="shared" si="6"/>
        <v>0</v>
      </c>
      <c r="AD68" s="118">
        <f t="shared" si="6"/>
        <v>0</v>
      </c>
      <c r="AE68" s="118">
        <f t="shared" si="6"/>
        <v>0</v>
      </c>
      <c r="AF68" s="118">
        <f t="shared" si="6"/>
        <v>0</v>
      </c>
      <c r="AG68" s="118">
        <f t="shared" si="6"/>
        <v>0</v>
      </c>
      <c r="AH68"/>
    </row>
    <row r="69" spans="1:34" ht="13.5" x14ac:dyDescent="0.3">
      <c r="A69" s="8"/>
      <c r="B69" s="8"/>
      <c r="C69" s="4" t="str">
        <f>C16</f>
        <v>&lt; Enter description &gt;</v>
      </c>
      <c r="D69" s="38"/>
      <c r="F69" s="97"/>
      <c r="G69" s="210">
        <f>input_dollars</f>
        <v>45291</v>
      </c>
      <c r="H69" s="31"/>
      <c r="I69" s="118">
        <f t="shared" ref="I69:AG69" si="7">-I16</f>
        <v>0</v>
      </c>
      <c r="J69" s="118">
        <f t="shared" si="7"/>
        <v>0</v>
      </c>
      <c r="K69" s="118">
        <f t="shared" si="7"/>
        <v>0</v>
      </c>
      <c r="L69" s="118">
        <f t="shared" si="7"/>
        <v>0</v>
      </c>
      <c r="M69" s="118">
        <f t="shared" si="7"/>
        <v>0</v>
      </c>
      <c r="N69" s="118">
        <f t="shared" si="7"/>
        <v>0</v>
      </c>
      <c r="O69" s="118">
        <f t="shared" si="7"/>
        <v>0</v>
      </c>
      <c r="P69" s="118">
        <f t="shared" si="7"/>
        <v>0</v>
      </c>
      <c r="Q69" s="118">
        <f t="shared" si="7"/>
        <v>0</v>
      </c>
      <c r="R69" s="118">
        <f t="shared" si="7"/>
        <v>0</v>
      </c>
      <c r="S69" s="118">
        <f t="shared" si="7"/>
        <v>0</v>
      </c>
      <c r="T69" s="118">
        <f t="shared" si="7"/>
        <v>0</v>
      </c>
      <c r="U69" s="118">
        <f t="shared" si="7"/>
        <v>0</v>
      </c>
      <c r="V69" s="118">
        <f t="shared" si="7"/>
        <v>0</v>
      </c>
      <c r="W69" s="118">
        <f t="shared" si="7"/>
        <v>0</v>
      </c>
      <c r="X69" s="118">
        <f t="shared" si="7"/>
        <v>0</v>
      </c>
      <c r="Y69" s="118">
        <f t="shared" si="7"/>
        <v>0</v>
      </c>
      <c r="Z69" s="118">
        <f t="shared" si="7"/>
        <v>0</v>
      </c>
      <c r="AA69" s="118">
        <f t="shared" si="7"/>
        <v>0</v>
      </c>
      <c r="AB69" s="118">
        <f t="shared" si="7"/>
        <v>0</v>
      </c>
      <c r="AC69" s="118">
        <f t="shared" si="7"/>
        <v>0</v>
      </c>
      <c r="AD69" s="118">
        <f t="shared" si="7"/>
        <v>0</v>
      </c>
      <c r="AE69" s="118">
        <f t="shared" si="7"/>
        <v>0</v>
      </c>
      <c r="AF69" s="118">
        <f t="shared" si="7"/>
        <v>0</v>
      </c>
      <c r="AG69" s="118">
        <f t="shared" si="7"/>
        <v>0</v>
      </c>
      <c r="AH69"/>
    </row>
    <row r="70" spans="1:34" ht="13.5" x14ac:dyDescent="0.3">
      <c r="A70" s="8"/>
      <c r="B70" s="8"/>
      <c r="C70" s="4"/>
      <c r="D70" s="38"/>
      <c r="F70" s="97"/>
      <c r="G70" s="214"/>
      <c r="H70" s="31"/>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row>
    <row r="71" spans="1:34" ht="13.5" x14ac:dyDescent="0.3">
      <c r="A71" s="8"/>
      <c r="B71" s="8"/>
      <c r="C71" s="147" t="s">
        <v>162</v>
      </c>
      <c r="D71" s="38"/>
      <c r="F71" s="97"/>
      <c r="G71" s="213"/>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row>
    <row r="72" spans="1:34" ht="13.5" x14ac:dyDescent="0.3">
      <c r="A72" s="8"/>
      <c r="B72" s="8"/>
      <c r="C72" s="4" t="str">
        <f>C14</f>
        <v>Microgrid CAPEX (exc BESS)</v>
      </c>
      <c r="D72" s="38"/>
      <c r="F72" s="97"/>
      <c r="G72" s="210">
        <f>input_dollars</f>
        <v>45291</v>
      </c>
      <c r="H72" s="31"/>
      <c r="I72" s="118" cm="1">
        <f t="array" ref="I72">SUMPRODUCT(($I67:I67))-SUMPRODUCT(($I67:I67)*($I$6:I$6&lt;=(I$6-$E14)))</f>
        <v>0</v>
      </c>
      <c r="J72" s="118" cm="1">
        <f t="array" ref="J72">SUMPRODUCT(($I67:J67))-SUMPRODUCT(($I67:J67)*($I$6:J$6&lt;=(J$6-$E14)))</f>
        <v>0</v>
      </c>
      <c r="K72" s="118" cm="1">
        <f t="array" ref="K72">SUMPRODUCT(($I67:K67))-SUMPRODUCT(($I67:K67)*($I$6:K$6&lt;=(K$6-$E14)))</f>
        <v>0</v>
      </c>
      <c r="L72" s="118" cm="1">
        <f t="array" ref="L72">SUMPRODUCT(($I67:L67))-SUMPRODUCT(($I67:L67)*($I$6:L$6&lt;=(L$6-$E14)))</f>
        <v>-4557799</v>
      </c>
      <c r="M72" s="118" cm="1">
        <f t="array" ref="M72">SUMPRODUCT(($I67:M67))-SUMPRODUCT(($I67:M67)*($I$6:M$6&lt;=(M$6-$E14)))</f>
        <v>-4557799</v>
      </c>
      <c r="N72" s="118" cm="1">
        <f t="array" ref="N72">SUMPRODUCT(($I67:N67))-SUMPRODUCT(($I67:N67)*($I$6:N$6&lt;=(N$6-$E14)))</f>
        <v>-4557799</v>
      </c>
      <c r="O72" s="118" cm="1">
        <f t="array" ref="O72">SUMPRODUCT(($I67:O67))-SUMPRODUCT(($I67:O67)*($I$6:O$6&lt;=(O$6-$E14)))</f>
        <v>-4557799</v>
      </c>
      <c r="P72" s="118" cm="1">
        <f t="array" ref="P72">SUMPRODUCT(($I67:P67))-SUMPRODUCT(($I67:P67)*($I$6:P$6&lt;=(P$6-$E14)))</f>
        <v>-4557799</v>
      </c>
      <c r="Q72" s="118" cm="1">
        <f t="array" ref="Q72">SUMPRODUCT(($I67:Q67))-SUMPRODUCT(($I67:Q67)*($I$6:Q$6&lt;=(Q$6-$E14)))</f>
        <v>-4557799</v>
      </c>
      <c r="R72" s="118" cm="1">
        <f t="array" ref="R72">SUMPRODUCT(($I67:R67))-SUMPRODUCT(($I67:R67)*($I$6:R$6&lt;=(R$6-$E14)))</f>
        <v>-4557799</v>
      </c>
      <c r="S72" s="118" cm="1">
        <f t="array" ref="S72">SUMPRODUCT(($I67:S67))-SUMPRODUCT(($I67:S67)*($I$6:S$6&lt;=(S$6-$E14)))</f>
        <v>-4557799</v>
      </c>
      <c r="T72" s="118" cm="1">
        <f t="array" ref="T72">SUMPRODUCT(($I67:T67))-SUMPRODUCT(($I67:T67)*($I$6:T$6&lt;=(T$6-$E14)))</f>
        <v>-4557799</v>
      </c>
      <c r="U72" s="118" cm="1">
        <f t="array" ref="U72">SUMPRODUCT(($I67:U67))-SUMPRODUCT(($I67:U67)*($I$6:U$6&lt;=(U$6-$E14)))</f>
        <v>-4557799</v>
      </c>
      <c r="V72" s="118" cm="1">
        <f t="array" ref="V72">SUMPRODUCT(($I67:V67))-SUMPRODUCT(($I67:V67)*($I$6:V$6&lt;=(V$6-$E14)))</f>
        <v>-4557799</v>
      </c>
      <c r="W72" s="118" cm="1">
        <f t="array" ref="W72">SUMPRODUCT(($I67:W67))-SUMPRODUCT(($I67:W67)*($I$6:W$6&lt;=(W$6-$E14)))</f>
        <v>-4557799</v>
      </c>
      <c r="X72" s="118" cm="1">
        <f t="array" ref="X72">SUMPRODUCT(($I67:X67))-SUMPRODUCT(($I67:X67)*($I$6:X$6&lt;=(X$6-$E14)))</f>
        <v>-4557799</v>
      </c>
      <c r="Y72" s="118" cm="1">
        <f t="array" ref="Y72">SUMPRODUCT(($I67:Y67))-SUMPRODUCT(($I67:Y67)*($I$6:Y$6&lt;=(Y$6-$E14)))</f>
        <v>-4557799</v>
      </c>
      <c r="Z72" s="118" cm="1">
        <f t="array" ref="Z72">SUMPRODUCT(($I67:Z67))-SUMPRODUCT(($I67:Z67)*($I$6:Z$6&lt;=(Z$6-$E14)))</f>
        <v>-4557799</v>
      </c>
      <c r="AA72" s="118" cm="1">
        <f t="array" ref="AA72">SUMPRODUCT(($I67:AA67))-SUMPRODUCT(($I67:AA67)*($I$6:AA$6&lt;=(AA$6-$E14)))</f>
        <v>-4557799</v>
      </c>
      <c r="AB72" s="118" cm="1">
        <f t="array" ref="AB72">SUMPRODUCT(($I67:AB67))-SUMPRODUCT(($I67:AB67)*($I$6:AB$6&lt;=(AB$6-$E14)))</f>
        <v>-4557799</v>
      </c>
      <c r="AC72" s="118" cm="1">
        <f t="array" ref="AC72">SUMPRODUCT(($I67:AC67))-SUMPRODUCT(($I67:AC67)*($I$6:AC$6&lt;=(AC$6-$E14)))</f>
        <v>-4557799</v>
      </c>
      <c r="AD72" s="118" cm="1">
        <f t="array" ref="AD72">SUMPRODUCT(($I67:AD67))-SUMPRODUCT(($I67:AD67)*($I$6:AD$6&lt;=(AD$6-$E14)))</f>
        <v>-4557799</v>
      </c>
      <c r="AE72" s="118" cm="1">
        <f t="array" ref="AE72">SUMPRODUCT(($I67:AE67))-SUMPRODUCT(($I67:AE67)*($I$6:AE$6&lt;=(AE$6-$E14)))</f>
        <v>-4557799</v>
      </c>
      <c r="AF72" s="118" cm="1">
        <f t="array" ref="AF72">SUMPRODUCT(($I67:AF67))-SUMPRODUCT(($I67:AF67)*($I$6:AF$6&lt;=(AF$6-$E14)))</f>
        <v>0</v>
      </c>
      <c r="AG72" s="118" cm="1">
        <f t="array" ref="AG72">SUMPRODUCT(($I67:AG67))-SUMPRODUCT(($I67:AG67)*($I$6:AG$6&lt;=(AG$6-$E14)))</f>
        <v>0</v>
      </c>
      <c r="AH72"/>
    </row>
    <row r="73" spans="1:34" ht="13.5" x14ac:dyDescent="0.3">
      <c r="A73" s="8"/>
      <c r="B73" s="8"/>
      <c r="C73" s="4" t="str">
        <f>C15</f>
        <v>BESS CAPEX</v>
      </c>
      <c r="D73" s="38"/>
      <c r="F73" s="97"/>
      <c r="G73" s="210">
        <f>input_dollars</f>
        <v>45291</v>
      </c>
      <c r="H73" s="31"/>
      <c r="I73" s="118" cm="1">
        <f t="array" ref="I73">SUMPRODUCT(($I68:I68))-SUMPRODUCT(($I68:I68)*($I$6:I$6&lt;=(I$6-$E15)))</f>
        <v>0</v>
      </c>
      <c r="J73" s="118" cm="1">
        <f t="array" ref="J73">SUMPRODUCT(($I68:J68))-SUMPRODUCT(($I68:J68)*($I$6:J$6&lt;=(J$6-$E15)))</f>
        <v>0</v>
      </c>
      <c r="K73" s="118" cm="1">
        <f t="array" ref="K73">SUMPRODUCT(($I68:K68))-SUMPRODUCT(($I68:K68)*($I$6:K$6&lt;=(K$6-$E15)))</f>
        <v>0</v>
      </c>
      <c r="L73" s="118" cm="1">
        <f t="array" ref="L73">SUMPRODUCT(($I68:L68))-SUMPRODUCT(($I68:L68)*($I$6:L$6&lt;=(L$6-$E15)))</f>
        <v>-1715596</v>
      </c>
      <c r="M73" s="118" cm="1">
        <f t="array" ref="M73">SUMPRODUCT(($I68:M68))-SUMPRODUCT(($I68:M68)*($I$6:M$6&lt;=(M$6-$E15)))</f>
        <v>-1715596</v>
      </c>
      <c r="N73" s="118" cm="1">
        <f t="array" ref="N73">SUMPRODUCT(($I68:N68))-SUMPRODUCT(($I68:N68)*($I$6:N$6&lt;=(N$6-$E15)))</f>
        <v>-1715596</v>
      </c>
      <c r="O73" s="118" cm="1">
        <f t="array" ref="O73">SUMPRODUCT(($I68:O68))-SUMPRODUCT(($I68:O68)*($I$6:O$6&lt;=(O$6-$E15)))</f>
        <v>-1715596</v>
      </c>
      <c r="P73" s="118" cm="1">
        <f t="array" ref="P73">SUMPRODUCT(($I68:P68))-SUMPRODUCT(($I68:P68)*($I$6:P$6&lt;=(P$6-$E15)))</f>
        <v>-1715596</v>
      </c>
      <c r="Q73" s="118" cm="1">
        <f t="array" ref="Q73">SUMPRODUCT(($I68:Q68))-SUMPRODUCT(($I68:Q68)*($I$6:Q$6&lt;=(Q$6-$E15)))</f>
        <v>-1715596</v>
      </c>
      <c r="R73" s="118" cm="1">
        <f t="array" ref="R73">SUMPRODUCT(($I68:R68))-SUMPRODUCT(($I68:R68)*($I$6:R$6&lt;=(R$6-$E15)))</f>
        <v>-1715596</v>
      </c>
      <c r="S73" s="118" cm="1">
        <f t="array" ref="S73">SUMPRODUCT(($I68:S68))-SUMPRODUCT(($I68:S68)*($I$6:S$6&lt;=(S$6-$E15)))</f>
        <v>-1715596</v>
      </c>
      <c r="T73" s="118" cm="1">
        <f t="array" ref="T73">SUMPRODUCT(($I68:T68))-SUMPRODUCT(($I68:T68)*($I$6:T$6&lt;=(T$6-$E15)))</f>
        <v>-1715596</v>
      </c>
      <c r="U73" s="118" cm="1">
        <f t="array" ref="U73">SUMPRODUCT(($I68:U68))-SUMPRODUCT(($I68:U68)*($I$6:U$6&lt;=(U$6-$E15)))</f>
        <v>-1715596</v>
      </c>
      <c r="V73" s="118" cm="1">
        <f t="array" ref="V73">SUMPRODUCT(($I68:V68))-SUMPRODUCT(($I68:V68)*($I$6:V$6&lt;=(V$6-$E15)))</f>
        <v>-1715596</v>
      </c>
      <c r="W73" s="118" cm="1">
        <f t="array" ref="W73">SUMPRODUCT(($I68:W68))-SUMPRODUCT(($I68:W68)*($I$6:W$6&lt;=(W$6-$E15)))</f>
        <v>-1715596</v>
      </c>
      <c r="X73" s="118" cm="1">
        <f t="array" ref="X73">SUMPRODUCT(($I68:X68))-SUMPRODUCT(($I68:X68)*($I$6:X$6&lt;=(X$6-$E15)))</f>
        <v>-1715596</v>
      </c>
      <c r="Y73" s="118" cm="1">
        <f t="array" ref="Y73">SUMPRODUCT(($I68:Y68))-SUMPRODUCT(($I68:Y68)*($I$6:Y$6&lt;=(Y$6-$E15)))</f>
        <v>-1715596</v>
      </c>
      <c r="Z73" s="118" cm="1">
        <f t="array" ref="Z73">SUMPRODUCT(($I68:Z68))-SUMPRODUCT(($I68:Z68)*($I$6:Z$6&lt;=(Z$6-$E15)))</f>
        <v>-1715596</v>
      </c>
      <c r="AA73" s="118" cm="1">
        <f t="array" ref="AA73">SUMPRODUCT(($I68:AA68))-SUMPRODUCT(($I68:AA68)*($I$6:AA$6&lt;=(AA$6-$E15)))</f>
        <v>-1715596</v>
      </c>
      <c r="AB73" s="118" cm="1">
        <f t="array" ref="AB73">SUMPRODUCT(($I68:AB68))-SUMPRODUCT(($I68:AB68)*($I$6:AB$6&lt;=(AB$6-$E15)))</f>
        <v>-1715596</v>
      </c>
      <c r="AC73" s="118" cm="1">
        <f t="array" ref="AC73">SUMPRODUCT(($I68:AC68))-SUMPRODUCT(($I68:AC68)*($I$6:AC$6&lt;=(AC$6-$E15)))</f>
        <v>-1715596</v>
      </c>
      <c r="AD73" s="118" cm="1">
        <f t="array" ref="AD73">SUMPRODUCT(($I68:AD68))-SUMPRODUCT(($I68:AD68)*($I$6:AD$6&lt;=(AD$6-$E15)))</f>
        <v>-1715596</v>
      </c>
      <c r="AE73" s="118" cm="1">
        <f t="array" ref="AE73">SUMPRODUCT(($I68:AE68))-SUMPRODUCT(($I68:AE68)*($I$6:AE$6&lt;=(AE$6-$E15)))</f>
        <v>-1715596</v>
      </c>
      <c r="AF73" s="118" cm="1">
        <f t="array" ref="AF73">SUMPRODUCT(($I68:AF68))-SUMPRODUCT(($I68:AF68)*($I$6:AF$6&lt;=(AF$6-$E15)))</f>
        <v>0</v>
      </c>
      <c r="AG73" s="118" cm="1">
        <f t="array" ref="AG73">SUMPRODUCT(($I68:AG68))-SUMPRODUCT(($I68:AG68)*($I$6:AG$6&lt;=(AG$6-$E15)))</f>
        <v>0</v>
      </c>
      <c r="AH73"/>
    </row>
    <row r="74" spans="1:34" ht="13.5" x14ac:dyDescent="0.3">
      <c r="A74" s="8"/>
      <c r="B74" s="8"/>
      <c r="C74" s="4" t="str">
        <f>C16</f>
        <v>&lt; Enter description &gt;</v>
      </c>
      <c r="D74" s="38"/>
      <c r="F74" s="97"/>
      <c r="G74" s="210">
        <f>input_dollars</f>
        <v>45291</v>
      </c>
      <c r="H74" s="31"/>
      <c r="I74" s="118" cm="1">
        <f t="array" ref="I74">SUMPRODUCT(($I69:I69))-SUMPRODUCT(($I69:I69)*($I$6:I$6&lt;=(I$6-$E16)))</f>
        <v>0</v>
      </c>
      <c r="J74" s="118" cm="1">
        <f t="array" ref="J74">SUMPRODUCT(($I69:J69))-SUMPRODUCT(($I69:J69)*($I$6:J$6&lt;=(J$6-$E16)))</f>
        <v>0</v>
      </c>
      <c r="K74" s="118" cm="1">
        <f t="array" ref="K74">SUMPRODUCT(($I69:K69))-SUMPRODUCT(($I69:K69)*($I$6:K$6&lt;=(K$6-$E16)))</f>
        <v>0</v>
      </c>
      <c r="L74" s="118" cm="1">
        <f t="array" ref="L74">SUMPRODUCT(($I69:L69))-SUMPRODUCT(($I69:L69)*($I$6:L$6&lt;=(L$6-$E16)))</f>
        <v>0</v>
      </c>
      <c r="M74" s="118" cm="1">
        <f t="array" ref="M74">SUMPRODUCT(($I69:M69))-SUMPRODUCT(($I69:M69)*($I$6:M$6&lt;=(M$6-$E16)))</f>
        <v>0</v>
      </c>
      <c r="N74" s="118" cm="1">
        <f t="array" ref="N74">SUMPRODUCT(($I69:N69))-SUMPRODUCT(($I69:N69)*($I$6:N$6&lt;=(N$6-$E16)))</f>
        <v>0</v>
      </c>
      <c r="O74" s="118" cm="1">
        <f t="array" ref="O74">SUMPRODUCT(($I69:O69))-SUMPRODUCT(($I69:O69)*($I$6:O$6&lt;=(O$6-$E16)))</f>
        <v>0</v>
      </c>
      <c r="P74" s="118" cm="1">
        <f t="array" ref="P74">SUMPRODUCT(($I69:P69))-SUMPRODUCT(($I69:P69)*($I$6:P$6&lt;=(P$6-$E16)))</f>
        <v>0</v>
      </c>
      <c r="Q74" s="118" cm="1">
        <f t="array" ref="Q74">SUMPRODUCT(($I69:Q69))-SUMPRODUCT(($I69:Q69)*($I$6:Q$6&lt;=(Q$6-$E16)))</f>
        <v>0</v>
      </c>
      <c r="R74" s="118" cm="1">
        <f t="array" ref="R74">SUMPRODUCT(($I69:R69))-SUMPRODUCT(($I69:R69)*($I$6:R$6&lt;=(R$6-$E16)))</f>
        <v>0</v>
      </c>
      <c r="S74" s="118" cm="1">
        <f t="array" ref="S74">SUMPRODUCT(($I69:S69))-SUMPRODUCT(($I69:S69)*($I$6:S$6&lt;=(S$6-$E16)))</f>
        <v>0</v>
      </c>
      <c r="T74" s="118" cm="1">
        <f t="array" ref="T74">SUMPRODUCT(($I69:T69))-SUMPRODUCT(($I69:T69)*($I$6:T$6&lt;=(T$6-$E16)))</f>
        <v>0</v>
      </c>
      <c r="U74" s="118" cm="1">
        <f t="array" ref="U74">SUMPRODUCT(($I69:U69))-SUMPRODUCT(($I69:U69)*($I$6:U$6&lt;=(U$6-$E16)))</f>
        <v>0</v>
      </c>
      <c r="V74" s="118" cm="1">
        <f t="array" ref="V74">SUMPRODUCT(($I69:V69))-SUMPRODUCT(($I69:V69)*($I$6:V$6&lt;=(V$6-$E16)))</f>
        <v>0</v>
      </c>
      <c r="W74" s="118" cm="1">
        <f t="array" ref="W74">SUMPRODUCT(($I69:W69))-SUMPRODUCT(($I69:W69)*($I$6:W$6&lt;=(W$6-$E16)))</f>
        <v>0</v>
      </c>
      <c r="X74" s="118" cm="1">
        <f t="array" ref="X74">SUMPRODUCT(($I69:X69))-SUMPRODUCT(($I69:X69)*($I$6:X$6&lt;=(X$6-$E16)))</f>
        <v>0</v>
      </c>
      <c r="Y74" s="118" cm="1">
        <f t="array" ref="Y74">SUMPRODUCT(($I69:Y69))-SUMPRODUCT(($I69:Y69)*($I$6:Y$6&lt;=(Y$6-$E16)))</f>
        <v>0</v>
      </c>
      <c r="Z74" s="118" cm="1">
        <f t="array" ref="Z74">SUMPRODUCT(($I69:Z69))-SUMPRODUCT(($I69:Z69)*($I$6:Z$6&lt;=(Z$6-$E16)))</f>
        <v>0</v>
      </c>
      <c r="AA74" s="118" cm="1">
        <f t="array" ref="AA74">SUMPRODUCT(($I69:AA69))-SUMPRODUCT(($I69:AA69)*($I$6:AA$6&lt;=(AA$6-$E16)))</f>
        <v>0</v>
      </c>
      <c r="AB74" s="118" cm="1">
        <f t="array" ref="AB74">SUMPRODUCT(($I69:AB69))-SUMPRODUCT(($I69:AB69)*($I$6:AB$6&lt;=(AB$6-$E16)))</f>
        <v>0</v>
      </c>
      <c r="AC74" s="118" cm="1">
        <f t="array" ref="AC74">SUMPRODUCT(($I69:AC69))-SUMPRODUCT(($I69:AC69)*($I$6:AC$6&lt;=(AC$6-$E16)))</f>
        <v>0</v>
      </c>
      <c r="AD74" s="118" cm="1">
        <f t="array" ref="AD74">SUMPRODUCT(($I69:AD69))-SUMPRODUCT(($I69:AD69)*($I$6:AD$6&lt;=(AD$6-$E16)))</f>
        <v>0</v>
      </c>
      <c r="AE74" s="118" cm="1">
        <f t="array" ref="AE74">SUMPRODUCT(($I69:AE69))-SUMPRODUCT(($I69:AE69)*($I$6:AE$6&lt;=(AE$6-$E16)))</f>
        <v>0</v>
      </c>
      <c r="AF74" s="118" cm="1">
        <f t="array" ref="AF74">SUMPRODUCT(($I69:AF69))-SUMPRODUCT(($I69:AF69)*($I$6:AF$6&lt;=(AF$6-$E16)))</f>
        <v>0</v>
      </c>
      <c r="AG74" s="118" cm="1">
        <f t="array" ref="AG74">SUMPRODUCT(($I69:AG69))-SUMPRODUCT(($I69:AG69)*($I$6:AG$6&lt;=(AG$6-$E16)))</f>
        <v>0</v>
      </c>
      <c r="AH74"/>
    </row>
    <row r="75" spans="1:34" ht="13.5" x14ac:dyDescent="0.3">
      <c r="A75" s="8"/>
      <c r="B75" s="8"/>
      <c r="C75" s="4"/>
      <c r="D75" s="38"/>
      <c r="F75" s="97"/>
      <c r="G75" s="214"/>
      <c r="H75" s="31"/>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row>
    <row r="76" spans="1:34" ht="13.5" x14ac:dyDescent="0.3">
      <c r="A76" s="8"/>
      <c r="B76" s="8"/>
      <c r="C76" s="147" t="s">
        <v>92</v>
      </c>
      <c r="D76" s="38"/>
      <c r="G76" s="213"/>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row>
    <row r="77" spans="1:34" ht="13.5" x14ac:dyDescent="0.3">
      <c r="A77" s="8"/>
      <c r="B77" s="8"/>
      <c r="C77" s="4" t="str">
        <f>$C$76&amp;" - "&amp;C14</f>
        <v>Annualised capex - Microgrid CAPEX (exc BESS)</v>
      </c>
      <c r="D77" s="38"/>
      <c r="G77" s="210">
        <f>input_dollars</f>
        <v>45291</v>
      </c>
      <c r="H77" s="31"/>
      <c r="I77" s="118">
        <f t="shared" ref="I77:AG77" si="8">IF($E14=0,0,-PMT(real_disc, $E14,H72,))</f>
        <v>0</v>
      </c>
      <c r="J77" s="118">
        <f t="shared" si="8"/>
        <v>0</v>
      </c>
      <c r="K77" s="118">
        <f t="shared" si="8"/>
        <v>0</v>
      </c>
      <c r="L77" s="118">
        <f t="shared" si="8"/>
        <v>0</v>
      </c>
      <c r="M77" s="118">
        <f t="shared" si="8"/>
        <v>-320691.64540060004</v>
      </c>
      <c r="N77" s="118">
        <f t="shared" si="8"/>
        <v>-320691.64540060004</v>
      </c>
      <c r="O77" s="118">
        <f t="shared" si="8"/>
        <v>-320691.64540060004</v>
      </c>
      <c r="P77" s="118">
        <f t="shared" si="8"/>
        <v>-320691.64540060004</v>
      </c>
      <c r="Q77" s="118">
        <f t="shared" si="8"/>
        <v>-320691.64540060004</v>
      </c>
      <c r="R77" s="118">
        <f t="shared" si="8"/>
        <v>-320691.64540060004</v>
      </c>
      <c r="S77" s="118">
        <f t="shared" si="8"/>
        <v>-320691.64540060004</v>
      </c>
      <c r="T77" s="118">
        <f t="shared" si="8"/>
        <v>-320691.64540060004</v>
      </c>
      <c r="U77" s="118">
        <f t="shared" si="8"/>
        <v>-320691.64540060004</v>
      </c>
      <c r="V77" s="118">
        <f t="shared" si="8"/>
        <v>-320691.64540060004</v>
      </c>
      <c r="W77" s="118">
        <f t="shared" si="8"/>
        <v>-320691.64540060004</v>
      </c>
      <c r="X77" s="118">
        <f t="shared" si="8"/>
        <v>-320691.64540060004</v>
      </c>
      <c r="Y77" s="118">
        <f t="shared" si="8"/>
        <v>-320691.64540060004</v>
      </c>
      <c r="Z77" s="118">
        <f t="shared" si="8"/>
        <v>-320691.64540060004</v>
      </c>
      <c r="AA77" s="118">
        <f t="shared" si="8"/>
        <v>-320691.64540060004</v>
      </c>
      <c r="AB77" s="118">
        <f t="shared" si="8"/>
        <v>-320691.64540060004</v>
      </c>
      <c r="AC77" s="118">
        <f t="shared" si="8"/>
        <v>-320691.64540060004</v>
      </c>
      <c r="AD77" s="118">
        <f t="shared" si="8"/>
        <v>-320691.64540060004</v>
      </c>
      <c r="AE77" s="118">
        <f t="shared" si="8"/>
        <v>-320691.64540060004</v>
      </c>
      <c r="AF77" s="118">
        <f t="shared" si="8"/>
        <v>-320691.64540060004</v>
      </c>
      <c r="AG77" s="118">
        <f t="shared" si="8"/>
        <v>0</v>
      </c>
      <c r="AH77"/>
    </row>
    <row r="78" spans="1:34" ht="13.5" x14ac:dyDescent="0.3">
      <c r="A78" s="8"/>
      <c r="B78" s="8"/>
      <c r="C78" s="4" t="str">
        <f>$C$76&amp;" - "&amp;C15</f>
        <v>Annualised capex - BESS CAPEX</v>
      </c>
      <c r="D78" s="38"/>
      <c r="G78" s="210">
        <f>input_dollars</f>
        <v>45291</v>
      </c>
      <c r="H78" s="31"/>
      <c r="I78" s="118">
        <f t="shared" ref="I78:AG78" si="9">IF($E15=0,0,-PMT(real_disc, $E15,H73,))</f>
        <v>0</v>
      </c>
      <c r="J78" s="118">
        <f t="shared" si="9"/>
        <v>0</v>
      </c>
      <c r="K78" s="118">
        <f t="shared" si="9"/>
        <v>0</v>
      </c>
      <c r="L78" s="118">
        <f t="shared" si="9"/>
        <v>0</v>
      </c>
      <c r="M78" s="118">
        <f t="shared" si="9"/>
        <v>-120711.18188465261</v>
      </c>
      <c r="N78" s="118">
        <f t="shared" si="9"/>
        <v>-120711.18188465261</v>
      </c>
      <c r="O78" s="118">
        <f t="shared" si="9"/>
        <v>-120711.18188465261</v>
      </c>
      <c r="P78" s="118">
        <f t="shared" si="9"/>
        <v>-120711.18188465261</v>
      </c>
      <c r="Q78" s="118">
        <f t="shared" si="9"/>
        <v>-120711.18188465261</v>
      </c>
      <c r="R78" s="118">
        <f t="shared" si="9"/>
        <v>-120711.18188465261</v>
      </c>
      <c r="S78" s="118">
        <f t="shared" si="9"/>
        <v>-120711.18188465261</v>
      </c>
      <c r="T78" s="118">
        <f t="shared" si="9"/>
        <v>-120711.18188465261</v>
      </c>
      <c r="U78" s="118">
        <f t="shared" si="9"/>
        <v>-120711.18188465261</v>
      </c>
      <c r="V78" s="118">
        <f t="shared" si="9"/>
        <v>-120711.18188465261</v>
      </c>
      <c r="W78" s="118">
        <f t="shared" si="9"/>
        <v>-120711.18188465261</v>
      </c>
      <c r="X78" s="118">
        <f t="shared" si="9"/>
        <v>-120711.18188465261</v>
      </c>
      <c r="Y78" s="118">
        <f t="shared" si="9"/>
        <v>-120711.18188465261</v>
      </c>
      <c r="Z78" s="118">
        <f t="shared" si="9"/>
        <v>-120711.18188465261</v>
      </c>
      <c r="AA78" s="118">
        <f t="shared" si="9"/>
        <v>-120711.18188465261</v>
      </c>
      <c r="AB78" s="118">
        <f t="shared" si="9"/>
        <v>-120711.18188465261</v>
      </c>
      <c r="AC78" s="118">
        <f t="shared" si="9"/>
        <v>-120711.18188465261</v>
      </c>
      <c r="AD78" s="118">
        <f t="shared" si="9"/>
        <v>-120711.18188465261</v>
      </c>
      <c r="AE78" s="118">
        <f t="shared" si="9"/>
        <v>-120711.18188465261</v>
      </c>
      <c r="AF78" s="118">
        <f t="shared" si="9"/>
        <v>-120711.18188465261</v>
      </c>
      <c r="AG78" s="118">
        <f t="shared" si="9"/>
        <v>0</v>
      </c>
      <c r="AH78"/>
    </row>
    <row r="79" spans="1:34" ht="13.5" x14ac:dyDescent="0.3">
      <c r="A79" s="8"/>
      <c r="B79" s="8"/>
      <c r="C79" s="4" t="str">
        <f>$C$76&amp;" - "&amp;C16</f>
        <v>Annualised capex - &lt; Enter description &gt;</v>
      </c>
      <c r="D79" s="38"/>
      <c r="G79" s="210">
        <f>input_dollars</f>
        <v>45291</v>
      </c>
      <c r="H79" s="31"/>
      <c r="I79" s="118">
        <f t="shared" ref="I79:AG79" si="10">IF($E16=0,0,-PMT(real_disc, $E16,H74,))</f>
        <v>0</v>
      </c>
      <c r="J79" s="118">
        <f t="shared" si="10"/>
        <v>0</v>
      </c>
      <c r="K79" s="118">
        <f t="shared" si="10"/>
        <v>0</v>
      </c>
      <c r="L79" s="118">
        <f t="shared" si="10"/>
        <v>0</v>
      </c>
      <c r="M79" s="118">
        <f t="shared" si="10"/>
        <v>0</v>
      </c>
      <c r="N79" s="118">
        <f t="shared" si="10"/>
        <v>0</v>
      </c>
      <c r="O79" s="118">
        <f t="shared" si="10"/>
        <v>0</v>
      </c>
      <c r="P79" s="118">
        <f t="shared" si="10"/>
        <v>0</v>
      </c>
      <c r="Q79" s="118">
        <f t="shared" si="10"/>
        <v>0</v>
      </c>
      <c r="R79" s="118">
        <f t="shared" si="10"/>
        <v>0</v>
      </c>
      <c r="S79" s="118">
        <f t="shared" si="10"/>
        <v>0</v>
      </c>
      <c r="T79" s="118">
        <f t="shared" si="10"/>
        <v>0</v>
      </c>
      <c r="U79" s="118">
        <f t="shared" si="10"/>
        <v>0</v>
      </c>
      <c r="V79" s="118">
        <f t="shared" si="10"/>
        <v>0</v>
      </c>
      <c r="W79" s="118">
        <f t="shared" si="10"/>
        <v>0</v>
      </c>
      <c r="X79" s="118">
        <f t="shared" si="10"/>
        <v>0</v>
      </c>
      <c r="Y79" s="118">
        <f t="shared" si="10"/>
        <v>0</v>
      </c>
      <c r="Z79" s="118">
        <f t="shared" si="10"/>
        <v>0</v>
      </c>
      <c r="AA79" s="118">
        <f t="shared" si="10"/>
        <v>0</v>
      </c>
      <c r="AB79" s="118">
        <f t="shared" si="10"/>
        <v>0</v>
      </c>
      <c r="AC79" s="118">
        <f t="shared" si="10"/>
        <v>0</v>
      </c>
      <c r="AD79" s="118">
        <f t="shared" si="10"/>
        <v>0</v>
      </c>
      <c r="AE79" s="118">
        <f t="shared" si="10"/>
        <v>0</v>
      </c>
      <c r="AF79" s="118">
        <f t="shared" si="10"/>
        <v>0</v>
      </c>
      <c r="AG79" s="118">
        <f t="shared" si="10"/>
        <v>0</v>
      </c>
      <c r="AH79"/>
    </row>
    <row r="80" spans="1:34" ht="13.5" x14ac:dyDescent="0.3">
      <c r="A80" s="8"/>
      <c r="B80" s="8"/>
      <c r="C80" s="172" t="s">
        <v>163</v>
      </c>
      <c r="D80" s="172"/>
      <c r="E80" s="173"/>
      <c r="F80" s="174"/>
      <c r="G80" s="215">
        <f>input_dollars</f>
        <v>45291</v>
      </c>
      <c r="H80" s="175"/>
      <c r="I80" s="176">
        <f>SUM(I77:I79)</f>
        <v>0</v>
      </c>
      <c r="J80" s="176">
        <f t="shared" ref="J80:AB80" si="11">SUM(J77:J79)</f>
        <v>0</v>
      </c>
      <c r="K80" s="176">
        <f t="shared" si="11"/>
        <v>0</v>
      </c>
      <c r="L80" s="176">
        <f t="shared" si="11"/>
        <v>0</v>
      </c>
      <c r="M80" s="176">
        <f t="shared" si="11"/>
        <v>-441402.82728525263</v>
      </c>
      <c r="N80" s="176">
        <f t="shared" si="11"/>
        <v>-441402.82728525263</v>
      </c>
      <c r="O80" s="176">
        <f t="shared" si="11"/>
        <v>-441402.82728525263</v>
      </c>
      <c r="P80" s="176">
        <f t="shared" si="11"/>
        <v>-441402.82728525263</v>
      </c>
      <c r="Q80" s="176">
        <f t="shared" si="11"/>
        <v>-441402.82728525263</v>
      </c>
      <c r="R80" s="176">
        <f t="shared" si="11"/>
        <v>-441402.82728525263</v>
      </c>
      <c r="S80" s="176">
        <f t="shared" si="11"/>
        <v>-441402.82728525263</v>
      </c>
      <c r="T80" s="176">
        <f t="shared" si="11"/>
        <v>-441402.82728525263</v>
      </c>
      <c r="U80" s="176">
        <f t="shared" si="11"/>
        <v>-441402.82728525263</v>
      </c>
      <c r="V80" s="176">
        <f t="shared" si="11"/>
        <v>-441402.82728525263</v>
      </c>
      <c r="W80" s="176">
        <f t="shared" si="11"/>
        <v>-441402.82728525263</v>
      </c>
      <c r="X80" s="176">
        <f t="shared" si="11"/>
        <v>-441402.82728525263</v>
      </c>
      <c r="Y80" s="176">
        <f t="shared" si="11"/>
        <v>-441402.82728525263</v>
      </c>
      <c r="Z80" s="176">
        <f t="shared" si="11"/>
        <v>-441402.82728525263</v>
      </c>
      <c r="AA80" s="176">
        <f t="shared" si="11"/>
        <v>-441402.82728525263</v>
      </c>
      <c r="AB80" s="176">
        <f t="shared" si="11"/>
        <v>-441402.82728525263</v>
      </c>
      <c r="AC80" s="176">
        <f>SUM(AC77:AC79)</f>
        <v>-441402.82728525263</v>
      </c>
      <c r="AD80" s="176">
        <f>SUM(AD77:AD79)</f>
        <v>-441402.82728525263</v>
      </c>
      <c r="AE80" s="176">
        <f>SUM(AE77:AE79)</f>
        <v>-441402.82728525263</v>
      </c>
      <c r="AF80" s="176">
        <f>SUM(AF77:AF79)</f>
        <v>-441402.82728525263</v>
      </c>
      <c r="AG80" s="176">
        <f>SUM(AG77:AG79)</f>
        <v>0</v>
      </c>
      <c r="AH80"/>
    </row>
    <row r="81" spans="1:34" ht="13.5" x14ac:dyDescent="0.3">
      <c r="A81" s="8"/>
      <c r="B81" s="8"/>
      <c r="C81" s="75"/>
      <c r="D81" s="38"/>
      <c r="F81"/>
      <c r="G81" s="216"/>
      <c r="H81"/>
      <c r="I81"/>
      <c r="J81"/>
      <c r="K81"/>
      <c r="L81"/>
      <c r="M81"/>
      <c r="N81"/>
      <c r="O81"/>
      <c r="P81"/>
      <c r="Q81"/>
      <c r="R81"/>
      <c r="S81"/>
      <c r="T81"/>
      <c r="U81"/>
      <c r="V81"/>
      <c r="W81"/>
      <c r="X81"/>
      <c r="Y81"/>
      <c r="Z81"/>
      <c r="AA81"/>
      <c r="AB81"/>
      <c r="AC81"/>
      <c r="AD81"/>
      <c r="AE81"/>
      <c r="AF81"/>
      <c r="AG81"/>
      <c r="AH81"/>
    </row>
    <row r="82" spans="1:34" ht="13.5" x14ac:dyDescent="0.3">
      <c r="A82" s="8"/>
      <c r="B82" s="8"/>
      <c r="C82" s="4" t="s">
        <v>92</v>
      </c>
      <c r="D82" s="38"/>
      <c r="F82" s="97"/>
      <c r="G82" s="210">
        <f t="shared" ref="G82:G87" si="12">input_dollars</f>
        <v>45291</v>
      </c>
      <c r="H82" s="31"/>
      <c r="I82" s="118">
        <f>I80</f>
        <v>0</v>
      </c>
      <c r="J82" s="118">
        <f t="shared" ref="J82:AB82" si="13">J80</f>
        <v>0</v>
      </c>
      <c r="K82" s="118">
        <f t="shared" si="13"/>
        <v>0</v>
      </c>
      <c r="L82" s="118">
        <f t="shared" si="13"/>
        <v>0</v>
      </c>
      <c r="M82" s="118">
        <f t="shared" si="13"/>
        <v>-441402.82728525263</v>
      </c>
      <c r="N82" s="118">
        <f t="shared" si="13"/>
        <v>-441402.82728525263</v>
      </c>
      <c r="O82" s="118">
        <f t="shared" si="13"/>
        <v>-441402.82728525263</v>
      </c>
      <c r="P82" s="118">
        <f t="shared" si="13"/>
        <v>-441402.82728525263</v>
      </c>
      <c r="Q82" s="118">
        <f t="shared" si="13"/>
        <v>-441402.82728525263</v>
      </c>
      <c r="R82" s="118">
        <f t="shared" si="13"/>
        <v>-441402.82728525263</v>
      </c>
      <c r="S82" s="118">
        <f t="shared" si="13"/>
        <v>-441402.82728525263</v>
      </c>
      <c r="T82" s="118">
        <f t="shared" si="13"/>
        <v>-441402.82728525263</v>
      </c>
      <c r="U82" s="118">
        <f t="shared" si="13"/>
        <v>-441402.82728525263</v>
      </c>
      <c r="V82" s="118">
        <f t="shared" si="13"/>
        <v>-441402.82728525263</v>
      </c>
      <c r="W82" s="118">
        <f t="shared" si="13"/>
        <v>-441402.82728525263</v>
      </c>
      <c r="X82" s="118">
        <f t="shared" si="13"/>
        <v>-441402.82728525263</v>
      </c>
      <c r="Y82" s="118">
        <f t="shared" si="13"/>
        <v>-441402.82728525263</v>
      </c>
      <c r="Z82" s="118">
        <f t="shared" si="13"/>
        <v>-441402.82728525263</v>
      </c>
      <c r="AA82" s="118">
        <f t="shared" si="13"/>
        <v>-441402.82728525263</v>
      </c>
      <c r="AB82" s="118">
        <f t="shared" si="13"/>
        <v>-441402.82728525263</v>
      </c>
      <c r="AC82" s="118">
        <f>AC80</f>
        <v>-441402.82728525263</v>
      </c>
      <c r="AD82" s="118">
        <f>AD80</f>
        <v>-441402.82728525263</v>
      </c>
      <c r="AE82" s="118">
        <f>AE80</f>
        <v>-441402.82728525263</v>
      </c>
      <c r="AF82" s="118">
        <f>AF80</f>
        <v>-441402.82728525263</v>
      </c>
      <c r="AG82" s="118">
        <f>AG80</f>
        <v>0</v>
      </c>
      <c r="AH82"/>
    </row>
    <row r="83" spans="1:34" ht="13.5" x14ac:dyDescent="0.3">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-180000</v>
      </c>
      <c r="N83" s="31">
        <f t="shared" si="14"/>
        <v>-180000</v>
      </c>
      <c r="O83" s="31">
        <f t="shared" si="14"/>
        <v>-180000</v>
      </c>
      <c r="P83" s="31">
        <f t="shared" si="14"/>
        <v>-180000</v>
      </c>
      <c r="Q83" s="31">
        <f t="shared" si="14"/>
        <v>-180000</v>
      </c>
      <c r="R83" s="31">
        <f t="shared" si="14"/>
        <v>-180000</v>
      </c>
      <c r="S83" s="31">
        <f t="shared" si="14"/>
        <v>-180000</v>
      </c>
      <c r="T83" s="31">
        <f t="shared" si="14"/>
        <v>-180000</v>
      </c>
      <c r="U83" s="31">
        <f t="shared" si="14"/>
        <v>-180000</v>
      </c>
      <c r="V83" s="31">
        <f t="shared" si="14"/>
        <v>-180000</v>
      </c>
      <c r="W83" s="31">
        <f t="shared" si="14"/>
        <v>-180000</v>
      </c>
      <c r="X83" s="31">
        <f t="shared" si="14"/>
        <v>-180000</v>
      </c>
      <c r="Y83" s="31">
        <f t="shared" si="14"/>
        <v>-180000</v>
      </c>
      <c r="Z83" s="31">
        <f t="shared" si="14"/>
        <v>-180000</v>
      </c>
      <c r="AA83" s="31">
        <f t="shared" si="14"/>
        <v>-180000</v>
      </c>
      <c r="AB83" s="31">
        <f t="shared" si="14"/>
        <v>-180000</v>
      </c>
      <c r="AC83" s="31">
        <f t="shared" si="14"/>
        <v>-180000</v>
      </c>
      <c r="AD83" s="31">
        <f t="shared" si="14"/>
        <v>-180000</v>
      </c>
      <c r="AE83" s="31">
        <f t="shared" si="14"/>
        <v>-180000</v>
      </c>
      <c r="AF83" s="31">
        <f t="shared" si="14"/>
        <v>-180000</v>
      </c>
      <c r="AG83" s="31">
        <f t="shared" si="14"/>
        <v>-180000</v>
      </c>
      <c r="AH83"/>
    </row>
    <row r="84" spans="1:34" ht="13.5" x14ac:dyDescent="0.3">
      <c r="A84" s="8"/>
      <c r="B84" s="8"/>
      <c r="C84" s="4" t="s">
        <v>144</v>
      </c>
      <c r="D84" s="38"/>
      <c r="F84" s="97"/>
      <c r="G84" s="210">
        <f t="shared" si="12"/>
        <v>45291</v>
      </c>
      <c r="H84" s="31"/>
      <c r="I84" s="31">
        <f t="shared" ref="I84:AG84" si="15">I64</f>
        <v>0</v>
      </c>
      <c r="J84" s="31">
        <f t="shared" si="15"/>
        <v>86650.00329620298</v>
      </c>
      <c r="K84" s="31">
        <f t="shared" si="15"/>
        <v>173296.46653425787</v>
      </c>
      <c r="L84" s="31">
        <f t="shared" si="15"/>
        <v>259945.87864075042</v>
      </c>
      <c r="M84" s="31">
        <f t="shared" si="15"/>
        <v>820092.9765178063</v>
      </c>
      <c r="N84" s="31">
        <f t="shared" si="15"/>
        <v>798981.38868927583</v>
      </c>
      <c r="O84" s="31">
        <f t="shared" si="15"/>
        <v>783081.24836630793</v>
      </c>
      <c r="P84" s="31">
        <f t="shared" si="15"/>
        <v>763134.39800587343</v>
      </c>
      <c r="Q84" s="31">
        <f t="shared" si="15"/>
        <v>744234.26451005414</v>
      </c>
      <c r="R84" s="31">
        <f t="shared" si="15"/>
        <v>713596.16597002046</v>
      </c>
      <c r="S84" s="31">
        <f t="shared" si="15"/>
        <v>682958.06742998585</v>
      </c>
      <c r="T84" s="31">
        <f t="shared" si="15"/>
        <v>652319.96888995171</v>
      </c>
      <c r="U84" s="31">
        <f t="shared" si="15"/>
        <v>621681.8703499171</v>
      </c>
      <c r="V84" s="31">
        <f t="shared" si="15"/>
        <v>591043.77180988295</v>
      </c>
      <c r="W84" s="31">
        <f t="shared" si="15"/>
        <v>560405.6732698488</v>
      </c>
      <c r="X84" s="31">
        <f t="shared" si="15"/>
        <v>529767.57472981419</v>
      </c>
      <c r="Y84" s="31">
        <f t="shared" si="15"/>
        <v>499129.47618978005</v>
      </c>
      <c r="Z84" s="31">
        <f t="shared" si="15"/>
        <v>468491.37764974544</v>
      </c>
      <c r="AA84" s="31">
        <f t="shared" si="15"/>
        <v>437853.27910971083</v>
      </c>
      <c r="AB84" s="31">
        <f t="shared" si="15"/>
        <v>407215.18056967715</v>
      </c>
      <c r="AC84" s="31">
        <f t="shared" si="15"/>
        <v>376577.082029643</v>
      </c>
      <c r="AD84" s="31">
        <f t="shared" si="15"/>
        <v>345938.98348960839</v>
      </c>
      <c r="AE84" s="31">
        <f t="shared" si="15"/>
        <v>315304.89288013894</v>
      </c>
      <c r="AF84" s="31">
        <f t="shared" si="15"/>
        <v>284666.79434010573</v>
      </c>
      <c r="AG84" s="31">
        <f t="shared" si="15"/>
        <v>254028.69580007065</v>
      </c>
      <c r="AH84"/>
    </row>
    <row r="85" spans="1:34" ht="13.5" x14ac:dyDescent="0.3">
      <c r="A85" s="8"/>
      <c r="B85" s="8"/>
      <c r="C85" s="4" t="s">
        <v>123</v>
      </c>
      <c r="D85" s="38"/>
      <c r="F85" s="97"/>
      <c r="G85" s="210">
        <f t="shared" si="12"/>
        <v>45291</v>
      </c>
      <c r="H85" s="31"/>
      <c r="I85" s="31">
        <f t="shared" ref="I85:AG85" si="16">I57</f>
        <v>0</v>
      </c>
      <c r="J85" s="31">
        <f t="shared" si="16"/>
        <v>0</v>
      </c>
      <c r="K85" s="31">
        <f t="shared" si="16"/>
        <v>0</v>
      </c>
      <c r="L85" s="31">
        <f t="shared" si="16"/>
        <v>0</v>
      </c>
      <c r="M85" s="31">
        <f t="shared" si="16"/>
        <v>58798.844826088578</v>
      </c>
      <c r="N85" s="31">
        <f t="shared" si="16"/>
        <v>58403.027316068779</v>
      </c>
      <c r="O85" s="31">
        <f t="shared" si="16"/>
        <v>58007.232649298348</v>
      </c>
      <c r="P85" s="31">
        <f t="shared" si="16"/>
        <v>57611.412055178531</v>
      </c>
      <c r="Q85" s="31">
        <f t="shared" si="16"/>
        <v>57215.591461058706</v>
      </c>
      <c r="R85" s="31">
        <f t="shared" si="16"/>
        <v>56819.770866938896</v>
      </c>
      <c r="S85" s="31">
        <f t="shared" si="16"/>
        <v>56423.950272819071</v>
      </c>
      <c r="T85" s="31">
        <f t="shared" si="16"/>
        <v>56028.129678699246</v>
      </c>
      <c r="U85" s="31">
        <f t="shared" si="16"/>
        <v>55632.309084579436</v>
      </c>
      <c r="V85" s="31">
        <f t="shared" si="16"/>
        <v>55236.488490459611</v>
      </c>
      <c r="W85" s="31">
        <f t="shared" si="16"/>
        <v>54840.667896339794</v>
      </c>
      <c r="X85" s="31">
        <f t="shared" si="16"/>
        <v>54444.847302219983</v>
      </c>
      <c r="Y85" s="31">
        <f t="shared" si="16"/>
        <v>54049.026708100137</v>
      </c>
      <c r="Z85" s="31">
        <f t="shared" si="16"/>
        <v>53653.206113980326</v>
      </c>
      <c r="AA85" s="31">
        <f t="shared" si="16"/>
        <v>53257.385519860509</v>
      </c>
      <c r="AB85" s="31">
        <f t="shared" si="16"/>
        <v>52861.564925740691</v>
      </c>
      <c r="AC85" s="31">
        <f t="shared" si="16"/>
        <v>52465.744331620874</v>
      </c>
      <c r="AD85" s="31">
        <f t="shared" si="16"/>
        <v>52069.923737501049</v>
      </c>
      <c r="AE85" s="31">
        <f t="shared" si="16"/>
        <v>51674.155416263064</v>
      </c>
      <c r="AF85" s="31">
        <f t="shared" si="16"/>
        <v>51278.334822143253</v>
      </c>
      <c r="AG85" s="31">
        <f t="shared" si="16"/>
        <v>50882.514228023429</v>
      </c>
      <c r="AH85"/>
    </row>
    <row r="86" spans="1:34" ht="13.5" x14ac:dyDescent="0.3">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row>
    <row r="87" spans="1:34" ht="13.5" x14ac:dyDescent="0.3">
      <c r="A87" s="8"/>
      <c r="B87" s="8"/>
      <c r="C87" s="177" t="s">
        <v>194</v>
      </c>
      <c r="D87" s="178"/>
      <c r="E87" s="173"/>
      <c r="F87" s="179"/>
      <c r="G87" s="215">
        <f t="shared" si="12"/>
        <v>45291</v>
      </c>
      <c r="H87" s="179"/>
      <c r="I87" s="179">
        <f t="shared" ref="I87:AB87" si="17">SUM(I82:I86)</f>
        <v>0</v>
      </c>
      <c r="J87" s="179">
        <f t="shared" si="17"/>
        <v>86650.00329620298</v>
      </c>
      <c r="K87" s="179">
        <f t="shared" si="17"/>
        <v>173296.46653425787</v>
      </c>
      <c r="L87" s="179">
        <f t="shared" si="17"/>
        <v>259945.87864075042</v>
      </c>
      <c r="M87" s="179">
        <f t="shared" si="17"/>
        <v>257488.99405864225</v>
      </c>
      <c r="N87" s="179">
        <f t="shared" si="17"/>
        <v>235981.58872009197</v>
      </c>
      <c r="O87" s="179">
        <f t="shared" si="17"/>
        <v>219685.65373035366</v>
      </c>
      <c r="P87" s="179">
        <f t="shared" si="17"/>
        <v>199342.98277579935</v>
      </c>
      <c r="Q87" s="179">
        <f t="shared" si="17"/>
        <v>180047.02868586022</v>
      </c>
      <c r="R87" s="179">
        <f t="shared" si="17"/>
        <v>149013.10955170673</v>
      </c>
      <c r="S87" s="179">
        <f t="shared" si="17"/>
        <v>117979.19041755229</v>
      </c>
      <c r="T87" s="179">
        <f t="shared" si="17"/>
        <v>86945.271283398324</v>
      </c>
      <c r="U87" s="179">
        <f t="shared" si="17"/>
        <v>55911.352149243903</v>
      </c>
      <c r="V87" s="179">
        <f t="shared" si="17"/>
        <v>24877.433015089933</v>
      </c>
      <c r="W87" s="179">
        <f t="shared" si="17"/>
        <v>-6156.4861190640295</v>
      </c>
      <c r="X87" s="179">
        <f t="shared" si="17"/>
        <v>-37190.405253218451</v>
      </c>
      <c r="Y87" s="179">
        <f t="shared" si="17"/>
        <v>-68224.324387372442</v>
      </c>
      <c r="Z87" s="179">
        <f t="shared" si="17"/>
        <v>-99258.243521526863</v>
      </c>
      <c r="AA87" s="179">
        <f t="shared" si="17"/>
        <v>-130292.16265568128</v>
      </c>
      <c r="AB87" s="179">
        <f t="shared" si="17"/>
        <v>-161326.08178983477</v>
      </c>
      <c r="AC87" s="179">
        <f>SUM(AC82:AC86)</f>
        <v>-192360.00092398876</v>
      </c>
      <c r="AD87" s="179">
        <f>SUM(AD82:AD86)</f>
        <v>-223393.92005814318</v>
      </c>
      <c r="AE87" s="179">
        <f>SUM(AE82:AE86)</f>
        <v>-254423.77898885062</v>
      </c>
      <c r="AF87" s="179">
        <f>SUM(AF82:AF86)</f>
        <v>-285457.69812300365</v>
      </c>
      <c r="AG87" s="179">
        <f>SUM(AG82:AG86)</f>
        <v>124911.21002809408</v>
      </c>
      <c r="AH87"/>
    </row>
    <row r="88" spans="1:34" ht="13.5" x14ac:dyDescent="0.3">
      <c r="A88" s="8"/>
      <c r="B88" s="8"/>
      <c r="C88" s="75"/>
      <c r="D88" s="138"/>
      <c r="E88" s="64"/>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row>
    <row r="89" spans="1:34" ht="13.5" x14ac:dyDescent="0.3">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row>
    <row r="90" spans="1:34" ht="13.5" x14ac:dyDescent="0.3">
      <c r="A90" s="8"/>
      <c r="B90" s="8"/>
      <c r="C90" s="230" t="s">
        <v>204</v>
      </c>
      <c r="D90" s="82"/>
      <c r="E90" s="231"/>
      <c r="F90" s="232"/>
      <c r="G90" s="233" cm="1">
        <f t="array" ref="G90">IF(SUM($I17:$AG17)=0,0,(INDEX(I$6:AG$6,MATCH(TRUE,INDEX($I17:$AG17&lt;&gt;0,),0))))</f>
        <v>4</v>
      </c>
      <c r="H90" s="8"/>
      <c r="I90" s="8"/>
      <c r="J90" s="8"/>
      <c r="K90" s="8"/>
      <c r="L90" s="8"/>
      <c r="M90" s="8"/>
      <c r="N90" s="8"/>
      <c r="O90" s="8"/>
      <c r="P90" s="8"/>
      <c r="Q90" s="8"/>
      <c r="R90" s="8"/>
      <c r="S90" s="8"/>
      <c r="T90" s="8"/>
      <c r="U90" s="8"/>
      <c r="V90" s="8"/>
      <c r="W90" s="8"/>
      <c r="X90" s="8"/>
      <c r="Y90" s="8"/>
      <c r="Z90" s="8"/>
      <c r="AA90" s="8"/>
      <c r="AB90" s="8"/>
      <c r="AC90" s="8"/>
      <c r="AD90" s="8"/>
      <c r="AE90" s="8"/>
      <c r="AF90" s="8"/>
      <c r="AG90" s="8"/>
      <c r="AH90"/>
    </row>
    <row r="91" spans="1:34" x14ac:dyDescent="0.3">
      <c r="C91" s="82"/>
      <c r="D91" s="234"/>
      <c r="E91" s="231"/>
      <c r="F91" s="231"/>
      <c r="G91" s="233"/>
    </row>
    <row r="92" spans="1:34" x14ac:dyDescent="0.3">
      <c r="C92" s="235" t="s">
        <v>199</v>
      </c>
      <c r="D92" s="236"/>
      <c r="E92" s="236"/>
      <c r="F92" s="236"/>
      <c r="G92" s="237">
        <f>IF(_xlfn.MINIFS($G$90:$G$91, $G$90:$G$91, "&gt;"&amp;0)=0, $A$4, _xlfn.MINIFS($G$90:$G$91, $G$90:$G$91, "&gt;"&amp;0))</f>
        <v>4</v>
      </c>
    </row>
    <row r="94" spans="1:34" x14ac:dyDescent="0.3">
      <c r="G94" s="12"/>
    </row>
    <row r="102" spans="1:43" ht="14.5" x14ac:dyDescent="0.3">
      <c r="A102" s="89" t="s">
        <v>220</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3">
      <c r="I104" s="242"/>
      <c r="J104" s="242"/>
      <c r="K104" s="242"/>
      <c r="L104" s="242"/>
      <c r="M104" s="242"/>
      <c r="N104" s="242"/>
      <c r="O104" s="242"/>
      <c r="P104" s="242"/>
      <c r="Q104" s="242"/>
      <c r="R104" s="242"/>
      <c r="S104" s="242"/>
      <c r="T104" s="242"/>
      <c r="U104" s="242"/>
      <c r="V104" s="242"/>
      <c r="W104" s="242"/>
      <c r="X104" s="242"/>
      <c r="Y104" s="242"/>
      <c r="Z104" s="242"/>
    </row>
    <row r="105" spans="1:43" x14ac:dyDescent="0.3">
      <c r="I105" s="242"/>
      <c r="J105" s="242"/>
      <c r="K105" s="242"/>
      <c r="L105" s="242"/>
      <c r="M105" s="242"/>
      <c r="N105" s="242"/>
      <c r="O105" s="242"/>
      <c r="P105" s="242"/>
      <c r="Q105" s="242"/>
      <c r="R105" s="242"/>
      <c r="S105" s="242"/>
      <c r="T105" s="242"/>
      <c r="U105" s="242"/>
      <c r="V105" s="242"/>
      <c r="W105" s="242"/>
      <c r="X105" s="242"/>
      <c r="Y105" s="242"/>
      <c r="Z105" s="242"/>
    </row>
    <row r="106" spans="1:43" ht="13.5" x14ac:dyDescent="0.3">
      <c r="A106" s="1" t="s">
        <v>120</v>
      </c>
      <c r="C106" s="1" t="s">
        <v>194</v>
      </c>
      <c r="D106"/>
      <c r="E106"/>
      <c r="F106"/>
      <c r="G106" s="38" t="str">
        <f>PROPER($A$3)&amp;A106</f>
        <v>Option 3NPV</v>
      </c>
      <c r="I106" s="31">
        <f>I87</f>
        <v>0</v>
      </c>
      <c r="J106" s="31">
        <f t="shared" ref="J106:AG106" si="18">J87</f>
        <v>86650.00329620298</v>
      </c>
      <c r="K106" s="31">
        <f t="shared" si="18"/>
        <v>173296.46653425787</v>
      </c>
      <c r="L106" s="31">
        <f t="shared" si="18"/>
        <v>259945.87864075042</v>
      </c>
      <c r="M106" s="31">
        <f t="shared" si="18"/>
        <v>257488.99405864225</v>
      </c>
      <c r="N106" s="31">
        <f t="shared" si="18"/>
        <v>235981.58872009197</v>
      </c>
      <c r="O106" s="31">
        <f t="shared" si="18"/>
        <v>219685.65373035366</v>
      </c>
      <c r="P106" s="31">
        <f t="shared" si="18"/>
        <v>199342.98277579935</v>
      </c>
      <c r="Q106" s="31">
        <f t="shared" si="18"/>
        <v>180047.02868586022</v>
      </c>
      <c r="R106" s="31">
        <f t="shared" si="18"/>
        <v>149013.10955170673</v>
      </c>
      <c r="S106" s="31">
        <f t="shared" si="18"/>
        <v>117979.19041755229</v>
      </c>
      <c r="T106" s="31">
        <f t="shared" si="18"/>
        <v>86945.271283398324</v>
      </c>
      <c r="U106" s="31">
        <f t="shared" si="18"/>
        <v>55911.352149243903</v>
      </c>
      <c r="V106" s="31">
        <f t="shared" si="18"/>
        <v>24877.433015089933</v>
      </c>
      <c r="W106" s="31">
        <f t="shared" si="18"/>
        <v>-6156.4861190640295</v>
      </c>
      <c r="X106" s="31">
        <f t="shared" si="18"/>
        <v>-37190.405253218451</v>
      </c>
      <c r="Y106" s="31">
        <f t="shared" si="18"/>
        <v>-68224.324387372442</v>
      </c>
      <c r="Z106" s="31">
        <f t="shared" si="18"/>
        <v>-99258.243521526863</v>
      </c>
      <c r="AA106" s="31">
        <f t="shared" si="18"/>
        <v>-130292.16265568128</v>
      </c>
      <c r="AB106" s="31">
        <f t="shared" si="18"/>
        <v>-161326.08178983477</v>
      </c>
      <c r="AC106" s="31">
        <f t="shared" si="18"/>
        <v>-192360.00092398876</v>
      </c>
      <c r="AD106" s="31">
        <f t="shared" si="18"/>
        <v>-223393.92005814318</v>
      </c>
      <c r="AE106" s="31">
        <f t="shared" si="18"/>
        <v>-254423.77898885062</v>
      </c>
      <c r="AF106" s="31">
        <f t="shared" si="18"/>
        <v>-285457.69812300365</v>
      </c>
      <c r="AG106" s="31">
        <f t="shared" si="18"/>
        <v>124911.21002809408</v>
      </c>
    </row>
    <row r="107" spans="1:43" ht="13.5" x14ac:dyDescent="0.3">
      <c r="C107" s="1" t="s">
        <v>163</v>
      </c>
      <c r="D107"/>
      <c r="E107"/>
      <c r="F107"/>
      <c r="G107"/>
      <c r="I107" s="31">
        <f>I82</f>
        <v>0</v>
      </c>
      <c r="J107" s="31">
        <f t="shared" ref="J107:AG107" si="19">J82</f>
        <v>0</v>
      </c>
      <c r="K107" s="31">
        <f t="shared" si="19"/>
        <v>0</v>
      </c>
      <c r="L107" s="31">
        <f t="shared" si="19"/>
        <v>0</v>
      </c>
      <c r="M107" s="31">
        <f t="shared" si="19"/>
        <v>-441402.82728525263</v>
      </c>
      <c r="N107" s="31">
        <f t="shared" si="19"/>
        <v>-441402.82728525263</v>
      </c>
      <c r="O107" s="31">
        <f t="shared" si="19"/>
        <v>-441402.82728525263</v>
      </c>
      <c r="P107" s="31">
        <f t="shared" si="19"/>
        <v>-441402.82728525263</v>
      </c>
      <c r="Q107" s="31">
        <f t="shared" si="19"/>
        <v>-441402.82728525263</v>
      </c>
      <c r="R107" s="31">
        <f t="shared" si="19"/>
        <v>-441402.82728525263</v>
      </c>
      <c r="S107" s="31">
        <f t="shared" si="19"/>
        <v>-441402.82728525263</v>
      </c>
      <c r="T107" s="31">
        <f t="shared" si="19"/>
        <v>-441402.82728525263</v>
      </c>
      <c r="U107" s="31">
        <f t="shared" si="19"/>
        <v>-441402.82728525263</v>
      </c>
      <c r="V107" s="31">
        <f t="shared" si="19"/>
        <v>-441402.82728525263</v>
      </c>
      <c r="W107" s="31">
        <f t="shared" si="19"/>
        <v>-441402.82728525263</v>
      </c>
      <c r="X107" s="31">
        <f t="shared" si="19"/>
        <v>-441402.82728525263</v>
      </c>
      <c r="Y107" s="31">
        <f t="shared" si="19"/>
        <v>-441402.82728525263</v>
      </c>
      <c r="Z107" s="31">
        <f t="shared" si="19"/>
        <v>-441402.82728525263</v>
      </c>
      <c r="AA107" s="31">
        <f t="shared" si="19"/>
        <v>-441402.82728525263</v>
      </c>
      <c r="AB107" s="31">
        <f t="shared" si="19"/>
        <v>-441402.82728525263</v>
      </c>
      <c r="AC107" s="31">
        <f t="shared" si="19"/>
        <v>-441402.82728525263</v>
      </c>
      <c r="AD107" s="31">
        <f t="shared" si="19"/>
        <v>-441402.82728525263</v>
      </c>
      <c r="AE107" s="31">
        <f t="shared" si="19"/>
        <v>-441402.82728525263</v>
      </c>
      <c r="AF107" s="31">
        <f t="shared" si="19"/>
        <v>-441402.82728525263</v>
      </c>
      <c r="AG107" s="31">
        <f t="shared" si="19"/>
        <v>0</v>
      </c>
    </row>
    <row r="108" spans="1:43" ht="13.5" x14ac:dyDescent="0.3">
      <c r="C108" s="1" t="s">
        <v>245</v>
      </c>
      <c r="D108"/>
      <c r="E108"/>
      <c r="F108"/>
      <c r="G108"/>
      <c r="I108" s="31">
        <f>SUM(I84:I85)</f>
        <v>0</v>
      </c>
      <c r="J108" s="31">
        <f t="shared" ref="J108:AG108" si="20">SUM(J84:J85)</f>
        <v>86650.00329620298</v>
      </c>
      <c r="K108" s="31">
        <f t="shared" si="20"/>
        <v>173296.46653425787</v>
      </c>
      <c r="L108" s="31">
        <f t="shared" si="20"/>
        <v>259945.87864075042</v>
      </c>
      <c r="M108" s="31">
        <f t="shared" si="20"/>
        <v>878891.82134389482</v>
      </c>
      <c r="N108" s="31">
        <f t="shared" si="20"/>
        <v>857384.4160053446</v>
      </c>
      <c r="O108" s="31">
        <f t="shared" si="20"/>
        <v>841088.48101560632</v>
      </c>
      <c r="P108" s="31">
        <f t="shared" si="20"/>
        <v>820745.81006105198</v>
      </c>
      <c r="Q108" s="31">
        <f t="shared" si="20"/>
        <v>801449.85597111285</v>
      </c>
      <c r="R108" s="31">
        <f t="shared" si="20"/>
        <v>770415.93683695933</v>
      </c>
      <c r="S108" s="31">
        <f t="shared" si="20"/>
        <v>739382.01770280488</v>
      </c>
      <c r="T108" s="31">
        <f t="shared" si="20"/>
        <v>708348.09856865089</v>
      </c>
      <c r="U108" s="31">
        <f t="shared" si="20"/>
        <v>677314.17943449656</v>
      </c>
      <c r="V108" s="31">
        <f t="shared" si="20"/>
        <v>646280.26030034258</v>
      </c>
      <c r="W108" s="31">
        <f t="shared" si="20"/>
        <v>615246.34116618859</v>
      </c>
      <c r="X108" s="31">
        <f t="shared" si="20"/>
        <v>584212.42203203414</v>
      </c>
      <c r="Y108" s="31">
        <f t="shared" si="20"/>
        <v>553178.50289788016</v>
      </c>
      <c r="Z108" s="31">
        <f t="shared" si="20"/>
        <v>522144.58376372576</v>
      </c>
      <c r="AA108" s="31">
        <f t="shared" si="20"/>
        <v>491110.66462957131</v>
      </c>
      <c r="AB108" s="31">
        <f t="shared" si="20"/>
        <v>460076.74549541785</v>
      </c>
      <c r="AC108" s="31">
        <f t="shared" si="20"/>
        <v>429042.82636126387</v>
      </c>
      <c r="AD108" s="31">
        <f t="shared" si="20"/>
        <v>398008.90722710942</v>
      </c>
      <c r="AE108" s="31">
        <f t="shared" si="20"/>
        <v>366979.04829640198</v>
      </c>
      <c r="AF108" s="31">
        <f t="shared" si="20"/>
        <v>335945.12916224898</v>
      </c>
      <c r="AG108" s="31">
        <f t="shared" si="20"/>
        <v>304911.21002809406</v>
      </c>
    </row>
    <row r="109" spans="1:43" x14ac:dyDescent="0.3">
      <c r="D109" s="301" t="str">
        <f>Assumptions!G122</f>
        <v>Capex</v>
      </c>
      <c r="E109" s="301" t="str">
        <f>Assumptions!H122</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3">
      <c r="A110" s="1" t="str">
        <f>"sens"&amp;Assumptions!B123</f>
        <v>sens1</v>
      </c>
      <c r="C110" s="300" t="str">
        <f>Assumptions!C123</f>
        <v>Capex 10% higher</v>
      </c>
      <c r="D110" s="301">
        <f>Assumptions!G123</f>
        <v>0.1</v>
      </c>
      <c r="E110" s="301">
        <f>Assumptions!H123</f>
        <v>0</v>
      </c>
      <c r="G110" s="38" t="str">
        <f>PROPER($A$3)&amp;A110</f>
        <v>Option 3sens1</v>
      </c>
      <c r="I110" s="31" cm="1">
        <f t="array" ref="I110">I$106+IF($C110&lt;&gt;0,SUMPRODUCT((I$107:I$108)*TRANSPOSE(($D110:$E110))),0)</f>
        <v>0</v>
      </c>
      <c r="J110" s="31" cm="1">
        <f t="array" ref="J110">J$106+IF($C110&lt;&gt;0,SUMPRODUCT((J$107:J$108)*TRANSPOSE(($D110:$E110))),0)</f>
        <v>86650.00329620298</v>
      </c>
      <c r="K110" s="31" cm="1">
        <f t="array" ref="K110">K$106+IF($C110&lt;&gt;0,SUMPRODUCT((K$107:K$108)*TRANSPOSE(($D110:$E110))),0)</f>
        <v>173296.46653425787</v>
      </c>
      <c r="L110" s="31" cm="1">
        <f t="array" ref="L110">L$106+IF($C110&lt;&gt;0,SUMPRODUCT((L$107:L$108)*TRANSPOSE(($D110:$E110))),0)</f>
        <v>259945.87864075042</v>
      </c>
      <c r="M110" s="31" cm="1">
        <f t="array" ref="M110">M$106+IF($C110&lt;&gt;0,SUMPRODUCT((M$107:M$108)*TRANSPOSE(($D110:$E110))),0)</f>
        <v>213348.71133011699</v>
      </c>
      <c r="N110" s="31" cm="1">
        <f t="array" ref="N110">N$106+IF($C110&lt;&gt;0,SUMPRODUCT((N$107:N$108)*TRANSPOSE(($D110:$E110))),0)</f>
        <v>191841.30599156671</v>
      </c>
      <c r="O110" s="31" cm="1">
        <f t="array" ref="O110">O$106+IF($C110&lt;&gt;0,SUMPRODUCT((O$107:O$108)*TRANSPOSE(($D110:$E110))),0)</f>
        <v>175545.3710018284</v>
      </c>
      <c r="P110" s="31" cm="1">
        <f t="array" ref="P110">P$106+IF($C110&lt;&gt;0,SUMPRODUCT((P$107:P$108)*TRANSPOSE(($D110:$E110))),0)</f>
        <v>155202.70004727409</v>
      </c>
      <c r="Q110" s="31" cm="1">
        <f t="array" ref="Q110">Q$106+IF($C110&lt;&gt;0,SUMPRODUCT((Q$107:Q$108)*TRANSPOSE(($D110:$E110))),0)</f>
        <v>135906.74595733496</v>
      </c>
      <c r="R110" s="31" cm="1">
        <f t="array" ref="R110">R$106+IF($C110&lt;&gt;0,SUMPRODUCT((R$107:R$108)*TRANSPOSE(($D110:$E110))),0)</f>
        <v>104872.82682318147</v>
      </c>
      <c r="S110" s="31" cm="1">
        <f t="array" ref="S110">S$106+IF($C110&lt;&gt;0,SUMPRODUCT((S$107:S$108)*TRANSPOSE(($D110:$E110))),0)</f>
        <v>73838.907689027023</v>
      </c>
      <c r="T110" s="31" cm="1">
        <f t="array" ref="T110">T$106+IF($C110&lt;&gt;0,SUMPRODUCT((T$107:T$108)*TRANSPOSE(($D110:$E110))),0)</f>
        <v>42804.98855487306</v>
      </c>
      <c r="U110" s="31" cm="1">
        <f t="array" ref="U110">U$106+IF($C110&lt;&gt;0,SUMPRODUCT((U$107:U$108)*TRANSPOSE(($D110:$E110))),0)</f>
        <v>11771.069420718639</v>
      </c>
      <c r="V110" s="31" cm="1">
        <f t="array" ref="V110">V$106+IF($C110&lt;&gt;0,SUMPRODUCT((V$107:V$108)*TRANSPOSE(($D110:$E110))),0)</f>
        <v>-19262.849713435331</v>
      </c>
      <c r="W110" s="31" cm="1">
        <f t="array" ref="W110">W$106+IF($C110&lt;&gt;0,SUMPRODUCT((W$107:W$108)*TRANSPOSE(($D110:$E110))),0)</f>
        <v>-50296.768847589294</v>
      </c>
      <c r="X110" s="31" cm="1">
        <f t="array" ref="X110">X$106+IF($C110&lt;&gt;0,SUMPRODUCT((X$107:X$108)*TRANSPOSE(($D110:$E110))),0)</f>
        <v>-81330.687981743715</v>
      </c>
      <c r="Y110" s="31" cm="1">
        <f t="array" ref="Y110">Y$106+IF($C110&lt;&gt;0,SUMPRODUCT((Y$107:Y$108)*TRANSPOSE(($D110:$E110))),0)</f>
        <v>-112364.6071158977</v>
      </c>
      <c r="Z110" s="31" cm="1">
        <f t="array" ref="Z110">Z$106+IF($C110&lt;&gt;0,SUMPRODUCT((Z$107:Z$108)*TRANSPOSE(($D110:$E110))),0)</f>
        <v>-143398.52625005212</v>
      </c>
      <c r="AA110" s="31" cm="1">
        <f t="array" ref="AA110">AA$106+IF($C110&lt;&gt;0,SUMPRODUCT((AA$107:AA$108)*TRANSPOSE(($D110:$E110))),0)</f>
        <v>-174432.44538420654</v>
      </c>
      <c r="AB110" s="31" cm="1">
        <f t="array" ref="AB110">AB$106+IF($C110&lt;&gt;0,SUMPRODUCT((AB$107:AB$108)*TRANSPOSE(($D110:$E110))),0)</f>
        <v>-205466.36451836003</v>
      </c>
      <c r="AC110" s="31" cm="1">
        <f t="array" ref="AC110">AC$106+IF($C110&lt;&gt;0,SUMPRODUCT((AC$107:AC$108)*TRANSPOSE(($D110:$E110))),0)</f>
        <v>-236500.28365251402</v>
      </c>
      <c r="AD110" s="31" cm="1">
        <f t="array" ref="AD110">AD$106+IF($C110&lt;&gt;0,SUMPRODUCT((AD$107:AD$108)*TRANSPOSE(($D110:$E110))),0)</f>
        <v>-267534.20278666844</v>
      </c>
      <c r="AE110" s="31" cm="1">
        <f t="array" ref="AE110">AE$106+IF($C110&lt;&gt;0,SUMPRODUCT((AE$107:AE$108)*TRANSPOSE(($D110:$E110))),0)</f>
        <v>-298564.06171737588</v>
      </c>
      <c r="AF110" s="31" cm="1">
        <f t="array" ref="AF110">AF$106+IF($C110&lt;&gt;0,SUMPRODUCT((AF$107:AF$108)*TRANSPOSE(($D110:$E110))),0)</f>
        <v>-329597.98085152893</v>
      </c>
      <c r="AG110" s="31" cm="1">
        <f t="array" ref="AG110">AG$106+IF($C110&lt;&gt;0,SUMPRODUCT((AG$107:AG$108)*TRANSPOSE(($D110:$E110))),0)</f>
        <v>124911.21002809408</v>
      </c>
    </row>
    <row r="111" spans="1:43" x14ac:dyDescent="0.3">
      <c r="A111" s="1" t="str">
        <f>"sens"&amp;Assumptions!B124</f>
        <v>sens2</v>
      </c>
      <c r="C111" s="300" t="str">
        <f>Assumptions!C124</f>
        <v>Capex 10% lower</v>
      </c>
      <c r="D111" s="301">
        <f>Assumptions!G124</f>
        <v>-0.1</v>
      </c>
      <c r="E111" s="301">
        <f>Assumptions!H124</f>
        <v>0</v>
      </c>
      <c r="G111" s="38" t="str">
        <f t="shared" ref="G111:G117" si="21">PROPER($A$3)&amp;A111</f>
        <v>Option 3sens2</v>
      </c>
      <c r="I111" s="31" cm="1">
        <f t="array" ref="I111">I$106+IF($C111&lt;&gt;0,SUMPRODUCT((I$107:I$108)*TRANSPOSE(($D111:$E111))),0)</f>
        <v>0</v>
      </c>
      <c r="J111" s="31" cm="1">
        <f t="array" ref="J111">J$106+IF($C111&lt;&gt;0,SUMPRODUCT((J$107:J$108)*TRANSPOSE(($D111:$E111))),0)</f>
        <v>86650.00329620298</v>
      </c>
      <c r="K111" s="31" cm="1">
        <f t="array" ref="K111">K$106+IF($C111&lt;&gt;0,SUMPRODUCT((K$107:K$108)*TRANSPOSE(($D111:$E111))),0)</f>
        <v>173296.46653425787</v>
      </c>
      <c r="L111" s="31" cm="1">
        <f t="array" ref="L111">L$106+IF($C111&lt;&gt;0,SUMPRODUCT((L$107:L$108)*TRANSPOSE(($D111:$E111))),0)</f>
        <v>259945.87864075042</v>
      </c>
      <c r="M111" s="31" cm="1">
        <f t="array" ref="M111">M$106+IF($C111&lt;&gt;0,SUMPRODUCT((M$107:M$108)*TRANSPOSE(($D111:$E111))),0)</f>
        <v>301629.27678716753</v>
      </c>
      <c r="N111" s="31" cm="1">
        <f t="array" ref="N111">N$106+IF($C111&lt;&gt;0,SUMPRODUCT((N$107:N$108)*TRANSPOSE(($D111:$E111))),0)</f>
        <v>280121.87144861725</v>
      </c>
      <c r="O111" s="31" cm="1">
        <f t="array" ref="O111">O$106+IF($C111&lt;&gt;0,SUMPRODUCT((O$107:O$108)*TRANSPOSE(($D111:$E111))),0)</f>
        <v>263825.93645887892</v>
      </c>
      <c r="P111" s="31" cm="1">
        <f t="array" ref="P111">P$106+IF($C111&lt;&gt;0,SUMPRODUCT((P$107:P$108)*TRANSPOSE(($D111:$E111))),0)</f>
        <v>243483.2655043246</v>
      </c>
      <c r="Q111" s="31" cm="1">
        <f t="array" ref="Q111">Q$106+IF($C111&lt;&gt;0,SUMPRODUCT((Q$107:Q$108)*TRANSPOSE(($D111:$E111))),0)</f>
        <v>224187.31141438548</v>
      </c>
      <c r="R111" s="31" cm="1">
        <f t="array" ref="R111">R$106+IF($C111&lt;&gt;0,SUMPRODUCT((R$107:R$108)*TRANSPOSE(($D111:$E111))),0)</f>
        <v>193153.39228023199</v>
      </c>
      <c r="S111" s="31" cm="1">
        <f t="array" ref="S111">S$106+IF($C111&lt;&gt;0,SUMPRODUCT((S$107:S$108)*TRANSPOSE(($D111:$E111))),0)</f>
        <v>162119.47314607757</v>
      </c>
      <c r="T111" s="31" cm="1">
        <f t="array" ref="T111">T$106+IF($C111&lt;&gt;0,SUMPRODUCT((T$107:T$108)*TRANSPOSE(($D111:$E111))),0)</f>
        <v>131085.55401192358</v>
      </c>
      <c r="U111" s="31" cm="1">
        <f t="array" ref="U111">U$106+IF($C111&lt;&gt;0,SUMPRODUCT((U$107:U$108)*TRANSPOSE(($D111:$E111))),0)</f>
        <v>100051.63487776916</v>
      </c>
      <c r="V111" s="31" cm="1">
        <f t="array" ref="V111">V$106+IF($C111&lt;&gt;0,SUMPRODUCT((V$107:V$108)*TRANSPOSE(($D111:$E111))),0)</f>
        <v>69017.715743615205</v>
      </c>
      <c r="W111" s="31" cm="1">
        <f t="array" ref="W111">W$106+IF($C111&lt;&gt;0,SUMPRODUCT((W$107:W$108)*TRANSPOSE(($D111:$E111))),0)</f>
        <v>37983.796609461235</v>
      </c>
      <c r="X111" s="31" cm="1">
        <f t="array" ref="X111">X$106+IF($C111&lt;&gt;0,SUMPRODUCT((X$107:X$108)*TRANSPOSE(($D111:$E111))),0)</f>
        <v>6949.8774753068137</v>
      </c>
      <c r="Y111" s="31" cm="1">
        <f t="array" ref="Y111">Y$106+IF($C111&lt;&gt;0,SUMPRODUCT((Y$107:Y$108)*TRANSPOSE(($D111:$E111))),0)</f>
        <v>-24084.041658847178</v>
      </c>
      <c r="Z111" s="31" cm="1">
        <f t="array" ref="Z111">Z$106+IF($C111&lt;&gt;0,SUMPRODUCT((Z$107:Z$108)*TRANSPOSE(($D111:$E111))),0)</f>
        <v>-55117.960793001599</v>
      </c>
      <c r="AA111" s="31" cm="1">
        <f t="array" ref="AA111">AA$106+IF($C111&lt;&gt;0,SUMPRODUCT((AA$107:AA$108)*TRANSPOSE(($D111:$E111))),0)</f>
        <v>-86151.879927156027</v>
      </c>
      <c r="AB111" s="31" cm="1">
        <f t="array" ref="AB111">AB$106+IF($C111&lt;&gt;0,SUMPRODUCT((AB$107:AB$108)*TRANSPOSE(($D111:$E111))),0)</f>
        <v>-117185.79906130952</v>
      </c>
      <c r="AC111" s="31" cm="1">
        <f t="array" ref="AC111">AC$106+IF($C111&lt;&gt;0,SUMPRODUCT((AC$107:AC$108)*TRANSPOSE(($D111:$E111))),0)</f>
        <v>-148219.7181954635</v>
      </c>
      <c r="AD111" s="31" cm="1">
        <f t="array" ref="AD111">AD$106+IF($C111&lt;&gt;0,SUMPRODUCT((AD$107:AD$108)*TRANSPOSE(($D111:$E111))),0)</f>
        <v>-179253.63732961792</v>
      </c>
      <c r="AE111" s="31" cm="1">
        <f t="array" ref="AE111">AE$106+IF($C111&lt;&gt;0,SUMPRODUCT((AE$107:AE$108)*TRANSPOSE(($D111:$E111))),0)</f>
        <v>-210283.49626032537</v>
      </c>
      <c r="AF111" s="31" cm="1">
        <f t="array" ref="AF111">AF$106+IF($C111&lt;&gt;0,SUMPRODUCT((AF$107:AF$108)*TRANSPOSE(($D111:$E111))),0)</f>
        <v>-241317.41539447839</v>
      </c>
      <c r="AG111" s="31" cm="1">
        <f t="array" ref="AG111">AG$106+IF($C111&lt;&gt;0,SUMPRODUCT((AG$107:AG$108)*TRANSPOSE(($D111:$E111))),0)</f>
        <v>124911.21002809408</v>
      </c>
    </row>
    <row r="112" spans="1:43" x14ac:dyDescent="0.3">
      <c r="A112" s="1" t="str">
        <f>"sens"&amp;Assumptions!B125</f>
        <v>sens3</v>
      </c>
      <c r="C112" s="300" t="str">
        <f>Assumptions!C125</f>
        <v>Total benefits 10% higher</v>
      </c>
      <c r="D112" s="301">
        <f>Assumptions!G125</f>
        <v>0</v>
      </c>
      <c r="E112" s="301">
        <f>Assumptions!H125</f>
        <v>0.1</v>
      </c>
      <c r="G112" s="38" t="str">
        <f t="shared" si="21"/>
        <v>Option 3sens3</v>
      </c>
      <c r="I112" s="31" cm="1">
        <f t="array" ref="I112">I$106+IF($C112&lt;&gt;0,SUMPRODUCT((I$107:I$108)*TRANSPOSE(($D112:$E112))),0)</f>
        <v>0</v>
      </c>
      <c r="J112" s="31" cm="1">
        <f t="array" ref="J112">J$106+IF($C112&lt;&gt;0,SUMPRODUCT((J$107:J$108)*TRANSPOSE(($D112:$E112))),0)</f>
        <v>95315.003625823272</v>
      </c>
      <c r="K112" s="31" cm="1">
        <f t="array" ref="K112">K$106+IF($C112&lt;&gt;0,SUMPRODUCT((K$107:K$108)*TRANSPOSE(($D112:$E112))),0)</f>
        <v>190626.11318768366</v>
      </c>
      <c r="L112" s="31" cm="1">
        <f t="array" ref="L112">L$106+IF($C112&lt;&gt;0,SUMPRODUCT((L$107:L$108)*TRANSPOSE(($D112:$E112))),0)</f>
        <v>285940.46650482545</v>
      </c>
      <c r="M112" s="31" cm="1">
        <f t="array" ref="M112">M$106+IF($C112&lt;&gt;0,SUMPRODUCT((M$107:M$108)*TRANSPOSE(($D112:$E112))),0)</f>
        <v>345378.17619303172</v>
      </c>
      <c r="N112" s="31" cm="1">
        <f t="array" ref="N112">N$106+IF($C112&lt;&gt;0,SUMPRODUCT((N$107:N$108)*TRANSPOSE(($D112:$E112))),0)</f>
        <v>321720.03032062645</v>
      </c>
      <c r="O112" s="31" cm="1">
        <f t="array" ref="O112">O$106+IF($C112&lt;&gt;0,SUMPRODUCT((O$107:O$108)*TRANSPOSE(($D112:$E112))),0)</f>
        <v>303794.5018319143</v>
      </c>
      <c r="P112" s="31" cm="1">
        <f t="array" ref="P112">P$106+IF($C112&lt;&gt;0,SUMPRODUCT((P$107:P$108)*TRANSPOSE(($D112:$E112))),0)</f>
        <v>281417.56378190452</v>
      </c>
      <c r="Q112" s="31" cm="1">
        <f t="array" ref="Q112">Q$106+IF($C112&lt;&gt;0,SUMPRODUCT((Q$107:Q$108)*TRANSPOSE(($D112:$E112))),0)</f>
        <v>260192.0142829715</v>
      </c>
      <c r="R112" s="31" cm="1">
        <f t="array" ref="R112">R$106+IF($C112&lt;&gt;0,SUMPRODUCT((R$107:R$108)*TRANSPOSE(($D112:$E112))),0)</f>
        <v>226054.70323540265</v>
      </c>
      <c r="S112" s="31" cm="1">
        <f t="array" ref="S112">S$106+IF($C112&lt;&gt;0,SUMPRODUCT((S$107:S$108)*TRANSPOSE(($D112:$E112))),0)</f>
        <v>191917.3921878328</v>
      </c>
      <c r="T112" s="31" cm="1">
        <f t="array" ref="T112">T$106+IF($C112&lt;&gt;0,SUMPRODUCT((T$107:T$108)*TRANSPOSE(($D112:$E112))),0)</f>
        <v>157780.08114026341</v>
      </c>
      <c r="U112" s="31" cm="1">
        <f t="array" ref="U112">U$106+IF($C112&lt;&gt;0,SUMPRODUCT((U$107:U$108)*TRANSPOSE(($D112:$E112))),0)</f>
        <v>123642.77009269356</v>
      </c>
      <c r="V112" s="31" cm="1">
        <f t="array" ref="V112">V$106+IF($C112&lt;&gt;0,SUMPRODUCT((V$107:V$108)*TRANSPOSE(($D112:$E112))),0)</f>
        <v>89505.459045124197</v>
      </c>
      <c r="W112" s="31" cm="1">
        <f t="array" ref="W112">W$106+IF($C112&lt;&gt;0,SUMPRODUCT((W$107:W$108)*TRANSPOSE(($D112:$E112))),0)</f>
        <v>55368.147997554835</v>
      </c>
      <c r="X112" s="31" cm="1">
        <f t="array" ref="X112">X$106+IF($C112&lt;&gt;0,SUMPRODUCT((X$107:X$108)*TRANSPOSE(($D112:$E112))),0)</f>
        <v>21230.836949984965</v>
      </c>
      <c r="Y112" s="31" cm="1">
        <f t="array" ref="Y112">Y$106+IF($C112&lt;&gt;0,SUMPRODUCT((Y$107:Y$108)*TRANSPOSE(($D112:$E112))),0)</f>
        <v>-12906.474097584425</v>
      </c>
      <c r="Z112" s="31" cm="1">
        <f t="array" ref="Z112">Z$106+IF($C112&lt;&gt;0,SUMPRODUCT((Z$107:Z$108)*TRANSPOSE(($D112:$E112))),0)</f>
        <v>-47043.785145154281</v>
      </c>
      <c r="AA112" s="31" cm="1">
        <f t="array" ref="AA112">AA$106+IF($C112&lt;&gt;0,SUMPRODUCT((AA$107:AA$108)*TRANSPOSE(($D112:$E112))),0)</f>
        <v>-81181.096192724159</v>
      </c>
      <c r="AB112" s="31" cm="1">
        <f t="array" ref="AB112">AB$106+IF($C112&lt;&gt;0,SUMPRODUCT((AB$107:AB$108)*TRANSPOSE(($D112:$E112))),0)</f>
        <v>-115318.40724029299</v>
      </c>
      <c r="AC112" s="31" cm="1">
        <f t="array" ref="AC112">AC$106+IF($C112&lt;&gt;0,SUMPRODUCT((AC$107:AC$108)*TRANSPOSE(($D112:$E112))),0)</f>
        <v>-149455.71828786237</v>
      </c>
      <c r="AD112" s="31" cm="1">
        <f t="array" ref="AD112">AD$106+IF($C112&lt;&gt;0,SUMPRODUCT((AD$107:AD$108)*TRANSPOSE(($D112:$E112))),0)</f>
        <v>-183593.02933543222</v>
      </c>
      <c r="AE112" s="31" cm="1">
        <f t="array" ref="AE112">AE$106+IF($C112&lt;&gt;0,SUMPRODUCT((AE$107:AE$108)*TRANSPOSE(($D112:$E112))),0)</f>
        <v>-217725.87415921042</v>
      </c>
      <c r="AF112" s="31" cm="1">
        <f t="array" ref="AF112">AF$106+IF($C112&lt;&gt;0,SUMPRODUCT((AF$107:AF$108)*TRANSPOSE(($D112:$E112))),0)</f>
        <v>-251863.18520677875</v>
      </c>
      <c r="AG112" s="31" cm="1">
        <f t="array" ref="AG112">AG$106+IF($C112&lt;&gt;0,SUMPRODUCT((AG$107:AG$108)*TRANSPOSE(($D112:$E112))),0)</f>
        <v>155402.3310309035</v>
      </c>
    </row>
    <row r="113" spans="1:33" x14ac:dyDescent="0.3">
      <c r="A113" s="1" t="str">
        <f>"sens"&amp;Assumptions!B126</f>
        <v>sens4</v>
      </c>
      <c r="C113" s="300" t="str">
        <f>Assumptions!C126</f>
        <v>Total benefits 10% lower</v>
      </c>
      <c r="D113" s="301">
        <f>Assumptions!G126</f>
        <v>0</v>
      </c>
      <c r="E113" s="301">
        <f>Assumptions!H126</f>
        <v>-0.1</v>
      </c>
      <c r="G113" s="38" t="str">
        <f t="shared" si="21"/>
        <v>Option 3sens4</v>
      </c>
      <c r="I113" s="31" cm="1">
        <f t="array" ref="I113">I$106+IF($C113&lt;&gt;0,SUMPRODUCT((I$107:I$108)*TRANSPOSE(($D113:$E113))),0)</f>
        <v>0</v>
      </c>
      <c r="J113" s="31" cm="1">
        <f t="array" ref="J113">J$106+IF($C113&lt;&gt;0,SUMPRODUCT((J$107:J$108)*TRANSPOSE(($D113:$E113))),0)</f>
        <v>77985.002966582688</v>
      </c>
      <c r="K113" s="31" cm="1">
        <f t="array" ref="K113">K$106+IF($C113&lt;&gt;0,SUMPRODUCT((K$107:K$108)*TRANSPOSE(($D113:$E113))),0)</f>
        <v>155966.81988083207</v>
      </c>
      <c r="L113" s="31" cm="1">
        <f t="array" ref="L113">L$106+IF($C113&lt;&gt;0,SUMPRODUCT((L$107:L$108)*TRANSPOSE(($D113:$E113))),0)</f>
        <v>233951.29077667539</v>
      </c>
      <c r="M113" s="31" cm="1">
        <f t="array" ref="M113">M$106+IF($C113&lt;&gt;0,SUMPRODUCT((M$107:M$108)*TRANSPOSE(($D113:$E113))),0)</f>
        <v>169599.81192425278</v>
      </c>
      <c r="N113" s="31" cm="1">
        <f t="array" ref="N113">N$106+IF($C113&lt;&gt;0,SUMPRODUCT((N$107:N$108)*TRANSPOSE(($D113:$E113))),0)</f>
        <v>150243.14711955748</v>
      </c>
      <c r="O113" s="31" cm="1">
        <f t="array" ref="O113">O$106+IF($C113&lt;&gt;0,SUMPRODUCT((O$107:O$108)*TRANSPOSE(($D113:$E113))),0)</f>
        <v>135576.80562879302</v>
      </c>
      <c r="P113" s="31" cm="1">
        <f t="array" ref="P113">P$106+IF($C113&lt;&gt;0,SUMPRODUCT((P$107:P$108)*TRANSPOSE(($D113:$E113))),0)</f>
        <v>117268.40176969414</v>
      </c>
      <c r="Q113" s="31" cm="1">
        <f t="array" ref="Q113">Q$106+IF($C113&lt;&gt;0,SUMPRODUCT((Q$107:Q$108)*TRANSPOSE(($D113:$E113))),0)</f>
        <v>99902.043088748935</v>
      </c>
      <c r="R113" s="31" cm="1">
        <f t="array" ref="R113">R$106+IF($C113&lt;&gt;0,SUMPRODUCT((R$107:R$108)*TRANSPOSE(($D113:$E113))),0)</f>
        <v>71971.5158680108</v>
      </c>
      <c r="S113" s="31" cm="1">
        <f t="array" ref="S113">S$106+IF($C113&lt;&gt;0,SUMPRODUCT((S$107:S$108)*TRANSPOSE(($D113:$E113))),0)</f>
        <v>44040.988647271806</v>
      </c>
      <c r="T113" s="31" cm="1">
        <f t="array" ref="T113">T$106+IF($C113&lt;&gt;0,SUMPRODUCT((T$107:T$108)*TRANSPOSE(($D113:$E113))),0)</f>
        <v>16110.461426533235</v>
      </c>
      <c r="U113" s="31" cm="1">
        <f t="array" ref="U113">U$106+IF($C113&lt;&gt;0,SUMPRODUCT((U$107:U$108)*TRANSPOSE(($D113:$E113))),0)</f>
        <v>-11820.065794205759</v>
      </c>
      <c r="V113" s="31" cm="1">
        <f t="array" ref="V113">V$106+IF($C113&lt;&gt;0,SUMPRODUCT((V$107:V$108)*TRANSPOSE(($D113:$E113))),0)</f>
        <v>-39750.59301494433</v>
      </c>
      <c r="W113" s="31" cm="1">
        <f t="array" ref="W113">W$106+IF($C113&lt;&gt;0,SUMPRODUCT((W$107:W$108)*TRANSPOSE(($D113:$E113))),0)</f>
        <v>-67681.120235682902</v>
      </c>
      <c r="X113" s="31" cm="1">
        <f t="array" ref="X113">X$106+IF($C113&lt;&gt;0,SUMPRODUCT((X$107:X$108)*TRANSPOSE(($D113:$E113))),0)</f>
        <v>-95611.647456421866</v>
      </c>
      <c r="Y113" s="31" cm="1">
        <f t="array" ref="Y113">Y$106+IF($C113&lt;&gt;0,SUMPRODUCT((Y$107:Y$108)*TRANSPOSE(($D113:$E113))),0)</f>
        <v>-123542.17467716045</v>
      </c>
      <c r="Z113" s="31" cm="1">
        <f t="array" ref="Z113">Z$106+IF($C113&lt;&gt;0,SUMPRODUCT((Z$107:Z$108)*TRANSPOSE(($D113:$E113))),0)</f>
        <v>-151472.70189789945</v>
      </c>
      <c r="AA113" s="31" cm="1">
        <f t="array" ref="AA113">AA$106+IF($C113&lt;&gt;0,SUMPRODUCT((AA$107:AA$108)*TRANSPOSE(($D113:$E113))),0)</f>
        <v>-179403.22911863841</v>
      </c>
      <c r="AB113" s="31" cm="1">
        <f t="array" ref="AB113">AB$106+IF($C113&lt;&gt;0,SUMPRODUCT((AB$107:AB$108)*TRANSPOSE(($D113:$E113))),0)</f>
        <v>-207333.75633937656</v>
      </c>
      <c r="AC113" s="31" cm="1">
        <f t="array" ref="AC113">AC$106+IF($C113&lt;&gt;0,SUMPRODUCT((AC$107:AC$108)*TRANSPOSE(($D113:$E113))),0)</f>
        <v>-235264.28356011515</v>
      </c>
      <c r="AD113" s="31" cm="1">
        <f t="array" ref="AD113">AD$106+IF($C113&lt;&gt;0,SUMPRODUCT((AD$107:AD$108)*TRANSPOSE(($D113:$E113))),0)</f>
        <v>-263194.81078085414</v>
      </c>
      <c r="AE113" s="31" cm="1">
        <f t="array" ref="AE113">AE$106+IF($C113&lt;&gt;0,SUMPRODUCT((AE$107:AE$108)*TRANSPOSE(($D113:$E113))),0)</f>
        <v>-291121.68381849083</v>
      </c>
      <c r="AF113" s="31" cm="1">
        <f t="array" ref="AF113">AF$106+IF($C113&lt;&gt;0,SUMPRODUCT((AF$107:AF$108)*TRANSPOSE(($D113:$E113))),0)</f>
        <v>-319052.21103922854</v>
      </c>
      <c r="AG113" s="31" cm="1">
        <f t="array" ref="AG113">AG$106+IF($C113&lt;&gt;0,SUMPRODUCT((AG$107:AG$108)*TRANSPOSE(($D113:$E113))),0)</f>
        <v>94420.089025284673</v>
      </c>
    </row>
    <row r="114" spans="1:33" x14ac:dyDescent="0.3">
      <c r="A114" s="1" t="str">
        <f>"sens"&amp;Assumptions!B127</f>
        <v>sens5</v>
      </c>
      <c r="C114" s="300" t="str">
        <f>Assumptions!C127</f>
        <v>Capex 10% higher &amp; Total benefits 10% lower</v>
      </c>
      <c r="D114" s="301">
        <f>Assumptions!G127</f>
        <v>0.1</v>
      </c>
      <c r="E114" s="301">
        <f>Assumptions!H127</f>
        <v>-0.1</v>
      </c>
      <c r="G114" s="38" t="str">
        <f t="shared" si="21"/>
        <v>Option 3sens5</v>
      </c>
      <c r="I114" s="31" cm="1">
        <f t="array" ref="I114">I$106+IF($C114&lt;&gt;0,SUMPRODUCT((I$107:I$108)*TRANSPOSE(($D114:$E114))),0)</f>
        <v>0</v>
      </c>
      <c r="J114" s="31" cm="1">
        <f t="array" ref="J114">J$106+IF($C114&lt;&gt;0,SUMPRODUCT((J$107:J$108)*TRANSPOSE(($D114:$E114))),0)</f>
        <v>77985.002966582688</v>
      </c>
      <c r="K114" s="31" cm="1">
        <f t="array" ref="K114">K$106+IF($C114&lt;&gt;0,SUMPRODUCT((K$107:K$108)*TRANSPOSE(($D114:$E114))),0)</f>
        <v>155966.81988083207</v>
      </c>
      <c r="L114" s="31" cm="1">
        <f t="array" ref="L114">L$106+IF($C114&lt;&gt;0,SUMPRODUCT((L$107:L$108)*TRANSPOSE(($D114:$E114))),0)</f>
        <v>233951.29077667539</v>
      </c>
      <c r="M114" s="31" cm="1">
        <f t="array" ref="M114">M$106+IF($C114&lt;&gt;0,SUMPRODUCT((M$107:M$108)*TRANSPOSE(($D114:$E114))),0)</f>
        <v>125459.52919572749</v>
      </c>
      <c r="N114" s="31" cm="1">
        <f t="array" ref="N114">N$106+IF($C114&lt;&gt;0,SUMPRODUCT((N$107:N$108)*TRANSPOSE(($D114:$E114))),0)</f>
        <v>106102.86439103223</v>
      </c>
      <c r="O114" s="31" cm="1">
        <f t="array" ref="O114">O$106+IF($C114&lt;&gt;0,SUMPRODUCT((O$107:O$108)*TRANSPOSE(($D114:$E114))),0)</f>
        <v>91436.522900267766</v>
      </c>
      <c r="P114" s="31" cm="1">
        <f t="array" ref="P114">P$106+IF($C114&lt;&gt;0,SUMPRODUCT((P$107:P$108)*TRANSPOSE(($D114:$E114))),0)</f>
        <v>73128.119041168888</v>
      </c>
      <c r="Q114" s="31" cm="1">
        <f t="array" ref="Q114">Q$106+IF($C114&lt;&gt;0,SUMPRODUCT((Q$107:Q$108)*TRANSPOSE(($D114:$E114))),0)</f>
        <v>55761.760360223678</v>
      </c>
      <c r="R114" s="31" cm="1">
        <f t="array" ref="R114">R$106+IF($C114&lt;&gt;0,SUMPRODUCT((R$107:R$108)*TRANSPOSE(($D114:$E114))),0)</f>
        <v>27831.233139485528</v>
      </c>
      <c r="S114" s="31" cm="1">
        <f t="array" ref="S114">S$106+IF($C114&lt;&gt;0,SUMPRODUCT((S$107:S$108)*TRANSPOSE(($D114:$E114))),0)</f>
        <v>-99.294081253450713</v>
      </c>
      <c r="T114" s="31" cm="1">
        <f t="array" ref="T114">T$106+IF($C114&lt;&gt;0,SUMPRODUCT((T$107:T$108)*TRANSPOSE(($D114:$E114))),0)</f>
        <v>-28029.821301992022</v>
      </c>
      <c r="U114" s="31" cm="1">
        <f t="array" ref="U114">U$106+IF($C114&lt;&gt;0,SUMPRODUCT((U$107:U$108)*TRANSPOSE(($D114:$E114))),0)</f>
        <v>-55960.348522731016</v>
      </c>
      <c r="V114" s="31" cm="1">
        <f t="array" ref="V114">V$106+IF($C114&lt;&gt;0,SUMPRODUCT((V$107:V$108)*TRANSPOSE(($D114:$E114))),0)</f>
        <v>-83890.875743469587</v>
      </c>
      <c r="W114" s="31" cm="1">
        <f t="array" ref="W114">W$106+IF($C114&lt;&gt;0,SUMPRODUCT((W$107:W$108)*TRANSPOSE(($D114:$E114))),0)</f>
        <v>-111821.40296420816</v>
      </c>
      <c r="X114" s="31" cm="1">
        <f t="array" ref="X114">X$106+IF($C114&lt;&gt;0,SUMPRODUCT((X$107:X$108)*TRANSPOSE(($D114:$E114))),0)</f>
        <v>-139751.93018494712</v>
      </c>
      <c r="Y114" s="31" cm="1">
        <f t="array" ref="Y114">Y$106+IF($C114&lt;&gt;0,SUMPRODUCT((Y$107:Y$108)*TRANSPOSE(($D114:$E114))),0)</f>
        <v>-167682.45740568574</v>
      </c>
      <c r="Z114" s="31" cm="1">
        <f t="array" ref="Z114">Z$106+IF($C114&lt;&gt;0,SUMPRODUCT((Z$107:Z$108)*TRANSPOSE(($D114:$E114))),0)</f>
        <v>-195612.9846264247</v>
      </c>
      <c r="AA114" s="31" cm="1">
        <f t="array" ref="AA114">AA$106+IF($C114&lt;&gt;0,SUMPRODUCT((AA$107:AA$108)*TRANSPOSE(($D114:$E114))),0)</f>
        <v>-223543.51184716367</v>
      </c>
      <c r="AB114" s="31" cm="1">
        <f t="array" ref="AB114">AB$106+IF($C114&lt;&gt;0,SUMPRODUCT((AB$107:AB$108)*TRANSPOSE(($D114:$E114))),0)</f>
        <v>-251474.03906790182</v>
      </c>
      <c r="AC114" s="31" cm="1">
        <f t="array" ref="AC114">AC$106+IF($C114&lt;&gt;0,SUMPRODUCT((AC$107:AC$108)*TRANSPOSE(($D114:$E114))),0)</f>
        <v>-279404.56628864037</v>
      </c>
      <c r="AD114" s="31" cm="1">
        <f t="array" ref="AD114">AD$106+IF($C114&lt;&gt;0,SUMPRODUCT((AD$107:AD$108)*TRANSPOSE(($D114:$E114))),0)</f>
        <v>-307335.09350937943</v>
      </c>
      <c r="AE114" s="31" cm="1">
        <f t="array" ref="AE114">AE$106+IF($C114&lt;&gt;0,SUMPRODUCT((AE$107:AE$108)*TRANSPOSE(($D114:$E114))),0)</f>
        <v>-335261.96654701605</v>
      </c>
      <c r="AF114" s="31" cm="1">
        <f t="array" ref="AF114">AF$106+IF($C114&lt;&gt;0,SUMPRODUCT((AF$107:AF$108)*TRANSPOSE(($D114:$E114))),0)</f>
        <v>-363192.49376775383</v>
      </c>
      <c r="AG114" s="31" cm="1">
        <f t="array" ref="AG114">AG$106+IF($C114&lt;&gt;0,SUMPRODUCT((AG$107:AG$108)*TRANSPOSE(($D114:$E114))),0)</f>
        <v>94420.089025284673</v>
      </c>
    </row>
    <row r="115" spans="1:33" x14ac:dyDescent="0.3">
      <c r="A115" s="1" t="str">
        <f>"sens"&amp;Assumptions!B128</f>
        <v>sens</v>
      </c>
      <c r="C115" s="300">
        <f>Assumptions!C128</f>
        <v>0</v>
      </c>
      <c r="D115" s="301">
        <f>Assumptions!G128</f>
        <v>0</v>
      </c>
      <c r="E115" s="301">
        <f>Assumptions!H128</f>
        <v>0</v>
      </c>
      <c r="G115" s="38" t="str">
        <f t="shared" si="21"/>
        <v>Option 3sens</v>
      </c>
      <c r="I115" s="31" cm="1">
        <f t="array" ref="I115">I$106+IF($C115&lt;&gt;0,SUMPRODUCT((I$107:I$108)*TRANSPOSE(($D115:$E115))),0)</f>
        <v>0</v>
      </c>
      <c r="J115" s="31" cm="1">
        <f t="array" ref="J115">J$106+IF($C115&lt;&gt;0,SUMPRODUCT((J$107:J$108)*TRANSPOSE(($D115:$E115))),0)</f>
        <v>86650.00329620298</v>
      </c>
      <c r="K115" s="31" cm="1">
        <f t="array" ref="K115">K$106+IF($C115&lt;&gt;0,SUMPRODUCT((K$107:K$108)*TRANSPOSE(($D115:$E115))),0)</f>
        <v>173296.46653425787</v>
      </c>
      <c r="L115" s="31" cm="1">
        <f t="array" ref="L115">L$106+IF($C115&lt;&gt;0,SUMPRODUCT((L$107:L$108)*TRANSPOSE(($D115:$E115))),0)</f>
        <v>259945.87864075042</v>
      </c>
      <c r="M115" s="31" cm="1">
        <f t="array" ref="M115">M$106+IF($C115&lt;&gt;0,SUMPRODUCT((M$107:M$108)*TRANSPOSE(($D115:$E115))),0)</f>
        <v>257488.99405864225</v>
      </c>
      <c r="N115" s="31" cm="1">
        <f t="array" ref="N115">N$106+IF($C115&lt;&gt;0,SUMPRODUCT((N$107:N$108)*TRANSPOSE(($D115:$E115))),0)</f>
        <v>235981.58872009197</v>
      </c>
      <c r="O115" s="31" cm="1">
        <f t="array" ref="O115">O$106+IF($C115&lt;&gt;0,SUMPRODUCT((O$107:O$108)*TRANSPOSE(($D115:$E115))),0)</f>
        <v>219685.65373035366</v>
      </c>
      <c r="P115" s="31" cm="1">
        <f t="array" ref="P115">P$106+IF($C115&lt;&gt;0,SUMPRODUCT((P$107:P$108)*TRANSPOSE(($D115:$E115))),0)</f>
        <v>199342.98277579935</v>
      </c>
      <c r="Q115" s="31" cm="1">
        <f t="array" ref="Q115">Q$106+IF($C115&lt;&gt;0,SUMPRODUCT((Q$107:Q$108)*TRANSPOSE(($D115:$E115))),0)</f>
        <v>180047.02868586022</v>
      </c>
      <c r="R115" s="31" cm="1">
        <f t="array" ref="R115">R$106+IF($C115&lt;&gt;0,SUMPRODUCT((R$107:R$108)*TRANSPOSE(($D115:$E115))),0)</f>
        <v>149013.10955170673</v>
      </c>
      <c r="S115" s="31" cm="1">
        <f t="array" ref="S115">S$106+IF($C115&lt;&gt;0,SUMPRODUCT((S$107:S$108)*TRANSPOSE(($D115:$E115))),0)</f>
        <v>117979.19041755229</v>
      </c>
      <c r="T115" s="31" cm="1">
        <f t="array" ref="T115">T$106+IF($C115&lt;&gt;0,SUMPRODUCT((T$107:T$108)*TRANSPOSE(($D115:$E115))),0)</f>
        <v>86945.271283398324</v>
      </c>
      <c r="U115" s="31" cm="1">
        <f t="array" ref="U115">U$106+IF($C115&lt;&gt;0,SUMPRODUCT((U$107:U$108)*TRANSPOSE(($D115:$E115))),0)</f>
        <v>55911.352149243903</v>
      </c>
      <c r="V115" s="31" cm="1">
        <f t="array" ref="V115">V$106+IF($C115&lt;&gt;0,SUMPRODUCT((V$107:V$108)*TRANSPOSE(($D115:$E115))),0)</f>
        <v>24877.433015089933</v>
      </c>
      <c r="W115" s="31" cm="1">
        <f t="array" ref="W115">W$106+IF($C115&lt;&gt;0,SUMPRODUCT((W$107:W$108)*TRANSPOSE(($D115:$E115))),0)</f>
        <v>-6156.4861190640295</v>
      </c>
      <c r="X115" s="31" cm="1">
        <f t="array" ref="X115">X$106+IF($C115&lt;&gt;0,SUMPRODUCT((X$107:X$108)*TRANSPOSE(($D115:$E115))),0)</f>
        <v>-37190.405253218451</v>
      </c>
      <c r="Y115" s="31" cm="1">
        <f t="array" ref="Y115">Y$106+IF($C115&lt;&gt;0,SUMPRODUCT((Y$107:Y$108)*TRANSPOSE(($D115:$E115))),0)</f>
        <v>-68224.324387372442</v>
      </c>
      <c r="Z115" s="31" cm="1">
        <f t="array" ref="Z115">Z$106+IF($C115&lt;&gt;0,SUMPRODUCT((Z$107:Z$108)*TRANSPOSE(($D115:$E115))),0)</f>
        <v>-99258.243521526863</v>
      </c>
      <c r="AA115" s="31" cm="1">
        <f t="array" ref="AA115">AA$106+IF($C115&lt;&gt;0,SUMPRODUCT((AA$107:AA$108)*TRANSPOSE(($D115:$E115))),0)</f>
        <v>-130292.16265568128</v>
      </c>
      <c r="AB115" s="31" cm="1">
        <f t="array" ref="AB115">AB$106+IF($C115&lt;&gt;0,SUMPRODUCT((AB$107:AB$108)*TRANSPOSE(($D115:$E115))),0)</f>
        <v>-161326.08178983477</v>
      </c>
      <c r="AC115" s="31" cm="1">
        <f t="array" ref="AC115">AC$106+IF($C115&lt;&gt;0,SUMPRODUCT((AC$107:AC$108)*TRANSPOSE(($D115:$E115))),0)</f>
        <v>-192360.00092398876</v>
      </c>
      <c r="AD115" s="31" cm="1">
        <f t="array" ref="AD115">AD$106+IF($C115&lt;&gt;0,SUMPRODUCT((AD$107:AD$108)*TRANSPOSE(($D115:$E115))),0)</f>
        <v>-223393.92005814318</v>
      </c>
      <c r="AE115" s="31" cm="1">
        <f t="array" ref="AE115">AE$106+IF($C115&lt;&gt;0,SUMPRODUCT((AE$107:AE$108)*TRANSPOSE(($D115:$E115))),0)</f>
        <v>-254423.77898885062</v>
      </c>
      <c r="AF115" s="31" cm="1">
        <f t="array" ref="AF115">AF$106+IF($C115&lt;&gt;0,SUMPRODUCT((AF$107:AF$108)*TRANSPOSE(($D115:$E115))),0)</f>
        <v>-285457.69812300365</v>
      </c>
      <c r="AG115" s="31" cm="1">
        <f t="array" ref="AG115">AG$106+IF($C115&lt;&gt;0,SUMPRODUCT((AG$107:AG$108)*TRANSPOSE(($D115:$E115))),0)</f>
        <v>124911.21002809408</v>
      </c>
    </row>
    <row r="116" spans="1:33" x14ac:dyDescent="0.3">
      <c r="A116" s="1" t="str">
        <f>"sens"&amp;Assumptions!B129</f>
        <v>sens</v>
      </c>
      <c r="C116" s="300">
        <f>Assumptions!C129</f>
        <v>0</v>
      </c>
      <c r="D116" s="301">
        <f>Assumptions!G129</f>
        <v>0</v>
      </c>
      <c r="E116" s="301">
        <f>Assumptions!H129</f>
        <v>0</v>
      </c>
      <c r="G116" s="38" t="str">
        <f t="shared" si="21"/>
        <v>Option 3sens</v>
      </c>
      <c r="I116" s="31" cm="1">
        <f t="array" ref="I116">I$106+IF($C116&lt;&gt;0,SUMPRODUCT((I$107:I$108)*TRANSPOSE(($D116:$E116))),0)</f>
        <v>0</v>
      </c>
      <c r="J116" s="31" cm="1">
        <f t="array" ref="J116">J$106+IF($C116&lt;&gt;0,SUMPRODUCT((J$107:J$108)*TRANSPOSE(($D116:$E116))),0)</f>
        <v>86650.00329620298</v>
      </c>
      <c r="K116" s="31" cm="1">
        <f t="array" ref="K116">K$106+IF($C116&lt;&gt;0,SUMPRODUCT((K$107:K$108)*TRANSPOSE(($D116:$E116))),0)</f>
        <v>173296.46653425787</v>
      </c>
      <c r="L116" s="31" cm="1">
        <f t="array" ref="L116">L$106+IF($C116&lt;&gt;0,SUMPRODUCT((L$107:L$108)*TRANSPOSE(($D116:$E116))),0)</f>
        <v>259945.87864075042</v>
      </c>
      <c r="M116" s="31" cm="1">
        <f t="array" ref="M116">M$106+IF($C116&lt;&gt;0,SUMPRODUCT((M$107:M$108)*TRANSPOSE(($D116:$E116))),0)</f>
        <v>257488.99405864225</v>
      </c>
      <c r="N116" s="31" cm="1">
        <f t="array" ref="N116">N$106+IF($C116&lt;&gt;0,SUMPRODUCT((N$107:N$108)*TRANSPOSE(($D116:$E116))),0)</f>
        <v>235981.58872009197</v>
      </c>
      <c r="O116" s="31" cm="1">
        <f t="array" ref="O116">O$106+IF($C116&lt;&gt;0,SUMPRODUCT((O$107:O$108)*TRANSPOSE(($D116:$E116))),0)</f>
        <v>219685.65373035366</v>
      </c>
      <c r="P116" s="31" cm="1">
        <f t="array" ref="P116">P$106+IF($C116&lt;&gt;0,SUMPRODUCT((P$107:P$108)*TRANSPOSE(($D116:$E116))),0)</f>
        <v>199342.98277579935</v>
      </c>
      <c r="Q116" s="31" cm="1">
        <f t="array" ref="Q116">Q$106+IF($C116&lt;&gt;0,SUMPRODUCT((Q$107:Q$108)*TRANSPOSE(($D116:$E116))),0)</f>
        <v>180047.02868586022</v>
      </c>
      <c r="R116" s="31" cm="1">
        <f t="array" ref="R116">R$106+IF($C116&lt;&gt;0,SUMPRODUCT((R$107:R$108)*TRANSPOSE(($D116:$E116))),0)</f>
        <v>149013.10955170673</v>
      </c>
      <c r="S116" s="31" cm="1">
        <f t="array" ref="S116">S$106+IF($C116&lt;&gt;0,SUMPRODUCT((S$107:S$108)*TRANSPOSE(($D116:$E116))),0)</f>
        <v>117979.19041755229</v>
      </c>
      <c r="T116" s="31" cm="1">
        <f t="array" ref="T116">T$106+IF($C116&lt;&gt;0,SUMPRODUCT((T$107:T$108)*TRANSPOSE(($D116:$E116))),0)</f>
        <v>86945.271283398324</v>
      </c>
      <c r="U116" s="31" cm="1">
        <f t="array" ref="U116">U$106+IF($C116&lt;&gt;0,SUMPRODUCT((U$107:U$108)*TRANSPOSE(($D116:$E116))),0)</f>
        <v>55911.352149243903</v>
      </c>
      <c r="V116" s="31" cm="1">
        <f t="array" ref="V116">V$106+IF($C116&lt;&gt;0,SUMPRODUCT((V$107:V$108)*TRANSPOSE(($D116:$E116))),0)</f>
        <v>24877.433015089933</v>
      </c>
      <c r="W116" s="31" cm="1">
        <f t="array" ref="W116">W$106+IF($C116&lt;&gt;0,SUMPRODUCT((W$107:W$108)*TRANSPOSE(($D116:$E116))),0)</f>
        <v>-6156.4861190640295</v>
      </c>
      <c r="X116" s="31" cm="1">
        <f t="array" ref="X116">X$106+IF($C116&lt;&gt;0,SUMPRODUCT((X$107:X$108)*TRANSPOSE(($D116:$E116))),0)</f>
        <v>-37190.405253218451</v>
      </c>
      <c r="Y116" s="31" cm="1">
        <f t="array" ref="Y116">Y$106+IF($C116&lt;&gt;0,SUMPRODUCT((Y$107:Y$108)*TRANSPOSE(($D116:$E116))),0)</f>
        <v>-68224.324387372442</v>
      </c>
      <c r="Z116" s="31" cm="1">
        <f t="array" ref="Z116">Z$106+IF($C116&lt;&gt;0,SUMPRODUCT((Z$107:Z$108)*TRANSPOSE(($D116:$E116))),0)</f>
        <v>-99258.243521526863</v>
      </c>
      <c r="AA116" s="31" cm="1">
        <f t="array" ref="AA116">AA$106+IF($C116&lt;&gt;0,SUMPRODUCT((AA$107:AA$108)*TRANSPOSE(($D116:$E116))),0)</f>
        <v>-130292.16265568128</v>
      </c>
      <c r="AB116" s="31" cm="1">
        <f t="array" ref="AB116">AB$106+IF($C116&lt;&gt;0,SUMPRODUCT((AB$107:AB$108)*TRANSPOSE(($D116:$E116))),0)</f>
        <v>-161326.08178983477</v>
      </c>
      <c r="AC116" s="31" cm="1">
        <f t="array" ref="AC116">AC$106+IF($C116&lt;&gt;0,SUMPRODUCT((AC$107:AC$108)*TRANSPOSE(($D116:$E116))),0)</f>
        <v>-192360.00092398876</v>
      </c>
      <c r="AD116" s="31" cm="1">
        <f t="array" ref="AD116">AD$106+IF($C116&lt;&gt;0,SUMPRODUCT((AD$107:AD$108)*TRANSPOSE(($D116:$E116))),0)</f>
        <v>-223393.92005814318</v>
      </c>
      <c r="AE116" s="31" cm="1">
        <f t="array" ref="AE116">AE$106+IF($C116&lt;&gt;0,SUMPRODUCT((AE$107:AE$108)*TRANSPOSE(($D116:$E116))),0)</f>
        <v>-254423.77898885062</v>
      </c>
      <c r="AF116" s="31" cm="1">
        <f t="array" ref="AF116">AF$106+IF($C116&lt;&gt;0,SUMPRODUCT((AF$107:AF$108)*TRANSPOSE(($D116:$E116))),0)</f>
        <v>-285457.69812300365</v>
      </c>
      <c r="AG116" s="31" cm="1">
        <f t="array" ref="AG116">AG$106+IF($C116&lt;&gt;0,SUMPRODUCT((AG$107:AG$108)*TRANSPOSE(($D116:$E116))),0)</f>
        <v>124911.21002809408</v>
      </c>
    </row>
    <row r="117" spans="1:33" x14ac:dyDescent="0.3">
      <c r="A117" s="1" t="str">
        <f>"sens"&amp;Assumptions!B130</f>
        <v>sens</v>
      </c>
      <c r="C117" s="300">
        <f>Assumptions!C130</f>
        <v>0</v>
      </c>
      <c r="D117" s="301">
        <f>Assumptions!G130</f>
        <v>0</v>
      </c>
      <c r="E117" s="301">
        <f>Assumptions!H130</f>
        <v>0</v>
      </c>
      <c r="G117" s="38" t="str">
        <f t="shared" si="21"/>
        <v>Option 3sens</v>
      </c>
      <c r="I117" s="31" cm="1">
        <f t="array" ref="I117">I$106+IF($C117&lt;&gt;0,SUMPRODUCT((I$107:I$108)*TRANSPOSE(($D117:$E117))),0)</f>
        <v>0</v>
      </c>
      <c r="J117" s="31" cm="1">
        <f t="array" ref="J117">J$106+IF($C117&lt;&gt;0,SUMPRODUCT((J$107:J$108)*TRANSPOSE(($D117:$E117))),0)</f>
        <v>86650.00329620298</v>
      </c>
      <c r="K117" s="31" cm="1">
        <f t="array" ref="K117">K$106+IF($C117&lt;&gt;0,SUMPRODUCT((K$107:K$108)*TRANSPOSE(($D117:$E117))),0)</f>
        <v>173296.46653425787</v>
      </c>
      <c r="L117" s="31" cm="1">
        <f t="array" ref="L117">L$106+IF($C117&lt;&gt;0,SUMPRODUCT((L$107:L$108)*TRANSPOSE(($D117:$E117))),0)</f>
        <v>259945.87864075042</v>
      </c>
      <c r="M117" s="31" cm="1">
        <f t="array" ref="M117">M$106+IF($C117&lt;&gt;0,SUMPRODUCT((M$107:M$108)*TRANSPOSE(($D117:$E117))),0)</f>
        <v>257488.99405864225</v>
      </c>
      <c r="N117" s="31" cm="1">
        <f t="array" ref="N117">N$106+IF($C117&lt;&gt;0,SUMPRODUCT((N$107:N$108)*TRANSPOSE(($D117:$E117))),0)</f>
        <v>235981.58872009197</v>
      </c>
      <c r="O117" s="31" cm="1">
        <f t="array" ref="O117">O$106+IF($C117&lt;&gt;0,SUMPRODUCT((O$107:O$108)*TRANSPOSE(($D117:$E117))),0)</f>
        <v>219685.65373035366</v>
      </c>
      <c r="P117" s="31" cm="1">
        <f t="array" ref="P117">P$106+IF($C117&lt;&gt;0,SUMPRODUCT((P$107:P$108)*TRANSPOSE(($D117:$E117))),0)</f>
        <v>199342.98277579935</v>
      </c>
      <c r="Q117" s="31" cm="1">
        <f t="array" ref="Q117">Q$106+IF($C117&lt;&gt;0,SUMPRODUCT((Q$107:Q$108)*TRANSPOSE(($D117:$E117))),0)</f>
        <v>180047.02868586022</v>
      </c>
      <c r="R117" s="31" cm="1">
        <f t="array" ref="R117">R$106+IF($C117&lt;&gt;0,SUMPRODUCT((R$107:R$108)*TRANSPOSE(($D117:$E117))),0)</f>
        <v>149013.10955170673</v>
      </c>
      <c r="S117" s="31" cm="1">
        <f t="array" ref="S117">S$106+IF($C117&lt;&gt;0,SUMPRODUCT((S$107:S$108)*TRANSPOSE(($D117:$E117))),0)</f>
        <v>117979.19041755229</v>
      </c>
      <c r="T117" s="31" cm="1">
        <f t="array" ref="T117">T$106+IF($C117&lt;&gt;0,SUMPRODUCT((T$107:T$108)*TRANSPOSE(($D117:$E117))),0)</f>
        <v>86945.271283398324</v>
      </c>
      <c r="U117" s="31" cm="1">
        <f t="array" ref="U117">U$106+IF($C117&lt;&gt;0,SUMPRODUCT((U$107:U$108)*TRANSPOSE(($D117:$E117))),0)</f>
        <v>55911.352149243903</v>
      </c>
      <c r="V117" s="31" cm="1">
        <f t="array" ref="V117">V$106+IF($C117&lt;&gt;0,SUMPRODUCT((V$107:V$108)*TRANSPOSE(($D117:$E117))),0)</f>
        <v>24877.433015089933</v>
      </c>
      <c r="W117" s="31" cm="1">
        <f t="array" ref="W117">W$106+IF($C117&lt;&gt;0,SUMPRODUCT((W$107:W$108)*TRANSPOSE(($D117:$E117))),0)</f>
        <v>-6156.4861190640295</v>
      </c>
      <c r="X117" s="31" cm="1">
        <f t="array" ref="X117">X$106+IF($C117&lt;&gt;0,SUMPRODUCT((X$107:X$108)*TRANSPOSE(($D117:$E117))),0)</f>
        <v>-37190.405253218451</v>
      </c>
      <c r="Y117" s="31" cm="1">
        <f t="array" ref="Y117">Y$106+IF($C117&lt;&gt;0,SUMPRODUCT((Y$107:Y$108)*TRANSPOSE(($D117:$E117))),0)</f>
        <v>-68224.324387372442</v>
      </c>
      <c r="Z117" s="31" cm="1">
        <f t="array" ref="Z117">Z$106+IF($C117&lt;&gt;0,SUMPRODUCT((Z$107:Z$108)*TRANSPOSE(($D117:$E117))),0)</f>
        <v>-99258.243521526863</v>
      </c>
      <c r="AA117" s="31" cm="1">
        <f t="array" ref="AA117">AA$106+IF($C117&lt;&gt;0,SUMPRODUCT((AA$107:AA$108)*TRANSPOSE(($D117:$E117))),0)</f>
        <v>-130292.16265568128</v>
      </c>
      <c r="AB117" s="31" cm="1">
        <f t="array" ref="AB117">AB$106+IF($C117&lt;&gt;0,SUMPRODUCT((AB$107:AB$108)*TRANSPOSE(($D117:$E117))),0)</f>
        <v>-161326.08178983477</v>
      </c>
      <c r="AC117" s="31" cm="1">
        <f t="array" ref="AC117">AC$106+IF($C117&lt;&gt;0,SUMPRODUCT((AC$107:AC$108)*TRANSPOSE(($D117:$E117))),0)</f>
        <v>-192360.00092398876</v>
      </c>
      <c r="AD117" s="31" cm="1">
        <f t="array" ref="AD117">AD$106+IF($C117&lt;&gt;0,SUMPRODUCT((AD$107:AD$108)*TRANSPOSE(($D117:$E117))),0)</f>
        <v>-223393.92005814318</v>
      </c>
      <c r="AE117" s="31" cm="1">
        <f t="array" ref="AE117">AE$106+IF($C117&lt;&gt;0,SUMPRODUCT((AE$107:AE$108)*TRANSPOSE(($D117:$E117))),0)</f>
        <v>-254423.77898885062</v>
      </c>
      <c r="AF117" s="31" cm="1">
        <f t="array" ref="AF117">AF$106+IF($C117&lt;&gt;0,SUMPRODUCT((AF$107:AF$108)*TRANSPOSE(($D117:$E117))),0)</f>
        <v>-285457.69812300365</v>
      </c>
      <c r="AG117" s="31" cm="1">
        <f t="array" ref="AG117">AG$106+IF($C117&lt;&gt;0,SUMPRODUCT((AG$107:AG$108)*TRANSPOSE(($D117:$E117))),0)</f>
        <v>124911.21002809408</v>
      </c>
    </row>
  </sheetData>
  <conditionalFormatting sqref="E14:E16">
    <cfRule type="expression" dxfId="7" priority="1">
      <formula>AND(SUM($I14:$AB14)&lt;&gt;0, E14=0)</formula>
    </cfRule>
  </conditionalFormatting>
  <conditionalFormatting sqref="E28">
    <cfRule type="expression" dxfId="6" priority="4">
      <formula>AND(SUM($I$27:$AG$27)&gt;0, $E$28=0)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13" id="{1712F874-B643-4BE5-934F-196C6E7538A2}">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8DE2-E846-427B-B371-240E3FF764AB}">
  <sheetPr codeName="Sheet6">
    <tabColor rgb="FF0099FF"/>
  </sheetPr>
  <dimension ref="A1:XER117"/>
  <sheetViews>
    <sheetView showGridLines="0" zoomScale="90" zoomScaleNormal="90" workbookViewId="0">
      <pane xSplit="7" ySplit="10" topLeftCell="H11" activePane="bottomRight" state="frozen"/>
      <selection activeCell="J28" sqref="J28"/>
      <selection pane="topRight" activeCell="J28" sqref="J28"/>
      <selection pane="bottomLeft" activeCell="J28" sqref="J28"/>
      <selection pane="bottomRight" activeCell="H11" sqref="H11"/>
    </sheetView>
  </sheetViews>
  <sheetFormatPr defaultColWidth="8" defaultRowHeight="13" outlineLevelRow="1" x14ac:dyDescent="0.3"/>
  <cols>
    <col min="1" max="1" width="5.4609375" style="1" customWidth="1"/>
    <col min="2" max="2" width="4.15234375" style="1" customWidth="1"/>
    <col min="3" max="3" width="35.613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5" x14ac:dyDescent="0.45">
      <c r="A2" s="56" t="str">
        <f>proj</f>
        <v>BAN003-WND024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5" x14ac:dyDescent="0.35">
      <c r="A3" s="203" t="s">
        <v>135</v>
      </c>
      <c r="B3" s="5"/>
      <c r="C3" s="200" t="str">
        <f>INDEX(Assumptions!$E$14:$E$18, MATCH(A3,_xlfn.ANCHORARRAY( Assumptions!$C$14),0))</f>
        <v>Install BAN003 to WND024 tie line</v>
      </c>
    </row>
    <row r="4" spans="1:43" x14ac:dyDescent="0.3">
      <c r="A4" s="201" t="str">
        <f>(INDEX(Data!$D$9:$D$13, MATCH(A3, options,0)))</f>
        <v/>
      </c>
      <c r="B4" s="187"/>
      <c r="C4" s="238" t="str">
        <f>IF(INDEX(Misc_calcs!$D$49:$D$67, MATCH(A3, Misc_calcs!$B$49:$B$67,0)), Misc_calcs!$B$70, "")</f>
        <v/>
      </c>
    </row>
    <row r="5" spans="1:43" hidden="1" outlineLevel="1" x14ac:dyDescent="0.3">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3">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3">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3">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4.5" x14ac:dyDescent="0.3">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3">
      <c r="C10" s="3"/>
      <c r="D10" s="3"/>
      <c r="H10"/>
      <c r="I10"/>
      <c r="J10"/>
      <c r="K10"/>
      <c r="L10"/>
      <c r="M10"/>
      <c r="N10"/>
      <c r="O10"/>
      <c r="P10"/>
      <c r="Q10"/>
      <c r="R10"/>
      <c r="S10"/>
      <c r="T10"/>
      <c r="U10"/>
      <c r="V10"/>
      <c r="W10"/>
      <c r="X10"/>
      <c r="Y10"/>
      <c r="Z10"/>
      <c r="AA10"/>
      <c r="AB10"/>
      <c r="AC10"/>
      <c r="AD10"/>
      <c r="AE10"/>
      <c r="AF10"/>
      <c r="AG10"/>
    </row>
    <row r="11" spans="1:43" ht="14.5" x14ac:dyDescent="0.3">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c r="AI11"/>
      <c r="AJ11"/>
      <c r="AK11"/>
      <c r="AL11"/>
      <c r="AM11"/>
    </row>
    <row r="12" spans="1:43" ht="13.5" x14ac:dyDescent="0.3">
      <c r="A12" s="3"/>
      <c r="B12" s="3"/>
      <c r="C12" s="3"/>
      <c r="D12" s="3"/>
      <c r="G12" s="205"/>
      <c r="AH12"/>
      <c r="AI12"/>
      <c r="AJ12"/>
      <c r="AK12"/>
      <c r="AL12"/>
      <c r="AM12"/>
    </row>
    <row r="13" spans="1:43" ht="13.5" x14ac:dyDescent="0.3">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3.5" x14ac:dyDescent="0.3">
      <c r="C14" s="57" t="s">
        <v>59</v>
      </c>
      <c r="D14"/>
      <c r="E14" s="148">
        <v>50</v>
      </c>
      <c r="G14" s="207">
        <f>input_dollars</f>
        <v>45291</v>
      </c>
      <c r="H14" s="149"/>
      <c r="I14" s="32">
        <f>Workings_costs!E40</f>
        <v>500000</v>
      </c>
      <c r="J14" s="32">
        <f>Workings_costs!F40</f>
        <v>2665000</v>
      </c>
      <c r="K14" s="32">
        <f>Workings_costs!G40</f>
        <v>0</v>
      </c>
      <c r="L14" s="32">
        <f>Workings_costs!H40</f>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ht="13.5" x14ac:dyDescent="0.3">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ht="13.5" x14ac:dyDescent="0.3">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ht="13.5" x14ac:dyDescent="0.3">
      <c r="C17" s="1" t="s">
        <v>30</v>
      </c>
      <c r="G17" s="207">
        <f>input_dollars</f>
        <v>45291</v>
      </c>
      <c r="H17" s="107"/>
      <c r="I17" s="106">
        <f t="shared" ref="I17:Q17" si="0">SUM(I14:I16)</f>
        <v>500000</v>
      </c>
      <c r="J17" s="106">
        <f t="shared" si="0"/>
        <v>2665000</v>
      </c>
      <c r="K17" s="106">
        <f t="shared" si="0"/>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c r="AL17"/>
      <c r="AM17"/>
    </row>
    <row r="18" spans="1:43" ht="13.5" x14ac:dyDescent="0.3">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3.5" x14ac:dyDescent="0.3">
      <c r="C19" s="1" t="s">
        <v>31</v>
      </c>
      <c r="D19"/>
      <c r="E19"/>
      <c r="F19" s="107"/>
      <c r="G19" s="207">
        <f>input_dollars</f>
        <v>45291</v>
      </c>
      <c r="H19" s="107"/>
      <c r="I19" s="32">
        <v>0</v>
      </c>
      <c r="J19" s="32">
        <v>0</v>
      </c>
      <c r="K19" s="32">
        <v>0</v>
      </c>
      <c r="L19" s="32">
        <v>0</v>
      </c>
      <c r="M19" s="32">
        <v>0</v>
      </c>
      <c r="N19" s="32">
        <v>0</v>
      </c>
      <c r="O19" s="32">
        <v>0</v>
      </c>
      <c r="P19" s="32">
        <v>0</v>
      </c>
      <c r="Q19" s="32">
        <v>0</v>
      </c>
      <c r="R19" s="32">
        <v>0</v>
      </c>
      <c r="S19" s="136">
        <v>0</v>
      </c>
      <c r="T19" s="136">
        <v>0</v>
      </c>
      <c r="U19" s="136">
        <v>0</v>
      </c>
      <c r="V19" s="136">
        <v>0</v>
      </c>
      <c r="W19" s="136">
        <v>0</v>
      </c>
      <c r="X19" s="136">
        <v>0</v>
      </c>
      <c r="Y19" s="136">
        <v>0</v>
      </c>
      <c r="Z19" s="136">
        <v>0</v>
      </c>
      <c r="AA19" s="136">
        <v>0</v>
      </c>
      <c r="AB19" s="136">
        <v>0</v>
      </c>
      <c r="AC19" s="136">
        <v>0</v>
      </c>
      <c r="AD19" s="136">
        <v>0</v>
      </c>
      <c r="AE19" s="136">
        <v>0</v>
      </c>
      <c r="AF19" s="136">
        <v>0</v>
      </c>
      <c r="AG19" s="136">
        <v>0</v>
      </c>
      <c r="AH19"/>
      <c r="AI19"/>
      <c r="AJ19"/>
      <c r="AK19"/>
      <c r="AL19"/>
      <c r="AM19"/>
    </row>
    <row r="20" spans="1:43" ht="13.5" x14ac:dyDescent="0.3">
      <c r="G20" s="205"/>
      <c r="AH20"/>
      <c r="AI20"/>
      <c r="AJ20"/>
      <c r="AK20"/>
      <c r="AL20"/>
      <c r="AM20"/>
    </row>
    <row r="21" spans="1:43" ht="13.5" x14ac:dyDescent="0.3">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4.5" x14ac:dyDescent="0.3">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3">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3">
      <c r="A24" s="111"/>
      <c r="B24" s="111"/>
      <c r="C24" s="1" t="s">
        <v>157</v>
      </c>
      <c r="D24" s="111"/>
      <c r="E24" s="111"/>
      <c r="F24" s="111"/>
      <c r="G24" s="208"/>
      <c r="H24" s="111"/>
      <c r="I24" s="168">
        <v>0</v>
      </c>
      <c r="J24" s="168">
        <v>0</v>
      </c>
      <c r="K24" s="168">
        <v>0</v>
      </c>
      <c r="L24" s="168">
        <v>0</v>
      </c>
      <c r="M24" s="168">
        <v>0</v>
      </c>
      <c r="N24" s="168">
        <v>0</v>
      </c>
      <c r="O24" s="168">
        <v>0</v>
      </c>
      <c r="P24" s="168">
        <v>0</v>
      </c>
      <c r="Q24" s="168">
        <v>0</v>
      </c>
      <c r="R24" s="168">
        <v>0</v>
      </c>
      <c r="S24" s="168">
        <v>0</v>
      </c>
      <c r="T24" s="168">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3">
      <c r="A25" s="111"/>
      <c r="B25" s="111"/>
      <c r="C25" s="1" t="s">
        <v>158</v>
      </c>
      <c r="D25" s="208"/>
      <c r="E25" s="111"/>
      <c r="F25" s="111"/>
      <c r="G25" s="208"/>
      <c r="H25" s="111"/>
      <c r="I25" s="169">
        <v>0</v>
      </c>
      <c r="J25" s="169">
        <v>0</v>
      </c>
      <c r="K25" s="169">
        <v>0</v>
      </c>
      <c r="L25" s="169">
        <v>0</v>
      </c>
      <c r="M25" s="169">
        <v>0</v>
      </c>
      <c r="N25" s="168">
        <v>0</v>
      </c>
      <c r="O25" s="168">
        <v>0</v>
      </c>
      <c r="P25" s="168">
        <v>0</v>
      </c>
      <c r="Q25" s="168">
        <v>0</v>
      </c>
      <c r="R25" s="168">
        <v>0</v>
      </c>
      <c r="S25" s="168">
        <v>0</v>
      </c>
      <c r="T25" s="168">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3">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3.5" x14ac:dyDescent="0.3">
      <c r="C27" s="1" t="s">
        <v>124</v>
      </c>
      <c r="D27" s="205"/>
      <c r="E27"/>
      <c r="G27" s="207" t="s">
        <v>40</v>
      </c>
      <c r="H27"/>
      <c r="I27" s="168">
        <f>(Workings_risks!$M$23-(SUM($H14:H14)&gt;0)*(Workings_benefits!$I$96))*Workings_risks!I$50</f>
        <v>79.101563657236937</v>
      </c>
      <c r="J27" s="168">
        <f>(Workings_risks!$M$23-(SUM($H14:I14)&gt;0)*(Workings_benefits!$I$96))*Workings_risks!J$50</f>
        <v>61.568198959149761</v>
      </c>
      <c r="K27" s="168">
        <f>(Workings_risks!$M$23-(SUM($H14:J14)&gt;0)*(Workings_benefits!$I$96))*Workings_risks!K$50</f>
        <v>63.039138021446085</v>
      </c>
      <c r="L27" s="168">
        <f>(Workings_risks!$M$23-(SUM($H14:K14)&gt;0)*(Workings_benefits!$I$96))*Workings_risks!L$50</f>
        <v>64.510127144709841</v>
      </c>
      <c r="M27" s="168">
        <f>(Workings_risks!$M$23-(SUM($H14:L14)&gt;0)*(Workings_benefits!$I$96))*Workings_risks!M$50</f>
        <v>65.981102986492431</v>
      </c>
      <c r="N27" s="168">
        <f>(Workings_risks!$M$23-(SUM($H14:M14)&gt;0)*(Workings_benefits!$I$96))*Workings_risks!N$50</f>
        <v>65.521423050959669</v>
      </c>
      <c r="O27" s="168">
        <f>(Workings_risks!$M$23-(SUM($H14:N14)&gt;0)*(Workings_benefits!$I$96))*Workings_risks!O$50</f>
        <v>65.061769377903218</v>
      </c>
      <c r="P27" s="168">
        <f>(Workings_risks!$M$23-(SUM($H14:O14)&gt;0)*(Workings_benefits!$I$96))*Workings_risks!P$50</f>
        <v>64.602085896635671</v>
      </c>
      <c r="Q27" s="168">
        <f>(Workings_risks!$M$23-(SUM($H14:P14)&gt;0)*(Workings_benefits!$I$96))*Workings_risks!Q$50</f>
        <v>64.14240241536811</v>
      </c>
      <c r="R27" s="168">
        <f>(Workings_risks!$M$23-(SUM($H14:Q14)&gt;0)*(Workings_benefits!$I$96))*Workings_risks!R$50</f>
        <v>63.682718934100578</v>
      </c>
      <c r="S27" s="168">
        <f>(Workings_risks!$M$23-(SUM($H14:R14)&gt;0)*(Workings_benefits!$I$96))*Workings_risks!S$50</f>
        <v>63.223035452833024</v>
      </c>
      <c r="T27" s="168">
        <f>(Workings_risks!$M$23-(SUM($H14:S14)&gt;0)*(Workings_benefits!$I$96))*Workings_risks!T$50</f>
        <v>62.763351971565477</v>
      </c>
      <c r="U27" s="168">
        <f>(Workings_risks!$M$23-(SUM($H14:T14)&gt;0)*(Workings_benefits!$I$96))*Workings_risks!U$50</f>
        <v>62.303668490297923</v>
      </c>
      <c r="V27" s="168">
        <f>(Workings_risks!$M$23-(SUM($H14:U14)&gt;0)*(Workings_benefits!$I$96))*Workings_risks!V$50</f>
        <v>61.843985009030369</v>
      </c>
      <c r="W27" s="168">
        <f>(Workings_risks!$M$23-(SUM($H14:V14)&gt;0)*(Workings_benefits!$I$96))*Workings_risks!W$50</f>
        <v>61.384301527762823</v>
      </c>
      <c r="X27" s="168">
        <f>(Workings_risks!$M$23-(SUM($H14:W14)&gt;0)*(Workings_benefits!$I$96))*Workings_risks!X$50</f>
        <v>60.924618046495269</v>
      </c>
      <c r="Y27" s="168">
        <f>(Workings_risks!$M$23-(SUM($H14:X14)&gt;0)*(Workings_benefits!$I$96))*Workings_risks!Y$50</f>
        <v>60.464934565227715</v>
      </c>
      <c r="Z27" s="168">
        <f>(Workings_risks!$M$23-(SUM($H14:Y14)&gt;0)*(Workings_benefits!$I$96))*Workings_risks!Z$50</f>
        <v>60.005251083960168</v>
      </c>
      <c r="AA27" s="168">
        <f>(Workings_risks!$M$23-(SUM($H14:Z14)&gt;0)*(Workings_benefits!$I$96))*Workings_risks!AA$50</f>
        <v>59.545567602692614</v>
      </c>
      <c r="AB27" s="168">
        <f>(Workings_risks!$M$23-(SUM($H14:AA14)&gt;0)*(Workings_benefits!$I$96))*Workings_risks!AB$50</f>
        <v>59.085884121425067</v>
      </c>
      <c r="AC27" s="168">
        <f>(Workings_risks!$M$23-(SUM($H14:AB14)&gt;0)*(Workings_benefits!$I$96))*Workings_risks!AC$50</f>
        <v>58.626200640157514</v>
      </c>
      <c r="AD27" s="168">
        <f>(Workings_risks!$M$23-(SUM($H14:AC14)&gt;0)*(Workings_benefits!$I$96))*Workings_risks!AD$50</f>
        <v>58.166517158889967</v>
      </c>
      <c r="AE27" s="168">
        <f>(Workings_risks!$M$23-(SUM($H14:AD14)&gt;0)*(Workings_benefits!$I$96))*Workings_risks!AE$50</f>
        <v>57.706893774822213</v>
      </c>
      <c r="AF27" s="168">
        <f>(Workings_risks!$M$23-(SUM($H14:AE14)&gt;0)*(Workings_benefits!$I$96))*Workings_risks!AF$50</f>
        <v>57.247210293554666</v>
      </c>
      <c r="AG27" s="168">
        <f>(Workings_risks!$M$23-(SUM($H14:AF14)&gt;0)*(Workings_benefits!$I$96))*Workings_risks!AG$50</f>
        <v>56.787526812287112</v>
      </c>
      <c r="AH27"/>
      <c r="AI27"/>
      <c r="AJ27"/>
      <c r="AK27"/>
      <c r="AL27"/>
      <c r="AM27"/>
      <c r="AN27"/>
      <c r="AO27"/>
      <c r="AP27"/>
      <c r="AQ27"/>
    </row>
    <row r="28" spans="1:43" ht="13.5" x14ac:dyDescent="0.3">
      <c r="C28" s="1" t="s">
        <v>125</v>
      </c>
      <c r="D28" s="205" t="s">
        <v>64</v>
      </c>
      <c r="E28" s="112">
        <f>Assumptions!G43*vcr_esc</f>
        <v>44753.327047371298</v>
      </c>
      <c r="F28" s="238" t="str">
        <f>IF(AND(SUM(I27:AG27)&lt;&gt;0, E28=0), "!", "")</f>
        <v/>
      </c>
      <c r="G28" s="207">
        <f>input_dollars</f>
        <v>45291</v>
      </c>
      <c r="H28"/>
      <c r="I28" s="297">
        <f>I27*$E$28</f>
        <v>3540058.1483107843</v>
      </c>
      <c r="J28" s="297">
        <f t="shared" ref="J28:AG28" si="2">J27*$E$28</f>
        <v>2755381.7437364543</v>
      </c>
      <c r="K28" s="297">
        <f t="shared" si="2"/>
        <v>2821211.1606581556</v>
      </c>
      <c r="L28" s="297">
        <f t="shared" si="2"/>
        <v>2887042.8179747043</v>
      </c>
      <c r="M28" s="297">
        <f t="shared" si="2"/>
        <v>2952873.880900783</v>
      </c>
      <c r="N28" s="297">
        <f t="shared" si="2"/>
        <v>2932301.6744087706</v>
      </c>
      <c r="O28" s="297">
        <f t="shared" si="2"/>
        <v>2911730.6432499499</v>
      </c>
      <c r="P28" s="297">
        <f t="shared" si="2"/>
        <v>2891158.278074509</v>
      </c>
      <c r="Q28" s="297">
        <f t="shared" si="2"/>
        <v>2870585.9128990676</v>
      </c>
      <c r="R28" s="297">
        <f t="shared" si="2"/>
        <v>2850013.5477236276</v>
      </c>
      <c r="S28" s="297">
        <f t="shared" si="2"/>
        <v>2829441.1825481867</v>
      </c>
      <c r="T28" s="297">
        <f t="shared" si="2"/>
        <v>2808868.8173727458</v>
      </c>
      <c r="U28" s="297">
        <f t="shared" si="2"/>
        <v>2788296.4521973049</v>
      </c>
      <c r="V28" s="297">
        <f t="shared" si="2"/>
        <v>2767724.087021864</v>
      </c>
      <c r="W28" s="297">
        <f t="shared" si="2"/>
        <v>2747151.7218464231</v>
      </c>
      <c r="X28" s="297">
        <f t="shared" si="2"/>
        <v>2726579.3566709822</v>
      </c>
      <c r="Y28" s="297">
        <f t="shared" si="2"/>
        <v>2706006.9914955413</v>
      </c>
      <c r="Z28" s="297">
        <f t="shared" si="2"/>
        <v>2685434.6263201004</v>
      </c>
      <c r="AA28" s="297">
        <f t="shared" si="2"/>
        <v>2664862.2611446595</v>
      </c>
      <c r="AB28" s="297">
        <f t="shared" si="2"/>
        <v>2644289.8959692186</v>
      </c>
      <c r="AC28" s="297">
        <f t="shared" si="2"/>
        <v>2623717.5307937777</v>
      </c>
      <c r="AD28" s="297">
        <f t="shared" si="2"/>
        <v>2603145.1656183372</v>
      </c>
      <c r="AE28" s="297">
        <f t="shared" si="2"/>
        <v>2582575.4899925333</v>
      </c>
      <c r="AF28" s="297">
        <f t="shared" si="2"/>
        <v>2562003.1248170924</v>
      </c>
      <c r="AG28" s="297">
        <f t="shared" si="2"/>
        <v>2541430.7596416515</v>
      </c>
      <c r="AH28"/>
      <c r="AI28"/>
      <c r="AJ28"/>
      <c r="AK28"/>
      <c r="AL28"/>
      <c r="AM28"/>
      <c r="AN28"/>
      <c r="AO28"/>
      <c r="AP28"/>
      <c r="AQ28"/>
    </row>
    <row r="29" spans="1:43" ht="13.5" x14ac:dyDescent="0.3">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3.5" x14ac:dyDescent="0.3">
      <c r="C30" s="1" t="s">
        <v>115</v>
      </c>
      <c r="D30" s="205" t="s">
        <v>212</v>
      </c>
      <c r="G30" s="207">
        <f>input_dollars</f>
        <v>45291</v>
      </c>
      <c r="H30" s="149"/>
      <c r="I30" s="170" cm="1">
        <f t="array" ref="I30">SUMPRODUCT((Assumptions!$H$83:$H$84)*(Assumptions!$G$83:$G$84)*(Assumptions!$I$83:$I$84)*(I$24:I$25))</f>
        <v>0</v>
      </c>
      <c r="J30" s="170" cm="1">
        <f t="array" ref="J30">SUMPRODUCT((Assumptions!$H$83:$H$84)*(Assumptions!$G$83:$G$84)*(Assumptions!$I$83:$I$84)*(J$24:J$25))</f>
        <v>0</v>
      </c>
      <c r="K30" s="170" cm="1">
        <f t="array" ref="K30">SUMPRODUCT((Assumptions!$H$83:$H$84)*(Assumptions!$G$83:$G$84)*(Assumptions!$I$83:$I$84)*(K$24:K$25))</f>
        <v>0</v>
      </c>
      <c r="L30" s="170" cm="1">
        <f t="array" ref="L30">SUMPRODUCT((Assumptions!$H$83:$H$84)*(Assumptions!$G$83:$G$84)*(Assumptions!$I$83:$I$84)*(L$24:L$25))</f>
        <v>0</v>
      </c>
      <c r="M30" s="170" cm="1">
        <f t="array" ref="M30">SUMPRODUCT((Assumptions!$H$83:$H$84)*(Assumptions!$G$83:$G$84)*(Assumptions!$I$83:$I$84)*(M$24:M$25))</f>
        <v>0</v>
      </c>
      <c r="N30" s="170" cm="1">
        <f t="array" ref="N30">SUMPRODUCT((Assumptions!$H$83:$H$84)*(Assumptions!$G$83:$G$84)*(Assumptions!$I$83:$I$84)*(N$24:N$25))</f>
        <v>0</v>
      </c>
      <c r="O30" s="170" cm="1">
        <f t="array" ref="O30">SUMPRODUCT((Assumptions!$H$83:$H$84)*(Assumptions!$G$83:$G$84)*(Assumptions!$I$83:$I$84)*(O$24:O$25))</f>
        <v>0</v>
      </c>
      <c r="P30" s="170" cm="1">
        <f t="array" ref="P30">SUMPRODUCT((Assumptions!$H$83:$H$84)*(Assumptions!$G$83:$G$84)*(Assumptions!$I$83:$I$84)*(P$24:P$25))</f>
        <v>0</v>
      </c>
      <c r="Q30" s="170" cm="1">
        <f t="array" ref="Q30">SUMPRODUCT((Assumptions!$H$83:$H$84)*(Assumptions!$G$83:$G$84)*(Assumptions!$I$83:$I$84)*(Q$24:Q$25))</f>
        <v>0</v>
      </c>
      <c r="R30" s="170" cm="1">
        <f t="array" ref="R30">SUMPRODUCT((Assumptions!$H$83:$H$84)*(Assumptions!$G$83:$G$84)*(Assumptions!$I$83:$I$84)*(R$24:R$25))</f>
        <v>0</v>
      </c>
      <c r="S30" s="170" cm="1">
        <f t="array" ref="S30">SUMPRODUCT((Assumptions!$H$83:$H$84)*(Assumptions!$G$83:$G$84)*(Assumptions!$I$83:$I$84)*(S$24:S$25))</f>
        <v>0</v>
      </c>
      <c r="T30" s="170" cm="1">
        <f t="array" ref="T30">SUMPRODUCT((Assumptions!$H$83:$H$84)*(Assumptions!$G$83:$G$84)*(Assumptions!$I$83:$I$84)*(T$24:T$25))</f>
        <v>0</v>
      </c>
      <c r="U30" s="170" cm="1">
        <f t="array" ref="U30">SUMPRODUCT((Assumptions!$H$83:$H$84)*(Assumptions!$G$83:$G$84)*(Assumptions!$I$83:$I$84)*(U$24:U$25))</f>
        <v>0</v>
      </c>
      <c r="V30" s="170" cm="1">
        <f t="array" ref="V30">SUMPRODUCT((Assumptions!$H$83:$H$84)*(Assumptions!$G$83:$G$84)*(Assumptions!$I$83:$I$84)*(V$24:V$25))</f>
        <v>0</v>
      </c>
      <c r="W30" s="170" cm="1">
        <f t="array" ref="W30">SUMPRODUCT((Assumptions!$H$83:$H$84)*(Assumptions!$G$83:$G$84)*(Assumptions!$I$83:$I$84)*(W$24:W$25))</f>
        <v>0</v>
      </c>
      <c r="X30" s="170" cm="1">
        <f t="array" ref="X30">SUMPRODUCT((Assumptions!$H$83:$H$84)*(Assumptions!$G$83:$G$84)*(Assumptions!$I$83:$I$84)*(X$24:X$25))</f>
        <v>0</v>
      </c>
      <c r="Y30" s="170" cm="1">
        <f t="array" ref="Y30">SUMPRODUCT((Assumptions!$H$83:$H$84)*(Assumptions!$G$83:$G$84)*(Assumptions!$I$83:$I$84)*(Y$24:Y$25))</f>
        <v>0</v>
      </c>
      <c r="Z30" s="170" cm="1">
        <f t="array" ref="Z30">SUMPRODUCT((Assumptions!$H$83:$H$84)*(Assumptions!$G$83:$G$84)*(Assumptions!$I$83:$I$84)*(Z$24:Z$25))</f>
        <v>0</v>
      </c>
      <c r="AA30" s="170" cm="1">
        <f t="array" ref="AA30">SUMPRODUCT((Assumptions!$H$83:$H$84)*(Assumptions!$G$83:$G$84)*(Assumptions!$I$83:$I$84)*(AA$24:AA$25))</f>
        <v>0</v>
      </c>
      <c r="AB30" s="170" cm="1">
        <f t="array" ref="AB30">SUMPRODUCT((Assumptions!$H$83:$H$84)*(Assumptions!$G$83:$G$84)*(Assumptions!$I$83:$I$84)*(AB$24:AB$25))</f>
        <v>0</v>
      </c>
      <c r="AC30" s="170" cm="1">
        <f t="array" ref="AC30">SUMPRODUCT((Assumptions!$H$83:$H$84)*(Assumptions!$G$83:$G$84)*(Assumptions!$I$83:$I$84)*(AC$24:AC$25))</f>
        <v>0</v>
      </c>
      <c r="AD30" s="170" cm="1">
        <f t="array" ref="AD30">SUMPRODUCT((Assumptions!$H$83:$H$84)*(Assumptions!$G$83:$G$84)*(Assumptions!$I$83:$I$84)*(AD$24:AD$25))</f>
        <v>0</v>
      </c>
      <c r="AE30" s="170" cm="1">
        <f t="array" ref="AE30">SUMPRODUCT((Assumptions!$H$83:$H$84)*(Assumptions!$G$83:$G$84)*(Assumptions!$I$83:$I$84)*(AE$24:AE$25))</f>
        <v>0</v>
      </c>
      <c r="AF30" s="170" cm="1">
        <f t="array" ref="AF30">SUMPRODUCT((Assumptions!$H$83:$H$84)*(Assumptions!$G$83:$G$84)*(Assumptions!$I$83:$I$84)*(AF$24:AF$25))</f>
        <v>0</v>
      </c>
      <c r="AG30" s="170" cm="1">
        <f t="array" ref="AG30">SUMPRODUCT((Assumptions!$H$83:$H$84)*(Assumptions!$G$83:$G$84)*(Assumptions!$I$83:$I$84)*(AG$24:AG$25))</f>
        <v>0</v>
      </c>
      <c r="AH30"/>
      <c r="AI30"/>
      <c r="AJ30"/>
      <c r="AK30"/>
      <c r="AL30"/>
      <c r="AM30"/>
      <c r="AN30"/>
      <c r="AO30"/>
      <c r="AP30"/>
      <c r="AQ30"/>
    </row>
    <row r="31" spans="1:43" ht="13.5" x14ac:dyDescent="0.3">
      <c r="C31" s="1" t="s">
        <v>117</v>
      </c>
      <c r="D31" s="206"/>
      <c r="E31"/>
      <c r="G31" s="207">
        <f>input_dollars</f>
        <v>45291</v>
      </c>
      <c r="H31" s="149"/>
      <c r="I31" s="170" cm="1">
        <f t="array" ref="I31">(1+Assumptions!$G$94)*SUMPRODUCT((Assumptions!$G$91:$G$92)*(I$24:I$25))</f>
        <v>0</v>
      </c>
      <c r="J31" s="170" cm="1">
        <f t="array" ref="J31">(1+Assumptions!$G$94)*SUMPRODUCT((Assumptions!$G$91:$G$92)*(J$24:J$25))</f>
        <v>0</v>
      </c>
      <c r="K31" s="170" cm="1">
        <f t="array" ref="K31">(1+Assumptions!$G$94)*SUMPRODUCT((Assumptions!$G$91:$G$92)*(K$24:K$25))</f>
        <v>0</v>
      </c>
      <c r="L31" s="170" cm="1">
        <f t="array" ref="L31">(1+Assumptions!$G$94)*SUMPRODUCT((Assumptions!$G$91:$G$92)*(L$24:L$25))</f>
        <v>0</v>
      </c>
      <c r="M31" s="170" cm="1">
        <f t="array" ref="M31">(1+Assumptions!$G$94)*SUMPRODUCT((Assumptions!$G$91:$G$92)*(M$24:M$25))</f>
        <v>0</v>
      </c>
      <c r="N31" s="170" cm="1">
        <f t="array" ref="N31">(1+Assumptions!$G$94)*SUMPRODUCT((Assumptions!$G$91:$G$92)*(N$24:N$25))</f>
        <v>0</v>
      </c>
      <c r="O31" s="170" cm="1">
        <f t="array" ref="O31">(1+Assumptions!$G$94)*SUMPRODUCT((Assumptions!$G$91:$G$92)*(O$24:O$25))</f>
        <v>0</v>
      </c>
      <c r="P31" s="170" cm="1">
        <f t="array" ref="P31">(1+Assumptions!$G$94)*SUMPRODUCT((Assumptions!$G$91:$G$92)*(P$24:P$25))</f>
        <v>0</v>
      </c>
      <c r="Q31" s="170" cm="1">
        <f t="array" ref="Q31">(1+Assumptions!$G$94)*SUMPRODUCT((Assumptions!$G$91:$G$92)*(Q$24:Q$25))</f>
        <v>0</v>
      </c>
      <c r="R31" s="170" cm="1">
        <f t="array" ref="R31">(1+Assumptions!$G$94)*SUMPRODUCT((Assumptions!$G$91:$G$92)*(R$24:R$25))</f>
        <v>0</v>
      </c>
      <c r="S31" s="170" cm="1">
        <f t="array" ref="S31">(1+Assumptions!$G$94)*SUMPRODUCT((Assumptions!$G$91:$G$92)*(S$24:S$25))</f>
        <v>0</v>
      </c>
      <c r="T31" s="170" cm="1">
        <f t="array" ref="T31">(1+Assumptions!$G$94)*SUMPRODUCT((Assumptions!$G$91:$G$92)*(T$24:T$25))</f>
        <v>0</v>
      </c>
      <c r="U31" s="170" cm="1">
        <f t="array" ref="U31">(1+Assumptions!$G$94)*SUMPRODUCT((Assumptions!$G$91:$G$92)*(U$24:U$25))</f>
        <v>0</v>
      </c>
      <c r="V31" s="170" cm="1">
        <f t="array" ref="V31">(1+Assumptions!$G$94)*SUMPRODUCT((Assumptions!$G$91:$G$92)*(V$24:V$25))</f>
        <v>0</v>
      </c>
      <c r="W31" s="170" cm="1">
        <f t="array" ref="W31">(1+Assumptions!$G$94)*SUMPRODUCT((Assumptions!$G$91:$G$92)*(W$24:W$25))</f>
        <v>0</v>
      </c>
      <c r="X31" s="170" cm="1">
        <f t="array" ref="X31">(1+Assumptions!$G$94)*SUMPRODUCT((Assumptions!$G$91:$G$92)*(X$24:X$25))</f>
        <v>0</v>
      </c>
      <c r="Y31" s="170" cm="1">
        <f t="array" ref="Y31">(1+Assumptions!$G$94)*SUMPRODUCT((Assumptions!$G$91:$G$92)*(Y$24:Y$25))</f>
        <v>0</v>
      </c>
      <c r="Z31" s="170" cm="1">
        <f t="array" ref="Z31">(1+Assumptions!$G$94)*SUMPRODUCT((Assumptions!$G$91:$G$92)*(Z$24:Z$25))</f>
        <v>0</v>
      </c>
      <c r="AA31" s="170" cm="1">
        <f t="array" ref="AA31">(1+Assumptions!$G$94)*SUMPRODUCT((Assumptions!$G$91:$G$92)*(AA$24:AA$25))</f>
        <v>0</v>
      </c>
      <c r="AB31" s="170" cm="1">
        <f t="array" ref="AB31">(1+Assumptions!$G$94)*SUMPRODUCT((Assumptions!$G$91:$G$92)*(AB$24:AB$25))</f>
        <v>0</v>
      </c>
      <c r="AC31" s="170" cm="1">
        <f t="array" ref="AC31">(1+Assumptions!$G$94)*SUMPRODUCT((Assumptions!$G$91:$G$92)*(AC$24:AC$25))</f>
        <v>0</v>
      </c>
      <c r="AD31" s="170" cm="1">
        <f t="array" ref="AD31">(1+Assumptions!$G$94)*SUMPRODUCT((Assumptions!$G$91:$G$92)*(AD$24:AD$25))</f>
        <v>0</v>
      </c>
      <c r="AE31" s="170" cm="1">
        <f t="array" ref="AE31">(1+Assumptions!$G$94)*SUMPRODUCT((Assumptions!$G$91:$G$92)*(AE$24:AE$25))</f>
        <v>0</v>
      </c>
      <c r="AF31" s="170" cm="1">
        <f t="array" ref="AF31">(1+Assumptions!$G$94)*SUMPRODUCT((Assumptions!$G$91:$G$92)*(AF$24:AF$25))</f>
        <v>0</v>
      </c>
      <c r="AG31" s="170" cm="1">
        <f t="array" ref="AG31">(1+Assumptions!$G$94)*SUMPRODUCT((Assumptions!$G$91:$G$92)*(AG$24:AG$25))</f>
        <v>0</v>
      </c>
      <c r="AH31"/>
      <c r="AI31"/>
      <c r="AJ31"/>
      <c r="AK31"/>
      <c r="AL31"/>
      <c r="AM31"/>
      <c r="AN31"/>
      <c r="AO31"/>
      <c r="AP31"/>
      <c r="AQ31"/>
    </row>
    <row r="32" spans="1:43" ht="13.5" x14ac:dyDescent="0.3">
      <c r="C32" s="1" t="s">
        <v>116</v>
      </c>
      <c r="D32" s="205" t="s">
        <v>212</v>
      </c>
      <c r="E32"/>
      <c r="G32" s="207">
        <f>input_dollars</f>
        <v>45291</v>
      </c>
      <c r="H32"/>
      <c r="I32" s="32">
        <v>0</v>
      </c>
      <c r="J32" s="32">
        <v>0</v>
      </c>
      <c r="K32" s="32">
        <v>0</v>
      </c>
      <c r="L32" s="32">
        <v>0</v>
      </c>
      <c r="M32" s="32">
        <v>0</v>
      </c>
      <c r="N32" s="32">
        <v>0</v>
      </c>
      <c r="O32" s="32">
        <v>0</v>
      </c>
      <c r="P32" s="32">
        <v>0</v>
      </c>
      <c r="Q32" s="32">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c r="AI32"/>
      <c r="AJ32"/>
      <c r="AK32"/>
      <c r="AL32"/>
      <c r="AM32"/>
      <c r="AN32"/>
      <c r="AO32"/>
      <c r="AP32"/>
      <c r="AQ32"/>
    </row>
    <row r="33" spans="1:16372" ht="13.5" x14ac:dyDescent="0.3">
      <c r="C33" s="284" t="s">
        <v>179</v>
      </c>
      <c r="D33" s="219"/>
      <c r="E33"/>
      <c r="G33" s="207">
        <f>input_dollars</f>
        <v>45291</v>
      </c>
      <c r="H33"/>
      <c r="I33" s="32">
        <v>0</v>
      </c>
      <c r="J33" s="32">
        <v>0</v>
      </c>
      <c r="K33" s="32">
        <v>0</v>
      </c>
      <c r="L33" s="32">
        <v>0</v>
      </c>
      <c r="M33" s="32">
        <v>0</v>
      </c>
      <c r="N33" s="32">
        <v>0</v>
      </c>
      <c r="O33" s="32">
        <v>0</v>
      </c>
      <c r="P33" s="32">
        <v>0</v>
      </c>
      <c r="Q33" s="32">
        <v>0</v>
      </c>
      <c r="R33" s="136">
        <v>0</v>
      </c>
      <c r="S33" s="136">
        <v>0</v>
      </c>
      <c r="T33" s="136">
        <v>0</v>
      </c>
      <c r="U33" s="136">
        <v>0</v>
      </c>
      <c r="V33" s="136">
        <v>0</v>
      </c>
      <c r="W33" s="136">
        <v>0</v>
      </c>
      <c r="X33" s="136">
        <v>0</v>
      </c>
      <c r="Y33" s="136">
        <v>0</v>
      </c>
      <c r="Z33" s="136">
        <v>0</v>
      </c>
      <c r="AA33" s="136">
        <v>0</v>
      </c>
      <c r="AB33" s="136">
        <v>0</v>
      </c>
      <c r="AC33" s="136">
        <v>0</v>
      </c>
      <c r="AD33" s="136">
        <v>0</v>
      </c>
      <c r="AE33" s="136">
        <v>0</v>
      </c>
      <c r="AF33" s="136">
        <v>0</v>
      </c>
      <c r="AG33" s="136">
        <v>0</v>
      </c>
      <c r="AH33"/>
      <c r="AI33"/>
      <c r="AJ33"/>
      <c r="AK33"/>
      <c r="AL33"/>
      <c r="AM33"/>
      <c r="AN33"/>
      <c r="AO33"/>
      <c r="AP33"/>
      <c r="AQ33"/>
    </row>
    <row r="34" spans="1:16372" ht="13.5" x14ac:dyDescent="0.3">
      <c r="C34" s="284" t="s">
        <v>179</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ht="13.5" x14ac:dyDescent="0.3">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ht="13.5" x14ac:dyDescent="0.3">
      <c r="C36" s="3" t="s">
        <v>178</v>
      </c>
      <c r="D36" s="218"/>
      <c r="E36" s="107"/>
      <c r="F36" s="3"/>
      <c r="G36" s="209"/>
      <c r="H36" s="107"/>
      <c r="I36" s="170">
        <f>SUM(I28:I34)</f>
        <v>3540058.1483107843</v>
      </c>
      <c r="J36" s="170">
        <f t="shared" ref="J36:AG36" si="3">SUM(J28:J34)</f>
        <v>2755381.7437364543</v>
      </c>
      <c r="K36" s="170">
        <f t="shared" si="3"/>
        <v>2821211.1606581556</v>
      </c>
      <c r="L36" s="170">
        <f t="shared" si="3"/>
        <v>2887042.8179747043</v>
      </c>
      <c r="M36" s="170">
        <f t="shared" si="3"/>
        <v>2952873.880900783</v>
      </c>
      <c r="N36" s="170">
        <f t="shared" si="3"/>
        <v>2932301.6744087706</v>
      </c>
      <c r="O36" s="170">
        <f t="shared" si="3"/>
        <v>2911730.6432499499</v>
      </c>
      <c r="P36" s="170">
        <f t="shared" si="3"/>
        <v>2891158.278074509</v>
      </c>
      <c r="Q36" s="170">
        <f t="shared" si="3"/>
        <v>2870585.9128990676</v>
      </c>
      <c r="R36" s="170">
        <f t="shared" si="3"/>
        <v>2850013.5477236276</v>
      </c>
      <c r="S36" s="170">
        <f t="shared" si="3"/>
        <v>2829441.1825481867</v>
      </c>
      <c r="T36" s="170">
        <f t="shared" si="3"/>
        <v>2808868.8173727458</v>
      </c>
      <c r="U36" s="170">
        <f t="shared" si="3"/>
        <v>2788296.4521973049</v>
      </c>
      <c r="V36" s="170">
        <f t="shared" si="3"/>
        <v>2767724.087021864</v>
      </c>
      <c r="W36" s="170">
        <f t="shared" si="3"/>
        <v>2747151.7218464231</v>
      </c>
      <c r="X36" s="170">
        <f t="shared" si="3"/>
        <v>2726579.3566709822</v>
      </c>
      <c r="Y36" s="170">
        <f t="shared" si="3"/>
        <v>2706006.9914955413</v>
      </c>
      <c r="Z36" s="170">
        <f t="shared" si="3"/>
        <v>2685434.6263201004</v>
      </c>
      <c r="AA36" s="170">
        <f t="shared" si="3"/>
        <v>2664862.2611446595</v>
      </c>
      <c r="AB36" s="170">
        <f t="shared" si="3"/>
        <v>2644289.8959692186</v>
      </c>
      <c r="AC36" s="170">
        <f t="shared" si="3"/>
        <v>2623717.5307937777</v>
      </c>
      <c r="AD36" s="170">
        <f t="shared" si="3"/>
        <v>2603145.1656183372</v>
      </c>
      <c r="AE36" s="170">
        <f t="shared" si="3"/>
        <v>2582575.4899925333</v>
      </c>
      <c r="AF36" s="170">
        <f t="shared" si="3"/>
        <v>2562003.1248170924</v>
      </c>
      <c r="AG36" s="170">
        <f t="shared" si="3"/>
        <v>2541430.7596416515</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ht="13.5" x14ac:dyDescent="0.3">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4.5" x14ac:dyDescent="0.3">
      <c r="A38" s="89" t="s">
        <v>57</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ht="13.5" x14ac:dyDescent="0.3">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ht="13.5" x14ac:dyDescent="0.3">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35">
      <c r="C41" s="1" t="s">
        <v>60</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row>
    <row r="42" spans="1:16372" ht="13.5" x14ac:dyDescent="0.35">
      <c r="C42" s="1" t="s">
        <v>130</v>
      </c>
      <c r="G42" s="205" t="s">
        <v>105</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row>
    <row r="43" spans="1:16372" ht="13.5" x14ac:dyDescent="0.3">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ht="13.5" x14ac:dyDescent="0.3">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3">
      <c r="C45" s="1" t="s">
        <v>326</v>
      </c>
      <c r="D45" s="205" t="s">
        <v>64</v>
      </c>
      <c r="E45" s="158">
        <f>Assumptions!G106-Assumptions!G43</f>
        <v>22746.672952628702</v>
      </c>
      <c r="G45" s="207" t="s">
        <v>40</v>
      </c>
      <c r="I45" s="32">
        <v>0</v>
      </c>
      <c r="J45" s="503">
        <f>Workings_benefits!$G$96</f>
        <v>13.592685309258879</v>
      </c>
      <c r="K45" s="503">
        <f>Workings_benefits!$G$96</f>
        <v>13.592685309258879</v>
      </c>
      <c r="L45" s="503">
        <f>Workings_benefits!$G$96</f>
        <v>13.592685309258879</v>
      </c>
      <c r="M45" s="503">
        <f>Workings_benefits!$G$96</f>
        <v>13.592685309258879</v>
      </c>
      <c r="N45" s="503">
        <f>Workings_benefits!$G$96</f>
        <v>13.592685309258879</v>
      </c>
      <c r="O45" s="503">
        <f>Workings_benefits!$G$96</f>
        <v>13.592685309258879</v>
      </c>
      <c r="P45" s="503">
        <f>Workings_benefits!$G$96</f>
        <v>13.592685309258879</v>
      </c>
      <c r="Q45" s="503">
        <f>Workings_benefits!$G$96</f>
        <v>13.592685309258879</v>
      </c>
      <c r="R45" s="503">
        <f>Workings_benefits!$G$96</f>
        <v>13.592685309258879</v>
      </c>
      <c r="S45" s="503">
        <f>Workings_benefits!$G$96</f>
        <v>13.592685309258879</v>
      </c>
      <c r="T45" s="503">
        <f>Workings_benefits!$G$96</f>
        <v>13.592685309258879</v>
      </c>
      <c r="U45" s="503">
        <f>Workings_benefits!$G$96</f>
        <v>13.592685309258879</v>
      </c>
      <c r="V45" s="503">
        <f>Workings_benefits!$G$96</f>
        <v>13.592685309258879</v>
      </c>
      <c r="W45" s="503">
        <f>Workings_benefits!$G$96</f>
        <v>13.592685309258879</v>
      </c>
      <c r="X45" s="503">
        <f>Workings_benefits!$G$96</f>
        <v>13.592685309258879</v>
      </c>
      <c r="Y45" s="503">
        <f>Workings_benefits!$G$96</f>
        <v>13.592685309258879</v>
      </c>
      <c r="Z45" s="503">
        <f>Workings_benefits!$G$96</f>
        <v>13.592685309258879</v>
      </c>
      <c r="AA45" s="503">
        <f>Workings_benefits!$G$96</f>
        <v>13.592685309258879</v>
      </c>
      <c r="AB45" s="503">
        <f>Workings_benefits!$G$96</f>
        <v>13.592685309258879</v>
      </c>
      <c r="AC45" s="503">
        <f>Workings_benefits!$G$96</f>
        <v>13.592685309258879</v>
      </c>
      <c r="AD45" s="503">
        <f>Workings_benefits!$G$96</f>
        <v>13.592685309258879</v>
      </c>
      <c r="AE45" s="503">
        <f>Workings_benefits!$G$96</f>
        <v>13.592685309258879</v>
      </c>
      <c r="AF45" s="503">
        <f>Workings_benefits!$G$96</f>
        <v>13.592685309258879</v>
      </c>
      <c r="AG45" s="503">
        <f>Workings_benefits!$G$96</f>
        <v>13.592685309258879</v>
      </c>
    </row>
    <row r="46" spans="1:16372" x14ac:dyDescent="0.3">
      <c r="C46" s="1" t="s">
        <v>327</v>
      </c>
      <c r="D46" s="205" t="s">
        <v>64</v>
      </c>
      <c r="E46" s="158">
        <f>Assumptions!G46</f>
        <v>19880</v>
      </c>
      <c r="G46" s="207" t="s">
        <v>40</v>
      </c>
      <c r="I46" s="32">
        <v>0</v>
      </c>
      <c r="J46" s="503">
        <f>Workings_benefits!$H$96*Assumptions!$H46</f>
        <v>0.89008341461292573</v>
      </c>
      <c r="K46" s="503">
        <f>Workings_benefits!$H$96*Assumptions!$H46</f>
        <v>0.89008341461292573</v>
      </c>
      <c r="L46" s="503">
        <f>Workings_benefits!$H$96*Assumptions!$H46</f>
        <v>0.89008341461292573</v>
      </c>
      <c r="M46" s="503">
        <f>Workings_benefits!$H$96*Assumptions!$H46</f>
        <v>0.89008341461292573</v>
      </c>
      <c r="N46" s="503">
        <f>Workings_benefits!$H$96*Assumptions!$H46</f>
        <v>0.89008341461292573</v>
      </c>
      <c r="O46" s="503">
        <f>Workings_benefits!$H$96*Assumptions!$H46</f>
        <v>0.89008341461292573</v>
      </c>
      <c r="P46" s="503">
        <f>Workings_benefits!$H$96*Assumptions!$H46</f>
        <v>0.89008341461292573</v>
      </c>
      <c r="Q46" s="503">
        <f>Workings_benefits!$H$96*Assumptions!$H46</f>
        <v>0.89008341461292573</v>
      </c>
      <c r="R46" s="503">
        <f>Workings_benefits!$H$96*Assumptions!$H46</f>
        <v>0.89008341461292573</v>
      </c>
      <c r="S46" s="503">
        <f>Workings_benefits!$H$96*Assumptions!$H46</f>
        <v>0.89008341461292573</v>
      </c>
      <c r="T46" s="503">
        <f>Workings_benefits!$H$96*Assumptions!$H46</f>
        <v>0.89008341461292573</v>
      </c>
      <c r="U46" s="503">
        <f>Workings_benefits!$H$96*Assumptions!$H46</f>
        <v>0.89008341461292573</v>
      </c>
      <c r="V46" s="503">
        <f>Workings_benefits!$H$96*Assumptions!$H46</f>
        <v>0.89008341461292573</v>
      </c>
      <c r="W46" s="503">
        <f>Workings_benefits!$H$96*Assumptions!$H46</f>
        <v>0.89008341461292573</v>
      </c>
      <c r="X46" s="503">
        <f>Workings_benefits!$H$96*Assumptions!$H46</f>
        <v>0.89008341461292573</v>
      </c>
      <c r="Y46" s="503">
        <f>Workings_benefits!$H$96*Assumptions!$H46</f>
        <v>0.89008341461292573</v>
      </c>
      <c r="Z46" s="503">
        <f>Workings_benefits!$H$96*Assumptions!$H46</f>
        <v>0.89008341461292573</v>
      </c>
      <c r="AA46" s="503">
        <f>Workings_benefits!$H$96*Assumptions!$H46</f>
        <v>0.89008341461292573</v>
      </c>
      <c r="AB46" s="503">
        <f>Workings_benefits!$H$96*Assumptions!$H46</f>
        <v>0.89008341461292573</v>
      </c>
      <c r="AC46" s="503">
        <f>Workings_benefits!$H$96*Assumptions!$H46</f>
        <v>0.89008341461292573</v>
      </c>
      <c r="AD46" s="503">
        <f>Workings_benefits!$H$96*Assumptions!$H46</f>
        <v>0.89008341461292573</v>
      </c>
      <c r="AE46" s="503">
        <f>Workings_benefits!$H$96*Assumptions!$H46</f>
        <v>0.89008341461292573</v>
      </c>
      <c r="AF46" s="503">
        <f>Workings_benefits!$H$96*Assumptions!$H46</f>
        <v>0.89008341461292573</v>
      </c>
      <c r="AG46" s="503">
        <f>Workings_benefits!$H$96*Assumptions!$H46</f>
        <v>0.89008341461292573</v>
      </c>
    </row>
    <row r="47" spans="1:16372" x14ac:dyDescent="0.3">
      <c r="C47" s="1" t="s">
        <v>328</v>
      </c>
      <c r="D47" s="205" t="s">
        <v>64</v>
      </c>
      <c r="E47" s="158">
        <f>Assumptions!G47</f>
        <v>52200</v>
      </c>
      <c r="G47" s="207" t="s">
        <v>40</v>
      </c>
      <c r="I47" s="32">
        <v>0</v>
      </c>
      <c r="J47" s="503">
        <f>Workings_benefits!$H$96*Assumptions!$H47</f>
        <v>1.0320113904799368</v>
      </c>
      <c r="K47" s="503">
        <f>Workings_benefits!$H$96*Assumptions!$H47</f>
        <v>1.0320113904799368</v>
      </c>
      <c r="L47" s="503">
        <f>Workings_benefits!$H$96*Assumptions!$H47</f>
        <v>1.0320113904799368</v>
      </c>
      <c r="M47" s="503">
        <f>Workings_benefits!$H$96*Assumptions!$H47</f>
        <v>1.0320113904799368</v>
      </c>
      <c r="N47" s="503">
        <f>Workings_benefits!$H$96*Assumptions!$H47</f>
        <v>1.0320113904799368</v>
      </c>
      <c r="O47" s="503">
        <f>Workings_benefits!$H$96*Assumptions!$H47</f>
        <v>1.0320113904799368</v>
      </c>
      <c r="P47" s="503">
        <f>Workings_benefits!$H$96*Assumptions!$H47</f>
        <v>1.0320113904799368</v>
      </c>
      <c r="Q47" s="503">
        <f>Workings_benefits!$H$96*Assumptions!$H47</f>
        <v>1.0320113904799368</v>
      </c>
      <c r="R47" s="503">
        <f>Workings_benefits!$H$96*Assumptions!$H47</f>
        <v>1.0320113904799368</v>
      </c>
      <c r="S47" s="503">
        <f>Workings_benefits!$H$96*Assumptions!$H47</f>
        <v>1.0320113904799368</v>
      </c>
      <c r="T47" s="503">
        <f>Workings_benefits!$H$96*Assumptions!$H47</f>
        <v>1.0320113904799368</v>
      </c>
      <c r="U47" s="503">
        <f>Workings_benefits!$H$96*Assumptions!$H47</f>
        <v>1.0320113904799368</v>
      </c>
      <c r="V47" s="503">
        <f>Workings_benefits!$H$96*Assumptions!$H47</f>
        <v>1.0320113904799368</v>
      </c>
      <c r="W47" s="503">
        <f>Workings_benefits!$H$96*Assumptions!$H47</f>
        <v>1.0320113904799368</v>
      </c>
      <c r="X47" s="503">
        <f>Workings_benefits!$H$96*Assumptions!$H47</f>
        <v>1.0320113904799368</v>
      </c>
      <c r="Y47" s="503">
        <f>Workings_benefits!$H$96*Assumptions!$H47</f>
        <v>1.0320113904799368</v>
      </c>
      <c r="Z47" s="503">
        <f>Workings_benefits!$H$96*Assumptions!$H47</f>
        <v>1.0320113904799368</v>
      </c>
      <c r="AA47" s="503">
        <f>Workings_benefits!$H$96*Assumptions!$H47</f>
        <v>1.0320113904799368</v>
      </c>
      <c r="AB47" s="503">
        <f>Workings_benefits!$H$96*Assumptions!$H47</f>
        <v>1.0320113904799368</v>
      </c>
      <c r="AC47" s="503">
        <f>Workings_benefits!$H$96*Assumptions!$H47</f>
        <v>1.0320113904799368</v>
      </c>
      <c r="AD47" s="503">
        <f>Workings_benefits!$H$96*Assumptions!$H47</f>
        <v>1.0320113904799368</v>
      </c>
      <c r="AE47" s="503">
        <f>Workings_benefits!$H$96*Assumptions!$H47</f>
        <v>1.0320113904799368</v>
      </c>
      <c r="AF47" s="503">
        <f>Workings_benefits!$H$96*Assumptions!$H47</f>
        <v>1.0320113904799368</v>
      </c>
      <c r="AG47" s="503">
        <f>Workings_benefits!$H$96*Assumptions!$H47</f>
        <v>1.0320113904799368</v>
      </c>
    </row>
    <row r="48" spans="1:16372" x14ac:dyDescent="0.3">
      <c r="C48" s="1" t="s">
        <v>329</v>
      </c>
      <c r="D48" s="205" t="s">
        <v>127</v>
      </c>
      <c r="E48" s="158">
        <f>Assumptions!G48</f>
        <v>74790</v>
      </c>
      <c r="G48" s="207" t="s">
        <v>209</v>
      </c>
      <c r="I48" s="32">
        <v>0</v>
      </c>
      <c r="J48" s="503">
        <f>Workings_benefits!$H$96*Assumptions!$H48</f>
        <v>0.48161283821111966</v>
      </c>
      <c r="K48" s="503">
        <f>Workings_benefits!$H$96*Assumptions!$H48</f>
        <v>0.48161283821111966</v>
      </c>
      <c r="L48" s="503">
        <f>Workings_benefits!$H$96*Assumptions!$H48</f>
        <v>0.48161283821111966</v>
      </c>
      <c r="M48" s="503">
        <f>Workings_benefits!$H$96*Assumptions!$H48</f>
        <v>0.48161283821111966</v>
      </c>
      <c r="N48" s="503">
        <f>Workings_benefits!$H$96*Assumptions!$H48</f>
        <v>0.48161283821111966</v>
      </c>
      <c r="O48" s="503">
        <f>Workings_benefits!$H$96*Assumptions!$H48</f>
        <v>0.48161283821111966</v>
      </c>
      <c r="P48" s="503">
        <f>Workings_benefits!$H$96*Assumptions!$H48</f>
        <v>0.48161283821111966</v>
      </c>
      <c r="Q48" s="503">
        <f>Workings_benefits!$H$96*Assumptions!$H48</f>
        <v>0.48161283821111966</v>
      </c>
      <c r="R48" s="503">
        <f>Workings_benefits!$H$96*Assumptions!$H48</f>
        <v>0.48161283821111966</v>
      </c>
      <c r="S48" s="503">
        <f>Workings_benefits!$H$96*Assumptions!$H48</f>
        <v>0.48161283821111966</v>
      </c>
      <c r="T48" s="503">
        <f>Workings_benefits!$H$96*Assumptions!$H48</f>
        <v>0.48161283821111966</v>
      </c>
      <c r="U48" s="503">
        <f>Workings_benefits!$H$96*Assumptions!$H48</f>
        <v>0.48161283821111966</v>
      </c>
      <c r="V48" s="503">
        <f>Workings_benefits!$H$96*Assumptions!$H48</f>
        <v>0.48161283821111966</v>
      </c>
      <c r="W48" s="503">
        <f>Workings_benefits!$H$96*Assumptions!$H48</f>
        <v>0.48161283821111966</v>
      </c>
      <c r="X48" s="503">
        <f>Workings_benefits!$H$96*Assumptions!$H48</f>
        <v>0.48161283821111966</v>
      </c>
      <c r="Y48" s="503">
        <f>Workings_benefits!$H$96*Assumptions!$H48</f>
        <v>0.48161283821111966</v>
      </c>
      <c r="Z48" s="503">
        <f>Workings_benefits!$H$96*Assumptions!$H48</f>
        <v>0.48161283821111966</v>
      </c>
      <c r="AA48" s="503">
        <f>Workings_benefits!$H$96*Assumptions!$H48</f>
        <v>0.48161283821111966</v>
      </c>
      <c r="AB48" s="503">
        <f>Workings_benefits!$H$96*Assumptions!$H48</f>
        <v>0.48161283821111966</v>
      </c>
      <c r="AC48" s="503">
        <f>Workings_benefits!$H$96*Assumptions!$H48</f>
        <v>0.48161283821111966</v>
      </c>
      <c r="AD48" s="503">
        <f>Workings_benefits!$H$96*Assumptions!$H48</f>
        <v>0.48161283821111966</v>
      </c>
      <c r="AE48" s="503">
        <f>Workings_benefits!$H$96*Assumptions!$H48</f>
        <v>0.48161283821111966</v>
      </c>
      <c r="AF48" s="503">
        <f>Workings_benefits!$H$96*Assumptions!$H48</f>
        <v>0.48161283821111966</v>
      </c>
      <c r="AG48" s="503">
        <f>Workings_benefits!$H$96*Assumptions!$H48</f>
        <v>0.48161283821111966</v>
      </c>
    </row>
    <row r="49" spans="1:43" x14ac:dyDescent="0.3">
      <c r="C49" s="1" t="s">
        <v>330</v>
      </c>
      <c r="D49" s="205" t="s">
        <v>210</v>
      </c>
      <c r="E49" s="158">
        <f>Assumptions!G49</f>
        <v>44400</v>
      </c>
      <c r="G49" s="207" t="s">
        <v>211</v>
      </c>
      <c r="I49" s="32">
        <v>0</v>
      </c>
      <c r="J49" s="503">
        <f>Workings_benefits!$H$96*Assumptions!$H49</f>
        <v>3.3291389395687349E-2</v>
      </c>
      <c r="K49" s="503">
        <f>Workings_benefits!$H$96*Assumptions!$H49</f>
        <v>3.3291389395687349E-2</v>
      </c>
      <c r="L49" s="503">
        <f>Workings_benefits!$H$96*Assumptions!$H49</f>
        <v>3.3291389395687349E-2</v>
      </c>
      <c r="M49" s="503">
        <f>Workings_benefits!$H$96*Assumptions!$H49</f>
        <v>3.3291389395687349E-2</v>
      </c>
      <c r="N49" s="503">
        <f>Workings_benefits!$H$96*Assumptions!$H49</f>
        <v>3.3291389395687349E-2</v>
      </c>
      <c r="O49" s="503">
        <f>Workings_benefits!$H$96*Assumptions!$H49</f>
        <v>3.3291389395687349E-2</v>
      </c>
      <c r="P49" s="503">
        <f>Workings_benefits!$H$96*Assumptions!$H49</f>
        <v>3.3291389395687349E-2</v>
      </c>
      <c r="Q49" s="503">
        <f>Workings_benefits!$H$96*Assumptions!$H49</f>
        <v>3.3291389395687349E-2</v>
      </c>
      <c r="R49" s="503">
        <f>Workings_benefits!$H$96*Assumptions!$H49</f>
        <v>3.3291389395687349E-2</v>
      </c>
      <c r="S49" s="503">
        <f>Workings_benefits!$H$96*Assumptions!$H49</f>
        <v>3.3291389395687349E-2</v>
      </c>
      <c r="T49" s="503">
        <f>Workings_benefits!$H$96*Assumptions!$H49</f>
        <v>3.3291389395687349E-2</v>
      </c>
      <c r="U49" s="503">
        <f>Workings_benefits!$H$96*Assumptions!$H49</f>
        <v>3.3291389395687349E-2</v>
      </c>
      <c r="V49" s="503">
        <f>Workings_benefits!$H$96*Assumptions!$H49</f>
        <v>3.3291389395687349E-2</v>
      </c>
      <c r="W49" s="503">
        <f>Workings_benefits!$H$96*Assumptions!$H49</f>
        <v>3.3291389395687349E-2</v>
      </c>
      <c r="X49" s="503">
        <f>Workings_benefits!$H$96*Assumptions!$H49</f>
        <v>3.3291389395687349E-2</v>
      </c>
      <c r="Y49" s="503">
        <f>Workings_benefits!$H$96*Assumptions!$H49</f>
        <v>3.3291389395687349E-2</v>
      </c>
      <c r="Z49" s="503">
        <f>Workings_benefits!$H$96*Assumptions!$H49</f>
        <v>3.3291389395687349E-2</v>
      </c>
      <c r="AA49" s="503">
        <f>Workings_benefits!$H$96*Assumptions!$H49</f>
        <v>3.3291389395687349E-2</v>
      </c>
      <c r="AB49" s="503">
        <f>Workings_benefits!$H$96*Assumptions!$H49</f>
        <v>3.3291389395687349E-2</v>
      </c>
      <c r="AC49" s="503">
        <f>Workings_benefits!$H$96*Assumptions!$H49</f>
        <v>3.3291389395687349E-2</v>
      </c>
      <c r="AD49" s="503">
        <f>Workings_benefits!$H$96*Assumptions!$H49</f>
        <v>3.3291389395687349E-2</v>
      </c>
      <c r="AE49" s="503">
        <f>Workings_benefits!$H$96*Assumptions!$H49</f>
        <v>3.3291389395687349E-2</v>
      </c>
      <c r="AF49" s="503">
        <f>Workings_benefits!$H$96*Assumptions!$H49</f>
        <v>3.3291389395687349E-2</v>
      </c>
      <c r="AG49" s="503">
        <f>Workings_benefits!$H$96*Assumptions!$H49</f>
        <v>3.3291389395687349E-2</v>
      </c>
    </row>
    <row r="50" spans="1:43" x14ac:dyDescent="0.3">
      <c r="C50" s="1" t="s">
        <v>331</v>
      </c>
      <c r="D50" s="205" t="s">
        <v>210</v>
      </c>
      <c r="E50" s="158">
        <f>Assumptions!G50</f>
        <v>52200</v>
      </c>
      <c r="G50" s="207" t="s">
        <v>211</v>
      </c>
      <c r="I50" s="32">
        <v>0</v>
      </c>
      <c r="J50" s="503">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3">
      <c r="C51" s="1" t="s">
        <v>6</v>
      </c>
      <c r="D51" s="205" t="s">
        <v>127</v>
      </c>
      <c r="E51" s="502">
        <f>Assumptions!G112</f>
        <v>0.28000000000000003</v>
      </c>
      <c r="G51" s="207" t="s">
        <v>209</v>
      </c>
      <c r="I51" s="32">
        <v>0</v>
      </c>
      <c r="J51" s="503">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3">
      <c r="C52" s="1" t="s">
        <v>7</v>
      </c>
      <c r="D52" s="205" t="s">
        <v>127</v>
      </c>
      <c r="E52" s="502">
        <f>Assumptions!G113</f>
        <v>0.17</v>
      </c>
      <c r="G52" s="207" t="s">
        <v>209</v>
      </c>
      <c r="I52" s="32">
        <v>0</v>
      </c>
      <c r="J52" s="503">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3">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3">
      <c r="C54" s="1" t="s">
        <v>118</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3">
      <c r="C55" s="1" t="s">
        <v>119</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3">
      <c r="D56" s="205"/>
      <c r="G56" s="205"/>
    </row>
    <row r="57" spans="1:43" ht="13.5" x14ac:dyDescent="0.3">
      <c r="C57" s="3" t="s">
        <v>126</v>
      </c>
      <c r="D57" s="218"/>
      <c r="E57" s="107"/>
      <c r="F57" s="3"/>
      <c r="G57" s="207">
        <f>input_dollars</f>
        <v>45291</v>
      </c>
      <c r="H57" s="107"/>
      <c r="I57" s="170" cm="1">
        <f t="array" ref="I57">SUMPRODUCT((I$45:I$52)*($E$45:$E$52))+SUM(I54:I55)+I42</f>
        <v>0</v>
      </c>
      <c r="J57" s="170" cm="1">
        <f t="array" ref="J57">SUMPRODUCT((J$45:J$52)*($E$45:$E$52))+SUM(J54:J55)+J42</f>
        <v>418252.18200224824</v>
      </c>
      <c r="K57" s="170" cm="1">
        <f t="array" ref="K57">SUMPRODUCT((K$45:K$52)*($E$45:$E$52))+SUM(K54:K55)+K42</f>
        <v>418252.18200224824</v>
      </c>
      <c r="L57" s="170" cm="1">
        <f t="array" ref="L57">SUMPRODUCT((L$45:L$52)*($E$45:$E$52))+SUM(L54:L55)+L42</f>
        <v>418252.18200224824</v>
      </c>
      <c r="M57" s="170" cm="1">
        <f t="array" ref="M57">SUMPRODUCT((M$45:M$52)*($E$45:$E$52))+SUM(M54:M55)+M42</f>
        <v>418252.18200224824</v>
      </c>
      <c r="N57" s="170" cm="1">
        <f t="array" ref="N57">SUMPRODUCT((N$45:N$52)*($E$45:$E$52))+SUM(N54:N55)+N42</f>
        <v>418252.18200224824</v>
      </c>
      <c r="O57" s="170" cm="1">
        <f t="array" ref="O57">SUMPRODUCT((O$45:O$52)*($E$45:$E$52))+SUM(O54:O55)+O42</f>
        <v>418252.18200224824</v>
      </c>
      <c r="P57" s="170" cm="1">
        <f t="array" ref="P57">SUMPRODUCT((P$45:P$52)*($E$45:$E$52))+SUM(P54:P55)+P42</f>
        <v>418252.18200224824</v>
      </c>
      <c r="Q57" s="170" cm="1">
        <f t="array" ref="Q57">SUMPRODUCT((Q$45:Q$52)*($E$45:$E$52))+SUM(Q54:Q55)+Q42</f>
        <v>418252.18200224824</v>
      </c>
      <c r="R57" s="170" cm="1">
        <f t="array" ref="R57">SUMPRODUCT((R$45:R$52)*($E$45:$E$52))+SUM(R54:R55)+R42</f>
        <v>418252.18200224824</v>
      </c>
      <c r="S57" s="170" cm="1">
        <f t="array" ref="S57">SUMPRODUCT((S$45:S$52)*($E$45:$E$52))+SUM(S54:S55)+S42</f>
        <v>418252.18200224824</v>
      </c>
      <c r="T57" s="170" cm="1">
        <f t="array" ref="T57">SUMPRODUCT((T$45:T$52)*($E$45:$E$52))+SUM(T54:T55)+T42</f>
        <v>418252.18200224824</v>
      </c>
      <c r="U57" s="170" cm="1">
        <f t="array" ref="U57">SUMPRODUCT((U$45:U$52)*($E$45:$E$52))+SUM(U54:U55)+U42</f>
        <v>418252.18200224824</v>
      </c>
      <c r="V57" s="170" cm="1">
        <f t="array" ref="V57">SUMPRODUCT((V$45:V$52)*($E$45:$E$52))+SUM(V54:V55)+V42</f>
        <v>418252.18200224824</v>
      </c>
      <c r="W57" s="170" cm="1">
        <f t="array" ref="W57">SUMPRODUCT((W$45:W$52)*($E$45:$E$52))+SUM(W54:W55)+W42</f>
        <v>418252.18200224824</v>
      </c>
      <c r="X57" s="170" cm="1">
        <f t="array" ref="X57">SUMPRODUCT((X$45:X$52)*($E$45:$E$52))+SUM(X54:X55)+X42</f>
        <v>418252.18200224824</v>
      </c>
      <c r="Y57" s="170" cm="1">
        <f t="array" ref="Y57">SUMPRODUCT((Y$45:Y$52)*($E$45:$E$52))+SUM(Y54:Y55)+Y42</f>
        <v>418252.18200224824</v>
      </c>
      <c r="Z57" s="170" cm="1">
        <f t="array" ref="Z57">SUMPRODUCT((Z$45:Z$52)*($E$45:$E$52))+SUM(Z54:Z55)+Z42</f>
        <v>418252.18200224824</v>
      </c>
      <c r="AA57" s="170" cm="1">
        <f t="array" ref="AA57">SUMPRODUCT((AA$45:AA$52)*($E$45:$E$52))+SUM(AA54:AA55)+AA42</f>
        <v>418252.18200224824</v>
      </c>
      <c r="AB57" s="170" cm="1">
        <f t="array" ref="AB57">SUMPRODUCT((AB$45:AB$52)*($E$45:$E$52))+SUM(AB54:AB55)+AB42</f>
        <v>418252.18200224824</v>
      </c>
      <c r="AC57" s="170" cm="1">
        <f t="array" ref="AC57">SUMPRODUCT((AC$45:AC$52)*($E$45:$E$52))+SUM(AC54:AC55)+AC42</f>
        <v>418252.18200224824</v>
      </c>
      <c r="AD57" s="170" cm="1">
        <f t="array" ref="AD57">SUMPRODUCT((AD$45:AD$52)*($E$45:$E$52))+SUM(AD54:AD55)+AD42</f>
        <v>418252.18200224824</v>
      </c>
      <c r="AE57" s="170" cm="1">
        <f t="array" ref="AE57">SUMPRODUCT((AE$45:AE$52)*($E$45:$E$52))+SUM(AE54:AE55)+AE42</f>
        <v>418252.18200224824</v>
      </c>
      <c r="AF57" s="170" cm="1">
        <f t="array" ref="AF57">SUMPRODUCT((AF$45:AF$52)*($E$45:$E$52))+SUM(AF54:AF55)+AF42</f>
        <v>418252.18200224824</v>
      </c>
      <c r="AG57" s="170" cm="1">
        <f t="array" ref="AG57">SUMPRODUCT((AG$45:AG$52)*($E$45:$E$52))+SUM(AG54:AG55)+AG42</f>
        <v>418252.18200224824</v>
      </c>
    </row>
    <row r="58" spans="1:43" x14ac:dyDescent="0.3">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3">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4.5" x14ac:dyDescent="0.3">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4.5" x14ac:dyDescent="0.3">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3">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3">
      <c r="F63" s="2"/>
      <c r="G63" s="212"/>
    </row>
    <row r="64" spans="1:43" x14ac:dyDescent="0.3">
      <c r="C64" s="4" t="str">
        <f>'Option1 (base case)'!C64</f>
        <v>Risks mitigated vs base case</v>
      </c>
      <c r="G64" s="210">
        <f>input_dollars</f>
        <v>45291</v>
      </c>
      <c r="I64" s="132">
        <f>(1-INDEX(Data!$C$9:$C$13, MATCH($A$3, options,0)))*('Option1 (base case)'!I36-I36)</f>
        <v>0</v>
      </c>
      <c r="J64" s="132">
        <f>(1-INDEX(Data!$C$9:$C$13, MATCH($A$3, options,0)))*('Option1 (base case)'!J36-J36)</f>
        <v>871326.40787053294</v>
      </c>
      <c r="K64" s="132">
        <f>(1-INDEX(Data!$C$9:$C$13, MATCH($A$3, options,0)))*('Option1 (base case)'!K36-K36)</f>
        <v>892143.45418688655</v>
      </c>
      <c r="L64" s="132">
        <f>(1-INDEX(Data!$C$9:$C$13, MATCH($A$3, options,0)))*('Option1 (base case)'!L36-L36)</f>
        <v>912961.20897683036</v>
      </c>
      <c r="M64" s="132">
        <f>(1-INDEX(Data!$C$9:$C$13, MATCH($A$3, options,0)))*('Option1 (base case)'!M36-M36)</f>
        <v>933778.77580439299</v>
      </c>
      <c r="N64" s="132">
        <f>(1-INDEX(Data!$C$9:$C$13, MATCH($A$3, options,0)))*('Option1 (base case)'!N36-N36)</f>
        <v>927273.28638340719</v>
      </c>
      <c r="O64" s="132">
        <f>(1-INDEX(Data!$C$9:$C$13, MATCH($A$3, options,0)))*('Option1 (base case)'!O36-O36)</f>
        <v>920768.16863463959</v>
      </c>
      <c r="P64" s="132">
        <f>(1-INDEX(Data!$C$9:$C$13, MATCH($A$3, options,0)))*('Option1 (base case)'!P36-P36)</f>
        <v>914262.62903365167</v>
      </c>
      <c r="Q64" s="132">
        <f>(1-INDEX(Data!$C$9:$C$13, MATCH($A$3, options,0)))*('Option1 (base case)'!Q36-Q36)</f>
        <v>907757.08943266375</v>
      </c>
      <c r="R64" s="132">
        <f>(1-INDEX(Data!$C$9:$C$13, MATCH($A$3, options,0)))*('Option1 (base case)'!R36-R36)</f>
        <v>901251.54983167537</v>
      </c>
      <c r="S64" s="132">
        <f>(1-INDEX(Data!$C$9:$C$13, MATCH($A$3, options,0)))*('Option1 (base case)'!S36-S36)</f>
        <v>894746.01023068652</v>
      </c>
      <c r="T64" s="132">
        <f>(1-INDEX(Data!$C$9:$C$13, MATCH($A$3, options,0)))*('Option1 (base case)'!T36-T36)</f>
        <v>888240.4706296986</v>
      </c>
      <c r="U64" s="132">
        <f>(1-INDEX(Data!$C$9:$C$13, MATCH($A$3, options,0)))*('Option1 (base case)'!U36-U36)</f>
        <v>881734.93102871021</v>
      </c>
      <c r="V64" s="132">
        <f>(1-INDEX(Data!$C$9:$C$13, MATCH($A$3, options,0)))*('Option1 (base case)'!V36-V36)</f>
        <v>875229.39142772136</v>
      </c>
      <c r="W64" s="132">
        <f>(1-INDEX(Data!$C$9:$C$13, MATCH($A$3, options,0)))*('Option1 (base case)'!W36-W36)</f>
        <v>868723.85182673344</v>
      </c>
      <c r="X64" s="132">
        <f>(1-INDEX(Data!$C$9:$C$13, MATCH($A$3, options,0)))*('Option1 (base case)'!X36-X36)</f>
        <v>862218.31222574506</v>
      </c>
      <c r="Y64" s="132">
        <f>(1-INDEX(Data!$C$9:$C$13, MATCH($A$3, options,0)))*('Option1 (base case)'!Y36-Y36)</f>
        <v>855712.77262475668</v>
      </c>
      <c r="Z64" s="132">
        <f>(1-INDEX(Data!$C$9:$C$13, MATCH($A$3, options,0)))*('Option1 (base case)'!Z36-Z36)</f>
        <v>849207.23302376829</v>
      </c>
      <c r="AA64" s="132">
        <f>(1-INDEX(Data!$C$9:$C$13, MATCH($A$3, options,0)))*('Option1 (base case)'!AA36-AA36)</f>
        <v>842701.69342277991</v>
      </c>
      <c r="AB64" s="132">
        <f>(1-INDEX(Data!$C$9:$C$13, MATCH($A$3, options,0)))*('Option1 (base case)'!AB36-AB36)</f>
        <v>836196.15382179152</v>
      </c>
      <c r="AC64" s="132">
        <f>(1-INDEX(Data!$C$9:$C$13, MATCH($A$3, options,0)))*('Option1 (base case)'!AC36-AC36)</f>
        <v>829690.6142208036</v>
      </c>
      <c r="AD64" s="132">
        <f>(1-INDEX(Data!$C$9:$C$13, MATCH($A$3, options,0)))*('Option1 (base case)'!AD36-AD36)</f>
        <v>823185.07461981475</v>
      </c>
      <c r="AE64" s="132">
        <f>(1-INDEX(Data!$C$9:$C$13, MATCH($A$3, options,0)))*('Option1 (base case)'!AE36-AE36)</f>
        <v>816680.3855273379</v>
      </c>
      <c r="AF64" s="132">
        <f>(1-INDEX(Data!$C$9:$C$13, MATCH($A$3, options,0)))*('Option1 (base case)'!AF36-AF36)</f>
        <v>810174.84592634998</v>
      </c>
      <c r="AG64" s="132">
        <f>(1-INDEX(Data!$C$9:$C$13, MATCH($A$3, options,0)))*('Option1 (base case)'!AG36-AG36)</f>
        <v>803669.30632536113</v>
      </c>
    </row>
    <row r="65" spans="1:33" x14ac:dyDescent="0.3">
      <c r="G65" s="212"/>
    </row>
    <row r="66" spans="1:33" x14ac:dyDescent="0.3">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3">
      <c r="A67" s="8"/>
      <c r="B67" s="8"/>
      <c r="C67" s="4" t="str">
        <f>C14</f>
        <v>No change to existing practices</v>
      </c>
      <c r="D67" s="38"/>
      <c r="F67" s="97"/>
      <c r="G67" s="210">
        <f>input_dollars</f>
        <v>45291</v>
      </c>
      <c r="H67" s="31"/>
      <c r="I67" s="118">
        <f t="shared" ref="I67:AG67" si="5">-I14</f>
        <v>-500000</v>
      </c>
      <c r="J67" s="118">
        <f t="shared" si="5"/>
        <v>-2665000</v>
      </c>
      <c r="K67" s="118">
        <f t="shared" si="5"/>
        <v>0</v>
      </c>
      <c r="L67" s="118">
        <f t="shared" si="5"/>
        <v>0</v>
      </c>
      <c r="M67" s="118">
        <f t="shared" si="5"/>
        <v>0</v>
      </c>
      <c r="N67" s="118">
        <f t="shared" si="5"/>
        <v>0</v>
      </c>
      <c r="O67" s="118">
        <f t="shared" si="5"/>
        <v>0</v>
      </c>
      <c r="P67" s="118">
        <f t="shared" si="5"/>
        <v>0</v>
      </c>
      <c r="Q67" s="118">
        <f t="shared" si="5"/>
        <v>0</v>
      </c>
      <c r="R67" s="118">
        <f t="shared" si="5"/>
        <v>0</v>
      </c>
      <c r="S67" s="118">
        <f t="shared" si="5"/>
        <v>0</v>
      </c>
      <c r="T67" s="118">
        <f t="shared" si="5"/>
        <v>0</v>
      </c>
      <c r="U67" s="118">
        <f t="shared" si="5"/>
        <v>0</v>
      </c>
      <c r="V67" s="118">
        <f t="shared" si="5"/>
        <v>0</v>
      </c>
      <c r="W67" s="118">
        <f t="shared" si="5"/>
        <v>0</v>
      </c>
      <c r="X67" s="118">
        <f t="shared" si="5"/>
        <v>0</v>
      </c>
      <c r="Y67" s="118">
        <f t="shared" si="5"/>
        <v>0</v>
      </c>
      <c r="Z67" s="118">
        <f t="shared" si="5"/>
        <v>0</v>
      </c>
      <c r="AA67" s="118">
        <f t="shared" si="5"/>
        <v>0</v>
      </c>
      <c r="AB67" s="118">
        <f t="shared" si="5"/>
        <v>0</v>
      </c>
      <c r="AC67" s="118">
        <f t="shared" si="5"/>
        <v>0</v>
      </c>
      <c r="AD67" s="118">
        <f t="shared" si="5"/>
        <v>0</v>
      </c>
      <c r="AE67" s="118">
        <f t="shared" si="5"/>
        <v>0</v>
      </c>
      <c r="AF67" s="118">
        <f t="shared" si="5"/>
        <v>0</v>
      </c>
      <c r="AG67" s="118">
        <f t="shared" si="5"/>
        <v>0</v>
      </c>
    </row>
    <row r="68" spans="1:33" x14ac:dyDescent="0.3">
      <c r="A68" s="8"/>
      <c r="B68" s="8"/>
      <c r="C68" s="4" t="str">
        <f>C15</f>
        <v>&lt; Enter description &gt;</v>
      </c>
      <c r="D68" s="38"/>
      <c r="F68" s="97"/>
      <c r="G68" s="210">
        <f>input_dollars</f>
        <v>45291</v>
      </c>
      <c r="H68" s="31"/>
      <c r="I68" s="118">
        <f t="shared" ref="I68:AG68" si="6">-I15</f>
        <v>0</v>
      </c>
      <c r="J68" s="118">
        <f t="shared" si="6"/>
        <v>0</v>
      </c>
      <c r="K68" s="118">
        <f t="shared" si="6"/>
        <v>0</v>
      </c>
      <c r="L68" s="118">
        <f t="shared" si="6"/>
        <v>0</v>
      </c>
      <c r="M68" s="118">
        <f t="shared" si="6"/>
        <v>0</v>
      </c>
      <c r="N68" s="118">
        <f t="shared" si="6"/>
        <v>0</v>
      </c>
      <c r="O68" s="118">
        <f t="shared" si="6"/>
        <v>0</v>
      </c>
      <c r="P68" s="118">
        <f t="shared" si="6"/>
        <v>0</v>
      </c>
      <c r="Q68" s="118">
        <f t="shared" si="6"/>
        <v>0</v>
      </c>
      <c r="R68" s="118">
        <f t="shared" si="6"/>
        <v>0</v>
      </c>
      <c r="S68" s="118">
        <f t="shared" si="6"/>
        <v>0</v>
      </c>
      <c r="T68" s="118">
        <f t="shared" si="6"/>
        <v>0</v>
      </c>
      <c r="U68" s="118">
        <f t="shared" si="6"/>
        <v>0</v>
      </c>
      <c r="V68" s="118">
        <f t="shared" si="6"/>
        <v>0</v>
      </c>
      <c r="W68" s="118">
        <f t="shared" si="6"/>
        <v>0</v>
      </c>
      <c r="X68" s="118">
        <f t="shared" si="6"/>
        <v>0</v>
      </c>
      <c r="Y68" s="118">
        <f t="shared" si="6"/>
        <v>0</v>
      </c>
      <c r="Z68" s="118">
        <f t="shared" si="6"/>
        <v>0</v>
      </c>
      <c r="AA68" s="118">
        <f t="shared" si="6"/>
        <v>0</v>
      </c>
      <c r="AB68" s="118">
        <f t="shared" si="6"/>
        <v>0</v>
      </c>
      <c r="AC68" s="118">
        <f t="shared" si="6"/>
        <v>0</v>
      </c>
      <c r="AD68" s="118">
        <f t="shared" si="6"/>
        <v>0</v>
      </c>
      <c r="AE68" s="118">
        <f t="shared" si="6"/>
        <v>0</v>
      </c>
      <c r="AF68" s="118">
        <f t="shared" si="6"/>
        <v>0</v>
      </c>
      <c r="AG68" s="118">
        <f t="shared" si="6"/>
        <v>0</v>
      </c>
    </row>
    <row r="69" spans="1:33" x14ac:dyDescent="0.3">
      <c r="A69" s="8"/>
      <c r="B69" s="8"/>
      <c r="C69" s="4" t="str">
        <f>C16</f>
        <v>&lt; Enter description &gt;</v>
      </c>
      <c r="D69" s="38"/>
      <c r="F69" s="97"/>
      <c r="G69" s="210">
        <f>input_dollars</f>
        <v>45291</v>
      </c>
      <c r="H69" s="31"/>
      <c r="I69" s="118">
        <f t="shared" ref="I69:AG69" si="7">-I16</f>
        <v>0</v>
      </c>
      <c r="J69" s="118">
        <f t="shared" si="7"/>
        <v>0</v>
      </c>
      <c r="K69" s="118">
        <f t="shared" si="7"/>
        <v>0</v>
      </c>
      <c r="L69" s="118">
        <f t="shared" si="7"/>
        <v>0</v>
      </c>
      <c r="M69" s="118">
        <f t="shared" si="7"/>
        <v>0</v>
      </c>
      <c r="N69" s="118">
        <f t="shared" si="7"/>
        <v>0</v>
      </c>
      <c r="O69" s="118">
        <f t="shared" si="7"/>
        <v>0</v>
      </c>
      <c r="P69" s="118">
        <f t="shared" si="7"/>
        <v>0</v>
      </c>
      <c r="Q69" s="118">
        <f t="shared" si="7"/>
        <v>0</v>
      </c>
      <c r="R69" s="118">
        <f t="shared" si="7"/>
        <v>0</v>
      </c>
      <c r="S69" s="118">
        <f t="shared" si="7"/>
        <v>0</v>
      </c>
      <c r="T69" s="118">
        <f t="shared" si="7"/>
        <v>0</v>
      </c>
      <c r="U69" s="118">
        <f t="shared" si="7"/>
        <v>0</v>
      </c>
      <c r="V69" s="118">
        <f t="shared" si="7"/>
        <v>0</v>
      </c>
      <c r="W69" s="118">
        <f t="shared" si="7"/>
        <v>0</v>
      </c>
      <c r="X69" s="118">
        <f t="shared" si="7"/>
        <v>0</v>
      </c>
      <c r="Y69" s="118">
        <f t="shared" si="7"/>
        <v>0</v>
      </c>
      <c r="Z69" s="118">
        <f t="shared" si="7"/>
        <v>0</v>
      </c>
      <c r="AA69" s="118">
        <f t="shared" si="7"/>
        <v>0</v>
      </c>
      <c r="AB69" s="118">
        <f t="shared" si="7"/>
        <v>0</v>
      </c>
      <c r="AC69" s="118">
        <f t="shared" si="7"/>
        <v>0</v>
      </c>
      <c r="AD69" s="118">
        <f t="shared" si="7"/>
        <v>0</v>
      </c>
      <c r="AE69" s="118">
        <f t="shared" si="7"/>
        <v>0</v>
      </c>
      <c r="AF69" s="118">
        <f t="shared" si="7"/>
        <v>0</v>
      </c>
      <c r="AG69" s="118">
        <f t="shared" si="7"/>
        <v>0</v>
      </c>
    </row>
    <row r="70" spans="1:33" x14ac:dyDescent="0.3">
      <c r="A70" s="8"/>
      <c r="B70" s="8"/>
      <c r="C70" s="4"/>
      <c r="D70" s="38"/>
      <c r="F70" s="97"/>
      <c r="G70" s="214"/>
      <c r="H70" s="31"/>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row>
    <row r="71" spans="1:33" x14ac:dyDescent="0.3">
      <c r="A71" s="8"/>
      <c r="B71" s="8"/>
      <c r="C71" s="147" t="s">
        <v>162</v>
      </c>
      <c r="D71" s="38"/>
      <c r="F71" s="97"/>
      <c r="G71" s="213"/>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3">
      <c r="A72" s="8"/>
      <c r="B72" s="8"/>
      <c r="C72" s="4" t="str">
        <f>C14</f>
        <v>No change to existing practices</v>
      </c>
      <c r="D72" s="38"/>
      <c r="F72" s="97"/>
      <c r="G72" s="210">
        <f>input_dollars</f>
        <v>45291</v>
      </c>
      <c r="H72" s="31"/>
      <c r="I72" s="118" cm="1">
        <f t="array" ref="I72">SUMPRODUCT(($I67:I67))-SUMPRODUCT(($I67:I67)*($I$6:I$6&lt;=(I$6-$E14)))</f>
        <v>-500000</v>
      </c>
      <c r="J72" s="118" cm="1">
        <f t="array" ref="J72">SUMPRODUCT(($I67:J67))-SUMPRODUCT(($I67:J67)*($I$6:J$6&lt;=(J$6-$E14)))</f>
        <v>-3165000</v>
      </c>
      <c r="K72" s="118" cm="1">
        <f t="array" ref="K72">SUMPRODUCT(($I67:K67))-SUMPRODUCT(($I67:K67)*($I$6:K$6&lt;=(K$6-$E14)))</f>
        <v>-3165000</v>
      </c>
      <c r="L72" s="118" cm="1">
        <f t="array" ref="L72">SUMPRODUCT(($I67:L67))-SUMPRODUCT(($I67:L67)*($I$6:L$6&lt;=(L$6-$E14)))</f>
        <v>-3165000</v>
      </c>
      <c r="M72" s="118" cm="1">
        <f t="array" ref="M72">SUMPRODUCT(($I67:M67))-SUMPRODUCT(($I67:M67)*($I$6:M$6&lt;=(M$6-$E14)))</f>
        <v>-3165000</v>
      </c>
      <c r="N72" s="118" cm="1">
        <f t="array" ref="N72">SUMPRODUCT(($I67:N67))-SUMPRODUCT(($I67:N67)*($I$6:N$6&lt;=(N$6-$E14)))</f>
        <v>-3165000</v>
      </c>
      <c r="O72" s="118" cm="1">
        <f t="array" ref="O72">SUMPRODUCT(($I67:O67))-SUMPRODUCT(($I67:O67)*($I$6:O$6&lt;=(O$6-$E14)))</f>
        <v>-3165000</v>
      </c>
      <c r="P72" s="118" cm="1">
        <f t="array" ref="P72">SUMPRODUCT(($I67:P67))-SUMPRODUCT(($I67:P67)*($I$6:P$6&lt;=(P$6-$E14)))</f>
        <v>-3165000</v>
      </c>
      <c r="Q72" s="118" cm="1">
        <f t="array" ref="Q72">SUMPRODUCT(($I67:Q67))-SUMPRODUCT(($I67:Q67)*($I$6:Q$6&lt;=(Q$6-$E14)))</f>
        <v>-3165000</v>
      </c>
      <c r="R72" s="118" cm="1">
        <f t="array" ref="R72">SUMPRODUCT(($I67:R67))-SUMPRODUCT(($I67:R67)*($I$6:R$6&lt;=(R$6-$E14)))</f>
        <v>-3165000</v>
      </c>
      <c r="S72" s="118" cm="1">
        <f t="array" ref="S72">SUMPRODUCT(($I67:S67))-SUMPRODUCT(($I67:S67)*($I$6:S$6&lt;=(S$6-$E14)))</f>
        <v>-3165000</v>
      </c>
      <c r="T72" s="118" cm="1">
        <f t="array" ref="T72">SUMPRODUCT(($I67:T67))-SUMPRODUCT(($I67:T67)*($I$6:T$6&lt;=(T$6-$E14)))</f>
        <v>-3165000</v>
      </c>
      <c r="U72" s="118" cm="1">
        <f t="array" ref="U72">SUMPRODUCT(($I67:U67))-SUMPRODUCT(($I67:U67)*($I$6:U$6&lt;=(U$6-$E14)))</f>
        <v>-3165000</v>
      </c>
      <c r="V72" s="118" cm="1">
        <f t="array" ref="V72">SUMPRODUCT(($I67:V67))-SUMPRODUCT(($I67:V67)*($I$6:V$6&lt;=(V$6-$E14)))</f>
        <v>-3165000</v>
      </c>
      <c r="W72" s="118" cm="1">
        <f t="array" ref="W72">SUMPRODUCT(($I67:W67))-SUMPRODUCT(($I67:W67)*($I$6:W$6&lt;=(W$6-$E14)))</f>
        <v>-3165000</v>
      </c>
      <c r="X72" s="118" cm="1">
        <f t="array" ref="X72">SUMPRODUCT(($I67:X67))-SUMPRODUCT(($I67:X67)*($I$6:X$6&lt;=(X$6-$E14)))</f>
        <v>-3165000</v>
      </c>
      <c r="Y72" s="118" cm="1">
        <f t="array" ref="Y72">SUMPRODUCT(($I67:Y67))-SUMPRODUCT(($I67:Y67)*($I$6:Y$6&lt;=(Y$6-$E14)))</f>
        <v>-3165000</v>
      </c>
      <c r="Z72" s="118" cm="1">
        <f t="array" ref="Z72">SUMPRODUCT(($I67:Z67))-SUMPRODUCT(($I67:Z67)*($I$6:Z$6&lt;=(Z$6-$E14)))</f>
        <v>-3165000</v>
      </c>
      <c r="AA72" s="118" cm="1">
        <f t="array" ref="AA72">SUMPRODUCT(($I67:AA67))-SUMPRODUCT(($I67:AA67)*($I$6:AA$6&lt;=(AA$6-$E14)))</f>
        <v>-3165000</v>
      </c>
      <c r="AB72" s="118" cm="1">
        <f t="array" ref="AB72">SUMPRODUCT(($I67:AB67))-SUMPRODUCT(($I67:AB67)*($I$6:AB$6&lt;=(AB$6-$E14)))</f>
        <v>-3165000</v>
      </c>
      <c r="AC72" s="118" cm="1">
        <f t="array" ref="AC72">SUMPRODUCT(($I67:AC67))-SUMPRODUCT(($I67:AC67)*($I$6:AC$6&lt;=(AC$6-$E14)))</f>
        <v>-3165000</v>
      </c>
      <c r="AD72" s="118" cm="1">
        <f t="array" ref="AD72">SUMPRODUCT(($I67:AD67))-SUMPRODUCT(($I67:AD67)*($I$6:AD$6&lt;=(AD$6-$E14)))</f>
        <v>-3165000</v>
      </c>
      <c r="AE72" s="118" cm="1">
        <f t="array" ref="AE72">SUMPRODUCT(($I67:AE67))-SUMPRODUCT(($I67:AE67)*($I$6:AE$6&lt;=(AE$6-$E14)))</f>
        <v>-3165000</v>
      </c>
      <c r="AF72" s="118" cm="1">
        <f t="array" ref="AF72">SUMPRODUCT(($I67:AF67))-SUMPRODUCT(($I67:AF67)*($I$6:AF$6&lt;=(AF$6-$E14)))</f>
        <v>-3165000</v>
      </c>
      <c r="AG72" s="118" cm="1">
        <f t="array" ref="AG72">SUMPRODUCT(($I67:AG67))-SUMPRODUCT(($I67:AG67)*($I$6:AG$6&lt;=(AG$6-$E14)))</f>
        <v>-3165000</v>
      </c>
    </row>
    <row r="73" spans="1:33" x14ac:dyDescent="0.3">
      <c r="A73" s="8"/>
      <c r="B73" s="8"/>
      <c r="C73" s="4" t="str">
        <f>C15</f>
        <v>&lt; Enter description &gt;</v>
      </c>
      <c r="D73" s="38"/>
      <c r="F73" s="97"/>
      <c r="G73" s="210">
        <f>input_dollars</f>
        <v>45291</v>
      </c>
      <c r="H73" s="31"/>
      <c r="I73" s="118" cm="1">
        <f t="array" ref="I73">SUMPRODUCT(($I68:I68))-SUMPRODUCT(($I68:I68)*($I$6:I$6&lt;=(I$6-$E15)))</f>
        <v>0</v>
      </c>
      <c r="J73" s="118" cm="1">
        <f t="array" ref="J73">SUMPRODUCT(($I68:J68))-SUMPRODUCT(($I68:J68)*($I$6:J$6&lt;=(J$6-$E15)))</f>
        <v>0</v>
      </c>
      <c r="K73" s="118" cm="1">
        <f t="array" ref="K73">SUMPRODUCT(($I68:K68))-SUMPRODUCT(($I68:K68)*($I$6:K$6&lt;=(K$6-$E15)))</f>
        <v>0</v>
      </c>
      <c r="L73" s="118" cm="1">
        <f t="array" ref="L73">SUMPRODUCT(($I68:L68))-SUMPRODUCT(($I68:L68)*($I$6:L$6&lt;=(L$6-$E15)))</f>
        <v>0</v>
      </c>
      <c r="M73" s="118" cm="1">
        <f t="array" ref="M73">SUMPRODUCT(($I68:M68))-SUMPRODUCT(($I68:M68)*($I$6:M$6&lt;=(M$6-$E15)))</f>
        <v>0</v>
      </c>
      <c r="N73" s="118" cm="1">
        <f t="array" ref="N73">SUMPRODUCT(($I68:N68))-SUMPRODUCT(($I68:N68)*($I$6:N$6&lt;=(N$6-$E15)))</f>
        <v>0</v>
      </c>
      <c r="O73" s="118" cm="1">
        <f t="array" ref="O73">SUMPRODUCT(($I68:O68))-SUMPRODUCT(($I68:O68)*($I$6:O$6&lt;=(O$6-$E15)))</f>
        <v>0</v>
      </c>
      <c r="P73" s="118" cm="1">
        <f t="array" ref="P73">SUMPRODUCT(($I68:P68))-SUMPRODUCT(($I68:P68)*($I$6:P$6&lt;=(P$6-$E15)))</f>
        <v>0</v>
      </c>
      <c r="Q73" s="118" cm="1">
        <f t="array" ref="Q73">SUMPRODUCT(($I68:Q68))-SUMPRODUCT(($I68:Q68)*($I$6:Q$6&lt;=(Q$6-$E15)))</f>
        <v>0</v>
      </c>
      <c r="R73" s="118" cm="1">
        <f t="array" ref="R73">SUMPRODUCT(($I68:R68))-SUMPRODUCT(($I68:R68)*($I$6:R$6&lt;=(R$6-$E15)))</f>
        <v>0</v>
      </c>
      <c r="S73" s="118" cm="1">
        <f t="array" ref="S73">SUMPRODUCT(($I68:S68))-SUMPRODUCT(($I68:S68)*($I$6:S$6&lt;=(S$6-$E15)))</f>
        <v>0</v>
      </c>
      <c r="T73" s="118" cm="1">
        <f t="array" ref="T73">SUMPRODUCT(($I68:T68))-SUMPRODUCT(($I68:T68)*($I$6:T$6&lt;=(T$6-$E15)))</f>
        <v>0</v>
      </c>
      <c r="U73" s="118" cm="1">
        <f t="array" ref="U73">SUMPRODUCT(($I68:U68))-SUMPRODUCT(($I68:U68)*($I$6:U$6&lt;=(U$6-$E15)))</f>
        <v>0</v>
      </c>
      <c r="V73" s="118" cm="1">
        <f t="array" ref="V73">SUMPRODUCT(($I68:V68))-SUMPRODUCT(($I68:V68)*($I$6:V$6&lt;=(V$6-$E15)))</f>
        <v>0</v>
      </c>
      <c r="W73" s="118" cm="1">
        <f t="array" ref="W73">SUMPRODUCT(($I68:W68))-SUMPRODUCT(($I68:W68)*($I$6:W$6&lt;=(W$6-$E15)))</f>
        <v>0</v>
      </c>
      <c r="X73" s="118" cm="1">
        <f t="array" ref="X73">SUMPRODUCT(($I68:X68))-SUMPRODUCT(($I68:X68)*($I$6:X$6&lt;=(X$6-$E15)))</f>
        <v>0</v>
      </c>
      <c r="Y73" s="118" cm="1">
        <f t="array" ref="Y73">SUMPRODUCT(($I68:Y68))-SUMPRODUCT(($I68:Y68)*($I$6:Y$6&lt;=(Y$6-$E15)))</f>
        <v>0</v>
      </c>
      <c r="Z73" s="118" cm="1">
        <f t="array" ref="Z73">SUMPRODUCT(($I68:Z68))-SUMPRODUCT(($I68:Z68)*($I$6:Z$6&lt;=(Z$6-$E15)))</f>
        <v>0</v>
      </c>
      <c r="AA73" s="118" cm="1">
        <f t="array" ref="AA73">SUMPRODUCT(($I68:AA68))-SUMPRODUCT(($I68:AA68)*($I$6:AA$6&lt;=(AA$6-$E15)))</f>
        <v>0</v>
      </c>
      <c r="AB73" s="118" cm="1">
        <f t="array" ref="AB73">SUMPRODUCT(($I68:AB68))-SUMPRODUCT(($I68:AB68)*($I$6:AB$6&lt;=(AB$6-$E15)))</f>
        <v>0</v>
      </c>
      <c r="AC73" s="118" cm="1">
        <f t="array" ref="AC73">SUMPRODUCT(($I68:AC68))-SUMPRODUCT(($I68:AC68)*($I$6:AC$6&lt;=(AC$6-$E15)))</f>
        <v>0</v>
      </c>
      <c r="AD73" s="118" cm="1">
        <f t="array" ref="AD73">SUMPRODUCT(($I68:AD68))-SUMPRODUCT(($I68:AD68)*($I$6:AD$6&lt;=(AD$6-$E15)))</f>
        <v>0</v>
      </c>
      <c r="AE73" s="118" cm="1">
        <f t="array" ref="AE73">SUMPRODUCT(($I68:AE68))-SUMPRODUCT(($I68:AE68)*($I$6:AE$6&lt;=(AE$6-$E15)))</f>
        <v>0</v>
      </c>
      <c r="AF73" s="118" cm="1">
        <f t="array" ref="AF73">SUMPRODUCT(($I68:AF68))-SUMPRODUCT(($I68:AF68)*($I$6:AF$6&lt;=(AF$6-$E15)))</f>
        <v>0</v>
      </c>
      <c r="AG73" s="118" cm="1">
        <f t="array" ref="AG73">SUMPRODUCT(($I68:AG68))-SUMPRODUCT(($I68:AG68)*($I$6:AG$6&lt;=(AG$6-$E15)))</f>
        <v>0</v>
      </c>
    </row>
    <row r="74" spans="1:33" x14ac:dyDescent="0.3">
      <c r="A74" s="8"/>
      <c r="B74" s="8"/>
      <c r="C74" s="4" t="str">
        <f>C16</f>
        <v>&lt; Enter description &gt;</v>
      </c>
      <c r="D74" s="38"/>
      <c r="F74" s="97"/>
      <c r="G74" s="210">
        <f>input_dollars</f>
        <v>45291</v>
      </c>
      <c r="H74" s="31"/>
      <c r="I74" s="118" cm="1">
        <f t="array" ref="I74">SUMPRODUCT(($I69:I69))-SUMPRODUCT(($I69:I69)*($I$6:I$6&lt;=(I$6-$E16)))</f>
        <v>0</v>
      </c>
      <c r="J74" s="118" cm="1">
        <f t="array" ref="J74">SUMPRODUCT(($I69:J69))-SUMPRODUCT(($I69:J69)*($I$6:J$6&lt;=(J$6-$E16)))</f>
        <v>0</v>
      </c>
      <c r="K74" s="118" cm="1">
        <f t="array" ref="K74">SUMPRODUCT(($I69:K69))-SUMPRODUCT(($I69:K69)*($I$6:K$6&lt;=(K$6-$E16)))</f>
        <v>0</v>
      </c>
      <c r="L74" s="118" cm="1">
        <f t="array" ref="L74">SUMPRODUCT(($I69:L69))-SUMPRODUCT(($I69:L69)*($I$6:L$6&lt;=(L$6-$E16)))</f>
        <v>0</v>
      </c>
      <c r="M74" s="118" cm="1">
        <f t="array" ref="M74">SUMPRODUCT(($I69:M69))-SUMPRODUCT(($I69:M69)*($I$6:M$6&lt;=(M$6-$E16)))</f>
        <v>0</v>
      </c>
      <c r="N74" s="118" cm="1">
        <f t="array" ref="N74">SUMPRODUCT(($I69:N69))-SUMPRODUCT(($I69:N69)*($I$6:N$6&lt;=(N$6-$E16)))</f>
        <v>0</v>
      </c>
      <c r="O74" s="118" cm="1">
        <f t="array" ref="O74">SUMPRODUCT(($I69:O69))-SUMPRODUCT(($I69:O69)*($I$6:O$6&lt;=(O$6-$E16)))</f>
        <v>0</v>
      </c>
      <c r="P74" s="118" cm="1">
        <f t="array" ref="P74">SUMPRODUCT(($I69:P69))-SUMPRODUCT(($I69:P69)*($I$6:P$6&lt;=(P$6-$E16)))</f>
        <v>0</v>
      </c>
      <c r="Q74" s="118" cm="1">
        <f t="array" ref="Q74">SUMPRODUCT(($I69:Q69))-SUMPRODUCT(($I69:Q69)*($I$6:Q$6&lt;=(Q$6-$E16)))</f>
        <v>0</v>
      </c>
      <c r="R74" s="118" cm="1">
        <f t="array" ref="R74">SUMPRODUCT(($I69:R69))-SUMPRODUCT(($I69:R69)*($I$6:R$6&lt;=(R$6-$E16)))</f>
        <v>0</v>
      </c>
      <c r="S74" s="118" cm="1">
        <f t="array" ref="S74">SUMPRODUCT(($I69:S69))-SUMPRODUCT(($I69:S69)*($I$6:S$6&lt;=(S$6-$E16)))</f>
        <v>0</v>
      </c>
      <c r="T74" s="118" cm="1">
        <f t="array" ref="T74">SUMPRODUCT(($I69:T69))-SUMPRODUCT(($I69:T69)*($I$6:T$6&lt;=(T$6-$E16)))</f>
        <v>0</v>
      </c>
      <c r="U74" s="118" cm="1">
        <f t="array" ref="U74">SUMPRODUCT(($I69:U69))-SUMPRODUCT(($I69:U69)*($I$6:U$6&lt;=(U$6-$E16)))</f>
        <v>0</v>
      </c>
      <c r="V74" s="118" cm="1">
        <f t="array" ref="V74">SUMPRODUCT(($I69:V69))-SUMPRODUCT(($I69:V69)*($I$6:V$6&lt;=(V$6-$E16)))</f>
        <v>0</v>
      </c>
      <c r="W74" s="118" cm="1">
        <f t="array" ref="W74">SUMPRODUCT(($I69:W69))-SUMPRODUCT(($I69:W69)*($I$6:W$6&lt;=(W$6-$E16)))</f>
        <v>0</v>
      </c>
      <c r="X74" s="118" cm="1">
        <f t="array" ref="X74">SUMPRODUCT(($I69:X69))-SUMPRODUCT(($I69:X69)*($I$6:X$6&lt;=(X$6-$E16)))</f>
        <v>0</v>
      </c>
      <c r="Y74" s="118" cm="1">
        <f t="array" ref="Y74">SUMPRODUCT(($I69:Y69))-SUMPRODUCT(($I69:Y69)*($I$6:Y$6&lt;=(Y$6-$E16)))</f>
        <v>0</v>
      </c>
      <c r="Z74" s="118" cm="1">
        <f t="array" ref="Z74">SUMPRODUCT(($I69:Z69))-SUMPRODUCT(($I69:Z69)*($I$6:Z$6&lt;=(Z$6-$E16)))</f>
        <v>0</v>
      </c>
      <c r="AA74" s="118" cm="1">
        <f t="array" ref="AA74">SUMPRODUCT(($I69:AA69))-SUMPRODUCT(($I69:AA69)*($I$6:AA$6&lt;=(AA$6-$E16)))</f>
        <v>0</v>
      </c>
      <c r="AB74" s="118" cm="1">
        <f t="array" ref="AB74">SUMPRODUCT(($I69:AB69))-SUMPRODUCT(($I69:AB69)*($I$6:AB$6&lt;=(AB$6-$E16)))</f>
        <v>0</v>
      </c>
      <c r="AC74" s="118" cm="1">
        <f t="array" ref="AC74">SUMPRODUCT(($I69:AC69))-SUMPRODUCT(($I69:AC69)*($I$6:AC$6&lt;=(AC$6-$E16)))</f>
        <v>0</v>
      </c>
      <c r="AD74" s="118" cm="1">
        <f t="array" ref="AD74">SUMPRODUCT(($I69:AD69))-SUMPRODUCT(($I69:AD69)*($I$6:AD$6&lt;=(AD$6-$E16)))</f>
        <v>0</v>
      </c>
      <c r="AE74" s="118" cm="1">
        <f t="array" ref="AE74">SUMPRODUCT(($I69:AE69))-SUMPRODUCT(($I69:AE69)*($I$6:AE$6&lt;=(AE$6-$E16)))</f>
        <v>0</v>
      </c>
      <c r="AF74" s="118" cm="1">
        <f t="array" ref="AF74">SUMPRODUCT(($I69:AF69))-SUMPRODUCT(($I69:AF69)*($I$6:AF$6&lt;=(AF$6-$E16)))</f>
        <v>0</v>
      </c>
      <c r="AG74" s="118" cm="1">
        <f t="array" ref="AG74">SUMPRODUCT(($I69:AG69))-SUMPRODUCT(($I69:AG69)*($I$6:AG$6&lt;=(AG$6-$E16)))</f>
        <v>0</v>
      </c>
    </row>
    <row r="75" spans="1:33" x14ac:dyDescent="0.3">
      <c r="A75" s="8"/>
      <c r="B75" s="8"/>
      <c r="C75" s="4"/>
      <c r="D75" s="38"/>
      <c r="F75" s="97"/>
      <c r="G75" s="214"/>
      <c r="H75" s="31"/>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row>
    <row r="76" spans="1:33" x14ac:dyDescent="0.3">
      <c r="A76" s="8"/>
      <c r="B76" s="8"/>
      <c r="C76" s="147" t="s">
        <v>92</v>
      </c>
      <c r="D76" s="38"/>
      <c r="F76" s="97"/>
      <c r="G76" s="213"/>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3">
      <c r="A77" s="8"/>
      <c r="B77" s="8"/>
      <c r="C77" s="4" t="str">
        <f>$C$76&amp;" - "&amp;C14</f>
        <v>Annualised capex - No change to existing practices</v>
      </c>
      <c r="D77" s="38"/>
      <c r="F77" s="97"/>
      <c r="G77" s="210">
        <f>input_dollars</f>
        <v>45291</v>
      </c>
      <c r="H77" s="31"/>
      <c r="I77" s="118">
        <f t="shared" ref="I77:AG77" si="8">IF($E14=0,0,-PMT(real_disc, $E14,H72,))</f>
        <v>0</v>
      </c>
      <c r="J77" s="118">
        <f t="shared" si="8"/>
        <v>-21316.854783273993</v>
      </c>
      <c r="K77" s="118">
        <f t="shared" si="8"/>
        <v>-134935.69077812435</v>
      </c>
      <c r="L77" s="118">
        <f t="shared" si="8"/>
        <v>-134935.69077812435</v>
      </c>
      <c r="M77" s="118">
        <f t="shared" si="8"/>
        <v>-134935.69077812435</v>
      </c>
      <c r="N77" s="118">
        <f t="shared" si="8"/>
        <v>-134935.69077812435</v>
      </c>
      <c r="O77" s="118">
        <f t="shared" si="8"/>
        <v>-134935.69077812435</v>
      </c>
      <c r="P77" s="118">
        <f t="shared" si="8"/>
        <v>-134935.69077812435</v>
      </c>
      <c r="Q77" s="118">
        <f t="shared" si="8"/>
        <v>-134935.69077812435</v>
      </c>
      <c r="R77" s="118">
        <f t="shared" si="8"/>
        <v>-134935.69077812435</v>
      </c>
      <c r="S77" s="118">
        <f t="shared" si="8"/>
        <v>-134935.69077812435</v>
      </c>
      <c r="T77" s="118">
        <f t="shared" si="8"/>
        <v>-134935.69077812435</v>
      </c>
      <c r="U77" s="118">
        <f t="shared" si="8"/>
        <v>-134935.69077812435</v>
      </c>
      <c r="V77" s="118">
        <f t="shared" si="8"/>
        <v>-134935.69077812435</v>
      </c>
      <c r="W77" s="118">
        <f t="shared" si="8"/>
        <v>-134935.69077812435</v>
      </c>
      <c r="X77" s="118">
        <f t="shared" si="8"/>
        <v>-134935.69077812435</v>
      </c>
      <c r="Y77" s="118">
        <f t="shared" si="8"/>
        <v>-134935.69077812435</v>
      </c>
      <c r="Z77" s="118">
        <f t="shared" si="8"/>
        <v>-134935.69077812435</v>
      </c>
      <c r="AA77" s="118">
        <f t="shared" si="8"/>
        <v>-134935.69077812435</v>
      </c>
      <c r="AB77" s="118">
        <f t="shared" si="8"/>
        <v>-134935.69077812435</v>
      </c>
      <c r="AC77" s="118">
        <f t="shared" si="8"/>
        <v>-134935.69077812435</v>
      </c>
      <c r="AD77" s="118">
        <f t="shared" si="8"/>
        <v>-134935.69077812435</v>
      </c>
      <c r="AE77" s="118">
        <f t="shared" si="8"/>
        <v>-134935.69077812435</v>
      </c>
      <c r="AF77" s="118">
        <f t="shared" si="8"/>
        <v>-134935.69077812435</v>
      </c>
      <c r="AG77" s="118">
        <f t="shared" si="8"/>
        <v>-134935.69077812435</v>
      </c>
    </row>
    <row r="78" spans="1:33" x14ac:dyDescent="0.3">
      <c r="A78" s="8"/>
      <c r="B78" s="8"/>
      <c r="C78" s="4" t="str">
        <f>$C$76&amp;" - "&amp;C15</f>
        <v>Annualised capex - &lt; Enter description &gt;</v>
      </c>
      <c r="D78" s="38"/>
      <c r="F78" s="97"/>
      <c r="G78" s="210">
        <f>input_dollars</f>
        <v>45291</v>
      </c>
      <c r="H78" s="31"/>
      <c r="I78" s="118">
        <f t="shared" ref="I78:AG78" si="9">IF($E15=0,0,-PMT(real_disc, $E15,H73,))</f>
        <v>0</v>
      </c>
      <c r="J78" s="118">
        <f t="shared" si="9"/>
        <v>0</v>
      </c>
      <c r="K78" s="118">
        <f t="shared" si="9"/>
        <v>0</v>
      </c>
      <c r="L78" s="118">
        <f t="shared" si="9"/>
        <v>0</v>
      </c>
      <c r="M78" s="118">
        <f t="shared" si="9"/>
        <v>0</v>
      </c>
      <c r="N78" s="118">
        <f t="shared" si="9"/>
        <v>0</v>
      </c>
      <c r="O78" s="118">
        <f t="shared" si="9"/>
        <v>0</v>
      </c>
      <c r="P78" s="118">
        <f t="shared" si="9"/>
        <v>0</v>
      </c>
      <c r="Q78" s="118">
        <f t="shared" si="9"/>
        <v>0</v>
      </c>
      <c r="R78" s="118">
        <f t="shared" si="9"/>
        <v>0</v>
      </c>
      <c r="S78" s="118">
        <f t="shared" si="9"/>
        <v>0</v>
      </c>
      <c r="T78" s="118">
        <f t="shared" si="9"/>
        <v>0</v>
      </c>
      <c r="U78" s="118">
        <f t="shared" si="9"/>
        <v>0</v>
      </c>
      <c r="V78" s="118">
        <f t="shared" si="9"/>
        <v>0</v>
      </c>
      <c r="W78" s="118">
        <f t="shared" si="9"/>
        <v>0</v>
      </c>
      <c r="X78" s="118">
        <f t="shared" si="9"/>
        <v>0</v>
      </c>
      <c r="Y78" s="118">
        <f t="shared" si="9"/>
        <v>0</v>
      </c>
      <c r="Z78" s="118">
        <f t="shared" si="9"/>
        <v>0</v>
      </c>
      <c r="AA78" s="118">
        <f t="shared" si="9"/>
        <v>0</v>
      </c>
      <c r="AB78" s="118">
        <f t="shared" si="9"/>
        <v>0</v>
      </c>
      <c r="AC78" s="118">
        <f t="shared" si="9"/>
        <v>0</v>
      </c>
      <c r="AD78" s="118">
        <f t="shared" si="9"/>
        <v>0</v>
      </c>
      <c r="AE78" s="118">
        <f t="shared" si="9"/>
        <v>0</v>
      </c>
      <c r="AF78" s="118">
        <f t="shared" si="9"/>
        <v>0</v>
      </c>
      <c r="AG78" s="118">
        <f t="shared" si="9"/>
        <v>0</v>
      </c>
    </row>
    <row r="79" spans="1:33" x14ac:dyDescent="0.3">
      <c r="A79" s="8"/>
      <c r="B79" s="8"/>
      <c r="C79" s="4" t="str">
        <f>$C$76&amp;" - "&amp;C16</f>
        <v>Annualised capex - &lt; Enter description &gt;</v>
      </c>
      <c r="D79" s="38"/>
      <c r="F79" s="97"/>
      <c r="G79" s="210">
        <f>input_dollars</f>
        <v>45291</v>
      </c>
      <c r="H79" s="31"/>
      <c r="I79" s="118">
        <f t="shared" ref="I79:AG79" si="10">IF($E16=0,0,-PMT(real_disc, $E16,H74,))</f>
        <v>0</v>
      </c>
      <c r="J79" s="118">
        <f t="shared" si="10"/>
        <v>0</v>
      </c>
      <c r="K79" s="118">
        <f t="shared" si="10"/>
        <v>0</v>
      </c>
      <c r="L79" s="118">
        <f t="shared" si="10"/>
        <v>0</v>
      </c>
      <c r="M79" s="118">
        <f t="shared" si="10"/>
        <v>0</v>
      </c>
      <c r="N79" s="118">
        <f t="shared" si="10"/>
        <v>0</v>
      </c>
      <c r="O79" s="118">
        <f t="shared" si="10"/>
        <v>0</v>
      </c>
      <c r="P79" s="118">
        <f t="shared" si="10"/>
        <v>0</v>
      </c>
      <c r="Q79" s="118">
        <f t="shared" si="10"/>
        <v>0</v>
      </c>
      <c r="R79" s="118">
        <f t="shared" si="10"/>
        <v>0</v>
      </c>
      <c r="S79" s="118">
        <f t="shared" si="10"/>
        <v>0</v>
      </c>
      <c r="T79" s="118">
        <f t="shared" si="10"/>
        <v>0</v>
      </c>
      <c r="U79" s="118">
        <f t="shared" si="10"/>
        <v>0</v>
      </c>
      <c r="V79" s="118">
        <f t="shared" si="10"/>
        <v>0</v>
      </c>
      <c r="W79" s="118">
        <f t="shared" si="10"/>
        <v>0</v>
      </c>
      <c r="X79" s="118">
        <f t="shared" si="10"/>
        <v>0</v>
      </c>
      <c r="Y79" s="118">
        <f t="shared" si="10"/>
        <v>0</v>
      </c>
      <c r="Z79" s="118">
        <f t="shared" si="10"/>
        <v>0</v>
      </c>
      <c r="AA79" s="118">
        <f t="shared" si="10"/>
        <v>0</v>
      </c>
      <c r="AB79" s="118">
        <f t="shared" si="10"/>
        <v>0</v>
      </c>
      <c r="AC79" s="118">
        <f t="shared" si="10"/>
        <v>0</v>
      </c>
      <c r="AD79" s="118">
        <f t="shared" si="10"/>
        <v>0</v>
      </c>
      <c r="AE79" s="118">
        <f t="shared" si="10"/>
        <v>0</v>
      </c>
      <c r="AF79" s="118">
        <f t="shared" si="10"/>
        <v>0</v>
      </c>
      <c r="AG79" s="118">
        <f t="shared" si="10"/>
        <v>0</v>
      </c>
    </row>
    <row r="80" spans="1:33" x14ac:dyDescent="0.3">
      <c r="A80" s="8"/>
      <c r="B80" s="8"/>
      <c r="C80" s="172" t="s">
        <v>163</v>
      </c>
      <c r="D80" s="172"/>
      <c r="E80" s="173"/>
      <c r="F80" s="174"/>
      <c r="G80" s="215">
        <f>input_dollars</f>
        <v>45291</v>
      </c>
      <c r="H80" s="175"/>
      <c r="I80" s="176">
        <f>SUM(I77:I79)</f>
        <v>0</v>
      </c>
      <c r="J80" s="176">
        <f t="shared" ref="J80:AB80" si="11">SUM(J77:J79)</f>
        <v>-21316.854783273993</v>
      </c>
      <c r="K80" s="176">
        <f t="shared" si="11"/>
        <v>-134935.69077812435</v>
      </c>
      <c r="L80" s="176">
        <f t="shared" si="11"/>
        <v>-134935.69077812435</v>
      </c>
      <c r="M80" s="176">
        <f t="shared" si="11"/>
        <v>-134935.69077812435</v>
      </c>
      <c r="N80" s="176">
        <f t="shared" si="11"/>
        <v>-134935.69077812435</v>
      </c>
      <c r="O80" s="176">
        <f t="shared" si="11"/>
        <v>-134935.69077812435</v>
      </c>
      <c r="P80" s="176">
        <f t="shared" si="11"/>
        <v>-134935.69077812435</v>
      </c>
      <c r="Q80" s="176">
        <f t="shared" si="11"/>
        <v>-134935.69077812435</v>
      </c>
      <c r="R80" s="176">
        <f t="shared" si="11"/>
        <v>-134935.69077812435</v>
      </c>
      <c r="S80" s="176">
        <f t="shared" si="11"/>
        <v>-134935.69077812435</v>
      </c>
      <c r="T80" s="176">
        <f t="shared" si="11"/>
        <v>-134935.69077812435</v>
      </c>
      <c r="U80" s="176">
        <f t="shared" si="11"/>
        <v>-134935.69077812435</v>
      </c>
      <c r="V80" s="176">
        <f t="shared" si="11"/>
        <v>-134935.69077812435</v>
      </c>
      <c r="W80" s="176">
        <f t="shared" si="11"/>
        <v>-134935.69077812435</v>
      </c>
      <c r="X80" s="176">
        <f t="shared" si="11"/>
        <v>-134935.69077812435</v>
      </c>
      <c r="Y80" s="176">
        <f t="shared" si="11"/>
        <v>-134935.69077812435</v>
      </c>
      <c r="Z80" s="176">
        <f t="shared" si="11"/>
        <v>-134935.69077812435</v>
      </c>
      <c r="AA80" s="176">
        <f t="shared" si="11"/>
        <v>-134935.69077812435</v>
      </c>
      <c r="AB80" s="176">
        <f t="shared" si="11"/>
        <v>-134935.69077812435</v>
      </c>
      <c r="AC80" s="176">
        <f>SUM(AC77:AC79)</f>
        <v>-134935.69077812435</v>
      </c>
      <c r="AD80" s="176">
        <f>SUM(AD77:AD79)</f>
        <v>-134935.69077812435</v>
      </c>
      <c r="AE80" s="176">
        <f>SUM(AE77:AE79)</f>
        <v>-134935.69077812435</v>
      </c>
      <c r="AF80" s="176">
        <f>SUM(AF77:AF79)</f>
        <v>-134935.69077812435</v>
      </c>
      <c r="AG80" s="176">
        <f>SUM(AG77:AG79)</f>
        <v>-134935.69077812435</v>
      </c>
    </row>
    <row r="81" spans="1:33" ht="13.5" x14ac:dyDescent="0.3">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3">
      <c r="A82" s="8"/>
      <c r="B82" s="8"/>
      <c r="C82" s="4" t="s">
        <v>92</v>
      </c>
      <c r="D82" s="38"/>
      <c r="F82" s="97"/>
      <c r="G82" s="210">
        <f t="shared" ref="G82:G87" si="12">input_dollars</f>
        <v>45291</v>
      </c>
      <c r="H82" s="31"/>
      <c r="I82" s="118">
        <f>I80</f>
        <v>0</v>
      </c>
      <c r="J82" s="118">
        <f t="shared" ref="J82:AB82" si="13">J80</f>
        <v>-21316.854783273993</v>
      </c>
      <c r="K82" s="118">
        <f t="shared" si="13"/>
        <v>-134935.69077812435</v>
      </c>
      <c r="L82" s="118">
        <f t="shared" si="13"/>
        <v>-134935.69077812435</v>
      </c>
      <c r="M82" s="118">
        <f t="shared" si="13"/>
        <v>-134935.69077812435</v>
      </c>
      <c r="N82" s="118">
        <f t="shared" si="13"/>
        <v>-134935.69077812435</v>
      </c>
      <c r="O82" s="118">
        <f t="shared" si="13"/>
        <v>-134935.69077812435</v>
      </c>
      <c r="P82" s="118">
        <f t="shared" si="13"/>
        <v>-134935.69077812435</v>
      </c>
      <c r="Q82" s="118">
        <f t="shared" si="13"/>
        <v>-134935.69077812435</v>
      </c>
      <c r="R82" s="118">
        <f t="shared" si="13"/>
        <v>-134935.69077812435</v>
      </c>
      <c r="S82" s="118">
        <f t="shared" si="13"/>
        <v>-134935.69077812435</v>
      </c>
      <c r="T82" s="118">
        <f t="shared" si="13"/>
        <v>-134935.69077812435</v>
      </c>
      <c r="U82" s="118">
        <f t="shared" si="13"/>
        <v>-134935.69077812435</v>
      </c>
      <c r="V82" s="118">
        <f t="shared" si="13"/>
        <v>-134935.69077812435</v>
      </c>
      <c r="W82" s="118">
        <f t="shared" si="13"/>
        <v>-134935.69077812435</v>
      </c>
      <c r="X82" s="118">
        <f t="shared" si="13"/>
        <v>-134935.69077812435</v>
      </c>
      <c r="Y82" s="118">
        <f t="shared" si="13"/>
        <v>-134935.69077812435</v>
      </c>
      <c r="Z82" s="118">
        <f t="shared" si="13"/>
        <v>-134935.69077812435</v>
      </c>
      <c r="AA82" s="118">
        <f t="shared" si="13"/>
        <v>-134935.69077812435</v>
      </c>
      <c r="AB82" s="118">
        <f t="shared" si="13"/>
        <v>-134935.69077812435</v>
      </c>
      <c r="AC82" s="118">
        <f>AC80</f>
        <v>-134935.69077812435</v>
      </c>
      <c r="AD82" s="118">
        <f>AD80</f>
        <v>-134935.69077812435</v>
      </c>
      <c r="AE82" s="118">
        <f>AE80</f>
        <v>-134935.69077812435</v>
      </c>
      <c r="AF82" s="118">
        <f>AF80</f>
        <v>-134935.69077812435</v>
      </c>
      <c r="AG82" s="118">
        <f>AG80</f>
        <v>-134935.69077812435</v>
      </c>
    </row>
    <row r="83" spans="1:33" x14ac:dyDescent="0.3">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0</v>
      </c>
      <c r="N83" s="31">
        <f t="shared" si="14"/>
        <v>0</v>
      </c>
      <c r="O83" s="31">
        <f t="shared" si="14"/>
        <v>0</v>
      </c>
      <c r="P83" s="31">
        <f t="shared" si="14"/>
        <v>0</v>
      </c>
      <c r="Q83" s="31">
        <f t="shared" si="14"/>
        <v>0</v>
      </c>
      <c r="R83" s="31">
        <f t="shared" si="14"/>
        <v>0</v>
      </c>
      <c r="S83" s="31">
        <f t="shared" si="14"/>
        <v>0</v>
      </c>
      <c r="T83" s="31">
        <f t="shared" si="14"/>
        <v>0</v>
      </c>
      <c r="U83" s="31">
        <f t="shared" si="14"/>
        <v>0</v>
      </c>
      <c r="V83" s="31">
        <f t="shared" si="14"/>
        <v>0</v>
      </c>
      <c r="W83" s="31">
        <f t="shared" si="14"/>
        <v>0</v>
      </c>
      <c r="X83" s="31">
        <f t="shared" si="14"/>
        <v>0</v>
      </c>
      <c r="Y83" s="31">
        <f t="shared" si="14"/>
        <v>0</v>
      </c>
      <c r="Z83" s="31">
        <f t="shared" si="14"/>
        <v>0</v>
      </c>
      <c r="AA83" s="31">
        <f t="shared" si="14"/>
        <v>0</v>
      </c>
      <c r="AB83" s="31">
        <f t="shared" si="14"/>
        <v>0</v>
      </c>
      <c r="AC83" s="31">
        <f t="shared" si="14"/>
        <v>0</v>
      </c>
      <c r="AD83" s="31">
        <f t="shared" si="14"/>
        <v>0</v>
      </c>
      <c r="AE83" s="31">
        <f t="shared" si="14"/>
        <v>0</v>
      </c>
      <c r="AF83" s="31">
        <f t="shared" si="14"/>
        <v>0</v>
      </c>
      <c r="AG83" s="31">
        <f t="shared" si="14"/>
        <v>0</v>
      </c>
    </row>
    <row r="84" spans="1:33" x14ac:dyDescent="0.3">
      <c r="A84" s="8"/>
      <c r="B84" s="8"/>
      <c r="C84" s="4" t="s">
        <v>144</v>
      </c>
      <c r="D84" s="38"/>
      <c r="F84" s="97"/>
      <c r="G84" s="210">
        <f t="shared" si="12"/>
        <v>45291</v>
      </c>
      <c r="H84" s="31"/>
      <c r="I84" s="31">
        <f>I64</f>
        <v>0</v>
      </c>
      <c r="J84" s="31">
        <f t="shared" ref="J84:AB84" si="15">J64</f>
        <v>871326.40787053294</v>
      </c>
      <c r="K84" s="31">
        <f t="shared" si="15"/>
        <v>892143.45418688655</v>
      </c>
      <c r="L84" s="31">
        <f t="shared" si="15"/>
        <v>912961.20897683036</v>
      </c>
      <c r="M84" s="31">
        <f t="shared" si="15"/>
        <v>933778.77580439299</v>
      </c>
      <c r="N84" s="31">
        <f t="shared" si="15"/>
        <v>927273.28638340719</v>
      </c>
      <c r="O84" s="31">
        <f t="shared" si="15"/>
        <v>920768.16863463959</v>
      </c>
      <c r="P84" s="31">
        <f t="shared" si="15"/>
        <v>914262.62903365167</v>
      </c>
      <c r="Q84" s="31">
        <f t="shared" si="15"/>
        <v>907757.08943266375</v>
      </c>
      <c r="R84" s="31">
        <f t="shared" si="15"/>
        <v>901251.54983167537</v>
      </c>
      <c r="S84" s="31">
        <f t="shared" si="15"/>
        <v>894746.01023068652</v>
      </c>
      <c r="T84" s="31">
        <f t="shared" si="15"/>
        <v>888240.4706296986</v>
      </c>
      <c r="U84" s="31">
        <f t="shared" si="15"/>
        <v>881734.93102871021</v>
      </c>
      <c r="V84" s="31">
        <f t="shared" si="15"/>
        <v>875229.39142772136</v>
      </c>
      <c r="W84" s="31">
        <f t="shared" si="15"/>
        <v>868723.85182673344</v>
      </c>
      <c r="X84" s="31">
        <f t="shared" si="15"/>
        <v>862218.31222574506</v>
      </c>
      <c r="Y84" s="31">
        <f t="shared" si="15"/>
        <v>855712.77262475668</v>
      </c>
      <c r="Z84" s="31">
        <f t="shared" si="15"/>
        <v>849207.23302376829</v>
      </c>
      <c r="AA84" s="31">
        <f t="shared" si="15"/>
        <v>842701.69342277991</v>
      </c>
      <c r="AB84" s="31">
        <f t="shared" si="15"/>
        <v>836196.15382179152</v>
      </c>
      <c r="AC84" s="31">
        <f>AC64</f>
        <v>829690.6142208036</v>
      </c>
      <c r="AD84" s="31">
        <f>AD64</f>
        <v>823185.07461981475</v>
      </c>
      <c r="AE84" s="31">
        <f>AE64</f>
        <v>816680.3855273379</v>
      </c>
      <c r="AF84" s="31">
        <f>AF64</f>
        <v>810174.84592634998</v>
      </c>
      <c r="AG84" s="31">
        <f>AG64</f>
        <v>803669.30632536113</v>
      </c>
    </row>
    <row r="85" spans="1:33" x14ac:dyDescent="0.3">
      <c r="A85" s="8"/>
      <c r="B85" s="8"/>
      <c r="C85" s="4" t="s">
        <v>123</v>
      </c>
      <c r="D85" s="38"/>
      <c r="F85" s="97"/>
      <c r="G85" s="210">
        <f t="shared" si="12"/>
        <v>45291</v>
      </c>
      <c r="H85" s="31"/>
      <c r="I85" s="31">
        <f t="shared" ref="I85:AG85" si="16">I57</f>
        <v>0</v>
      </c>
      <c r="J85" s="31">
        <f t="shared" si="16"/>
        <v>418252.18200224824</v>
      </c>
      <c r="K85" s="31">
        <f t="shared" si="16"/>
        <v>418252.18200224824</v>
      </c>
      <c r="L85" s="31">
        <f t="shared" si="16"/>
        <v>418252.18200224824</v>
      </c>
      <c r="M85" s="31">
        <f t="shared" si="16"/>
        <v>418252.18200224824</v>
      </c>
      <c r="N85" s="31">
        <f t="shared" si="16"/>
        <v>418252.18200224824</v>
      </c>
      <c r="O85" s="31">
        <f t="shared" si="16"/>
        <v>418252.18200224824</v>
      </c>
      <c r="P85" s="31">
        <f t="shared" si="16"/>
        <v>418252.18200224824</v>
      </c>
      <c r="Q85" s="31">
        <f t="shared" si="16"/>
        <v>418252.18200224824</v>
      </c>
      <c r="R85" s="31">
        <f t="shared" si="16"/>
        <v>418252.18200224824</v>
      </c>
      <c r="S85" s="31">
        <f t="shared" si="16"/>
        <v>418252.18200224824</v>
      </c>
      <c r="T85" s="31">
        <f t="shared" si="16"/>
        <v>418252.18200224824</v>
      </c>
      <c r="U85" s="31">
        <f t="shared" si="16"/>
        <v>418252.18200224824</v>
      </c>
      <c r="V85" s="31">
        <f t="shared" si="16"/>
        <v>418252.18200224824</v>
      </c>
      <c r="W85" s="31">
        <f t="shared" si="16"/>
        <v>418252.18200224824</v>
      </c>
      <c r="X85" s="31">
        <f t="shared" si="16"/>
        <v>418252.18200224824</v>
      </c>
      <c r="Y85" s="31">
        <f t="shared" si="16"/>
        <v>418252.18200224824</v>
      </c>
      <c r="Z85" s="31">
        <f t="shared" si="16"/>
        <v>418252.18200224824</v>
      </c>
      <c r="AA85" s="31">
        <f t="shared" si="16"/>
        <v>418252.18200224824</v>
      </c>
      <c r="AB85" s="31">
        <f t="shared" si="16"/>
        <v>418252.18200224824</v>
      </c>
      <c r="AC85" s="31">
        <f t="shared" si="16"/>
        <v>418252.18200224824</v>
      </c>
      <c r="AD85" s="31">
        <f t="shared" si="16"/>
        <v>418252.18200224824</v>
      </c>
      <c r="AE85" s="31">
        <f t="shared" si="16"/>
        <v>418252.18200224824</v>
      </c>
      <c r="AF85" s="31">
        <f t="shared" si="16"/>
        <v>418252.18200224824</v>
      </c>
      <c r="AG85" s="31">
        <f t="shared" si="16"/>
        <v>418252.18200224824</v>
      </c>
    </row>
    <row r="86" spans="1:33" x14ac:dyDescent="0.3">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3">
      <c r="A87" s="8"/>
      <c r="B87" s="8"/>
      <c r="C87" s="177" t="s">
        <v>194</v>
      </c>
      <c r="D87" s="178"/>
      <c r="E87" s="173"/>
      <c r="F87" s="179"/>
      <c r="G87" s="215">
        <f t="shared" si="12"/>
        <v>45291</v>
      </c>
      <c r="H87" s="179"/>
      <c r="I87" s="179">
        <f t="shared" ref="I87:AB87" si="17">SUM(I82:I86)</f>
        <v>0</v>
      </c>
      <c r="J87" s="179">
        <f t="shared" si="17"/>
        <v>1268261.7350895072</v>
      </c>
      <c r="K87" s="179">
        <f t="shared" si="17"/>
        <v>1175459.9454110104</v>
      </c>
      <c r="L87" s="179">
        <f t="shared" si="17"/>
        <v>1196277.7002009542</v>
      </c>
      <c r="M87" s="179">
        <f t="shared" si="17"/>
        <v>1217095.2670285169</v>
      </c>
      <c r="N87" s="179">
        <f t="shared" si="17"/>
        <v>1210589.7776075311</v>
      </c>
      <c r="O87" s="179">
        <f t="shared" si="17"/>
        <v>1204084.6598587635</v>
      </c>
      <c r="P87" s="179">
        <f t="shared" si="17"/>
        <v>1197579.1202577755</v>
      </c>
      <c r="Q87" s="179">
        <f t="shared" si="17"/>
        <v>1191073.5806567876</v>
      </c>
      <c r="R87" s="179">
        <f t="shared" si="17"/>
        <v>1184568.0410557992</v>
      </c>
      <c r="S87" s="179">
        <f t="shared" si="17"/>
        <v>1178062.5014548104</v>
      </c>
      <c r="T87" s="179">
        <f t="shared" si="17"/>
        <v>1171556.9618538225</v>
      </c>
      <c r="U87" s="179">
        <f t="shared" si="17"/>
        <v>1165051.4222528341</v>
      </c>
      <c r="V87" s="179">
        <f t="shared" si="17"/>
        <v>1158545.8826518452</v>
      </c>
      <c r="W87" s="179">
        <f t="shared" si="17"/>
        <v>1152040.3430508573</v>
      </c>
      <c r="X87" s="179">
        <f t="shared" si="17"/>
        <v>1145534.8034498689</v>
      </c>
      <c r="Y87" s="179">
        <f t="shared" si="17"/>
        <v>1139029.2638488805</v>
      </c>
      <c r="Z87" s="179">
        <f t="shared" si="17"/>
        <v>1132523.7242478922</v>
      </c>
      <c r="AA87" s="179">
        <f t="shared" si="17"/>
        <v>1126018.1846469038</v>
      </c>
      <c r="AB87" s="179">
        <f t="shared" si="17"/>
        <v>1119512.6450459154</v>
      </c>
      <c r="AC87" s="179">
        <f>SUM(AC82:AC86)</f>
        <v>1113007.1054449275</v>
      </c>
      <c r="AD87" s="179">
        <f>SUM(AD82:AD86)</f>
        <v>1106501.5658439386</v>
      </c>
      <c r="AE87" s="179">
        <f>SUM(AE82:AE86)</f>
        <v>1099996.8767514618</v>
      </c>
      <c r="AF87" s="179">
        <f>SUM(AF82:AF86)</f>
        <v>1093491.3371504738</v>
      </c>
      <c r="AG87" s="179">
        <f>SUM(AG82:AG86)</f>
        <v>1086985.797549485</v>
      </c>
    </row>
    <row r="88" spans="1:33" x14ac:dyDescent="0.3">
      <c r="A88" s="8"/>
      <c r="B88" s="8"/>
      <c r="C88" s="75"/>
      <c r="D88" s="138"/>
      <c r="E88" s="64"/>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3">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3">
      <c r="A90" s="8"/>
      <c r="B90" s="8"/>
      <c r="C90" s="230" t="s">
        <v>204</v>
      </c>
      <c r="D90" s="82"/>
      <c r="E90" s="231"/>
      <c r="F90" s="232"/>
      <c r="G90" s="233" cm="1">
        <f t="array" ref="G90">IF(SUM($I17:$AG17)=0,0,(INDEX(I$6:AG$6,MATCH(TRUE,INDEX($I17:$AG17&lt;&gt;0,),0))))</f>
        <v>1</v>
      </c>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3">
      <c r="C91" s="82"/>
      <c r="D91" s="234"/>
      <c r="E91" s="231"/>
      <c r="F91" s="231"/>
      <c r="G91" s="233"/>
    </row>
    <row r="92" spans="1:33" x14ac:dyDescent="0.3">
      <c r="C92" s="235" t="s">
        <v>199</v>
      </c>
      <c r="D92" s="236"/>
      <c r="E92" s="236"/>
      <c r="F92" s="236"/>
      <c r="G92" s="237">
        <f>IF(_xlfn.MINIFS($G$90:$G$91, $G$90:$G$91, "&gt;"&amp;0)=0, $A$4, _xlfn.MINIFS($G$90:$G$91, $G$90:$G$91, "&gt;"&amp;0))</f>
        <v>1</v>
      </c>
    </row>
    <row r="94" spans="1:33" x14ac:dyDescent="0.3">
      <c r="G94" s="12"/>
    </row>
    <row r="102" spans="1:43" ht="14.5" x14ac:dyDescent="0.3">
      <c r="A102" s="89" t="s">
        <v>220</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3">
      <c r="I104" s="242"/>
      <c r="J104" s="242"/>
      <c r="K104" s="242"/>
      <c r="L104" s="242"/>
      <c r="M104" s="242"/>
      <c r="N104" s="242"/>
      <c r="O104" s="242"/>
      <c r="P104" s="242"/>
      <c r="Q104" s="242"/>
      <c r="R104" s="242"/>
      <c r="S104" s="242"/>
      <c r="T104" s="242"/>
      <c r="U104" s="242"/>
      <c r="V104" s="242"/>
      <c r="W104" s="242"/>
      <c r="X104" s="242"/>
      <c r="Y104" s="242"/>
      <c r="Z104" s="242"/>
    </row>
    <row r="105" spans="1:43" x14ac:dyDescent="0.3">
      <c r="I105" s="242"/>
      <c r="J105" s="242"/>
      <c r="K105" s="242"/>
      <c r="L105" s="242"/>
      <c r="M105" s="242"/>
      <c r="N105" s="242"/>
      <c r="O105" s="242"/>
      <c r="P105" s="242"/>
      <c r="Q105" s="242"/>
      <c r="R105" s="242"/>
      <c r="S105" s="242"/>
      <c r="T105" s="242"/>
      <c r="U105" s="242"/>
      <c r="V105" s="242"/>
      <c r="W105" s="242"/>
      <c r="X105" s="242"/>
      <c r="Y105" s="242"/>
      <c r="Z105" s="242"/>
    </row>
    <row r="106" spans="1:43" ht="13.5" x14ac:dyDescent="0.3">
      <c r="A106" s="1" t="s">
        <v>120</v>
      </c>
      <c r="C106" s="1" t="s">
        <v>194</v>
      </c>
      <c r="D106"/>
      <c r="E106"/>
      <c r="F106"/>
      <c r="G106" s="38" t="str">
        <f>PROPER($A$3)&amp;A106</f>
        <v>Option 4NPV</v>
      </c>
      <c r="I106" s="31">
        <f>I87</f>
        <v>0</v>
      </c>
      <c r="J106" s="31">
        <f t="shared" ref="J106:AG106" si="18">J87</f>
        <v>1268261.7350895072</v>
      </c>
      <c r="K106" s="31">
        <f t="shared" si="18"/>
        <v>1175459.9454110104</v>
      </c>
      <c r="L106" s="31">
        <f t="shared" si="18"/>
        <v>1196277.7002009542</v>
      </c>
      <c r="M106" s="31">
        <f t="shared" si="18"/>
        <v>1217095.2670285169</v>
      </c>
      <c r="N106" s="31">
        <f t="shared" si="18"/>
        <v>1210589.7776075311</v>
      </c>
      <c r="O106" s="31">
        <f t="shared" si="18"/>
        <v>1204084.6598587635</v>
      </c>
      <c r="P106" s="31">
        <f t="shared" si="18"/>
        <v>1197579.1202577755</v>
      </c>
      <c r="Q106" s="31">
        <f t="shared" si="18"/>
        <v>1191073.5806567876</v>
      </c>
      <c r="R106" s="31">
        <f t="shared" si="18"/>
        <v>1184568.0410557992</v>
      </c>
      <c r="S106" s="31">
        <f t="shared" si="18"/>
        <v>1178062.5014548104</v>
      </c>
      <c r="T106" s="31">
        <f t="shared" si="18"/>
        <v>1171556.9618538225</v>
      </c>
      <c r="U106" s="31">
        <f t="shared" si="18"/>
        <v>1165051.4222528341</v>
      </c>
      <c r="V106" s="31">
        <f t="shared" si="18"/>
        <v>1158545.8826518452</v>
      </c>
      <c r="W106" s="31">
        <f t="shared" si="18"/>
        <v>1152040.3430508573</v>
      </c>
      <c r="X106" s="31">
        <f t="shared" si="18"/>
        <v>1145534.8034498689</v>
      </c>
      <c r="Y106" s="31">
        <f t="shared" si="18"/>
        <v>1139029.2638488805</v>
      </c>
      <c r="Z106" s="31">
        <f t="shared" si="18"/>
        <v>1132523.7242478922</v>
      </c>
      <c r="AA106" s="31">
        <f t="shared" si="18"/>
        <v>1126018.1846469038</v>
      </c>
      <c r="AB106" s="31">
        <f t="shared" si="18"/>
        <v>1119512.6450459154</v>
      </c>
      <c r="AC106" s="31">
        <f t="shared" si="18"/>
        <v>1113007.1054449275</v>
      </c>
      <c r="AD106" s="31">
        <f t="shared" si="18"/>
        <v>1106501.5658439386</v>
      </c>
      <c r="AE106" s="31">
        <f t="shared" si="18"/>
        <v>1099996.8767514618</v>
      </c>
      <c r="AF106" s="31">
        <f t="shared" si="18"/>
        <v>1093491.3371504738</v>
      </c>
      <c r="AG106" s="31">
        <f t="shared" si="18"/>
        <v>1086985.797549485</v>
      </c>
    </row>
    <row r="107" spans="1:43" ht="13.5" x14ac:dyDescent="0.3">
      <c r="C107" s="1" t="s">
        <v>163</v>
      </c>
      <c r="D107"/>
      <c r="E107"/>
      <c r="F107"/>
      <c r="G107"/>
      <c r="I107" s="31">
        <f>I82</f>
        <v>0</v>
      </c>
      <c r="J107" s="31">
        <f t="shared" ref="J107:AG107" si="19">J82</f>
        <v>-21316.854783273993</v>
      </c>
      <c r="K107" s="31">
        <f t="shared" si="19"/>
        <v>-134935.69077812435</v>
      </c>
      <c r="L107" s="31">
        <f t="shared" si="19"/>
        <v>-134935.69077812435</v>
      </c>
      <c r="M107" s="31">
        <f t="shared" si="19"/>
        <v>-134935.69077812435</v>
      </c>
      <c r="N107" s="31">
        <f t="shared" si="19"/>
        <v>-134935.69077812435</v>
      </c>
      <c r="O107" s="31">
        <f t="shared" si="19"/>
        <v>-134935.69077812435</v>
      </c>
      <c r="P107" s="31">
        <f t="shared" si="19"/>
        <v>-134935.69077812435</v>
      </c>
      <c r="Q107" s="31">
        <f t="shared" si="19"/>
        <v>-134935.69077812435</v>
      </c>
      <c r="R107" s="31">
        <f t="shared" si="19"/>
        <v>-134935.69077812435</v>
      </c>
      <c r="S107" s="31">
        <f t="shared" si="19"/>
        <v>-134935.69077812435</v>
      </c>
      <c r="T107" s="31">
        <f t="shared" si="19"/>
        <v>-134935.69077812435</v>
      </c>
      <c r="U107" s="31">
        <f t="shared" si="19"/>
        <v>-134935.69077812435</v>
      </c>
      <c r="V107" s="31">
        <f t="shared" si="19"/>
        <v>-134935.69077812435</v>
      </c>
      <c r="W107" s="31">
        <f t="shared" si="19"/>
        <v>-134935.69077812435</v>
      </c>
      <c r="X107" s="31">
        <f t="shared" si="19"/>
        <v>-134935.69077812435</v>
      </c>
      <c r="Y107" s="31">
        <f t="shared" si="19"/>
        <v>-134935.69077812435</v>
      </c>
      <c r="Z107" s="31">
        <f t="shared" si="19"/>
        <v>-134935.69077812435</v>
      </c>
      <c r="AA107" s="31">
        <f t="shared" si="19"/>
        <v>-134935.69077812435</v>
      </c>
      <c r="AB107" s="31">
        <f t="shared" si="19"/>
        <v>-134935.69077812435</v>
      </c>
      <c r="AC107" s="31">
        <f t="shared" si="19"/>
        <v>-134935.69077812435</v>
      </c>
      <c r="AD107" s="31">
        <f t="shared" si="19"/>
        <v>-134935.69077812435</v>
      </c>
      <c r="AE107" s="31">
        <f t="shared" si="19"/>
        <v>-134935.69077812435</v>
      </c>
      <c r="AF107" s="31">
        <f t="shared" si="19"/>
        <v>-134935.69077812435</v>
      </c>
      <c r="AG107" s="31">
        <f t="shared" si="19"/>
        <v>-134935.69077812435</v>
      </c>
    </row>
    <row r="108" spans="1:43" ht="13.5" x14ac:dyDescent="0.3">
      <c r="C108" s="1" t="s">
        <v>245</v>
      </c>
      <c r="D108"/>
      <c r="E108"/>
      <c r="F108"/>
      <c r="G108"/>
      <c r="I108" s="31">
        <f>SUM(I84:I85)</f>
        <v>0</v>
      </c>
      <c r="J108" s="31">
        <f t="shared" ref="J108:AG108" si="20">SUM(J84:J85)</f>
        <v>1289578.5898727812</v>
      </c>
      <c r="K108" s="31">
        <f t="shared" si="20"/>
        <v>1310395.6361891348</v>
      </c>
      <c r="L108" s="31">
        <f t="shared" si="20"/>
        <v>1331213.3909790786</v>
      </c>
      <c r="M108" s="31">
        <f t="shared" si="20"/>
        <v>1352030.9578066412</v>
      </c>
      <c r="N108" s="31">
        <f t="shared" si="20"/>
        <v>1345525.4683856554</v>
      </c>
      <c r="O108" s="31">
        <f t="shared" si="20"/>
        <v>1339020.3506368878</v>
      </c>
      <c r="P108" s="31">
        <f t="shared" si="20"/>
        <v>1332514.8110358999</v>
      </c>
      <c r="Q108" s="31">
        <f t="shared" si="20"/>
        <v>1326009.271434912</v>
      </c>
      <c r="R108" s="31">
        <f t="shared" si="20"/>
        <v>1319503.7318339236</v>
      </c>
      <c r="S108" s="31">
        <f t="shared" si="20"/>
        <v>1312998.1922329348</v>
      </c>
      <c r="T108" s="31">
        <f t="shared" si="20"/>
        <v>1306492.6526319468</v>
      </c>
      <c r="U108" s="31">
        <f t="shared" si="20"/>
        <v>1299987.1130309585</v>
      </c>
      <c r="V108" s="31">
        <f t="shared" si="20"/>
        <v>1293481.5734299696</v>
      </c>
      <c r="W108" s="31">
        <f t="shared" si="20"/>
        <v>1286976.0338289817</v>
      </c>
      <c r="X108" s="31">
        <f t="shared" si="20"/>
        <v>1280470.4942279933</v>
      </c>
      <c r="Y108" s="31">
        <f t="shared" si="20"/>
        <v>1273964.9546270049</v>
      </c>
      <c r="Z108" s="31">
        <f t="shared" si="20"/>
        <v>1267459.4150260165</v>
      </c>
      <c r="AA108" s="31">
        <f t="shared" si="20"/>
        <v>1260953.8754250281</v>
      </c>
      <c r="AB108" s="31">
        <f t="shared" si="20"/>
        <v>1254448.3358240398</v>
      </c>
      <c r="AC108" s="31">
        <f t="shared" si="20"/>
        <v>1247942.7962230518</v>
      </c>
      <c r="AD108" s="31">
        <f t="shared" si="20"/>
        <v>1241437.256622063</v>
      </c>
      <c r="AE108" s="31">
        <f t="shared" si="20"/>
        <v>1234932.5675295861</v>
      </c>
      <c r="AF108" s="31">
        <f t="shared" si="20"/>
        <v>1228427.0279285982</v>
      </c>
      <c r="AG108" s="31">
        <f t="shared" si="20"/>
        <v>1221921.4883276094</v>
      </c>
    </row>
    <row r="109" spans="1:43" x14ac:dyDescent="0.3">
      <c r="D109" s="301" t="str">
        <f>Assumptions!G122</f>
        <v>Capex</v>
      </c>
      <c r="E109" s="301" t="str">
        <f>Assumptions!H122</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3">
      <c r="A110" s="1" t="str">
        <f>"sens"&amp;Assumptions!B123</f>
        <v>sens1</v>
      </c>
      <c r="C110" s="300" t="str">
        <f>Assumptions!C123</f>
        <v>Capex 10% higher</v>
      </c>
      <c r="D110" s="301">
        <f>Assumptions!G123</f>
        <v>0.1</v>
      </c>
      <c r="E110" s="301">
        <f>Assumptions!H123</f>
        <v>0</v>
      </c>
      <c r="G110" s="38" t="str">
        <f>PROPER($A$3)&amp;A110</f>
        <v>Option 4sens1</v>
      </c>
      <c r="I110" s="31" cm="1">
        <f t="array" ref="I110">I$106+IF($C110&lt;&gt;0,SUMPRODUCT((I$107:I$108)*TRANSPOSE(($D110:$E110))),0)</f>
        <v>0</v>
      </c>
      <c r="J110" s="31" cm="1">
        <f t="array" ref="J110">J$106+IF($C110&lt;&gt;0,SUMPRODUCT((J$107:J$108)*TRANSPOSE(($D110:$E110))),0)</f>
        <v>1266130.0496111799</v>
      </c>
      <c r="K110" s="31" cm="1">
        <f t="array" ref="K110">K$106+IF($C110&lt;&gt;0,SUMPRODUCT((K$107:K$108)*TRANSPOSE(($D110:$E110))),0)</f>
        <v>1161966.376333198</v>
      </c>
      <c r="L110" s="31" cm="1">
        <f t="array" ref="L110">L$106+IF($C110&lt;&gt;0,SUMPRODUCT((L$107:L$108)*TRANSPOSE(($D110:$E110))),0)</f>
        <v>1182784.1311231419</v>
      </c>
      <c r="M110" s="31" cm="1">
        <f t="array" ref="M110">M$106+IF($C110&lt;&gt;0,SUMPRODUCT((M$107:M$108)*TRANSPOSE(($D110:$E110))),0)</f>
        <v>1203601.6979507045</v>
      </c>
      <c r="N110" s="31" cm="1">
        <f t="array" ref="N110">N$106+IF($C110&lt;&gt;0,SUMPRODUCT((N$107:N$108)*TRANSPOSE(($D110:$E110))),0)</f>
        <v>1197096.2085297187</v>
      </c>
      <c r="O110" s="31" cm="1">
        <f t="array" ref="O110">O$106+IF($C110&lt;&gt;0,SUMPRODUCT((O$107:O$108)*TRANSPOSE(($D110:$E110))),0)</f>
        <v>1190591.0907809511</v>
      </c>
      <c r="P110" s="31" cm="1">
        <f t="array" ref="P110">P$106+IF($C110&lt;&gt;0,SUMPRODUCT((P$107:P$108)*TRANSPOSE(($D110:$E110))),0)</f>
        <v>1184085.5511799632</v>
      </c>
      <c r="Q110" s="31" cm="1">
        <f t="array" ref="Q110">Q$106+IF($C110&lt;&gt;0,SUMPRODUCT((Q$107:Q$108)*TRANSPOSE(($D110:$E110))),0)</f>
        <v>1177580.0115789752</v>
      </c>
      <c r="R110" s="31" cm="1">
        <f t="array" ref="R110">R$106+IF($C110&lt;&gt;0,SUMPRODUCT((R$107:R$108)*TRANSPOSE(($D110:$E110))),0)</f>
        <v>1171074.4719779869</v>
      </c>
      <c r="S110" s="31" cm="1">
        <f t="array" ref="S110">S$106+IF($C110&lt;&gt;0,SUMPRODUCT((S$107:S$108)*TRANSPOSE(($D110:$E110))),0)</f>
        <v>1164568.932376998</v>
      </c>
      <c r="T110" s="31" cm="1">
        <f t="array" ref="T110">T$106+IF($C110&lt;&gt;0,SUMPRODUCT((T$107:T$108)*TRANSPOSE(($D110:$E110))),0)</f>
        <v>1158063.3927760101</v>
      </c>
      <c r="U110" s="31" cm="1">
        <f t="array" ref="U110">U$106+IF($C110&lt;&gt;0,SUMPRODUCT((U$107:U$108)*TRANSPOSE(($D110:$E110))),0)</f>
        <v>1151557.8531750217</v>
      </c>
      <c r="V110" s="31" cm="1">
        <f t="array" ref="V110">V$106+IF($C110&lt;&gt;0,SUMPRODUCT((V$107:V$108)*TRANSPOSE(($D110:$E110))),0)</f>
        <v>1145052.3135740329</v>
      </c>
      <c r="W110" s="31" cm="1">
        <f t="array" ref="W110">W$106+IF($C110&lt;&gt;0,SUMPRODUCT((W$107:W$108)*TRANSPOSE(($D110:$E110))),0)</f>
        <v>1138546.7739730449</v>
      </c>
      <c r="X110" s="31" cm="1">
        <f t="array" ref="X110">X$106+IF($C110&lt;&gt;0,SUMPRODUCT((X$107:X$108)*TRANSPOSE(($D110:$E110))),0)</f>
        <v>1132041.2343720566</v>
      </c>
      <c r="Y110" s="31" cm="1">
        <f t="array" ref="Y110">Y$106+IF($C110&lt;&gt;0,SUMPRODUCT((Y$107:Y$108)*TRANSPOSE(($D110:$E110))),0)</f>
        <v>1125535.6947710682</v>
      </c>
      <c r="Z110" s="31" cm="1">
        <f t="array" ref="Z110">Z$106+IF($C110&lt;&gt;0,SUMPRODUCT((Z$107:Z$108)*TRANSPOSE(($D110:$E110))),0)</f>
        <v>1119030.1551700798</v>
      </c>
      <c r="AA110" s="31" cm="1">
        <f t="array" ref="AA110">AA$106+IF($C110&lt;&gt;0,SUMPRODUCT((AA$107:AA$108)*TRANSPOSE(($D110:$E110))),0)</f>
        <v>1112524.6155690914</v>
      </c>
      <c r="AB110" s="31" cm="1">
        <f t="array" ref="AB110">AB$106+IF($C110&lt;&gt;0,SUMPRODUCT((AB$107:AB$108)*TRANSPOSE(($D110:$E110))),0)</f>
        <v>1106019.075968103</v>
      </c>
      <c r="AC110" s="31" cm="1">
        <f t="array" ref="AC110">AC$106+IF($C110&lt;&gt;0,SUMPRODUCT((AC$107:AC$108)*TRANSPOSE(($D110:$E110))),0)</f>
        <v>1099513.5363671151</v>
      </c>
      <c r="AD110" s="31" cm="1">
        <f t="array" ref="AD110">AD$106+IF($C110&lt;&gt;0,SUMPRODUCT((AD$107:AD$108)*TRANSPOSE(($D110:$E110))),0)</f>
        <v>1093007.9967661262</v>
      </c>
      <c r="AE110" s="31" cm="1">
        <f t="array" ref="AE110">AE$106+IF($C110&lt;&gt;0,SUMPRODUCT((AE$107:AE$108)*TRANSPOSE(($D110:$E110))),0)</f>
        <v>1086503.3076736494</v>
      </c>
      <c r="AF110" s="31" cm="1">
        <f t="array" ref="AF110">AF$106+IF($C110&lt;&gt;0,SUMPRODUCT((AF$107:AF$108)*TRANSPOSE(($D110:$E110))),0)</f>
        <v>1079997.7680726615</v>
      </c>
      <c r="AG110" s="31" cm="1">
        <f t="array" ref="AG110">AG$106+IF($C110&lt;&gt;0,SUMPRODUCT((AG$107:AG$108)*TRANSPOSE(($D110:$E110))),0)</f>
        <v>1073492.2284716726</v>
      </c>
    </row>
    <row r="111" spans="1:43" x14ac:dyDescent="0.3">
      <c r="A111" s="1" t="str">
        <f>"sens"&amp;Assumptions!B124</f>
        <v>sens2</v>
      </c>
      <c r="C111" s="300" t="str">
        <f>Assumptions!C124</f>
        <v>Capex 10% lower</v>
      </c>
      <c r="D111" s="301">
        <f>Assumptions!G124</f>
        <v>-0.1</v>
      </c>
      <c r="E111" s="301">
        <f>Assumptions!H124</f>
        <v>0</v>
      </c>
      <c r="G111" s="38" t="str">
        <f t="shared" ref="G111:G117" si="21">PROPER($A$3)&amp;A111</f>
        <v>Option 4sens2</v>
      </c>
      <c r="I111" s="31" cm="1">
        <f t="array" ref="I111">I$106+IF($C111&lt;&gt;0,SUMPRODUCT((I$107:I$108)*TRANSPOSE(($D111:$E111))),0)</f>
        <v>0</v>
      </c>
      <c r="J111" s="31" cm="1">
        <f t="array" ref="J111">J$106+IF($C111&lt;&gt;0,SUMPRODUCT((J$107:J$108)*TRANSPOSE(($D111:$E111))),0)</f>
        <v>1270393.4205678345</v>
      </c>
      <c r="K111" s="31" cm="1">
        <f t="array" ref="K111">K$106+IF($C111&lt;&gt;0,SUMPRODUCT((K$107:K$108)*TRANSPOSE(($D111:$E111))),0)</f>
        <v>1188953.5144888228</v>
      </c>
      <c r="L111" s="31" cm="1">
        <f t="array" ref="L111">L$106+IF($C111&lt;&gt;0,SUMPRODUCT((L$107:L$108)*TRANSPOSE(($D111:$E111))),0)</f>
        <v>1209771.2692787666</v>
      </c>
      <c r="M111" s="31" cm="1">
        <f t="array" ref="M111">M$106+IF($C111&lt;&gt;0,SUMPRODUCT((M$107:M$108)*TRANSPOSE(($D111:$E111))),0)</f>
        <v>1230588.8361063292</v>
      </c>
      <c r="N111" s="31" cm="1">
        <f t="array" ref="N111">N$106+IF($C111&lt;&gt;0,SUMPRODUCT((N$107:N$108)*TRANSPOSE(($D111:$E111))),0)</f>
        <v>1224083.3466853434</v>
      </c>
      <c r="O111" s="31" cm="1">
        <f t="array" ref="O111">O$106+IF($C111&lt;&gt;0,SUMPRODUCT((O$107:O$108)*TRANSPOSE(($D111:$E111))),0)</f>
        <v>1217578.2289365758</v>
      </c>
      <c r="P111" s="31" cm="1">
        <f t="array" ref="P111">P$106+IF($C111&lt;&gt;0,SUMPRODUCT((P$107:P$108)*TRANSPOSE(($D111:$E111))),0)</f>
        <v>1211072.6893355879</v>
      </c>
      <c r="Q111" s="31" cm="1">
        <f t="array" ref="Q111">Q$106+IF($C111&lt;&gt;0,SUMPRODUCT((Q$107:Q$108)*TRANSPOSE(($D111:$E111))),0)</f>
        <v>1204567.1497346</v>
      </c>
      <c r="R111" s="31" cm="1">
        <f t="array" ref="R111">R$106+IF($C111&lt;&gt;0,SUMPRODUCT((R$107:R$108)*TRANSPOSE(($D111:$E111))),0)</f>
        <v>1198061.6101336116</v>
      </c>
      <c r="S111" s="31" cm="1">
        <f t="array" ref="S111">S$106+IF($C111&lt;&gt;0,SUMPRODUCT((S$107:S$108)*TRANSPOSE(($D111:$E111))),0)</f>
        <v>1191556.0705326227</v>
      </c>
      <c r="T111" s="31" cm="1">
        <f t="array" ref="T111">T$106+IF($C111&lt;&gt;0,SUMPRODUCT((T$107:T$108)*TRANSPOSE(($D111:$E111))),0)</f>
        <v>1185050.5309316348</v>
      </c>
      <c r="U111" s="31" cm="1">
        <f t="array" ref="U111">U$106+IF($C111&lt;&gt;0,SUMPRODUCT((U$107:U$108)*TRANSPOSE(($D111:$E111))),0)</f>
        <v>1178544.9913306464</v>
      </c>
      <c r="V111" s="31" cm="1">
        <f t="array" ref="V111">V$106+IF($C111&lt;&gt;0,SUMPRODUCT((V$107:V$108)*TRANSPOSE(($D111:$E111))),0)</f>
        <v>1172039.4517296576</v>
      </c>
      <c r="W111" s="31" cm="1">
        <f t="array" ref="W111">W$106+IF($C111&lt;&gt;0,SUMPRODUCT((W$107:W$108)*TRANSPOSE(($D111:$E111))),0)</f>
        <v>1165533.9121286697</v>
      </c>
      <c r="X111" s="31" cm="1">
        <f t="array" ref="X111">X$106+IF($C111&lt;&gt;0,SUMPRODUCT((X$107:X$108)*TRANSPOSE(($D111:$E111))),0)</f>
        <v>1159028.3725276813</v>
      </c>
      <c r="Y111" s="31" cm="1">
        <f t="array" ref="Y111">Y$106+IF($C111&lt;&gt;0,SUMPRODUCT((Y$107:Y$108)*TRANSPOSE(($D111:$E111))),0)</f>
        <v>1152522.8329266929</v>
      </c>
      <c r="Z111" s="31" cm="1">
        <f t="array" ref="Z111">Z$106+IF($C111&lt;&gt;0,SUMPRODUCT((Z$107:Z$108)*TRANSPOSE(($D111:$E111))),0)</f>
        <v>1146017.2933257045</v>
      </c>
      <c r="AA111" s="31" cm="1">
        <f t="array" ref="AA111">AA$106+IF($C111&lt;&gt;0,SUMPRODUCT((AA$107:AA$108)*TRANSPOSE(($D111:$E111))),0)</f>
        <v>1139511.7537247161</v>
      </c>
      <c r="AB111" s="31" cm="1">
        <f t="array" ref="AB111">AB$106+IF($C111&lt;&gt;0,SUMPRODUCT((AB$107:AB$108)*TRANSPOSE(($D111:$E111))),0)</f>
        <v>1133006.2141237278</v>
      </c>
      <c r="AC111" s="31" cm="1">
        <f t="array" ref="AC111">AC$106+IF($C111&lt;&gt;0,SUMPRODUCT((AC$107:AC$108)*TRANSPOSE(($D111:$E111))),0)</f>
        <v>1126500.6745227398</v>
      </c>
      <c r="AD111" s="31" cm="1">
        <f t="array" ref="AD111">AD$106+IF($C111&lt;&gt;0,SUMPRODUCT((AD$107:AD$108)*TRANSPOSE(($D111:$E111))),0)</f>
        <v>1119995.134921751</v>
      </c>
      <c r="AE111" s="31" cm="1">
        <f t="array" ref="AE111">AE$106+IF($C111&lt;&gt;0,SUMPRODUCT((AE$107:AE$108)*TRANSPOSE(($D111:$E111))),0)</f>
        <v>1113490.4458292741</v>
      </c>
      <c r="AF111" s="31" cm="1">
        <f t="array" ref="AF111">AF$106+IF($C111&lt;&gt;0,SUMPRODUCT((AF$107:AF$108)*TRANSPOSE(($D111:$E111))),0)</f>
        <v>1106984.9062282862</v>
      </c>
      <c r="AG111" s="31" cm="1">
        <f t="array" ref="AG111">AG$106+IF($C111&lt;&gt;0,SUMPRODUCT((AG$107:AG$108)*TRANSPOSE(($D111:$E111))),0)</f>
        <v>1100479.3666272974</v>
      </c>
    </row>
    <row r="112" spans="1:43" x14ac:dyDescent="0.3">
      <c r="A112" s="1" t="str">
        <f>"sens"&amp;Assumptions!B125</f>
        <v>sens3</v>
      </c>
      <c r="C112" s="300" t="str">
        <f>Assumptions!C125</f>
        <v>Total benefits 10% higher</v>
      </c>
      <c r="D112" s="301">
        <f>Assumptions!G125</f>
        <v>0</v>
      </c>
      <c r="E112" s="301">
        <f>Assumptions!H125</f>
        <v>0.1</v>
      </c>
      <c r="G112" s="38" t="str">
        <f t="shared" si="21"/>
        <v>Option 4sens3</v>
      </c>
      <c r="I112" s="31" cm="1">
        <f t="array" ref="I112">I$106+IF($C112&lt;&gt;0,SUMPRODUCT((I$107:I$108)*TRANSPOSE(($D112:$E112))),0)</f>
        <v>0</v>
      </c>
      <c r="J112" s="31" cm="1">
        <f t="array" ref="J112">J$106+IF($C112&lt;&gt;0,SUMPRODUCT((J$107:J$108)*TRANSPOSE(($D112:$E112))),0)</f>
        <v>1397219.5940767853</v>
      </c>
      <c r="K112" s="31" cm="1">
        <f t="array" ref="K112">K$106+IF($C112&lt;&gt;0,SUMPRODUCT((K$107:K$108)*TRANSPOSE(($D112:$E112))),0)</f>
        <v>1306499.5090299239</v>
      </c>
      <c r="L112" s="31" cm="1">
        <f t="array" ref="L112">L$106+IF($C112&lt;&gt;0,SUMPRODUCT((L$107:L$108)*TRANSPOSE(($D112:$E112))),0)</f>
        <v>1329399.039298862</v>
      </c>
      <c r="M112" s="31" cm="1">
        <f t="array" ref="M112">M$106+IF($C112&lt;&gt;0,SUMPRODUCT((M$107:M$108)*TRANSPOSE(($D112:$E112))),0)</f>
        <v>1352298.362809181</v>
      </c>
      <c r="N112" s="31" cm="1">
        <f t="array" ref="N112">N$106+IF($C112&lt;&gt;0,SUMPRODUCT((N$107:N$108)*TRANSPOSE(($D112:$E112))),0)</f>
        <v>1345142.3244460966</v>
      </c>
      <c r="O112" s="31" cm="1">
        <f t="array" ref="O112">O$106+IF($C112&lt;&gt;0,SUMPRODUCT((O$107:O$108)*TRANSPOSE(($D112:$E112))),0)</f>
        <v>1337986.6949224523</v>
      </c>
      <c r="P112" s="31" cm="1">
        <f t="array" ref="P112">P$106+IF($C112&lt;&gt;0,SUMPRODUCT((P$107:P$108)*TRANSPOSE(($D112:$E112))),0)</f>
        <v>1330830.6013613655</v>
      </c>
      <c r="Q112" s="31" cm="1">
        <f t="array" ref="Q112">Q$106+IF($C112&lt;&gt;0,SUMPRODUCT((Q$107:Q$108)*TRANSPOSE(($D112:$E112))),0)</f>
        <v>1323674.5078002787</v>
      </c>
      <c r="R112" s="31" cm="1">
        <f t="array" ref="R112">R$106+IF($C112&lt;&gt;0,SUMPRODUCT((R$107:R$108)*TRANSPOSE(($D112:$E112))),0)</f>
        <v>1316518.4142391917</v>
      </c>
      <c r="S112" s="31" cm="1">
        <f t="array" ref="S112">S$106+IF($C112&lt;&gt;0,SUMPRODUCT((S$107:S$108)*TRANSPOSE(($D112:$E112))),0)</f>
        <v>1309362.3206781039</v>
      </c>
      <c r="T112" s="31" cm="1">
        <f t="array" ref="T112">T$106+IF($C112&lt;&gt;0,SUMPRODUCT((T$107:T$108)*TRANSPOSE(($D112:$E112))),0)</f>
        <v>1302206.2271170171</v>
      </c>
      <c r="U112" s="31" cm="1">
        <f t="array" ref="U112">U$106+IF($C112&lt;&gt;0,SUMPRODUCT((U$107:U$108)*TRANSPOSE(($D112:$E112))),0)</f>
        <v>1295050.1335559299</v>
      </c>
      <c r="V112" s="31" cm="1">
        <f t="array" ref="V112">V$106+IF($C112&lt;&gt;0,SUMPRODUCT((V$107:V$108)*TRANSPOSE(($D112:$E112))),0)</f>
        <v>1287894.0399948421</v>
      </c>
      <c r="W112" s="31" cm="1">
        <f t="array" ref="W112">W$106+IF($C112&lt;&gt;0,SUMPRODUCT((W$107:W$108)*TRANSPOSE(($D112:$E112))),0)</f>
        <v>1280737.9464337556</v>
      </c>
      <c r="X112" s="31" cm="1">
        <f t="array" ref="X112">X$106+IF($C112&lt;&gt;0,SUMPRODUCT((X$107:X$108)*TRANSPOSE(($D112:$E112))),0)</f>
        <v>1273581.8528726683</v>
      </c>
      <c r="Y112" s="31" cm="1">
        <f t="array" ref="Y112">Y$106+IF($C112&lt;&gt;0,SUMPRODUCT((Y$107:Y$108)*TRANSPOSE(($D112:$E112))),0)</f>
        <v>1266425.759311581</v>
      </c>
      <c r="Z112" s="31" cm="1">
        <f t="array" ref="Z112">Z$106+IF($C112&lt;&gt;0,SUMPRODUCT((Z$107:Z$108)*TRANSPOSE(($D112:$E112))),0)</f>
        <v>1259269.6657504938</v>
      </c>
      <c r="AA112" s="31" cm="1">
        <f t="array" ref="AA112">AA$106+IF($C112&lt;&gt;0,SUMPRODUCT((AA$107:AA$108)*TRANSPOSE(($D112:$E112))),0)</f>
        <v>1252113.5721894065</v>
      </c>
      <c r="AB112" s="31" cm="1">
        <f t="array" ref="AB112">AB$106+IF($C112&lt;&gt;0,SUMPRODUCT((AB$107:AB$108)*TRANSPOSE(($D112:$E112))),0)</f>
        <v>1244957.4786283195</v>
      </c>
      <c r="AC112" s="31" cm="1">
        <f t="array" ref="AC112">AC$106+IF($C112&lt;&gt;0,SUMPRODUCT((AC$107:AC$108)*TRANSPOSE(($D112:$E112))),0)</f>
        <v>1237801.3850672327</v>
      </c>
      <c r="AD112" s="31" cm="1">
        <f t="array" ref="AD112">AD$106+IF($C112&lt;&gt;0,SUMPRODUCT((AD$107:AD$108)*TRANSPOSE(($D112:$E112))),0)</f>
        <v>1230645.2915061449</v>
      </c>
      <c r="AE112" s="31" cm="1">
        <f t="array" ref="AE112">AE$106+IF($C112&lt;&gt;0,SUMPRODUCT((AE$107:AE$108)*TRANSPOSE(($D112:$E112))),0)</f>
        <v>1223490.1335044203</v>
      </c>
      <c r="AF112" s="31" cm="1">
        <f t="array" ref="AF112">AF$106+IF($C112&lt;&gt;0,SUMPRODUCT((AF$107:AF$108)*TRANSPOSE(($D112:$E112))),0)</f>
        <v>1216334.0399433337</v>
      </c>
      <c r="AG112" s="31" cm="1">
        <f t="array" ref="AG112">AG$106+IF($C112&lt;&gt;0,SUMPRODUCT((AG$107:AG$108)*TRANSPOSE(($D112:$E112))),0)</f>
        <v>1209177.946382246</v>
      </c>
    </row>
    <row r="113" spans="1:33" x14ac:dyDescent="0.3">
      <c r="A113" s="1" t="str">
        <f>"sens"&amp;Assumptions!B126</f>
        <v>sens4</v>
      </c>
      <c r="C113" s="300" t="str">
        <f>Assumptions!C126</f>
        <v>Total benefits 10% lower</v>
      </c>
      <c r="D113" s="301">
        <f>Assumptions!G126</f>
        <v>0</v>
      </c>
      <c r="E113" s="301">
        <f>Assumptions!H126</f>
        <v>-0.1</v>
      </c>
      <c r="G113" s="38" t="str">
        <f t="shared" si="21"/>
        <v>Option 4sens4</v>
      </c>
      <c r="I113" s="31" cm="1">
        <f t="array" ref="I113">I$106+IF($C113&lt;&gt;0,SUMPRODUCT((I$107:I$108)*TRANSPOSE(($D113:$E113))),0)</f>
        <v>0</v>
      </c>
      <c r="J113" s="31" cm="1">
        <f t="array" ref="J113">J$106+IF($C113&lt;&gt;0,SUMPRODUCT((J$107:J$108)*TRANSPOSE(($D113:$E113))),0)</f>
        <v>1139303.8761022291</v>
      </c>
      <c r="K113" s="31" cm="1">
        <f t="array" ref="K113">K$106+IF($C113&lt;&gt;0,SUMPRODUCT((K$107:K$108)*TRANSPOSE(($D113:$E113))),0)</f>
        <v>1044420.3817920969</v>
      </c>
      <c r="L113" s="31" cm="1">
        <f t="array" ref="L113">L$106+IF($C113&lt;&gt;0,SUMPRODUCT((L$107:L$108)*TRANSPOSE(($D113:$E113))),0)</f>
        <v>1063156.3611030465</v>
      </c>
      <c r="M113" s="31" cm="1">
        <f t="array" ref="M113">M$106+IF($C113&lt;&gt;0,SUMPRODUCT((M$107:M$108)*TRANSPOSE(($D113:$E113))),0)</f>
        <v>1081892.1712478527</v>
      </c>
      <c r="N113" s="31" cm="1">
        <f t="array" ref="N113">N$106+IF($C113&lt;&gt;0,SUMPRODUCT((N$107:N$108)*TRANSPOSE(($D113:$E113))),0)</f>
        <v>1076037.2307689656</v>
      </c>
      <c r="O113" s="31" cm="1">
        <f t="array" ref="O113">O$106+IF($C113&lt;&gt;0,SUMPRODUCT((O$107:O$108)*TRANSPOSE(($D113:$E113))),0)</f>
        <v>1070182.6247950746</v>
      </c>
      <c r="P113" s="31" cm="1">
        <f t="array" ref="P113">P$106+IF($C113&lt;&gt;0,SUMPRODUCT((P$107:P$108)*TRANSPOSE(($D113:$E113))),0)</f>
        <v>1064327.6391541855</v>
      </c>
      <c r="Q113" s="31" cm="1">
        <f t="array" ref="Q113">Q$106+IF($C113&lt;&gt;0,SUMPRODUCT((Q$107:Q$108)*TRANSPOSE(($D113:$E113))),0)</f>
        <v>1058472.6535132965</v>
      </c>
      <c r="R113" s="31" cm="1">
        <f t="array" ref="R113">R$106+IF($C113&lt;&gt;0,SUMPRODUCT((R$107:R$108)*TRANSPOSE(($D113:$E113))),0)</f>
        <v>1052617.6678724068</v>
      </c>
      <c r="S113" s="31" cm="1">
        <f t="array" ref="S113">S$106+IF($C113&lt;&gt;0,SUMPRODUCT((S$107:S$108)*TRANSPOSE(($D113:$E113))),0)</f>
        <v>1046762.6822315169</v>
      </c>
      <c r="T113" s="31" cm="1">
        <f t="array" ref="T113">T$106+IF($C113&lt;&gt;0,SUMPRODUCT((T$107:T$108)*TRANSPOSE(($D113:$E113))),0)</f>
        <v>1040907.6965906278</v>
      </c>
      <c r="U113" s="31" cm="1">
        <f t="array" ref="U113">U$106+IF($C113&lt;&gt;0,SUMPRODUCT((U$107:U$108)*TRANSPOSE(($D113:$E113))),0)</f>
        <v>1035052.7109497383</v>
      </c>
      <c r="V113" s="31" cm="1">
        <f t="array" ref="V113">V$106+IF($C113&lt;&gt;0,SUMPRODUCT((V$107:V$108)*TRANSPOSE(($D113:$E113))),0)</f>
        <v>1029197.7253088483</v>
      </c>
      <c r="W113" s="31" cm="1">
        <f t="array" ref="W113">W$106+IF($C113&lt;&gt;0,SUMPRODUCT((W$107:W$108)*TRANSPOSE(($D113:$E113))),0)</f>
        <v>1023342.7396679592</v>
      </c>
      <c r="X113" s="31" cm="1">
        <f t="array" ref="X113">X$106+IF($C113&lt;&gt;0,SUMPRODUCT((X$107:X$108)*TRANSPOSE(($D113:$E113))),0)</f>
        <v>1017487.7540270695</v>
      </c>
      <c r="Y113" s="31" cm="1">
        <f t="array" ref="Y113">Y$106+IF($C113&lt;&gt;0,SUMPRODUCT((Y$107:Y$108)*TRANSPOSE(($D113:$E113))),0)</f>
        <v>1011632.76838618</v>
      </c>
      <c r="Z113" s="31" cm="1">
        <f t="array" ref="Z113">Z$106+IF($C113&lt;&gt;0,SUMPRODUCT((Z$107:Z$108)*TRANSPOSE(($D113:$E113))),0)</f>
        <v>1005777.7827452905</v>
      </c>
      <c r="AA113" s="31" cm="1">
        <f t="array" ref="AA113">AA$106+IF($C113&lt;&gt;0,SUMPRODUCT((AA$107:AA$108)*TRANSPOSE(($D113:$E113))),0)</f>
        <v>999922.79710440093</v>
      </c>
      <c r="AB113" s="31" cm="1">
        <f t="array" ref="AB113">AB$106+IF($C113&lt;&gt;0,SUMPRODUCT((AB$107:AB$108)*TRANSPOSE(($D113:$E113))),0)</f>
        <v>994067.81146351143</v>
      </c>
      <c r="AC113" s="31" cm="1">
        <f t="array" ref="AC113">AC$106+IF($C113&lt;&gt;0,SUMPRODUCT((AC$107:AC$108)*TRANSPOSE(($D113:$E113))),0)</f>
        <v>988212.82582262228</v>
      </c>
      <c r="AD113" s="31" cm="1">
        <f t="array" ref="AD113">AD$106+IF($C113&lt;&gt;0,SUMPRODUCT((AD$107:AD$108)*TRANSPOSE(($D113:$E113))),0)</f>
        <v>982357.84018173232</v>
      </c>
      <c r="AE113" s="31" cm="1">
        <f t="array" ref="AE113">AE$106+IF($C113&lt;&gt;0,SUMPRODUCT((AE$107:AE$108)*TRANSPOSE(($D113:$E113))),0)</f>
        <v>976503.61999850313</v>
      </c>
      <c r="AF113" s="31" cm="1">
        <f t="array" ref="AF113">AF$106+IF($C113&lt;&gt;0,SUMPRODUCT((AF$107:AF$108)*TRANSPOSE(($D113:$E113))),0)</f>
        <v>970648.63435761398</v>
      </c>
      <c r="AG113" s="31" cm="1">
        <f t="array" ref="AG113">AG$106+IF($C113&lt;&gt;0,SUMPRODUCT((AG$107:AG$108)*TRANSPOSE(($D113:$E113))),0)</f>
        <v>964793.64871672401</v>
      </c>
    </row>
    <row r="114" spans="1:33" x14ac:dyDescent="0.3">
      <c r="A114" s="1" t="str">
        <f>"sens"&amp;Assumptions!B127</f>
        <v>sens5</v>
      </c>
      <c r="C114" s="300" t="str">
        <f>Assumptions!C127</f>
        <v>Capex 10% higher &amp; Total benefits 10% lower</v>
      </c>
      <c r="D114" s="301">
        <f>Assumptions!G127</f>
        <v>0.1</v>
      </c>
      <c r="E114" s="301">
        <f>Assumptions!H127</f>
        <v>-0.1</v>
      </c>
      <c r="G114" s="38" t="str">
        <f t="shared" si="21"/>
        <v>Option 4sens5</v>
      </c>
      <c r="I114" s="31" cm="1">
        <f t="array" ref="I114">I$106+IF($C114&lt;&gt;0,SUMPRODUCT((I$107:I$108)*TRANSPOSE(($D114:$E114))),0)</f>
        <v>0</v>
      </c>
      <c r="J114" s="31" cm="1">
        <f t="array" ref="J114">J$106+IF($C114&lt;&gt;0,SUMPRODUCT((J$107:J$108)*TRANSPOSE(($D114:$E114))),0)</f>
        <v>1137172.1906239018</v>
      </c>
      <c r="K114" s="31" cm="1">
        <f t="array" ref="K114">K$106+IF($C114&lt;&gt;0,SUMPRODUCT((K$107:K$108)*TRANSPOSE(($D114:$E114))),0)</f>
        <v>1030926.8127142845</v>
      </c>
      <c r="L114" s="31" cm="1">
        <f t="array" ref="L114">L$106+IF($C114&lt;&gt;0,SUMPRODUCT((L$107:L$108)*TRANSPOSE(($D114:$E114))),0)</f>
        <v>1049662.7920252339</v>
      </c>
      <c r="M114" s="31" cm="1">
        <f t="array" ref="M114">M$106+IF($C114&lt;&gt;0,SUMPRODUCT((M$107:M$108)*TRANSPOSE(($D114:$E114))),0)</f>
        <v>1068398.6021700404</v>
      </c>
      <c r="N114" s="31" cm="1">
        <f t="array" ref="N114">N$106+IF($C114&lt;&gt;0,SUMPRODUCT((N$107:N$108)*TRANSPOSE(($D114:$E114))),0)</f>
        <v>1062543.661691153</v>
      </c>
      <c r="O114" s="31" cm="1">
        <f t="array" ref="O114">O$106+IF($C114&lt;&gt;0,SUMPRODUCT((O$107:O$108)*TRANSPOSE(($D114:$E114))),0)</f>
        <v>1056689.0557172622</v>
      </c>
      <c r="P114" s="31" cm="1">
        <f t="array" ref="P114">P$106+IF($C114&lt;&gt;0,SUMPRODUCT((P$107:P$108)*TRANSPOSE(($D114:$E114))),0)</f>
        <v>1050834.0700763732</v>
      </c>
      <c r="Q114" s="31" cm="1">
        <f t="array" ref="Q114">Q$106+IF($C114&lt;&gt;0,SUMPRODUCT((Q$107:Q$108)*TRANSPOSE(($D114:$E114))),0)</f>
        <v>1044979.084435484</v>
      </c>
      <c r="R114" s="31" cm="1">
        <f t="array" ref="R114">R$106+IF($C114&lt;&gt;0,SUMPRODUCT((R$107:R$108)*TRANSPOSE(($D114:$E114))),0)</f>
        <v>1039124.0987945944</v>
      </c>
      <c r="S114" s="31" cm="1">
        <f t="array" ref="S114">S$106+IF($C114&lt;&gt;0,SUMPRODUCT((S$107:S$108)*TRANSPOSE(($D114:$E114))),0)</f>
        <v>1033269.1131537044</v>
      </c>
      <c r="T114" s="31" cm="1">
        <f t="array" ref="T114">T$106+IF($C114&lt;&gt;0,SUMPRODUCT((T$107:T$108)*TRANSPOSE(($D114:$E114))),0)</f>
        <v>1027414.1275128154</v>
      </c>
      <c r="U114" s="31" cm="1">
        <f t="array" ref="U114">U$106+IF($C114&lt;&gt;0,SUMPRODUCT((U$107:U$108)*TRANSPOSE(($D114:$E114))),0)</f>
        <v>1021559.1418719258</v>
      </c>
      <c r="V114" s="31" cm="1">
        <f t="array" ref="V114">V$106+IF($C114&lt;&gt;0,SUMPRODUCT((V$107:V$108)*TRANSPOSE(($D114:$E114))),0)</f>
        <v>1015704.1562310358</v>
      </c>
      <c r="W114" s="31" cm="1">
        <f t="array" ref="W114">W$106+IF($C114&lt;&gt;0,SUMPRODUCT((W$107:W$108)*TRANSPOSE(($D114:$E114))),0)</f>
        <v>1009849.1705901467</v>
      </c>
      <c r="X114" s="31" cm="1">
        <f t="array" ref="X114">X$106+IF($C114&lt;&gt;0,SUMPRODUCT((X$107:X$108)*TRANSPOSE(($D114:$E114))),0)</f>
        <v>1003994.1849492572</v>
      </c>
      <c r="Y114" s="31" cm="1">
        <f t="array" ref="Y114">Y$106+IF($C114&lt;&gt;0,SUMPRODUCT((Y$107:Y$108)*TRANSPOSE(($D114:$E114))),0)</f>
        <v>998139.19930836768</v>
      </c>
      <c r="Z114" s="31" cm="1">
        <f t="array" ref="Z114">Z$106+IF($C114&lt;&gt;0,SUMPRODUCT((Z$107:Z$108)*TRANSPOSE(($D114:$E114))),0)</f>
        <v>992284.21366747806</v>
      </c>
      <c r="AA114" s="31" cm="1">
        <f t="array" ref="AA114">AA$106+IF($C114&lt;&gt;0,SUMPRODUCT((AA$107:AA$108)*TRANSPOSE(($D114:$E114))),0)</f>
        <v>986429.22802658845</v>
      </c>
      <c r="AB114" s="31" cm="1">
        <f t="array" ref="AB114">AB$106+IF($C114&lt;&gt;0,SUMPRODUCT((AB$107:AB$108)*TRANSPOSE(($D114:$E114))),0)</f>
        <v>980574.24238569895</v>
      </c>
      <c r="AC114" s="31" cm="1">
        <f t="array" ref="AC114">AC$106+IF($C114&lt;&gt;0,SUMPRODUCT((AC$107:AC$108)*TRANSPOSE(($D114:$E114))),0)</f>
        <v>974719.25674480991</v>
      </c>
      <c r="AD114" s="31" cm="1">
        <f t="array" ref="AD114">AD$106+IF($C114&lt;&gt;0,SUMPRODUCT((AD$107:AD$108)*TRANSPOSE(($D114:$E114))),0)</f>
        <v>968864.27110391995</v>
      </c>
      <c r="AE114" s="31" cm="1">
        <f t="array" ref="AE114">AE$106+IF($C114&lt;&gt;0,SUMPRODUCT((AE$107:AE$108)*TRANSPOSE(($D114:$E114))),0)</f>
        <v>963010.05092069064</v>
      </c>
      <c r="AF114" s="31" cm="1">
        <f t="array" ref="AF114">AF$106+IF($C114&lt;&gt;0,SUMPRODUCT((AF$107:AF$108)*TRANSPOSE(($D114:$E114))),0)</f>
        <v>957155.06527980161</v>
      </c>
      <c r="AG114" s="31" cm="1">
        <f t="array" ref="AG114">AG$106+IF($C114&lt;&gt;0,SUMPRODUCT((AG$107:AG$108)*TRANSPOSE(($D114:$E114))),0)</f>
        <v>951300.07963891164</v>
      </c>
    </row>
    <row r="115" spans="1:33" x14ac:dyDescent="0.3">
      <c r="A115" s="1" t="str">
        <f>"sens"&amp;Assumptions!B128</f>
        <v>sens</v>
      </c>
      <c r="C115" s="300">
        <f>Assumptions!C128</f>
        <v>0</v>
      </c>
      <c r="D115" s="301">
        <f>Assumptions!G128</f>
        <v>0</v>
      </c>
      <c r="E115" s="301">
        <f>Assumptions!H128</f>
        <v>0</v>
      </c>
      <c r="G115" s="38" t="str">
        <f t="shared" si="21"/>
        <v>Option 4sens</v>
      </c>
      <c r="I115" s="31" cm="1">
        <f t="array" ref="I115">I$106+IF($C115&lt;&gt;0,SUMPRODUCT((I$107:I$108)*TRANSPOSE(($D115:$E115))),0)</f>
        <v>0</v>
      </c>
      <c r="J115" s="31" cm="1">
        <f t="array" ref="J115">J$106+IF($C115&lt;&gt;0,SUMPRODUCT((J$107:J$108)*TRANSPOSE(($D115:$E115))),0)</f>
        <v>1268261.7350895072</v>
      </c>
      <c r="K115" s="31" cm="1">
        <f t="array" ref="K115">K$106+IF($C115&lt;&gt;0,SUMPRODUCT((K$107:K$108)*TRANSPOSE(($D115:$E115))),0)</f>
        <v>1175459.9454110104</v>
      </c>
      <c r="L115" s="31" cm="1">
        <f t="array" ref="L115">L$106+IF($C115&lt;&gt;0,SUMPRODUCT((L$107:L$108)*TRANSPOSE(($D115:$E115))),0)</f>
        <v>1196277.7002009542</v>
      </c>
      <c r="M115" s="31" cm="1">
        <f t="array" ref="M115">M$106+IF($C115&lt;&gt;0,SUMPRODUCT((M$107:M$108)*TRANSPOSE(($D115:$E115))),0)</f>
        <v>1217095.2670285169</v>
      </c>
      <c r="N115" s="31" cm="1">
        <f t="array" ref="N115">N$106+IF($C115&lt;&gt;0,SUMPRODUCT((N$107:N$108)*TRANSPOSE(($D115:$E115))),0)</f>
        <v>1210589.7776075311</v>
      </c>
      <c r="O115" s="31" cm="1">
        <f t="array" ref="O115">O$106+IF($C115&lt;&gt;0,SUMPRODUCT((O$107:O$108)*TRANSPOSE(($D115:$E115))),0)</f>
        <v>1204084.6598587635</v>
      </c>
      <c r="P115" s="31" cm="1">
        <f t="array" ref="P115">P$106+IF($C115&lt;&gt;0,SUMPRODUCT((P$107:P$108)*TRANSPOSE(($D115:$E115))),0)</f>
        <v>1197579.1202577755</v>
      </c>
      <c r="Q115" s="31" cm="1">
        <f t="array" ref="Q115">Q$106+IF($C115&lt;&gt;0,SUMPRODUCT((Q$107:Q$108)*TRANSPOSE(($D115:$E115))),0)</f>
        <v>1191073.5806567876</v>
      </c>
      <c r="R115" s="31" cm="1">
        <f t="array" ref="R115">R$106+IF($C115&lt;&gt;0,SUMPRODUCT((R$107:R$108)*TRANSPOSE(($D115:$E115))),0)</f>
        <v>1184568.0410557992</v>
      </c>
      <c r="S115" s="31" cm="1">
        <f t="array" ref="S115">S$106+IF($C115&lt;&gt;0,SUMPRODUCT((S$107:S$108)*TRANSPOSE(($D115:$E115))),0)</f>
        <v>1178062.5014548104</v>
      </c>
      <c r="T115" s="31" cm="1">
        <f t="array" ref="T115">T$106+IF($C115&lt;&gt;0,SUMPRODUCT((T$107:T$108)*TRANSPOSE(($D115:$E115))),0)</f>
        <v>1171556.9618538225</v>
      </c>
      <c r="U115" s="31" cm="1">
        <f t="array" ref="U115">U$106+IF($C115&lt;&gt;0,SUMPRODUCT((U$107:U$108)*TRANSPOSE(($D115:$E115))),0)</f>
        <v>1165051.4222528341</v>
      </c>
      <c r="V115" s="31" cm="1">
        <f t="array" ref="V115">V$106+IF($C115&lt;&gt;0,SUMPRODUCT((V$107:V$108)*TRANSPOSE(($D115:$E115))),0)</f>
        <v>1158545.8826518452</v>
      </c>
      <c r="W115" s="31" cm="1">
        <f t="array" ref="W115">W$106+IF($C115&lt;&gt;0,SUMPRODUCT((W$107:W$108)*TRANSPOSE(($D115:$E115))),0)</f>
        <v>1152040.3430508573</v>
      </c>
      <c r="X115" s="31" cm="1">
        <f t="array" ref="X115">X$106+IF($C115&lt;&gt;0,SUMPRODUCT((X$107:X$108)*TRANSPOSE(($D115:$E115))),0)</f>
        <v>1145534.8034498689</v>
      </c>
      <c r="Y115" s="31" cm="1">
        <f t="array" ref="Y115">Y$106+IF($C115&lt;&gt;0,SUMPRODUCT((Y$107:Y$108)*TRANSPOSE(($D115:$E115))),0)</f>
        <v>1139029.2638488805</v>
      </c>
      <c r="Z115" s="31" cm="1">
        <f t="array" ref="Z115">Z$106+IF($C115&lt;&gt;0,SUMPRODUCT((Z$107:Z$108)*TRANSPOSE(($D115:$E115))),0)</f>
        <v>1132523.7242478922</v>
      </c>
      <c r="AA115" s="31" cm="1">
        <f t="array" ref="AA115">AA$106+IF($C115&lt;&gt;0,SUMPRODUCT((AA$107:AA$108)*TRANSPOSE(($D115:$E115))),0)</f>
        <v>1126018.1846469038</v>
      </c>
      <c r="AB115" s="31" cm="1">
        <f t="array" ref="AB115">AB$106+IF($C115&lt;&gt;0,SUMPRODUCT((AB$107:AB$108)*TRANSPOSE(($D115:$E115))),0)</f>
        <v>1119512.6450459154</v>
      </c>
      <c r="AC115" s="31" cm="1">
        <f t="array" ref="AC115">AC$106+IF($C115&lt;&gt;0,SUMPRODUCT((AC$107:AC$108)*TRANSPOSE(($D115:$E115))),0)</f>
        <v>1113007.1054449275</v>
      </c>
      <c r="AD115" s="31" cm="1">
        <f t="array" ref="AD115">AD$106+IF($C115&lt;&gt;0,SUMPRODUCT((AD$107:AD$108)*TRANSPOSE(($D115:$E115))),0)</f>
        <v>1106501.5658439386</v>
      </c>
      <c r="AE115" s="31" cm="1">
        <f t="array" ref="AE115">AE$106+IF($C115&lt;&gt;0,SUMPRODUCT((AE$107:AE$108)*TRANSPOSE(($D115:$E115))),0)</f>
        <v>1099996.8767514618</v>
      </c>
      <c r="AF115" s="31" cm="1">
        <f t="array" ref="AF115">AF$106+IF($C115&lt;&gt;0,SUMPRODUCT((AF$107:AF$108)*TRANSPOSE(($D115:$E115))),0)</f>
        <v>1093491.3371504738</v>
      </c>
      <c r="AG115" s="31" cm="1">
        <f t="array" ref="AG115">AG$106+IF($C115&lt;&gt;0,SUMPRODUCT((AG$107:AG$108)*TRANSPOSE(($D115:$E115))),0)</f>
        <v>1086985.797549485</v>
      </c>
    </row>
    <row r="116" spans="1:33" x14ac:dyDescent="0.3">
      <c r="A116" s="1" t="str">
        <f>"sens"&amp;Assumptions!B129</f>
        <v>sens</v>
      </c>
      <c r="C116" s="300">
        <f>Assumptions!C129</f>
        <v>0</v>
      </c>
      <c r="D116" s="301">
        <f>Assumptions!G129</f>
        <v>0</v>
      </c>
      <c r="E116" s="301">
        <f>Assumptions!H129</f>
        <v>0</v>
      </c>
      <c r="G116" s="38" t="str">
        <f t="shared" si="21"/>
        <v>Option 4sens</v>
      </c>
      <c r="I116" s="31" cm="1">
        <f t="array" ref="I116">I$106+IF($C116&lt;&gt;0,SUMPRODUCT((I$107:I$108)*TRANSPOSE(($D116:$E116))),0)</f>
        <v>0</v>
      </c>
      <c r="J116" s="31" cm="1">
        <f t="array" ref="J116">J$106+IF($C116&lt;&gt;0,SUMPRODUCT((J$107:J$108)*TRANSPOSE(($D116:$E116))),0)</f>
        <v>1268261.7350895072</v>
      </c>
      <c r="K116" s="31" cm="1">
        <f t="array" ref="K116">K$106+IF($C116&lt;&gt;0,SUMPRODUCT((K$107:K$108)*TRANSPOSE(($D116:$E116))),0)</f>
        <v>1175459.9454110104</v>
      </c>
      <c r="L116" s="31" cm="1">
        <f t="array" ref="L116">L$106+IF($C116&lt;&gt;0,SUMPRODUCT((L$107:L$108)*TRANSPOSE(($D116:$E116))),0)</f>
        <v>1196277.7002009542</v>
      </c>
      <c r="M116" s="31" cm="1">
        <f t="array" ref="M116">M$106+IF($C116&lt;&gt;0,SUMPRODUCT((M$107:M$108)*TRANSPOSE(($D116:$E116))),0)</f>
        <v>1217095.2670285169</v>
      </c>
      <c r="N116" s="31" cm="1">
        <f t="array" ref="N116">N$106+IF($C116&lt;&gt;0,SUMPRODUCT((N$107:N$108)*TRANSPOSE(($D116:$E116))),0)</f>
        <v>1210589.7776075311</v>
      </c>
      <c r="O116" s="31" cm="1">
        <f t="array" ref="O116">O$106+IF($C116&lt;&gt;0,SUMPRODUCT((O$107:O$108)*TRANSPOSE(($D116:$E116))),0)</f>
        <v>1204084.6598587635</v>
      </c>
      <c r="P116" s="31" cm="1">
        <f t="array" ref="P116">P$106+IF($C116&lt;&gt;0,SUMPRODUCT((P$107:P$108)*TRANSPOSE(($D116:$E116))),0)</f>
        <v>1197579.1202577755</v>
      </c>
      <c r="Q116" s="31" cm="1">
        <f t="array" ref="Q116">Q$106+IF($C116&lt;&gt;0,SUMPRODUCT((Q$107:Q$108)*TRANSPOSE(($D116:$E116))),0)</f>
        <v>1191073.5806567876</v>
      </c>
      <c r="R116" s="31" cm="1">
        <f t="array" ref="R116">R$106+IF($C116&lt;&gt;0,SUMPRODUCT((R$107:R$108)*TRANSPOSE(($D116:$E116))),0)</f>
        <v>1184568.0410557992</v>
      </c>
      <c r="S116" s="31" cm="1">
        <f t="array" ref="S116">S$106+IF($C116&lt;&gt;0,SUMPRODUCT((S$107:S$108)*TRANSPOSE(($D116:$E116))),0)</f>
        <v>1178062.5014548104</v>
      </c>
      <c r="T116" s="31" cm="1">
        <f t="array" ref="T116">T$106+IF($C116&lt;&gt;0,SUMPRODUCT((T$107:T$108)*TRANSPOSE(($D116:$E116))),0)</f>
        <v>1171556.9618538225</v>
      </c>
      <c r="U116" s="31" cm="1">
        <f t="array" ref="U116">U$106+IF($C116&lt;&gt;0,SUMPRODUCT((U$107:U$108)*TRANSPOSE(($D116:$E116))),0)</f>
        <v>1165051.4222528341</v>
      </c>
      <c r="V116" s="31" cm="1">
        <f t="array" ref="V116">V$106+IF($C116&lt;&gt;0,SUMPRODUCT((V$107:V$108)*TRANSPOSE(($D116:$E116))),0)</f>
        <v>1158545.8826518452</v>
      </c>
      <c r="W116" s="31" cm="1">
        <f t="array" ref="W116">W$106+IF($C116&lt;&gt;0,SUMPRODUCT((W$107:W$108)*TRANSPOSE(($D116:$E116))),0)</f>
        <v>1152040.3430508573</v>
      </c>
      <c r="X116" s="31" cm="1">
        <f t="array" ref="X116">X$106+IF($C116&lt;&gt;0,SUMPRODUCT((X$107:X$108)*TRANSPOSE(($D116:$E116))),0)</f>
        <v>1145534.8034498689</v>
      </c>
      <c r="Y116" s="31" cm="1">
        <f t="array" ref="Y116">Y$106+IF($C116&lt;&gt;0,SUMPRODUCT((Y$107:Y$108)*TRANSPOSE(($D116:$E116))),0)</f>
        <v>1139029.2638488805</v>
      </c>
      <c r="Z116" s="31" cm="1">
        <f t="array" ref="Z116">Z$106+IF($C116&lt;&gt;0,SUMPRODUCT((Z$107:Z$108)*TRANSPOSE(($D116:$E116))),0)</f>
        <v>1132523.7242478922</v>
      </c>
      <c r="AA116" s="31" cm="1">
        <f t="array" ref="AA116">AA$106+IF($C116&lt;&gt;0,SUMPRODUCT((AA$107:AA$108)*TRANSPOSE(($D116:$E116))),0)</f>
        <v>1126018.1846469038</v>
      </c>
      <c r="AB116" s="31" cm="1">
        <f t="array" ref="AB116">AB$106+IF($C116&lt;&gt;0,SUMPRODUCT((AB$107:AB$108)*TRANSPOSE(($D116:$E116))),0)</f>
        <v>1119512.6450459154</v>
      </c>
      <c r="AC116" s="31" cm="1">
        <f t="array" ref="AC116">AC$106+IF($C116&lt;&gt;0,SUMPRODUCT((AC$107:AC$108)*TRANSPOSE(($D116:$E116))),0)</f>
        <v>1113007.1054449275</v>
      </c>
      <c r="AD116" s="31" cm="1">
        <f t="array" ref="AD116">AD$106+IF($C116&lt;&gt;0,SUMPRODUCT((AD$107:AD$108)*TRANSPOSE(($D116:$E116))),0)</f>
        <v>1106501.5658439386</v>
      </c>
      <c r="AE116" s="31" cm="1">
        <f t="array" ref="AE116">AE$106+IF($C116&lt;&gt;0,SUMPRODUCT((AE$107:AE$108)*TRANSPOSE(($D116:$E116))),0)</f>
        <v>1099996.8767514618</v>
      </c>
      <c r="AF116" s="31" cm="1">
        <f t="array" ref="AF116">AF$106+IF($C116&lt;&gt;0,SUMPRODUCT((AF$107:AF$108)*TRANSPOSE(($D116:$E116))),0)</f>
        <v>1093491.3371504738</v>
      </c>
      <c r="AG116" s="31" cm="1">
        <f t="array" ref="AG116">AG$106+IF($C116&lt;&gt;0,SUMPRODUCT((AG$107:AG$108)*TRANSPOSE(($D116:$E116))),0)</f>
        <v>1086985.797549485</v>
      </c>
    </row>
    <row r="117" spans="1:33" x14ac:dyDescent="0.3">
      <c r="A117" s="1" t="str">
        <f>"sens"&amp;Assumptions!B130</f>
        <v>sens</v>
      </c>
      <c r="C117" s="300">
        <f>Assumptions!C130</f>
        <v>0</v>
      </c>
      <c r="D117" s="301">
        <f>Assumptions!G130</f>
        <v>0</v>
      </c>
      <c r="E117" s="301">
        <f>Assumptions!H130</f>
        <v>0</v>
      </c>
      <c r="G117" s="38" t="str">
        <f t="shared" si="21"/>
        <v>Option 4sens</v>
      </c>
      <c r="I117" s="31" cm="1">
        <f t="array" ref="I117">I$106+IF($C117&lt;&gt;0,SUMPRODUCT((I$107:I$108)*TRANSPOSE(($D117:$E117))),0)</f>
        <v>0</v>
      </c>
      <c r="J117" s="31" cm="1">
        <f t="array" ref="J117">J$106+IF($C117&lt;&gt;0,SUMPRODUCT((J$107:J$108)*TRANSPOSE(($D117:$E117))),0)</f>
        <v>1268261.7350895072</v>
      </c>
      <c r="K117" s="31" cm="1">
        <f t="array" ref="K117">K$106+IF($C117&lt;&gt;0,SUMPRODUCT((K$107:K$108)*TRANSPOSE(($D117:$E117))),0)</f>
        <v>1175459.9454110104</v>
      </c>
      <c r="L117" s="31" cm="1">
        <f t="array" ref="L117">L$106+IF($C117&lt;&gt;0,SUMPRODUCT((L$107:L$108)*TRANSPOSE(($D117:$E117))),0)</f>
        <v>1196277.7002009542</v>
      </c>
      <c r="M117" s="31" cm="1">
        <f t="array" ref="M117">M$106+IF($C117&lt;&gt;0,SUMPRODUCT((M$107:M$108)*TRANSPOSE(($D117:$E117))),0)</f>
        <v>1217095.2670285169</v>
      </c>
      <c r="N117" s="31" cm="1">
        <f t="array" ref="N117">N$106+IF($C117&lt;&gt;0,SUMPRODUCT((N$107:N$108)*TRANSPOSE(($D117:$E117))),0)</f>
        <v>1210589.7776075311</v>
      </c>
      <c r="O117" s="31" cm="1">
        <f t="array" ref="O117">O$106+IF($C117&lt;&gt;0,SUMPRODUCT((O$107:O$108)*TRANSPOSE(($D117:$E117))),0)</f>
        <v>1204084.6598587635</v>
      </c>
      <c r="P117" s="31" cm="1">
        <f t="array" ref="P117">P$106+IF($C117&lt;&gt;0,SUMPRODUCT((P$107:P$108)*TRANSPOSE(($D117:$E117))),0)</f>
        <v>1197579.1202577755</v>
      </c>
      <c r="Q117" s="31" cm="1">
        <f t="array" ref="Q117">Q$106+IF($C117&lt;&gt;0,SUMPRODUCT((Q$107:Q$108)*TRANSPOSE(($D117:$E117))),0)</f>
        <v>1191073.5806567876</v>
      </c>
      <c r="R117" s="31" cm="1">
        <f t="array" ref="R117">R$106+IF($C117&lt;&gt;0,SUMPRODUCT((R$107:R$108)*TRANSPOSE(($D117:$E117))),0)</f>
        <v>1184568.0410557992</v>
      </c>
      <c r="S117" s="31" cm="1">
        <f t="array" ref="S117">S$106+IF($C117&lt;&gt;0,SUMPRODUCT((S$107:S$108)*TRANSPOSE(($D117:$E117))),0)</f>
        <v>1178062.5014548104</v>
      </c>
      <c r="T117" s="31" cm="1">
        <f t="array" ref="T117">T$106+IF($C117&lt;&gt;0,SUMPRODUCT((T$107:T$108)*TRANSPOSE(($D117:$E117))),0)</f>
        <v>1171556.9618538225</v>
      </c>
      <c r="U117" s="31" cm="1">
        <f t="array" ref="U117">U$106+IF($C117&lt;&gt;0,SUMPRODUCT((U$107:U$108)*TRANSPOSE(($D117:$E117))),0)</f>
        <v>1165051.4222528341</v>
      </c>
      <c r="V117" s="31" cm="1">
        <f t="array" ref="V117">V$106+IF($C117&lt;&gt;0,SUMPRODUCT((V$107:V$108)*TRANSPOSE(($D117:$E117))),0)</f>
        <v>1158545.8826518452</v>
      </c>
      <c r="W117" s="31" cm="1">
        <f t="array" ref="W117">W$106+IF($C117&lt;&gt;0,SUMPRODUCT((W$107:W$108)*TRANSPOSE(($D117:$E117))),0)</f>
        <v>1152040.3430508573</v>
      </c>
      <c r="X117" s="31" cm="1">
        <f t="array" ref="X117">X$106+IF($C117&lt;&gt;0,SUMPRODUCT((X$107:X$108)*TRANSPOSE(($D117:$E117))),0)</f>
        <v>1145534.8034498689</v>
      </c>
      <c r="Y117" s="31" cm="1">
        <f t="array" ref="Y117">Y$106+IF($C117&lt;&gt;0,SUMPRODUCT((Y$107:Y$108)*TRANSPOSE(($D117:$E117))),0)</f>
        <v>1139029.2638488805</v>
      </c>
      <c r="Z117" s="31" cm="1">
        <f t="array" ref="Z117">Z$106+IF($C117&lt;&gt;0,SUMPRODUCT((Z$107:Z$108)*TRANSPOSE(($D117:$E117))),0)</f>
        <v>1132523.7242478922</v>
      </c>
      <c r="AA117" s="31" cm="1">
        <f t="array" ref="AA117">AA$106+IF($C117&lt;&gt;0,SUMPRODUCT((AA$107:AA$108)*TRANSPOSE(($D117:$E117))),0)</f>
        <v>1126018.1846469038</v>
      </c>
      <c r="AB117" s="31" cm="1">
        <f t="array" ref="AB117">AB$106+IF($C117&lt;&gt;0,SUMPRODUCT((AB$107:AB$108)*TRANSPOSE(($D117:$E117))),0)</f>
        <v>1119512.6450459154</v>
      </c>
      <c r="AC117" s="31" cm="1">
        <f t="array" ref="AC117">AC$106+IF($C117&lt;&gt;0,SUMPRODUCT((AC$107:AC$108)*TRANSPOSE(($D117:$E117))),0)</f>
        <v>1113007.1054449275</v>
      </c>
      <c r="AD117" s="31" cm="1">
        <f t="array" ref="AD117">AD$106+IF($C117&lt;&gt;0,SUMPRODUCT((AD$107:AD$108)*TRANSPOSE(($D117:$E117))),0)</f>
        <v>1106501.5658439386</v>
      </c>
      <c r="AE117" s="31" cm="1">
        <f t="array" ref="AE117">AE$106+IF($C117&lt;&gt;0,SUMPRODUCT((AE$107:AE$108)*TRANSPOSE(($D117:$E117))),0)</f>
        <v>1099996.8767514618</v>
      </c>
      <c r="AF117" s="31" cm="1">
        <f t="array" ref="AF117">AF$106+IF($C117&lt;&gt;0,SUMPRODUCT((AF$107:AF$108)*TRANSPOSE(($D117:$E117))),0)</f>
        <v>1093491.3371504738</v>
      </c>
      <c r="AG117" s="31" cm="1">
        <f t="array" ref="AG117">AG$106+IF($C117&lt;&gt;0,SUMPRODUCT((AG$107:AG$108)*TRANSPOSE(($D117:$E117))),0)</f>
        <v>1086985.797549485</v>
      </c>
    </row>
  </sheetData>
  <conditionalFormatting sqref="E14:E16">
    <cfRule type="expression" dxfId="4" priority="53">
      <formula>AND(SUM($I14:$AB14)&lt;&gt;0, E14=0)</formula>
    </cfRule>
  </conditionalFormatting>
  <conditionalFormatting sqref="E28">
    <cfRule type="expression" dxfId="3" priority="1">
      <formula>AND(SUM($I$27:$AG$27)&gt;0, $E$28=0)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98" id="{17B125C1-0588-4495-B8F7-9B52E25BED85}">
            <xm:f>$A$4=Data!$C$8</xm:f>
            <x14:dxf>
              <font>
                <color theme="0" tint="-0.499984740745262"/>
              </font>
            </x14:dxf>
          </x14:cfRule>
          <xm:sqref>C3 A4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94D8-0AAB-45B3-9A29-8CF3F90554FB}">
  <sheetPr codeName="Sheet14">
    <tabColor rgb="FF0099FF"/>
  </sheetPr>
  <dimension ref="A1:XER117"/>
  <sheetViews>
    <sheetView showGridLines="0" zoomScale="90" zoomScaleNormal="90" workbookViewId="0">
      <pane xSplit="7" ySplit="10" topLeftCell="H11" activePane="bottomRight" state="frozen"/>
      <selection activeCell="J28" sqref="J28"/>
      <selection pane="topRight" activeCell="J28" sqref="J28"/>
      <selection pane="bottomLeft" activeCell="J28" sqref="J28"/>
      <selection pane="bottomRight" activeCell="H11" sqref="H11"/>
    </sheetView>
  </sheetViews>
  <sheetFormatPr defaultColWidth="8" defaultRowHeight="13" outlineLevelRow="1" x14ac:dyDescent="0.3"/>
  <cols>
    <col min="1" max="1" width="5.4609375" style="1" customWidth="1"/>
    <col min="2" max="2" width="4.15234375" style="1" customWidth="1"/>
    <col min="3" max="3" width="35.613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5" x14ac:dyDescent="0.45">
      <c r="A2" s="56" t="str">
        <f>proj</f>
        <v>BAN003-WND024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5" x14ac:dyDescent="0.35">
      <c r="A3" s="203" t="s">
        <v>191</v>
      </c>
      <c r="B3" s="5"/>
      <c r="C3" s="200">
        <f>INDEX(Assumptions!$E$14:$E$18, MATCH(A3,_xlfn.ANCHORARRAY( Assumptions!$C$14),0))</f>
        <v>0</v>
      </c>
    </row>
    <row r="4" spans="1:43" x14ac:dyDescent="0.3">
      <c r="A4" s="201" t="str">
        <f>(INDEX(Data!$D$9:$D$13, MATCH(A3, options,0)))</f>
        <v>Not used</v>
      </c>
      <c r="B4" s="187"/>
      <c r="C4" s="238" t="str">
        <f>IF(INDEX(Misc_calcs!$D$49:$D$67, MATCH(A3, Misc_calcs!$B$49:$B$67,0)), Misc_calcs!$B$70, "")</f>
        <v/>
      </c>
    </row>
    <row r="5" spans="1:43" hidden="1" outlineLevel="1" x14ac:dyDescent="0.3">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3">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3">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3">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4.5" x14ac:dyDescent="0.3">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3">
      <c r="C10" s="3"/>
      <c r="D10" s="3"/>
      <c r="H10"/>
      <c r="I10"/>
      <c r="J10"/>
      <c r="K10"/>
      <c r="L10"/>
      <c r="M10"/>
      <c r="N10"/>
      <c r="O10"/>
      <c r="P10"/>
      <c r="Q10"/>
      <c r="R10"/>
      <c r="S10"/>
      <c r="T10"/>
      <c r="U10"/>
      <c r="V10"/>
      <c r="W10"/>
      <c r="X10"/>
      <c r="Y10"/>
      <c r="Z10"/>
      <c r="AA10"/>
      <c r="AB10"/>
      <c r="AC10"/>
      <c r="AD10"/>
      <c r="AE10"/>
      <c r="AF10"/>
      <c r="AG10"/>
    </row>
    <row r="11" spans="1:43" ht="14.5" x14ac:dyDescent="0.3">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ht="13.5" x14ac:dyDescent="0.3">
      <c r="A12" s="3"/>
      <c r="B12" s="3"/>
      <c r="C12" s="3"/>
      <c r="D12" s="3"/>
      <c r="G12" s="205"/>
      <c r="AH12"/>
      <c r="AI12"/>
      <c r="AJ12"/>
      <c r="AK12"/>
    </row>
    <row r="13" spans="1:43" ht="13.5" x14ac:dyDescent="0.3">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3.5" x14ac:dyDescent="0.3">
      <c r="C14" s="57" t="s">
        <v>58</v>
      </c>
      <c r="D14"/>
      <c r="E14" s="148">
        <v>0</v>
      </c>
      <c r="G14" s="207">
        <f>input_dollars</f>
        <v>45291</v>
      </c>
      <c r="H14" s="149"/>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ht="13.5" x14ac:dyDescent="0.3">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ht="13.5" x14ac:dyDescent="0.3">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ht="13.5" x14ac:dyDescent="0.3">
      <c r="C17" s="1" t="s">
        <v>30</v>
      </c>
      <c r="G17" s="207">
        <f>input_dollars</f>
        <v>45291</v>
      </c>
      <c r="H17" s="107"/>
      <c r="I17" s="106">
        <f t="shared" ref="I17:Q17" si="0">SUM(I14:I16)</f>
        <v>0</v>
      </c>
      <c r="J17" s="106">
        <f t="shared" si="0"/>
        <v>0</v>
      </c>
      <c r="K17" s="106">
        <f>SUM(K14:K16)</f>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row>
    <row r="18" spans="1:43" ht="13.5" x14ac:dyDescent="0.3">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3.5" x14ac:dyDescent="0.3">
      <c r="C19" s="1" t="s">
        <v>31</v>
      </c>
      <c r="D19"/>
      <c r="E19"/>
      <c r="F19" s="107"/>
      <c r="G19" s="207">
        <f>input_dollars</f>
        <v>45291</v>
      </c>
      <c r="H19" s="107"/>
      <c r="I19" s="32">
        <v>0</v>
      </c>
      <c r="J19" s="32">
        <v>0</v>
      </c>
      <c r="K19" s="32">
        <v>0</v>
      </c>
      <c r="L19" s="32">
        <v>0</v>
      </c>
      <c r="M19" s="32">
        <v>0</v>
      </c>
      <c r="N19" s="32">
        <v>0</v>
      </c>
      <c r="O19" s="32">
        <v>0</v>
      </c>
      <c r="P19" s="32">
        <v>0</v>
      </c>
      <c r="Q19" s="32">
        <v>0</v>
      </c>
      <c r="R19" s="136">
        <v>0</v>
      </c>
      <c r="S19" s="136">
        <v>0</v>
      </c>
      <c r="T19" s="136">
        <v>0</v>
      </c>
      <c r="U19" s="136">
        <v>0</v>
      </c>
      <c r="V19" s="136">
        <v>0</v>
      </c>
      <c r="W19" s="136">
        <v>0</v>
      </c>
      <c r="X19" s="136">
        <v>0</v>
      </c>
      <c r="Y19" s="136">
        <v>0</v>
      </c>
      <c r="Z19" s="136">
        <v>0</v>
      </c>
      <c r="AA19" s="136">
        <v>0</v>
      </c>
      <c r="AB19" s="136">
        <v>0</v>
      </c>
      <c r="AC19" s="136">
        <v>0</v>
      </c>
      <c r="AD19" s="136">
        <v>0</v>
      </c>
      <c r="AE19" s="136">
        <v>0</v>
      </c>
      <c r="AF19" s="136">
        <v>0</v>
      </c>
      <c r="AG19" s="136">
        <v>0</v>
      </c>
      <c r="AH19"/>
      <c r="AI19"/>
      <c r="AJ19"/>
      <c r="AK19"/>
    </row>
    <row r="20" spans="1:43" ht="13.5" x14ac:dyDescent="0.3">
      <c r="G20" s="205"/>
      <c r="AH20"/>
      <c r="AI20"/>
      <c r="AJ20"/>
      <c r="AK20"/>
    </row>
    <row r="21" spans="1:43" ht="13.5" x14ac:dyDescent="0.3">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4.5" x14ac:dyDescent="0.3">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3">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3">
      <c r="A24" s="111"/>
      <c r="B24" s="111"/>
      <c r="C24" s="1" t="s">
        <v>157</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3">
      <c r="A25" s="111"/>
      <c r="B25" s="111"/>
      <c r="C25" s="1" t="s">
        <v>158</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3">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3.5" x14ac:dyDescent="0.3">
      <c r="C27" s="1" t="s">
        <v>124</v>
      </c>
      <c r="D27" s="205"/>
      <c r="E27"/>
      <c r="G27" s="207" t="s">
        <v>40</v>
      </c>
      <c r="H27"/>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c r="AI27"/>
      <c r="AJ27"/>
      <c r="AK27"/>
      <c r="AL27"/>
      <c r="AM27"/>
      <c r="AN27"/>
      <c r="AO27"/>
      <c r="AP27"/>
      <c r="AQ27"/>
    </row>
    <row r="28" spans="1:43" ht="13.5" x14ac:dyDescent="0.3">
      <c r="C28" s="1" t="s">
        <v>125</v>
      </c>
      <c r="D28" s="205" t="s">
        <v>64</v>
      </c>
      <c r="E28" s="112">
        <f>Assumptions!G43*vcr_esc</f>
        <v>44753.327047371298</v>
      </c>
      <c r="F28" s="238" t="str">
        <f>IF(AND(SUM(I27:AG27)&lt;&gt;0, E28=0), "!", "")</f>
        <v/>
      </c>
      <c r="G28" s="207">
        <f>input_dollars</f>
        <v>45291</v>
      </c>
      <c r="H28"/>
      <c r="I28" s="297">
        <f>I27*$E$28</f>
        <v>0</v>
      </c>
      <c r="J28" s="297">
        <f t="shared" ref="J28:AG28" si="2">J27*$E$28</f>
        <v>0</v>
      </c>
      <c r="K28" s="297">
        <f t="shared" si="2"/>
        <v>0</v>
      </c>
      <c r="L28" s="297">
        <f t="shared" si="2"/>
        <v>0</v>
      </c>
      <c r="M28" s="297">
        <f t="shared" si="2"/>
        <v>0</v>
      </c>
      <c r="N28" s="297">
        <f t="shared" si="2"/>
        <v>0</v>
      </c>
      <c r="O28" s="297">
        <f t="shared" si="2"/>
        <v>0</v>
      </c>
      <c r="P28" s="297">
        <f t="shared" si="2"/>
        <v>0</v>
      </c>
      <c r="Q28" s="297">
        <f t="shared" si="2"/>
        <v>0</v>
      </c>
      <c r="R28" s="297">
        <f t="shared" si="2"/>
        <v>0</v>
      </c>
      <c r="S28" s="297">
        <f t="shared" si="2"/>
        <v>0</v>
      </c>
      <c r="T28" s="297">
        <f t="shared" si="2"/>
        <v>0</v>
      </c>
      <c r="U28" s="297">
        <f t="shared" si="2"/>
        <v>0</v>
      </c>
      <c r="V28" s="297">
        <f t="shared" si="2"/>
        <v>0</v>
      </c>
      <c r="W28" s="297">
        <f t="shared" si="2"/>
        <v>0</v>
      </c>
      <c r="X28" s="297">
        <f t="shared" si="2"/>
        <v>0</v>
      </c>
      <c r="Y28" s="297">
        <f t="shared" si="2"/>
        <v>0</v>
      </c>
      <c r="Z28" s="297">
        <f t="shared" si="2"/>
        <v>0</v>
      </c>
      <c r="AA28" s="297">
        <f t="shared" si="2"/>
        <v>0</v>
      </c>
      <c r="AB28" s="297">
        <f t="shared" si="2"/>
        <v>0</v>
      </c>
      <c r="AC28" s="297">
        <f t="shared" si="2"/>
        <v>0</v>
      </c>
      <c r="AD28" s="297">
        <f t="shared" si="2"/>
        <v>0</v>
      </c>
      <c r="AE28" s="297">
        <f t="shared" si="2"/>
        <v>0</v>
      </c>
      <c r="AF28" s="297">
        <f t="shared" si="2"/>
        <v>0</v>
      </c>
      <c r="AG28" s="297">
        <f t="shared" si="2"/>
        <v>0</v>
      </c>
      <c r="AH28"/>
      <c r="AI28"/>
      <c r="AJ28"/>
      <c r="AK28"/>
      <c r="AL28"/>
      <c r="AM28"/>
      <c r="AN28"/>
      <c r="AO28"/>
      <c r="AP28"/>
      <c r="AQ28"/>
    </row>
    <row r="29" spans="1:43" ht="13.5" x14ac:dyDescent="0.3">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3.5" x14ac:dyDescent="0.3">
      <c r="C30" s="1" t="s">
        <v>115</v>
      </c>
      <c r="D30" s="205" t="s">
        <v>212</v>
      </c>
      <c r="G30" s="207">
        <f>input_dollars</f>
        <v>45291</v>
      </c>
      <c r="H30" s="149"/>
      <c r="I30" s="170" cm="1">
        <f t="array" ref="I30">SUMPRODUCT((Assumptions!$H$83:$H$84)*(Assumptions!$G$83:$G$84)*(Assumptions!$I$83:$I$84)*(I$24:I$25))</f>
        <v>0</v>
      </c>
      <c r="J30" s="170" cm="1">
        <f t="array" ref="J30">SUMPRODUCT((Assumptions!$H$83:$H$84)*(Assumptions!$G$83:$G$84)*(Assumptions!$I$83:$I$84)*(J$24:J$25))</f>
        <v>0</v>
      </c>
      <c r="K30" s="170" cm="1">
        <f t="array" ref="K30">SUMPRODUCT((Assumptions!$H$83:$H$84)*(Assumptions!$G$83:$G$84)*(Assumptions!$I$83:$I$84)*(K$24:K$25))</f>
        <v>0</v>
      </c>
      <c r="L30" s="170" cm="1">
        <f t="array" ref="L30">SUMPRODUCT((Assumptions!$H$83:$H$84)*(Assumptions!$G$83:$G$84)*(Assumptions!$I$83:$I$84)*(L$24:L$25))</f>
        <v>0</v>
      </c>
      <c r="M30" s="170" cm="1">
        <f t="array" ref="M30">SUMPRODUCT((Assumptions!$H$83:$H$84)*(Assumptions!$G$83:$G$84)*(Assumptions!$I$83:$I$84)*(M$24:M$25))</f>
        <v>0</v>
      </c>
      <c r="N30" s="170" cm="1">
        <f t="array" ref="N30">SUMPRODUCT((Assumptions!$H$83:$H$84)*(Assumptions!$G$83:$G$84)*(Assumptions!$I$83:$I$84)*(N$24:N$25))</f>
        <v>0</v>
      </c>
      <c r="O30" s="170" cm="1">
        <f t="array" ref="O30">SUMPRODUCT((Assumptions!$H$83:$H$84)*(Assumptions!$G$83:$G$84)*(Assumptions!$I$83:$I$84)*(O$24:O$25))</f>
        <v>0</v>
      </c>
      <c r="P30" s="170" cm="1">
        <f t="array" ref="P30">SUMPRODUCT((Assumptions!$H$83:$H$84)*(Assumptions!$G$83:$G$84)*(Assumptions!$I$83:$I$84)*(P$24:P$25))</f>
        <v>0</v>
      </c>
      <c r="Q30" s="170" cm="1">
        <f t="array" ref="Q30">SUMPRODUCT((Assumptions!$H$83:$H$84)*(Assumptions!$G$83:$G$84)*(Assumptions!$I$83:$I$84)*(Q$24:Q$25))</f>
        <v>0</v>
      </c>
      <c r="R30" s="170" cm="1">
        <f t="array" ref="R30">SUMPRODUCT((Assumptions!$H$83:$H$84)*(Assumptions!$G$83:$G$84)*(Assumptions!$I$83:$I$84)*(R$24:R$25))</f>
        <v>0</v>
      </c>
      <c r="S30" s="170" cm="1">
        <f t="array" ref="S30">SUMPRODUCT((Assumptions!$H$83:$H$84)*(Assumptions!$G$83:$G$84)*(Assumptions!$I$83:$I$84)*(S$24:S$25))</f>
        <v>0</v>
      </c>
      <c r="T30" s="170" cm="1">
        <f t="array" ref="T30">SUMPRODUCT((Assumptions!$H$83:$H$84)*(Assumptions!$G$83:$G$84)*(Assumptions!$I$83:$I$84)*(T$24:T$25))</f>
        <v>0</v>
      </c>
      <c r="U30" s="170" cm="1">
        <f t="array" ref="U30">SUMPRODUCT((Assumptions!$H$83:$H$84)*(Assumptions!$G$83:$G$84)*(Assumptions!$I$83:$I$84)*(U$24:U$25))</f>
        <v>0</v>
      </c>
      <c r="V30" s="170" cm="1">
        <f t="array" ref="V30">SUMPRODUCT((Assumptions!$H$83:$H$84)*(Assumptions!$G$83:$G$84)*(Assumptions!$I$83:$I$84)*(V$24:V$25))</f>
        <v>0</v>
      </c>
      <c r="W30" s="170" cm="1">
        <f t="array" ref="W30">SUMPRODUCT((Assumptions!$H$83:$H$84)*(Assumptions!$G$83:$G$84)*(Assumptions!$I$83:$I$84)*(W$24:W$25))</f>
        <v>0</v>
      </c>
      <c r="X30" s="170" cm="1">
        <f t="array" ref="X30">SUMPRODUCT((Assumptions!$H$83:$H$84)*(Assumptions!$G$83:$G$84)*(Assumptions!$I$83:$I$84)*(X$24:X$25))</f>
        <v>0</v>
      </c>
      <c r="Y30" s="170" cm="1">
        <f t="array" ref="Y30">SUMPRODUCT((Assumptions!$H$83:$H$84)*(Assumptions!$G$83:$G$84)*(Assumptions!$I$83:$I$84)*(Y$24:Y$25))</f>
        <v>0</v>
      </c>
      <c r="Z30" s="170" cm="1">
        <f t="array" ref="Z30">SUMPRODUCT((Assumptions!$H$83:$H$84)*(Assumptions!$G$83:$G$84)*(Assumptions!$I$83:$I$84)*(Z$24:Z$25))</f>
        <v>0</v>
      </c>
      <c r="AA30" s="170" cm="1">
        <f t="array" ref="AA30">SUMPRODUCT((Assumptions!$H$83:$H$84)*(Assumptions!$G$83:$G$84)*(Assumptions!$I$83:$I$84)*(AA$24:AA$25))</f>
        <v>0</v>
      </c>
      <c r="AB30" s="170" cm="1">
        <f t="array" ref="AB30">SUMPRODUCT((Assumptions!$H$83:$H$84)*(Assumptions!$G$83:$G$84)*(Assumptions!$I$83:$I$84)*(AB$24:AB$25))</f>
        <v>0</v>
      </c>
      <c r="AC30" s="170" cm="1">
        <f t="array" ref="AC30">SUMPRODUCT((Assumptions!$H$83:$H$84)*(Assumptions!$G$83:$G$84)*(Assumptions!$I$83:$I$84)*(AC$24:AC$25))</f>
        <v>0</v>
      </c>
      <c r="AD30" s="170" cm="1">
        <f t="array" ref="AD30">SUMPRODUCT((Assumptions!$H$83:$H$84)*(Assumptions!$G$83:$G$84)*(Assumptions!$I$83:$I$84)*(AD$24:AD$25))</f>
        <v>0</v>
      </c>
      <c r="AE30" s="170" cm="1">
        <f t="array" ref="AE30">SUMPRODUCT((Assumptions!$H$83:$H$84)*(Assumptions!$G$83:$G$84)*(Assumptions!$I$83:$I$84)*(AE$24:AE$25))</f>
        <v>0</v>
      </c>
      <c r="AF30" s="170" cm="1">
        <f t="array" ref="AF30">SUMPRODUCT((Assumptions!$H$83:$H$84)*(Assumptions!$G$83:$G$84)*(Assumptions!$I$83:$I$84)*(AF$24:AF$25))</f>
        <v>0</v>
      </c>
      <c r="AG30" s="170" cm="1">
        <f t="array" ref="AG30">SUMPRODUCT((Assumptions!$H$83:$H$84)*(Assumptions!$G$83:$G$84)*(Assumptions!$I$83:$I$84)*(AG$24:AG$25))</f>
        <v>0</v>
      </c>
      <c r="AH30"/>
      <c r="AI30"/>
      <c r="AJ30"/>
      <c r="AK30"/>
      <c r="AL30"/>
      <c r="AM30"/>
      <c r="AN30"/>
      <c r="AO30"/>
      <c r="AP30"/>
      <c r="AQ30"/>
    </row>
    <row r="31" spans="1:43" ht="13.5" x14ac:dyDescent="0.3">
      <c r="C31" s="1" t="s">
        <v>117</v>
      </c>
      <c r="D31" s="206"/>
      <c r="E31"/>
      <c r="G31" s="207">
        <f>input_dollars</f>
        <v>45291</v>
      </c>
      <c r="H31" s="149"/>
      <c r="I31" s="170" cm="1">
        <f t="array" ref="I31">(1+Assumptions!$G$94)*SUMPRODUCT((Assumptions!$G$91:$G$92)*(I$24:I$25))</f>
        <v>0</v>
      </c>
      <c r="J31" s="170" cm="1">
        <f t="array" ref="J31">(1+Assumptions!$G$94)*SUMPRODUCT((Assumptions!$G$91:$G$92)*(J$24:J$25))</f>
        <v>0</v>
      </c>
      <c r="K31" s="170" cm="1">
        <f t="array" ref="K31">(1+Assumptions!$G$94)*SUMPRODUCT((Assumptions!$G$91:$G$92)*(K$24:K$25))</f>
        <v>0</v>
      </c>
      <c r="L31" s="170" cm="1">
        <f t="array" ref="L31">(1+Assumptions!$G$94)*SUMPRODUCT((Assumptions!$G$91:$G$92)*(L$24:L$25))</f>
        <v>0</v>
      </c>
      <c r="M31" s="170" cm="1">
        <f t="array" ref="M31">(1+Assumptions!$G$94)*SUMPRODUCT((Assumptions!$G$91:$G$92)*(M$24:M$25))</f>
        <v>0</v>
      </c>
      <c r="N31" s="170" cm="1">
        <f t="array" ref="N31">(1+Assumptions!$G$94)*SUMPRODUCT((Assumptions!$G$91:$G$92)*(N$24:N$25))</f>
        <v>0</v>
      </c>
      <c r="O31" s="170" cm="1">
        <f t="array" ref="O31">(1+Assumptions!$G$94)*SUMPRODUCT((Assumptions!$G$91:$G$92)*(O$24:O$25))</f>
        <v>0</v>
      </c>
      <c r="P31" s="170" cm="1">
        <f t="array" ref="P31">(1+Assumptions!$G$94)*SUMPRODUCT((Assumptions!$G$91:$G$92)*(P$24:P$25))</f>
        <v>0</v>
      </c>
      <c r="Q31" s="170" cm="1">
        <f t="array" ref="Q31">(1+Assumptions!$G$94)*SUMPRODUCT((Assumptions!$G$91:$G$92)*(Q$24:Q$25))</f>
        <v>0</v>
      </c>
      <c r="R31" s="170" cm="1">
        <f t="array" ref="R31">(1+Assumptions!$G$94)*SUMPRODUCT((Assumptions!$G$91:$G$92)*(R$24:R$25))</f>
        <v>0</v>
      </c>
      <c r="S31" s="170" cm="1">
        <f t="array" ref="S31">(1+Assumptions!$G$94)*SUMPRODUCT((Assumptions!$G$91:$G$92)*(S$24:S$25))</f>
        <v>0</v>
      </c>
      <c r="T31" s="170" cm="1">
        <f t="array" ref="T31">(1+Assumptions!$G$94)*SUMPRODUCT((Assumptions!$G$91:$G$92)*(T$24:T$25))</f>
        <v>0</v>
      </c>
      <c r="U31" s="170" cm="1">
        <f t="array" ref="U31">(1+Assumptions!$G$94)*SUMPRODUCT((Assumptions!$G$91:$G$92)*(U$24:U$25))</f>
        <v>0</v>
      </c>
      <c r="V31" s="170" cm="1">
        <f t="array" ref="V31">(1+Assumptions!$G$94)*SUMPRODUCT((Assumptions!$G$91:$G$92)*(V$24:V$25))</f>
        <v>0</v>
      </c>
      <c r="W31" s="170" cm="1">
        <f t="array" ref="W31">(1+Assumptions!$G$94)*SUMPRODUCT((Assumptions!$G$91:$G$92)*(W$24:W$25))</f>
        <v>0</v>
      </c>
      <c r="X31" s="170" cm="1">
        <f t="array" ref="X31">(1+Assumptions!$G$94)*SUMPRODUCT((Assumptions!$G$91:$G$92)*(X$24:X$25))</f>
        <v>0</v>
      </c>
      <c r="Y31" s="170" cm="1">
        <f t="array" ref="Y31">(1+Assumptions!$G$94)*SUMPRODUCT((Assumptions!$G$91:$G$92)*(Y$24:Y$25))</f>
        <v>0</v>
      </c>
      <c r="Z31" s="170" cm="1">
        <f t="array" ref="Z31">(1+Assumptions!$G$94)*SUMPRODUCT((Assumptions!$G$91:$G$92)*(Z$24:Z$25))</f>
        <v>0</v>
      </c>
      <c r="AA31" s="170" cm="1">
        <f t="array" ref="AA31">(1+Assumptions!$G$94)*SUMPRODUCT((Assumptions!$G$91:$G$92)*(AA$24:AA$25))</f>
        <v>0</v>
      </c>
      <c r="AB31" s="170" cm="1">
        <f t="array" ref="AB31">(1+Assumptions!$G$94)*SUMPRODUCT((Assumptions!$G$91:$G$92)*(AB$24:AB$25))</f>
        <v>0</v>
      </c>
      <c r="AC31" s="170" cm="1">
        <f t="array" ref="AC31">(1+Assumptions!$G$94)*SUMPRODUCT((Assumptions!$G$91:$G$92)*(AC$24:AC$25))</f>
        <v>0</v>
      </c>
      <c r="AD31" s="170" cm="1">
        <f t="array" ref="AD31">(1+Assumptions!$G$94)*SUMPRODUCT((Assumptions!$G$91:$G$92)*(AD$24:AD$25))</f>
        <v>0</v>
      </c>
      <c r="AE31" s="170" cm="1">
        <f t="array" ref="AE31">(1+Assumptions!$G$94)*SUMPRODUCT((Assumptions!$G$91:$G$92)*(AE$24:AE$25))</f>
        <v>0</v>
      </c>
      <c r="AF31" s="170" cm="1">
        <f t="array" ref="AF31">(1+Assumptions!$G$94)*SUMPRODUCT((Assumptions!$G$91:$G$92)*(AF$24:AF$25))</f>
        <v>0</v>
      </c>
      <c r="AG31" s="170" cm="1">
        <f t="array" ref="AG31">(1+Assumptions!$G$94)*SUMPRODUCT((Assumptions!$G$91:$G$92)*(AG$24:AG$25))</f>
        <v>0</v>
      </c>
      <c r="AH31"/>
      <c r="AI31"/>
      <c r="AJ31"/>
      <c r="AK31"/>
      <c r="AL31"/>
      <c r="AM31"/>
      <c r="AN31"/>
      <c r="AO31"/>
      <c r="AP31"/>
      <c r="AQ31"/>
    </row>
    <row r="32" spans="1:43" ht="13.5" x14ac:dyDescent="0.3">
      <c r="C32" s="1" t="s">
        <v>116</v>
      </c>
      <c r="D32" s="205" t="s">
        <v>212</v>
      </c>
      <c r="E32"/>
      <c r="G32" s="207">
        <f>input_dollars</f>
        <v>45291</v>
      </c>
      <c r="H32"/>
      <c r="I32" s="32">
        <v>0</v>
      </c>
      <c r="J32" s="32">
        <v>0</v>
      </c>
      <c r="K32" s="32">
        <v>0</v>
      </c>
      <c r="L32" s="32">
        <v>0</v>
      </c>
      <c r="M32" s="32">
        <v>0</v>
      </c>
      <c r="N32" s="32">
        <v>0</v>
      </c>
      <c r="O32" s="32">
        <v>0</v>
      </c>
      <c r="P32" s="32">
        <v>0</v>
      </c>
      <c r="Q32" s="32">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c r="AI32"/>
      <c r="AJ32"/>
      <c r="AK32"/>
      <c r="AL32"/>
      <c r="AM32"/>
      <c r="AN32"/>
      <c r="AO32"/>
      <c r="AP32"/>
      <c r="AQ32"/>
    </row>
    <row r="33" spans="1:16372" ht="13.5" x14ac:dyDescent="0.3">
      <c r="C33" s="284" t="s">
        <v>179</v>
      </c>
      <c r="D33" s="219"/>
      <c r="E33"/>
      <c r="G33" s="207">
        <f>input_dollars</f>
        <v>45291</v>
      </c>
      <c r="H33"/>
      <c r="I33" s="32">
        <v>0</v>
      </c>
      <c r="J33" s="32">
        <v>0</v>
      </c>
      <c r="K33" s="32">
        <v>0</v>
      </c>
      <c r="L33" s="32">
        <v>0</v>
      </c>
      <c r="M33" s="32">
        <v>0</v>
      </c>
      <c r="N33" s="32">
        <v>0</v>
      </c>
      <c r="O33" s="32">
        <v>0</v>
      </c>
      <c r="P33" s="32">
        <v>0</v>
      </c>
      <c r="Q33" s="32">
        <v>0</v>
      </c>
      <c r="R33" s="136">
        <v>0</v>
      </c>
      <c r="S33" s="136">
        <v>0</v>
      </c>
      <c r="T33" s="136">
        <v>0</v>
      </c>
      <c r="U33" s="136">
        <v>0</v>
      </c>
      <c r="V33" s="136">
        <v>0</v>
      </c>
      <c r="W33" s="136">
        <v>0</v>
      </c>
      <c r="X33" s="136">
        <v>0</v>
      </c>
      <c r="Y33" s="136">
        <v>0</v>
      </c>
      <c r="Z33" s="136">
        <v>0</v>
      </c>
      <c r="AA33" s="136">
        <v>0</v>
      </c>
      <c r="AB33" s="136">
        <v>0</v>
      </c>
      <c r="AC33" s="136">
        <v>0</v>
      </c>
      <c r="AD33" s="136">
        <v>0</v>
      </c>
      <c r="AE33" s="136">
        <v>0</v>
      </c>
      <c r="AF33" s="136">
        <v>0</v>
      </c>
      <c r="AG33" s="136">
        <v>0</v>
      </c>
      <c r="AH33"/>
      <c r="AI33"/>
      <c r="AJ33"/>
      <c r="AK33"/>
      <c r="AL33"/>
      <c r="AM33"/>
      <c r="AN33"/>
      <c r="AO33"/>
      <c r="AP33"/>
      <c r="AQ33"/>
    </row>
    <row r="34" spans="1:16372" ht="13.5" x14ac:dyDescent="0.3">
      <c r="C34" s="284" t="s">
        <v>179</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ht="13.5" x14ac:dyDescent="0.3">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ht="13.5" x14ac:dyDescent="0.3">
      <c r="C36" s="3" t="s">
        <v>178</v>
      </c>
      <c r="D36" s="218"/>
      <c r="E36" s="107"/>
      <c r="F36" s="3"/>
      <c r="G36" s="209"/>
      <c r="H36" s="107"/>
      <c r="I36" s="170">
        <f>SUM(I28:I34)</f>
        <v>0</v>
      </c>
      <c r="J36" s="170">
        <f t="shared" ref="J36:AG36" si="3">SUM(J28:J34)</f>
        <v>0</v>
      </c>
      <c r="K36" s="170">
        <f t="shared" si="3"/>
        <v>0</v>
      </c>
      <c r="L36" s="170">
        <f t="shared" si="3"/>
        <v>0</v>
      </c>
      <c r="M36" s="170">
        <f t="shared" si="3"/>
        <v>0</v>
      </c>
      <c r="N36" s="170">
        <f t="shared" si="3"/>
        <v>0</v>
      </c>
      <c r="O36" s="170">
        <f t="shared" si="3"/>
        <v>0</v>
      </c>
      <c r="P36" s="170">
        <f t="shared" si="3"/>
        <v>0</v>
      </c>
      <c r="Q36" s="170">
        <f t="shared" si="3"/>
        <v>0</v>
      </c>
      <c r="R36" s="170">
        <f t="shared" si="3"/>
        <v>0</v>
      </c>
      <c r="S36" s="170">
        <f t="shared" si="3"/>
        <v>0</v>
      </c>
      <c r="T36" s="170">
        <f t="shared" si="3"/>
        <v>0</v>
      </c>
      <c r="U36" s="170">
        <f t="shared" si="3"/>
        <v>0</v>
      </c>
      <c r="V36" s="170">
        <f t="shared" si="3"/>
        <v>0</v>
      </c>
      <c r="W36" s="170">
        <f t="shared" si="3"/>
        <v>0</v>
      </c>
      <c r="X36" s="170">
        <f t="shared" si="3"/>
        <v>0</v>
      </c>
      <c r="Y36" s="170">
        <f t="shared" si="3"/>
        <v>0</v>
      </c>
      <c r="Z36" s="170">
        <f t="shared" si="3"/>
        <v>0</v>
      </c>
      <c r="AA36" s="170">
        <f t="shared" si="3"/>
        <v>0</v>
      </c>
      <c r="AB36" s="170">
        <f t="shared" si="3"/>
        <v>0</v>
      </c>
      <c r="AC36" s="170">
        <f t="shared" si="3"/>
        <v>0</v>
      </c>
      <c r="AD36" s="170">
        <f t="shared" si="3"/>
        <v>0</v>
      </c>
      <c r="AE36" s="170">
        <f t="shared" si="3"/>
        <v>0</v>
      </c>
      <c r="AF36" s="170">
        <f t="shared" si="3"/>
        <v>0</v>
      </c>
      <c r="AG36" s="170">
        <f t="shared" si="3"/>
        <v>0</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ht="13.5" x14ac:dyDescent="0.3">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4.5" x14ac:dyDescent="0.3">
      <c r="A38" s="89" t="s">
        <v>57</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ht="13.5" x14ac:dyDescent="0.3">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ht="13.5" x14ac:dyDescent="0.3">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4" x14ac:dyDescent="0.35">
      <c r="C41" s="1" t="s">
        <v>60</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c r="AH41"/>
      <c r="AI41"/>
      <c r="AJ41"/>
      <c r="AK41"/>
    </row>
    <row r="42" spans="1:16372" ht="14" x14ac:dyDescent="0.35">
      <c r="C42" s="1" t="s">
        <v>130</v>
      </c>
      <c r="G42" s="205" t="s">
        <v>105</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c r="AH42"/>
      <c r="AI42"/>
      <c r="AJ42"/>
      <c r="AK42"/>
    </row>
    <row r="43" spans="1:16372" ht="13.5" x14ac:dyDescent="0.3">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ht="13.5" x14ac:dyDescent="0.3">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3">
      <c r="C45" s="1" t="s">
        <v>326</v>
      </c>
      <c r="D45" s="205" t="s">
        <v>64</v>
      </c>
      <c r="E45" s="158">
        <f>Assumptions!G106-Assumptions!G43</f>
        <v>22746.672952628702</v>
      </c>
      <c r="G45" s="207" t="s">
        <v>40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c r="AF45" s="32">
        <v>0</v>
      </c>
      <c r="AG45" s="32">
        <v>0</v>
      </c>
    </row>
    <row r="46" spans="1:16372" x14ac:dyDescent="0.3">
      <c r="C46" s="1" t="s">
        <v>327</v>
      </c>
      <c r="D46" s="205" t="s">
        <v>64</v>
      </c>
      <c r="E46" s="158">
        <f>Assumptions!G46</f>
        <v>19880</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3">
      <c r="C47" s="1" t="s">
        <v>328</v>
      </c>
      <c r="D47" s="205" t="s">
        <v>64</v>
      </c>
      <c r="E47" s="158">
        <f>Assumptions!G47</f>
        <v>52200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3">
      <c r="C48" s="1" t="s">
        <v>329</v>
      </c>
      <c r="D48" s="205" t="s">
        <v>127</v>
      </c>
      <c r="E48" s="158">
        <f>Assumptions!G48</f>
        <v>74790</v>
      </c>
      <c r="G48" s="207" t="s">
        <v>209</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3">
      <c r="C49" s="1" t="s">
        <v>330</v>
      </c>
      <c r="D49" s="205" t="s">
        <v>210</v>
      </c>
      <c r="E49" s="158">
        <f>Assumptions!G49</f>
        <v>44400</v>
      </c>
      <c r="G49" s="207" t="s">
        <v>211</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3">
      <c r="C50" s="1" t="s">
        <v>331</v>
      </c>
      <c r="D50" s="205" t="s">
        <v>210</v>
      </c>
      <c r="E50" s="158">
        <f>Assumptions!G50</f>
        <v>52200</v>
      </c>
      <c r="G50" s="207"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3">
      <c r="C51" s="1" t="s">
        <v>6</v>
      </c>
      <c r="D51" s="205" t="s">
        <v>127</v>
      </c>
      <c r="E51" s="502">
        <f>Assumptions!G112</f>
        <v>0.28000000000000003</v>
      </c>
      <c r="G51" s="207" t="s">
        <v>209</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3">
      <c r="C52" s="1" t="s">
        <v>7</v>
      </c>
      <c r="D52" s="205" t="s">
        <v>127</v>
      </c>
      <c r="E52" s="502">
        <f>Assumptions!G113</f>
        <v>0.17</v>
      </c>
      <c r="G52" s="207"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3">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3">
      <c r="C54" s="1" t="s">
        <v>118</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3">
      <c r="C55" s="1" t="s">
        <v>119</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3">
      <c r="D56" s="205"/>
      <c r="G56" s="205"/>
    </row>
    <row r="57" spans="1:43" ht="13.5" x14ac:dyDescent="0.3">
      <c r="C57" s="3" t="s">
        <v>126</v>
      </c>
      <c r="D57" s="218"/>
      <c r="E57" s="107"/>
      <c r="F57" s="3"/>
      <c r="G57" s="210">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0</v>
      </c>
      <c r="N57" s="170" cm="1">
        <f t="array" ref="N57">SUMPRODUCT((N$45:N$52)*($E$45:$E$52))+SUM(N54:N55)+N42</f>
        <v>0</v>
      </c>
      <c r="O57" s="170" cm="1">
        <f t="array" ref="O57">SUMPRODUCT((O$45:O$52)*($E$45:$E$52))+SUM(O54:O55)+O42</f>
        <v>0</v>
      </c>
      <c r="P57" s="170" cm="1">
        <f t="array" ref="P57">SUMPRODUCT((P$45:P$52)*($E$45:$E$52))+SUM(P54:P55)+P42</f>
        <v>0</v>
      </c>
      <c r="Q57" s="170" cm="1">
        <f t="array" ref="Q57">SUMPRODUCT((Q$45:Q$52)*($E$45:$E$52))+SUM(Q54:Q55)+Q42</f>
        <v>0</v>
      </c>
      <c r="R57" s="170" cm="1">
        <f t="array" ref="R57">SUMPRODUCT((R$45:R$52)*($E$45:$E$52))+SUM(R54:R55)+R42</f>
        <v>0</v>
      </c>
      <c r="S57" s="170" cm="1">
        <f t="array" ref="S57">SUMPRODUCT((S$45:S$52)*($E$45:$E$52))+SUM(S54:S55)+S42</f>
        <v>0</v>
      </c>
      <c r="T57" s="170" cm="1">
        <f t="array" ref="T57">SUMPRODUCT((T$45:T$52)*($E$45:$E$52))+SUM(T54:T55)+T42</f>
        <v>0</v>
      </c>
      <c r="U57" s="170" cm="1">
        <f t="array" ref="U57">SUMPRODUCT((U$45:U$52)*($E$45:$E$52))+SUM(U54:U55)+U42</f>
        <v>0</v>
      </c>
      <c r="V57" s="170" cm="1">
        <f t="array" ref="V57">SUMPRODUCT((V$45:V$52)*($E$45:$E$52))+SUM(V54:V55)+V42</f>
        <v>0</v>
      </c>
      <c r="W57" s="170" cm="1">
        <f t="array" ref="W57">SUMPRODUCT((W$45:W$52)*($E$45:$E$52))+SUM(W54:W55)+W42</f>
        <v>0</v>
      </c>
      <c r="X57" s="170" cm="1">
        <f t="array" ref="X57">SUMPRODUCT((X$45:X$52)*($E$45:$E$52))+SUM(X54:X55)+X42</f>
        <v>0</v>
      </c>
      <c r="Y57" s="170" cm="1">
        <f t="array" ref="Y57">SUMPRODUCT((Y$45:Y$52)*($E$45:$E$52))+SUM(Y54:Y55)+Y42</f>
        <v>0</v>
      </c>
      <c r="Z57" s="170" cm="1">
        <f t="array" ref="Z57">SUMPRODUCT((Z$45:Z$52)*($E$45:$E$52))+SUM(Z54:Z55)+Z42</f>
        <v>0</v>
      </c>
      <c r="AA57" s="170" cm="1">
        <f t="array" ref="AA57">SUMPRODUCT((AA$45:AA$52)*($E$45:$E$52))+SUM(AA54:AA55)+AA42</f>
        <v>0</v>
      </c>
      <c r="AB57" s="170" cm="1">
        <f t="array" ref="AB57">SUMPRODUCT((AB$45:AB$52)*($E$45:$E$52))+SUM(AB54:AB55)+AB42</f>
        <v>0</v>
      </c>
      <c r="AC57" s="170" cm="1">
        <f t="array" ref="AC57">SUMPRODUCT((AC$45:AC$52)*($E$45:$E$52))+SUM(AC54:AC55)+AC42</f>
        <v>0</v>
      </c>
      <c r="AD57" s="170" cm="1">
        <f t="array" ref="AD57">SUMPRODUCT((AD$45:AD$52)*($E$45:$E$52))+SUM(AD54:AD55)+AD42</f>
        <v>0</v>
      </c>
      <c r="AE57" s="170" cm="1">
        <f t="array" ref="AE57">SUMPRODUCT((AE$45:AE$52)*($E$45:$E$52))+SUM(AE54:AE55)+AE42</f>
        <v>0</v>
      </c>
      <c r="AF57" s="170" cm="1">
        <f t="array" ref="AF57">SUMPRODUCT((AF$45:AF$52)*($E$45:$E$52))+SUM(AF54:AF55)+AF42</f>
        <v>0</v>
      </c>
      <c r="AG57" s="170" cm="1">
        <f t="array" ref="AG57">SUMPRODUCT((AG$45:AG$52)*($E$45:$E$52))+SUM(AG54:AG55)+AG42</f>
        <v>0</v>
      </c>
    </row>
    <row r="58" spans="1:43" x14ac:dyDescent="0.3">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3">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4.5" x14ac:dyDescent="0.3">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4.5" x14ac:dyDescent="0.3">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3">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3">
      <c r="F63" s="2"/>
      <c r="G63" s="212"/>
    </row>
    <row r="64" spans="1:43" x14ac:dyDescent="0.3">
      <c r="C64" s="4" t="str">
        <f>'Option1 (base case)'!C64</f>
        <v>Risks mitigated vs base case</v>
      </c>
      <c r="G64" s="210">
        <f>input_dollars</f>
        <v>45291</v>
      </c>
      <c r="I64" s="132">
        <f>(1-INDEX(Data!$C$9:$C$13, MATCH($A$3, options,0)))*('Option1 (base case)'!I36-I36)</f>
        <v>0</v>
      </c>
      <c r="J64" s="132">
        <f>(1-INDEX(Data!$C$9:$C$13, MATCH($A$3, options,0)))*('Option1 (base case)'!J36-J36)</f>
        <v>0</v>
      </c>
      <c r="K64" s="132">
        <f>(1-INDEX(Data!$C$9:$C$13, MATCH($A$3, options,0)))*('Option1 (base case)'!K36-K36)</f>
        <v>0</v>
      </c>
      <c r="L64" s="132">
        <f>(1-INDEX(Data!$C$9:$C$13, MATCH($A$3, options,0)))*('Option1 (base case)'!L36-L36)</f>
        <v>0</v>
      </c>
      <c r="M64" s="132">
        <f>(1-INDEX(Data!$C$9:$C$13, MATCH($A$3, options,0)))*('Option1 (base case)'!M36-M36)</f>
        <v>0</v>
      </c>
      <c r="N64" s="132">
        <f>(1-INDEX(Data!$C$9:$C$13, MATCH($A$3, options,0)))*('Option1 (base case)'!N36-N36)</f>
        <v>0</v>
      </c>
      <c r="O64" s="132">
        <f>(1-INDEX(Data!$C$9:$C$13, MATCH($A$3, options,0)))*('Option1 (base case)'!O36-O36)</f>
        <v>0</v>
      </c>
      <c r="P64" s="132">
        <f>(1-INDEX(Data!$C$9:$C$13, MATCH($A$3, options,0)))*('Option1 (base case)'!P36-P36)</f>
        <v>0</v>
      </c>
      <c r="Q64" s="132">
        <f>(1-INDEX(Data!$C$9:$C$13, MATCH($A$3, options,0)))*('Option1 (base case)'!Q36-Q36)</f>
        <v>0</v>
      </c>
      <c r="R64" s="132">
        <f>(1-INDEX(Data!$C$9:$C$13, MATCH($A$3, options,0)))*('Option1 (base case)'!R36-R36)</f>
        <v>0</v>
      </c>
      <c r="S64" s="132">
        <f>(1-INDEX(Data!$C$9:$C$13, MATCH($A$3, options,0)))*('Option1 (base case)'!S36-S36)</f>
        <v>0</v>
      </c>
      <c r="T64" s="132">
        <f>(1-INDEX(Data!$C$9:$C$13, MATCH($A$3, options,0)))*('Option1 (base case)'!T36-T36)</f>
        <v>0</v>
      </c>
      <c r="U64" s="132">
        <f>(1-INDEX(Data!$C$9:$C$13, MATCH($A$3, options,0)))*('Option1 (base case)'!U36-U36)</f>
        <v>0</v>
      </c>
      <c r="V64" s="132">
        <f>(1-INDEX(Data!$C$9:$C$13, MATCH($A$3, options,0)))*('Option1 (base case)'!V36-V36)</f>
        <v>0</v>
      </c>
      <c r="W64" s="132">
        <f>(1-INDEX(Data!$C$9:$C$13, MATCH($A$3, options,0)))*('Option1 (base case)'!W36-W36)</f>
        <v>0</v>
      </c>
      <c r="X64" s="132">
        <f>(1-INDEX(Data!$C$9:$C$13, MATCH($A$3, options,0)))*('Option1 (base case)'!X36-X36)</f>
        <v>0</v>
      </c>
      <c r="Y64" s="132">
        <f>(1-INDEX(Data!$C$9:$C$13, MATCH($A$3, options,0)))*('Option1 (base case)'!Y36-Y36)</f>
        <v>0</v>
      </c>
      <c r="Z64" s="132">
        <f>(1-INDEX(Data!$C$9:$C$13, MATCH($A$3, options,0)))*('Option1 (base case)'!Z36-Z36)</f>
        <v>0</v>
      </c>
      <c r="AA64" s="132">
        <f>(1-INDEX(Data!$C$9:$C$13, MATCH($A$3, options,0)))*('Option1 (base case)'!AA36-AA36)</f>
        <v>0</v>
      </c>
      <c r="AB64" s="132">
        <f>(1-INDEX(Data!$C$9:$C$13, MATCH($A$3, options,0)))*('Option1 (base case)'!AB36-AB36)</f>
        <v>0</v>
      </c>
      <c r="AC64" s="132">
        <f>(1-INDEX(Data!$C$9:$C$13, MATCH($A$3, options,0)))*('Option1 (base case)'!AC36-AC36)</f>
        <v>0</v>
      </c>
      <c r="AD64" s="132">
        <f>(1-INDEX(Data!$C$9:$C$13, MATCH($A$3, options,0)))*('Option1 (base case)'!AD36-AD36)</f>
        <v>0</v>
      </c>
      <c r="AE64" s="132">
        <f>(1-INDEX(Data!$C$9:$C$13, MATCH($A$3, options,0)))*('Option1 (base case)'!AE36-AE36)</f>
        <v>0</v>
      </c>
      <c r="AF64" s="132">
        <f>(1-INDEX(Data!$C$9:$C$13, MATCH($A$3, options,0)))*('Option1 (base case)'!AF36-AF36)</f>
        <v>0</v>
      </c>
      <c r="AG64" s="132">
        <f>(1-INDEX(Data!$C$9:$C$13, MATCH($A$3, options,0)))*('Option1 (base case)'!AG36-AG36)</f>
        <v>0</v>
      </c>
    </row>
    <row r="65" spans="1:33" x14ac:dyDescent="0.3">
      <c r="G65" s="212"/>
    </row>
    <row r="66" spans="1:33" x14ac:dyDescent="0.3">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3">
      <c r="A67" s="8"/>
      <c r="B67" s="8"/>
      <c r="C67" s="4" t="str">
        <f>C14</f>
        <v>&lt; Enter description &gt;</v>
      </c>
      <c r="D67" s="38"/>
      <c r="F67" s="97"/>
      <c r="G67" s="210">
        <f>input_dollars</f>
        <v>45291</v>
      </c>
      <c r="H67" s="31"/>
      <c r="I67" s="118">
        <f t="shared" ref="I67:AG67" si="5">-I14</f>
        <v>0</v>
      </c>
      <c r="J67" s="118">
        <f t="shared" si="5"/>
        <v>0</v>
      </c>
      <c r="K67" s="118">
        <f t="shared" si="5"/>
        <v>0</v>
      </c>
      <c r="L67" s="118">
        <f t="shared" si="5"/>
        <v>0</v>
      </c>
      <c r="M67" s="118">
        <f t="shared" si="5"/>
        <v>0</v>
      </c>
      <c r="N67" s="118">
        <f t="shared" si="5"/>
        <v>0</v>
      </c>
      <c r="O67" s="118">
        <f t="shared" si="5"/>
        <v>0</v>
      </c>
      <c r="P67" s="118">
        <f t="shared" si="5"/>
        <v>0</v>
      </c>
      <c r="Q67" s="118">
        <f t="shared" si="5"/>
        <v>0</v>
      </c>
      <c r="R67" s="118">
        <f t="shared" si="5"/>
        <v>0</v>
      </c>
      <c r="S67" s="118">
        <f t="shared" si="5"/>
        <v>0</v>
      </c>
      <c r="T67" s="118">
        <f t="shared" si="5"/>
        <v>0</v>
      </c>
      <c r="U67" s="118">
        <f t="shared" si="5"/>
        <v>0</v>
      </c>
      <c r="V67" s="118">
        <f t="shared" si="5"/>
        <v>0</v>
      </c>
      <c r="W67" s="118">
        <f t="shared" si="5"/>
        <v>0</v>
      </c>
      <c r="X67" s="118">
        <f t="shared" si="5"/>
        <v>0</v>
      </c>
      <c r="Y67" s="118">
        <f t="shared" si="5"/>
        <v>0</v>
      </c>
      <c r="Z67" s="118">
        <f t="shared" si="5"/>
        <v>0</v>
      </c>
      <c r="AA67" s="118">
        <f t="shared" si="5"/>
        <v>0</v>
      </c>
      <c r="AB67" s="118">
        <f t="shared" si="5"/>
        <v>0</v>
      </c>
      <c r="AC67" s="118">
        <f t="shared" si="5"/>
        <v>0</v>
      </c>
      <c r="AD67" s="118">
        <f t="shared" si="5"/>
        <v>0</v>
      </c>
      <c r="AE67" s="118">
        <f t="shared" si="5"/>
        <v>0</v>
      </c>
      <c r="AF67" s="118">
        <f t="shared" si="5"/>
        <v>0</v>
      </c>
      <c r="AG67" s="118">
        <f t="shared" si="5"/>
        <v>0</v>
      </c>
    </row>
    <row r="68" spans="1:33" x14ac:dyDescent="0.3">
      <c r="A68" s="8"/>
      <c r="B68" s="8"/>
      <c r="C68" s="4" t="str">
        <f>C15</f>
        <v>&lt; Enter description &gt;</v>
      </c>
      <c r="D68" s="38"/>
      <c r="F68" s="97"/>
      <c r="G68" s="210">
        <f>input_dollars</f>
        <v>45291</v>
      </c>
      <c r="H68" s="31"/>
      <c r="I68" s="118">
        <f t="shared" ref="I68:AG68" si="6">-I15</f>
        <v>0</v>
      </c>
      <c r="J68" s="118">
        <f t="shared" si="6"/>
        <v>0</v>
      </c>
      <c r="K68" s="118">
        <f t="shared" si="6"/>
        <v>0</v>
      </c>
      <c r="L68" s="118">
        <f t="shared" si="6"/>
        <v>0</v>
      </c>
      <c r="M68" s="118">
        <f t="shared" si="6"/>
        <v>0</v>
      </c>
      <c r="N68" s="118">
        <f t="shared" si="6"/>
        <v>0</v>
      </c>
      <c r="O68" s="118">
        <f t="shared" si="6"/>
        <v>0</v>
      </c>
      <c r="P68" s="118">
        <f t="shared" si="6"/>
        <v>0</v>
      </c>
      <c r="Q68" s="118">
        <f t="shared" si="6"/>
        <v>0</v>
      </c>
      <c r="R68" s="118">
        <f t="shared" si="6"/>
        <v>0</v>
      </c>
      <c r="S68" s="118">
        <f t="shared" si="6"/>
        <v>0</v>
      </c>
      <c r="T68" s="118">
        <f t="shared" si="6"/>
        <v>0</v>
      </c>
      <c r="U68" s="118">
        <f t="shared" si="6"/>
        <v>0</v>
      </c>
      <c r="V68" s="118">
        <f t="shared" si="6"/>
        <v>0</v>
      </c>
      <c r="W68" s="118">
        <f t="shared" si="6"/>
        <v>0</v>
      </c>
      <c r="X68" s="118">
        <f t="shared" si="6"/>
        <v>0</v>
      </c>
      <c r="Y68" s="118">
        <f t="shared" si="6"/>
        <v>0</v>
      </c>
      <c r="Z68" s="118">
        <f t="shared" si="6"/>
        <v>0</v>
      </c>
      <c r="AA68" s="118">
        <f t="shared" si="6"/>
        <v>0</v>
      </c>
      <c r="AB68" s="118">
        <f t="shared" si="6"/>
        <v>0</v>
      </c>
      <c r="AC68" s="118">
        <f t="shared" si="6"/>
        <v>0</v>
      </c>
      <c r="AD68" s="118">
        <f t="shared" si="6"/>
        <v>0</v>
      </c>
      <c r="AE68" s="118">
        <f t="shared" si="6"/>
        <v>0</v>
      </c>
      <c r="AF68" s="118">
        <f t="shared" si="6"/>
        <v>0</v>
      </c>
      <c r="AG68" s="118">
        <f t="shared" si="6"/>
        <v>0</v>
      </c>
    </row>
    <row r="69" spans="1:33" x14ac:dyDescent="0.3">
      <c r="A69" s="8"/>
      <c r="B69" s="8"/>
      <c r="C69" s="4" t="str">
        <f>C16</f>
        <v>&lt; Enter description &gt;</v>
      </c>
      <c r="D69" s="38"/>
      <c r="F69" s="97"/>
      <c r="G69" s="210">
        <f>input_dollars</f>
        <v>45291</v>
      </c>
      <c r="H69" s="31"/>
      <c r="I69" s="118">
        <f t="shared" ref="I69:AG69" si="7">-I16</f>
        <v>0</v>
      </c>
      <c r="J69" s="118">
        <f t="shared" si="7"/>
        <v>0</v>
      </c>
      <c r="K69" s="118">
        <f t="shared" si="7"/>
        <v>0</v>
      </c>
      <c r="L69" s="118">
        <f t="shared" si="7"/>
        <v>0</v>
      </c>
      <c r="M69" s="118">
        <f t="shared" si="7"/>
        <v>0</v>
      </c>
      <c r="N69" s="118">
        <f t="shared" si="7"/>
        <v>0</v>
      </c>
      <c r="O69" s="118">
        <f t="shared" si="7"/>
        <v>0</v>
      </c>
      <c r="P69" s="118">
        <f t="shared" si="7"/>
        <v>0</v>
      </c>
      <c r="Q69" s="118">
        <f t="shared" si="7"/>
        <v>0</v>
      </c>
      <c r="R69" s="118">
        <f t="shared" si="7"/>
        <v>0</v>
      </c>
      <c r="S69" s="118">
        <f t="shared" si="7"/>
        <v>0</v>
      </c>
      <c r="T69" s="118">
        <f t="shared" si="7"/>
        <v>0</v>
      </c>
      <c r="U69" s="118">
        <f t="shared" si="7"/>
        <v>0</v>
      </c>
      <c r="V69" s="118">
        <f t="shared" si="7"/>
        <v>0</v>
      </c>
      <c r="W69" s="118">
        <f t="shared" si="7"/>
        <v>0</v>
      </c>
      <c r="X69" s="118">
        <f t="shared" si="7"/>
        <v>0</v>
      </c>
      <c r="Y69" s="118">
        <f t="shared" si="7"/>
        <v>0</v>
      </c>
      <c r="Z69" s="118">
        <f t="shared" si="7"/>
        <v>0</v>
      </c>
      <c r="AA69" s="118">
        <f t="shared" si="7"/>
        <v>0</v>
      </c>
      <c r="AB69" s="118">
        <f t="shared" si="7"/>
        <v>0</v>
      </c>
      <c r="AC69" s="118">
        <f t="shared" si="7"/>
        <v>0</v>
      </c>
      <c r="AD69" s="118">
        <f t="shared" si="7"/>
        <v>0</v>
      </c>
      <c r="AE69" s="118">
        <f t="shared" si="7"/>
        <v>0</v>
      </c>
      <c r="AF69" s="118">
        <f t="shared" si="7"/>
        <v>0</v>
      </c>
      <c r="AG69" s="118">
        <f t="shared" si="7"/>
        <v>0</v>
      </c>
    </row>
    <row r="70" spans="1:33" x14ac:dyDescent="0.3">
      <c r="A70" s="8"/>
      <c r="B70" s="8"/>
      <c r="C70" s="4"/>
      <c r="D70" s="38"/>
      <c r="F70" s="97"/>
      <c r="G70" s="214"/>
      <c r="H70" s="31"/>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row>
    <row r="71" spans="1:33" x14ac:dyDescent="0.3">
      <c r="A71" s="8"/>
      <c r="B71" s="8"/>
      <c r="C71" s="147" t="s">
        <v>162</v>
      </c>
      <c r="D71" s="38"/>
      <c r="F71" s="97"/>
      <c r="G71" s="213"/>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3">
      <c r="A72" s="8"/>
      <c r="B72" s="8"/>
      <c r="C72" s="4" t="str">
        <f>C14</f>
        <v>&lt; Enter description &gt;</v>
      </c>
      <c r="D72" s="38"/>
      <c r="F72" s="97"/>
      <c r="G72" s="210">
        <f>input_dollars</f>
        <v>45291</v>
      </c>
      <c r="H72" s="31"/>
      <c r="I72" s="118" cm="1">
        <f t="array" ref="I72">SUMPRODUCT(($I67:I67))-SUMPRODUCT(($I67:I67)*($I$6:I$6&lt;=(I$6-$E14)))</f>
        <v>0</v>
      </c>
      <c r="J72" s="118" cm="1">
        <f t="array" ref="J72">SUMPRODUCT(($I67:J67))-SUMPRODUCT(($I67:J67)*($I$6:J$6&lt;=(J$6-$E14)))</f>
        <v>0</v>
      </c>
      <c r="K72" s="118" cm="1">
        <f t="array" ref="K72">SUMPRODUCT(($I67:K67))-SUMPRODUCT(($I67:K67)*($I$6:K$6&lt;=(K$6-$E14)))</f>
        <v>0</v>
      </c>
      <c r="L72" s="118" cm="1">
        <f t="array" ref="L72">SUMPRODUCT(($I67:L67))-SUMPRODUCT(($I67:L67)*($I$6:L$6&lt;=(L$6-$E14)))</f>
        <v>0</v>
      </c>
      <c r="M72" s="118" cm="1">
        <f t="array" ref="M72">SUMPRODUCT(($I67:M67))-SUMPRODUCT(($I67:M67)*($I$6:M$6&lt;=(M$6-$E14)))</f>
        <v>0</v>
      </c>
      <c r="N72" s="118" cm="1">
        <f t="array" ref="N72">SUMPRODUCT(($I67:N67))-SUMPRODUCT(($I67:N67)*($I$6:N$6&lt;=(N$6-$E14)))</f>
        <v>0</v>
      </c>
      <c r="O72" s="118" cm="1">
        <f t="array" ref="O72">SUMPRODUCT(($I67:O67))-SUMPRODUCT(($I67:O67)*($I$6:O$6&lt;=(O$6-$E14)))</f>
        <v>0</v>
      </c>
      <c r="P72" s="118" cm="1">
        <f t="array" ref="P72">SUMPRODUCT(($I67:P67))-SUMPRODUCT(($I67:P67)*($I$6:P$6&lt;=(P$6-$E14)))</f>
        <v>0</v>
      </c>
      <c r="Q72" s="118" cm="1">
        <f t="array" ref="Q72">SUMPRODUCT(($I67:Q67))-SUMPRODUCT(($I67:Q67)*($I$6:Q$6&lt;=(Q$6-$E14)))</f>
        <v>0</v>
      </c>
      <c r="R72" s="118" cm="1">
        <f t="array" ref="R72">SUMPRODUCT(($I67:R67))-SUMPRODUCT(($I67:R67)*($I$6:R$6&lt;=(R$6-$E14)))</f>
        <v>0</v>
      </c>
      <c r="S72" s="118" cm="1">
        <f t="array" ref="S72">SUMPRODUCT(($I67:S67))-SUMPRODUCT(($I67:S67)*($I$6:S$6&lt;=(S$6-$E14)))</f>
        <v>0</v>
      </c>
      <c r="T72" s="118" cm="1">
        <f t="array" ref="T72">SUMPRODUCT(($I67:T67))-SUMPRODUCT(($I67:T67)*($I$6:T$6&lt;=(T$6-$E14)))</f>
        <v>0</v>
      </c>
      <c r="U72" s="118" cm="1">
        <f t="array" ref="U72">SUMPRODUCT(($I67:U67))-SUMPRODUCT(($I67:U67)*($I$6:U$6&lt;=(U$6-$E14)))</f>
        <v>0</v>
      </c>
      <c r="V72" s="118" cm="1">
        <f t="array" ref="V72">SUMPRODUCT(($I67:V67))-SUMPRODUCT(($I67:V67)*($I$6:V$6&lt;=(V$6-$E14)))</f>
        <v>0</v>
      </c>
      <c r="W72" s="118" cm="1">
        <f t="array" ref="W72">SUMPRODUCT(($I67:W67))-SUMPRODUCT(($I67:W67)*($I$6:W$6&lt;=(W$6-$E14)))</f>
        <v>0</v>
      </c>
      <c r="X72" s="118" cm="1">
        <f t="array" ref="X72">SUMPRODUCT(($I67:X67))-SUMPRODUCT(($I67:X67)*($I$6:X$6&lt;=(X$6-$E14)))</f>
        <v>0</v>
      </c>
      <c r="Y72" s="118" cm="1">
        <f t="array" ref="Y72">SUMPRODUCT(($I67:Y67))-SUMPRODUCT(($I67:Y67)*($I$6:Y$6&lt;=(Y$6-$E14)))</f>
        <v>0</v>
      </c>
      <c r="Z72" s="118" cm="1">
        <f t="array" ref="Z72">SUMPRODUCT(($I67:Z67))-SUMPRODUCT(($I67:Z67)*($I$6:Z$6&lt;=(Z$6-$E14)))</f>
        <v>0</v>
      </c>
      <c r="AA72" s="118" cm="1">
        <f t="array" ref="AA72">SUMPRODUCT(($I67:AA67))-SUMPRODUCT(($I67:AA67)*($I$6:AA$6&lt;=(AA$6-$E14)))</f>
        <v>0</v>
      </c>
      <c r="AB72" s="118" cm="1">
        <f t="array" ref="AB72">SUMPRODUCT(($I67:AB67))-SUMPRODUCT(($I67:AB67)*($I$6:AB$6&lt;=(AB$6-$E14)))</f>
        <v>0</v>
      </c>
      <c r="AC72" s="118" cm="1">
        <f t="array" ref="AC72">SUMPRODUCT(($I67:AC67))-SUMPRODUCT(($I67:AC67)*($I$6:AC$6&lt;=(AC$6-$E14)))</f>
        <v>0</v>
      </c>
      <c r="AD72" s="118" cm="1">
        <f t="array" ref="AD72">SUMPRODUCT(($I67:AD67))-SUMPRODUCT(($I67:AD67)*($I$6:AD$6&lt;=(AD$6-$E14)))</f>
        <v>0</v>
      </c>
      <c r="AE72" s="118" cm="1">
        <f t="array" ref="AE72">SUMPRODUCT(($I67:AE67))-SUMPRODUCT(($I67:AE67)*($I$6:AE$6&lt;=(AE$6-$E14)))</f>
        <v>0</v>
      </c>
      <c r="AF72" s="118" cm="1">
        <f t="array" ref="AF72">SUMPRODUCT(($I67:AF67))-SUMPRODUCT(($I67:AF67)*($I$6:AF$6&lt;=(AF$6-$E14)))</f>
        <v>0</v>
      </c>
      <c r="AG72" s="118" cm="1">
        <f t="array" ref="AG72">SUMPRODUCT(($I67:AG67))-SUMPRODUCT(($I67:AG67)*($I$6:AG$6&lt;=(AG$6-$E14)))</f>
        <v>0</v>
      </c>
    </row>
    <row r="73" spans="1:33" x14ac:dyDescent="0.3">
      <c r="A73" s="8"/>
      <c r="B73" s="8"/>
      <c r="C73" s="4" t="str">
        <f>C15</f>
        <v>&lt; Enter description &gt;</v>
      </c>
      <c r="D73" s="38"/>
      <c r="F73" s="97"/>
      <c r="G73" s="210">
        <f>input_dollars</f>
        <v>45291</v>
      </c>
      <c r="H73" s="31"/>
      <c r="I73" s="118" cm="1">
        <f t="array" ref="I73">SUMPRODUCT(($I68:I68))-SUMPRODUCT(($I68:I68)*($I$6:I$6&lt;=(I$6-$E15)))</f>
        <v>0</v>
      </c>
      <c r="J73" s="118" cm="1">
        <f t="array" ref="J73">SUMPRODUCT(($I68:J68))-SUMPRODUCT(($I68:J68)*($I$6:J$6&lt;=(J$6-$E15)))</f>
        <v>0</v>
      </c>
      <c r="K73" s="118" cm="1">
        <f t="array" ref="K73">SUMPRODUCT(($I68:K68))-SUMPRODUCT(($I68:K68)*($I$6:K$6&lt;=(K$6-$E15)))</f>
        <v>0</v>
      </c>
      <c r="L73" s="118" cm="1">
        <f t="array" ref="L73">SUMPRODUCT(($I68:L68))-SUMPRODUCT(($I68:L68)*($I$6:L$6&lt;=(L$6-$E15)))</f>
        <v>0</v>
      </c>
      <c r="M73" s="118" cm="1">
        <f t="array" ref="M73">SUMPRODUCT(($I68:M68))-SUMPRODUCT(($I68:M68)*($I$6:M$6&lt;=(M$6-$E15)))</f>
        <v>0</v>
      </c>
      <c r="N73" s="118" cm="1">
        <f t="array" ref="N73">SUMPRODUCT(($I68:N68))-SUMPRODUCT(($I68:N68)*($I$6:N$6&lt;=(N$6-$E15)))</f>
        <v>0</v>
      </c>
      <c r="O73" s="118" cm="1">
        <f t="array" ref="O73">SUMPRODUCT(($I68:O68))-SUMPRODUCT(($I68:O68)*($I$6:O$6&lt;=(O$6-$E15)))</f>
        <v>0</v>
      </c>
      <c r="P73" s="118" cm="1">
        <f t="array" ref="P73">SUMPRODUCT(($I68:P68))-SUMPRODUCT(($I68:P68)*($I$6:P$6&lt;=(P$6-$E15)))</f>
        <v>0</v>
      </c>
      <c r="Q73" s="118" cm="1">
        <f t="array" ref="Q73">SUMPRODUCT(($I68:Q68))-SUMPRODUCT(($I68:Q68)*($I$6:Q$6&lt;=(Q$6-$E15)))</f>
        <v>0</v>
      </c>
      <c r="R73" s="118" cm="1">
        <f t="array" ref="R73">SUMPRODUCT(($I68:R68))-SUMPRODUCT(($I68:R68)*($I$6:R$6&lt;=(R$6-$E15)))</f>
        <v>0</v>
      </c>
      <c r="S73" s="118" cm="1">
        <f t="array" ref="S73">SUMPRODUCT(($I68:S68))-SUMPRODUCT(($I68:S68)*($I$6:S$6&lt;=(S$6-$E15)))</f>
        <v>0</v>
      </c>
      <c r="T73" s="118" cm="1">
        <f t="array" ref="T73">SUMPRODUCT(($I68:T68))-SUMPRODUCT(($I68:T68)*($I$6:T$6&lt;=(T$6-$E15)))</f>
        <v>0</v>
      </c>
      <c r="U73" s="118" cm="1">
        <f t="array" ref="U73">SUMPRODUCT(($I68:U68))-SUMPRODUCT(($I68:U68)*($I$6:U$6&lt;=(U$6-$E15)))</f>
        <v>0</v>
      </c>
      <c r="V73" s="118" cm="1">
        <f t="array" ref="V73">SUMPRODUCT(($I68:V68))-SUMPRODUCT(($I68:V68)*($I$6:V$6&lt;=(V$6-$E15)))</f>
        <v>0</v>
      </c>
      <c r="W73" s="118" cm="1">
        <f t="array" ref="W73">SUMPRODUCT(($I68:W68))-SUMPRODUCT(($I68:W68)*($I$6:W$6&lt;=(W$6-$E15)))</f>
        <v>0</v>
      </c>
      <c r="X73" s="118" cm="1">
        <f t="array" ref="X73">SUMPRODUCT(($I68:X68))-SUMPRODUCT(($I68:X68)*($I$6:X$6&lt;=(X$6-$E15)))</f>
        <v>0</v>
      </c>
      <c r="Y73" s="118" cm="1">
        <f t="array" ref="Y73">SUMPRODUCT(($I68:Y68))-SUMPRODUCT(($I68:Y68)*($I$6:Y$6&lt;=(Y$6-$E15)))</f>
        <v>0</v>
      </c>
      <c r="Z73" s="118" cm="1">
        <f t="array" ref="Z73">SUMPRODUCT(($I68:Z68))-SUMPRODUCT(($I68:Z68)*($I$6:Z$6&lt;=(Z$6-$E15)))</f>
        <v>0</v>
      </c>
      <c r="AA73" s="118" cm="1">
        <f t="array" ref="AA73">SUMPRODUCT(($I68:AA68))-SUMPRODUCT(($I68:AA68)*($I$6:AA$6&lt;=(AA$6-$E15)))</f>
        <v>0</v>
      </c>
      <c r="AB73" s="118" cm="1">
        <f t="array" ref="AB73">SUMPRODUCT(($I68:AB68))-SUMPRODUCT(($I68:AB68)*($I$6:AB$6&lt;=(AB$6-$E15)))</f>
        <v>0</v>
      </c>
      <c r="AC73" s="118" cm="1">
        <f t="array" ref="AC73">SUMPRODUCT(($I68:AC68))-SUMPRODUCT(($I68:AC68)*($I$6:AC$6&lt;=(AC$6-$E15)))</f>
        <v>0</v>
      </c>
      <c r="AD73" s="118" cm="1">
        <f t="array" ref="AD73">SUMPRODUCT(($I68:AD68))-SUMPRODUCT(($I68:AD68)*($I$6:AD$6&lt;=(AD$6-$E15)))</f>
        <v>0</v>
      </c>
      <c r="AE73" s="118" cm="1">
        <f t="array" ref="AE73">SUMPRODUCT(($I68:AE68))-SUMPRODUCT(($I68:AE68)*($I$6:AE$6&lt;=(AE$6-$E15)))</f>
        <v>0</v>
      </c>
      <c r="AF73" s="118" cm="1">
        <f t="array" ref="AF73">SUMPRODUCT(($I68:AF68))-SUMPRODUCT(($I68:AF68)*($I$6:AF$6&lt;=(AF$6-$E15)))</f>
        <v>0</v>
      </c>
      <c r="AG73" s="118" cm="1">
        <f t="array" ref="AG73">SUMPRODUCT(($I68:AG68))-SUMPRODUCT(($I68:AG68)*($I$6:AG$6&lt;=(AG$6-$E15)))</f>
        <v>0</v>
      </c>
    </row>
    <row r="74" spans="1:33" x14ac:dyDescent="0.3">
      <c r="A74" s="8"/>
      <c r="B74" s="8"/>
      <c r="C74" s="4" t="str">
        <f>C16</f>
        <v>&lt; Enter description &gt;</v>
      </c>
      <c r="D74" s="38"/>
      <c r="F74" s="97"/>
      <c r="G74" s="210">
        <f>input_dollars</f>
        <v>45291</v>
      </c>
      <c r="H74" s="31"/>
      <c r="I74" s="118" cm="1">
        <f t="array" ref="I74">SUMPRODUCT(($I69:I69))-SUMPRODUCT(($I69:I69)*($I$6:I$6&lt;=(I$6-$E16)))</f>
        <v>0</v>
      </c>
      <c r="J74" s="118" cm="1">
        <f t="array" ref="J74">SUMPRODUCT(($I69:J69))-SUMPRODUCT(($I69:J69)*($I$6:J$6&lt;=(J$6-$E16)))</f>
        <v>0</v>
      </c>
      <c r="K74" s="118" cm="1">
        <f t="array" ref="K74">SUMPRODUCT(($I69:K69))-SUMPRODUCT(($I69:K69)*($I$6:K$6&lt;=(K$6-$E16)))</f>
        <v>0</v>
      </c>
      <c r="L74" s="118" cm="1">
        <f t="array" ref="L74">SUMPRODUCT(($I69:L69))-SUMPRODUCT(($I69:L69)*($I$6:L$6&lt;=(L$6-$E16)))</f>
        <v>0</v>
      </c>
      <c r="M74" s="118" cm="1">
        <f t="array" ref="M74">SUMPRODUCT(($I69:M69))-SUMPRODUCT(($I69:M69)*($I$6:M$6&lt;=(M$6-$E16)))</f>
        <v>0</v>
      </c>
      <c r="N74" s="118" cm="1">
        <f t="array" ref="N74">SUMPRODUCT(($I69:N69))-SUMPRODUCT(($I69:N69)*($I$6:N$6&lt;=(N$6-$E16)))</f>
        <v>0</v>
      </c>
      <c r="O74" s="118" cm="1">
        <f t="array" ref="O74">SUMPRODUCT(($I69:O69))-SUMPRODUCT(($I69:O69)*($I$6:O$6&lt;=(O$6-$E16)))</f>
        <v>0</v>
      </c>
      <c r="P74" s="118" cm="1">
        <f t="array" ref="P74">SUMPRODUCT(($I69:P69))-SUMPRODUCT(($I69:P69)*($I$6:P$6&lt;=(P$6-$E16)))</f>
        <v>0</v>
      </c>
      <c r="Q74" s="118" cm="1">
        <f t="array" ref="Q74">SUMPRODUCT(($I69:Q69))-SUMPRODUCT(($I69:Q69)*($I$6:Q$6&lt;=(Q$6-$E16)))</f>
        <v>0</v>
      </c>
      <c r="R74" s="118" cm="1">
        <f t="array" ref="R74">SUMPRODUCT(($I69:R69))-SUMPRODUCT(($I69:R69)*($I$6:R$6&lt;=(R$6-$E16)))</f>
        <v>0</v>
      </c>
      <c r="S74" s="118" cm="1">
        <f t="array" ref="S74">SUMPRODUCT(($I69:S69))-SUMPRODUCT(($I69:S69)*($I$6:S$6&lt;=(S$6-$E16)))</f>
        <v>0</v>
      </c>
      <c r="T74" s="118" cm="1">
        <f t="array" ref="T74">SUMPRODUCT(($I69:T69))-SUMPRODUCT(($I69:T69)*($I$6:T$6&lt;=(T$6-$E16)))</f>
        <v>0</v>
      </c>
      <c r="U74" s="118" cm="1">
        <f t="array" ref="U74">SUMPRODUCT(($I69:U69))-SUMPRODUCT(($I69:U69)*($I$6:U$6&lt;=(U$6-$E16)))</f>
        <v>0</v>
      </c>
      <c r="V74" s="118" cm="1">
        <f t="array" ref="V74">SUMPRODUCT(($I69:V69))-SUMPRODUCT(($I69:V69)*($I$6:V$6&lt;=(V$6-$E16)))</f>
        <v>0</v>
      </c>
      <c r="W74" s="118" cm="1">
        <f t="array" ref="W74">SUMPRODUCT(($I69:W69))-SUMPRODUCT(($I69:W69)*($I$6:W$6&lt;=(W$6-$E16)))</f>
        <v>0</v>
      </c>
      <c r="X74" s="118" cm="1">
        <f t="array" ref="X74">SUMPRODUCT(($I69:X69))-SUMPRODUCT(($I69:X69)*($I$6:X$6&lt;=(X$6-$E16)))</f>
        <v>0</v>
      </c>
      <c r="Y74" s="118" cm="1">
        <f t="array" ref="Y74">SUMPRODUCT(($I69:Y69))-SUMPRODUCT(($I69:Y69)*($I$6:Y$6&lt;=(Y$6-$E16)))</f>
        <v>0</v>
      </c>
      <c r="Z74" s="118" cm="1">
        <f t="array" ref="Z74">SUMPRODUCT(($I69:Z69))-SUMPRODUCT(($I69:Z69)*($I$6:Z$6&lt;=(Z$6-$E16)))</f>
        <v>0</v>
      </c>
      <c r="AA74" s="118" cm="1">
        <f t="array" ref="AA74">SUMPRODUCT(($I69:AA69))-SUMPRODUCT(($I69:AA69)*($I$6:AA$6&lt;=(AA$6-$E16)))</f>
        <v>0</v>
      </c>
      <c r="AB74" s="118" cm="1">
        <f t="array" ref="AB74">SUMPRODUCT(($I69:AB69))-SUMPRODUCT(($I69:AB69)*($I$6:AB$6&lt;=(AB$6-$E16)))</f>
        <v>0</v>
      </c>
      <c r="AC74" s="118" cm="1">
        <f t="array" ref="AC74">SUMPRODUCT(($I69:AC69))-SUMPRODUCT(($I69:AC69)*($I$6:AC$6&lt;=(AC$6-$E16)))</f>
        <v>0</v>
      </c>
      <c r="AD74" s="118" cm="1">
        <f t="array" ref="AD74">SUMPRODUCT(($I69:AD69))-SUMPRODUCT(($I69:AD69)*($I$6:AD$6&lt;=(AD$6-$E16)))</f>
        <v>0</v>
      </c>
      <c r="AE74" s="118" cm="1">
        <f t="array" ref="AE74">SUMPRODUCT(($I69:AE69))-SUMPRODUCT(($I69:AE69)*($I$6:AE$6&lt;=(AE$6-$E16)))</f>
        <v>0</v>
      </c>
      <c r="AF74" s="118" cm="1">
        <f t="array" ref="AF74">SUMPRODUCT(($I69:AF69))-SUMPRODUCT(($I69:AF69)*($I$6:AF$6&lt;=(AF$6-$E16)))</f>
        <v>0</v>
      </c>
      <c r="AG74" s="118" cm="1">
        <f t="array" ref="AG74">SUMPRODUCT(($I69:AG69))-SUMPRODUCT(($I69:AG69)*($I$6:AG$6&lt;=(AG$6-$E16)))</f>
        <v>0</v>
      </c>
    </row>
    <row r="75" spans="1:33" x14ac:dyDescent="0.3">
      <c r="A75" s="8"/>
      <c r="B75" s="8"/>
      <c r="C75" s="4"/>
      <c r="D75" s="38"/>
      <c r="F75" s="97"/>
      <c r="G75" s="214"/>
      <c r="H75" s="31"/>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row>
    <row r="76" spans="1:33" x14ac:dyDescent="0.3">
      <c r="A76" s="8"/>
      <c r="B76" s="8"/>
      <c r="C76" s="147" t="s">
        <v>92</v>
      </c>
      <c r="D76" s="38"/>
      <c r="F76" s="97"/>
      <c r="G76" s="213"/>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3">
      <c r="A77" s="8"/>
      <c r="B77" s="8"/>
      <c r="C77" s="4" t="str">
        <f>$C$76&amp;" - "&amp;C14</f>
        <v>Annualised capex - &lt; Enter description &gt;</v>
      </c>
      <c r="D77" s="38"/>
      <c r="F77" s="97"/>
      <c r="G77" s="210">
        <f>input_dollars</f>
        <v>45291</v>
      </c>
      <c r="H77" s="31"/>
      <c r="I77" s="118">
        <f t="shared" ref="I77:AG77" si="8">IF($E14=0,0,-PMT(real_disc, $E14,H72,))</f>
        <v>0</v>
      </c>
      <c r="J77" s="118">
        <f t="shared" si="8"/>
        <v>0</v>
      </c>
      <c r="K77" s="118">
        <f t="shared" si="8"/>
        <v>0</v>
      </c>
      <c r="L77" s="118">
        <f t="shared" si="8"/>
        <v>0</v>
      </c>
      <c r="M77" s="118">
        <f t="shared" si="8"/>
        <v>0</v>
      </c>
      <c r="N77" s="118">
        <f t="shared" si="8"/>
        <v>0</v>
      </c>
      <c r="O77" s="118">
        <f t="shared" si="8"/>
        <v>0</v>
      </c>
      <c r="P77" s="118">
        <f t="shared" si="8"/>
        <v>0</v>
      </c>
      <c r="Q77" s="118">
        <f t="shared" si="8"/>
        <v>0</v>
      </c>
      <c r="R77" s="118">
        <f t="shared" si="8"/>
        <v>0</v>
      </c>
      <c r="S77" s="118">
        <f t="shared" si="8"/>
        <v>0</v>
      </c>
      <c r="T77" s="118">
        <f t="shared" si="8"/>
        <v>0</v>
      </c>
      <c r="U77" s="118">
        <f t="shared" si="8"/>
        <v>0</v>
      </c>
      <c r="V77" s="118">
        <f t="shared" si="8"/>
        <v>0</v>
      </c>
      <c r="W77" s="118">
        <f t="shared" si="8"/>
        <v>0</v>
      </c>
      <c r="X77" s="118">
        <f t="shared" si="8"/>
        <v>0</v>
      </c>
      <c r="Y77" s="118">
        <f t="shared" si="8"/>
        <v>0</v>
      </c>
      <c r="Z77" s="118">
        <f t="shared" si="8"/>
        <v>0</v>
      </c>
      <c r="AA77" s="118">
        <f t="shared" si="8"/>
        <v>0</v>
      </c>
      <c r="AB77" s="118">
        <f t="shared" si="8"/>
        <v>0</v>
      </c>
      <c r="AC77" s="118">
        <f t="shared" si="8"/>
        <v>0</v>
      </c>
      <c r="AD77" s="118">
        <f t="shared" si="8"/>
        <v>0</v>
      </c>
      <c r="AE77" s="118">
        <f t="shared" si="8"/>
        <v>0</v>
      </c>
      <c r="AF77" s="118">
        <f t="shared" si="8"/>
        <v>0</v>
      </c>
      <c r="AG77" s="118">
        <f t="shared" si="8"/>
        <v>0</v>
      </c>
    </row>
    <row r="78" spans="1:33" x14ac:dyDescent="0.3">
      <c r="A78" s="8"/>
      <c r="B78" s="8"/>
      <c r="C78" s="4" t="str">
        <f>$C$76&amp;" - "&amp;C15</f>
        <v>Annualised capex - &lt; Enter description &gt;</v>
      </c>
      <c r="D78" s="38"/>
      <c r="F78" s="97"/>
      <c r="G78" s="210">
        <f>input_dollars</f>
        <v>45291</v>
      </c>
      <c r="H78" s="31"/>
      <c r="I78" s="118">
        <f t="shared" ref="I78:AG78" si="9">IF($E15=0,0,-PMT(real_disc, $E15,H73,))</f>
        <v>0</v>
      </c>
      <c r="J78" s="118">
        <f t="shared" si="9"/>
        <v>0</v>
      </c>
      <c r="K78" s="118">
        <f t="shared" si="9"/>
        <v>0</v>
      </c>
      <c r="L78" s="118">
        <f t="shared" si="9"/>
        <v>0</v>
      </c>
      <c r="M78" s="118">
        <f t="shared" si="9"/>
        <v>0</v>
      </c>
      <c r="N78" s="118">
        <f t="shared" si="9"/>
        <v>0</v>
      </c>
      <c r="O78" s="118">
        <f t="shared" si="9"/>
        <v>0</v>
      </c>
      <c r="P78" s="118">
        <f t="shared" si="9"/>
        <v>0</v>
      </c>
      <c r="Q78" s="118">
        <f t="shared" si="9"/>
        <v>0</v>
      </c>
      <c r="R78" s="118">
        <f t="shared" si="9"/>
        <v>0</v>
      </c>
      <c r="S78" s="118">
        <f t="shared" si="9"/>
        <v>0</v>
      </c>
      <c r="T78" s="118">
        <f t="shared" si="9"/>
        <v>0</v>
      </c>
      <c r="U78" s="118">
        <f t="shared" si="9"/>
        <v>0</v>
      </c>
      <c r="V78" s="118">
        <f t="shared" si="9"/>
        <v>0</v>
      </c>
      <c r="W78" s="118">
        <f t="shared" si="9"/>
        <v>0</v>
      </c>
      <c r="X78" s="118">
        <f t="shared" si="9"/>
        <v>0</v>
      </c>
      <c r="Y78" s="118">
        <f t="shared" si="9"/>
        <v>0</v>
      </c>
      <c r="Z78" s="118">
        <f t="shared" si="9"/>
        <v>0</v>
      </c>
      <c r="AA78" s="118">
        <f t="shared" si="9"/>
        <v>0</v>
      </c>
      <c r="AB78" s="118">
        <f t="shared" si="9"/>
        <v>0</v>
      </c>
      <c r="AC78" s="118">
        <f t="shared" si="9"/>
        <v>0</v>
      </c>
      <c r="AD78" s="118">
        <f t="shared" si="9"/>
        <v>0</v>
      </c>
      <c r="AE78" s="118">
        <f t="shared" si="9"/>
        <v>0</v>
      </c>
      <c r="AF78" s="118">
        <f t="shared" si="9"/>
        <v>0</v>
      </c>
      <c r="AG78" s="118">
        <f t="shared" si="9"/>
        <v>0</v>
      </c>
    </row>
    <row r="79" spans="1:33" x14ac:dyDescent="0.3">
      <c r="A79" s="8"/>
      <c r="B79" s="8"/>
      <c r="C79" s="4" t="str">
        <f>$C$76&amp;" - "&amp;C16</f>
        <v>Annualised capex - &lt; Enter description &gt;</v>
      </c>
      <c r="D79" s="38"/>
      <c r="F79" s="97"/>
      <c r="G79" s="210">
        <f>input_dollars</f>
        <v>45291</v>
      </c>
      <c r="H79" s="31"/>
      <c r="I79" s="118">
        <f t="shared" ref="I79:AG79" si="10">IF($E16=0,0,-PMT(real_disc, $E16,H74,))</f>
        <v>0</v>
      </c>
      <c r="J79" s="118">
        <f t="shared" si="10"/>
        <v>0</v>
      </c>
      <c r="K79" s="118">
        <f t="shared" si="10"/>
        <v>0</v>
      </c>
      <c r="L79" s="118">
        <f t="shared" si="10"/>
        <v>0</v>
      </c>
      <c r="M79" s="118">
        <f t="shared" si="10"/>
        <v>0</v>
      </c>
      <c r="N79" s="118">
        <f t="shared" si="10"/>
        <v>0</v>
      </c>
      <c r="O79" s="118">
        <f t="shared" si="10"/>
        <v>0</v>
      </c>
      <c r="P79" s="118">
        <f t="shared" si="10"/>
        <v>0</v>
      </c>
      <c r="Q79" s="118">
        <f t="shared" si="10"/>
        <v>0</v>
      </c>
      <c r="R79" s="118">
        <f t="shared" si="10"/>
        <v>0</v>
      </c>
      <c r="S79" s="118">
        <f t="shared" si="10"/>
        <v>0</v>
      </c>
      <c r="T79" s="118">
        <f t="shared" si="10"/>
        <v>0</v>
      </c>
      <c r="U79" s="118">
        <f t="shared" si="10"/>
        <v>0</v>
      </c>
      <c r="V79" s="118">
        <f t="shared" si="10"/>
        <v>0</v>
      </c>
      <c r="W79" s="118">
        <f t="shared" si="10"/>
        <v>0</v>
      </c>
      <c r="X79" s="118">
        <f t="shared" si="10"/>
        <v>0</v>
      </c>
      <c r="Y79" s="118">
        <f t="shared" si="10"/>
        <v>0</v>
      </c>
      <c r="Z79" s="118">
        <f t="shared" si="10"/>
        <v>0</v>
      </c>
      <c r="AA79" s="118">
        <f t="shared" si="10"/>
        <v>0</v>
      </c>
      <c r="AB79" s="118">
        <f t="shared" si="10"/>
        <v>0</v>
      </c>
      <c r="AC79" s="118">
        <f t="shared" si="10"/>
        <v>0</v>
      </c>
      <c r="AD79" s="118">
        <f t="shared" si="10"/>
        <v>0</v>
      </c>
      <c r="AE79" s="118">
        <f t="shared" si="10"/>
        <v>0</v>
      </c>
      <c r="AF79" s="118">
        <f t="shared" si="10"/>
        <v>0</v>
      </c>
      <c r="AG79" s="118">
        <f t="shared" si="10"/>
        <v>0</v>
      </c>
    </row>
    <row r="80" spans="1:33" x14ac:dyDescent="0.3">
      <c r="A80" s="8"/>
      <c r="B80" s="8"/>
      <c r="C80" s="172" t="s">
        <v>163</v>
      </c>
      <c r="D80" s="172"/>
      <c r="E80" s="173"/>
      <c r="F80" s="174"/>
      <c r="G80" s="215">
        <f>input_dollars</f>
        <v>45291</v>
      </c>
      <c r="H80" s="175"/>
      <c r="I80" s="176">
        <f>SUM(I77:I79)</f>
        <v>0</v>
      </c>
      <c r="J80" s="176">
        <f t="shared" ref="J80:AB80" si="11">SUM(J77:J79)</f>
        <v>0</v>
      </c>
      <c r="K80" s="176">
        <f t="shared" si="11"/>
        <v>0</v>
      </c>
      <c r="L80" s="176">
        <f t="shared" si="11"/>
        <v>0</v>
      </c>
      <c r="M80" s="176">
        <f t="shared" si="11"/>
        <v>0</v>
      </c>
      <c r="N80" s="176">
        <f t="shared" si="11"/>
        <v>0</v>
      </c>
      <c r="O80" s="176">
        <f t="shared" si="11"/>
        <v>0</v>
      </c>
      <c r="P80" s="176">
        <f t="shared" si="11"/>
        <v>0</v>
      </c>
      <c r="Q80" s="176">
        <f t="shared" si="11"/>
        <v>0</v>
      </c>
      <c r="R80" s="176">
        <f t="shared" si="11"/>
        <v>0</v>
      </c>
      <c r="S80" s="176">
        <f t="shared" si="11"/>
        <v>0</v>
      </c>
      <c r="T80" s="176">
        <f t="shared" si="11"/>
        <v>0</v>
      </c>
      <c r="U80" s="176">
        <f t="shared" si="11"/>
        <v>0</v>
      </c>
      <c r="V80" s="176">
        <f t="shared" si="11"/>
        <v>0</v>
      </c>
      <c r="W80" s="176">
        <f t="shared" si="11"/>
        <v>0</v>
      </c>
      <c r="X80" s="176">
        <f t="shared" si="11"/>
        <v>0</v>
      </c>
      <c r="Y80" s="176">
        <f t="shared" si="11"/>
        <v>0</v>
      </c>
      <c r="Z80" s="176">
        <f t="shared" si="11"/>
        <v>0</v>
      </c>
      <c r="AA80" s="176">
        <f t="shared" si="11"/>
        <v>0</v>
      </c>
      <c r="AB80" s="176">
        <f t="shared" si="11"/>
        <v>0</v>
      </c>
      <c r="AC80" s="176">
        <f>SUM(AC77:AC79)</f>
        <v>0</v>
      </c>
      <c r="AD80" s="176">
        <f>SUM(AD77:AD79)</f>
        <v>0</v>
      </c>
      <c r="AE80" s="176">
        <f>SUM(AE77:AE79)</f>
        <v>0</v>
      </c>
      <c r="AF80" s="176">
        <f>SUM(AF77:AF79)</f>
        <v>0</v>
      </c>
      <c r="AG80" s="176">
        <f>SUM(AG77:AG79)</f>
        <v>0</v>
      </c>
    </row>
    <row r="81" spans="1:33" ht="13.5" x14ac:dyDescent="0.3">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3">
      <c r="A82" s="8"/>
      <c r="B82" s="8"/>
      <c r="C82" s="4" t="s">
        <v>92</v>
      </c>
      <c r="D82" s="38"/>
      <c r="F82" s="97"/>
      <c r="G82" s="210">
        <f t="shared" ref="G82:G87" si="12">input_dollars</f>
        <v>45291</v>
      </c>
      <c r="H82" s="31"/>
      <c r="I82" s="118">
        <f>I80</f>
        <v>0</v>
      </c>
      <c r="J82" s="118">
        <f t="shared" ref="J82:AB82" si="13">J80</f>
        <v>0</v>
      </c>
      <c r="K82" s="118">
        <f t="shared" si="13"/>
        <v>0</v>
      </c>
      <c r="L82" s="118">
        <f t="shared" si="13"/>
        <v>0</v>
      </c>
      <c r="M82" s="118">
        <f t="shared" si="13"/>
        <v>0</v>
      </c>
      <c r="N82" s="118">
        <f t="shared" si="13"/>
        <v>0</v>
      </c>
      <c r="O82" s="118">
        <f t="shared" si="13"/>
        <v>0</v>
      </c>
      <c r="P82" s="118">
        <f t="shared" si="13"/>
        <v>0</v>
      </c>
      <c r="Q82" s="118">
        <f t="shared" si="13"/>
        <v>0</v>
      </c>
      <c r="R82" s="118">
        <f t="shared" si="13"/>
        <v>0</v>
      </c>
      <c r="S82" s="118">
        <f t="shared" si="13"/>
        <v>0</v>
      </c>
      <c r="T82" s="118">
        <f t="shared" si="13"/>
        <v>0</v>
      </c>
      <c r="U82" s="118">
        <f t="shared" si="13"/>
        <v>0</v>
      </c>
      <c r="V82" s="118">
        <f t="shared" si="13"/>
        <v>0</v>
      </c>
      <c r="W82" s="118">
        <f t="shared" si="13"/>
        <v>0</v>
      </c>
      <c r="X82" s="118">
        <f t="shared" si="13"/>
        <v>0</v>
      </c>
      <c r="Y82" s="118">
        <f t="shared" si="13"/>
        <v>0</v>
      </c>
      <c r="Z82" s="118">
        <f t="shared" si="13"/>
        <v>0</v>
      </c>
      <c r="AA82" s="118">
        <f t="shared" si="13"/>
        <v>0</v>
      </c>
      <c r="AB82" s="118">
        <f t="shared" si="13"/>
        <v>0</v>
      </c>
      <c r="AC82" s="118">
        <f>AC80</f>
        <v>0</v>
      </c>
      <c r="AD82" s="118">
        <f>AD80</f>
        <v>0</v>
      </c>
      <c r="AE82" s="118">
        <f>AE80</f>
        <v>0</v>
      </c>
      <c r="AF82" s="118">
        <f>AF80</f>
        <v>0</v>
      </c>
      <c r="AG82" s="118">
        <f>AG80</f>
        <v>0</v>
      </c>
    </row>
    <row r="83" spans="1:33" x14ac:dyDescent="0.3">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0</v>
      </c>
      <c r="N83" s="31">
        <f t="shared" si="14"/>
        <v>0</v>
      </c>
      <c r="O83" s="31">
        <f t="shared" si="14"/>
        <v>0</v>
      </c>
      <c r="P83" s="31">
        <f t="shared" si="14"/>
        <v>0</v>
      </c>
      <c r="Q83" s="31">
        <f t="shared" si="14"/>
        <v>0</v>
      </c>
      <c r="R83" s="31">
        <f t="shared" si="14"/>
        <v>0</v>
      </c>
      <c r="S83" s="31">
        <f t="shared" si="14"/>
        <v>0</v>
      </c>
      <c r="T83" s="31">
        <f t="shared" si="14"/>
        <v>0</v>
      </c>
      <c r="U83" s="31">
        <f t="shared" si="14"/>
        <v>0</v>
      </c>
      <c r="V83" s="31">
        <f t="shared" si="14"/>
        <v>0</v>
      </c>
      <c r="W83" s="31">
        <f t="shared" si="14"/>
        <v>0</v>
      </c>
      <c r="X83" s="31">
        <f t="shared" si="14"/>
        <v>0</v>
      </c>
      <c r="Y83" s="31">
        <f t="shared" si="14"/>
        <v>0</v>
      </c>
      <c r="Z83" s="31">
        <f t="shared" si="14"/>
        <v>0</v>
      </c>
      <c r="AA83" s="31">
        <f t="shared" si="14"/>
        <v>0</v>
      </c>
      <c r="AB83" s="31">
        <f t="shared" si="14"/>
        <v>0</v>
      </c>
      <c r="AC83" s="31">
        <f t="shared" si="14"/>
        <v>0</v>
      </c>
      <c r="AD83" s="31">
        <f t="shared" si="14"/>
        <v>0</v>
      </c>
      <c r="AE83" s="31">
        <f t="shared" si="14"/>
        <v>0</v>
      </c>
      <c r="AF83" s="31">
        <f t="shared" si="14"/>
        <v>0</v>
      </c>
      <c r="AG83" s="31">
        <f t="shared" si="14"/>
        <v>0</v>
      </c>
    </row>
    <row r="84" spans="1:33" x14ac:dyDescent="0.3">
      <c r="A84" s="8"/>
      <c r="B84" s="8"/>
      <c r="C84" s="4" t="s">
        <v>144</v>
      </c>
      <c r="D84" s="38"/>
      <c r="F84" s="97"/>
      <c r="G84" s="210">
        <f t="shared" si="12"/>
        <v>45291</v>
      </c>
      <c r="H84" s="31"/>
      <c r="I84" s="31">
        <f>I64</f>
        <v>0</v>
      </c>
      <c r="J84" s="31">
        <f t="shared" ref="J84:AB84" si="15">J64</f>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AC64</f>
        <v>0</v>
      </c>
      <c r="AD84" s="31">
        <f>AD64</f>
        <v>0</v>
      </c>
      <c r="AE84" s="31">
        <f>AE64</f>
        <v>0</v>
      </c>
      <c r="AF84" s="31">
        <f>AF64</f>
        <v>0</v>
      </c>
      <c r="AG84" s="31">
        <f>AG64</f>
        <v>0</v>
      </c>
    </row>
    <row r="85" spans="1:33" x14ac:dyDescent="0.3">
      <c r="A85" s="8"/>
      <c r="B85" s="8"/>
      <c r="C85" s="4" t="s">
        <v>123</v>
      </c>
      <c r="D85" s="38"/>
      <c r="F85" s="97"/>
      <c r="G85" s="210">
        <f t="shared" si="12"/>
        <v>45291</v>
      </c>
      <c r="H85" s="31"/>
      <c r="I85" s="31">
        <f t="shared" ref="I85:AG85" si="16">I57</f>
        <v>0</v>
      </c>
      <c r="J85" s="31">
        <f t="shared" si="16"/>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 t="shared" si="16"/>
        <v>0</v>
      </c>
      <c r="AD85" s="31">
        <f t="shared" si="16"/>
        <v>0</v>
      </c>
      <c r="AE85" s="31">
        <f t="shared" si="16"/>
        <v>0</v>
      </c>
      <c r="AF85" s="31">
        <f t="shared" si="16"/>
        <v>0</v>
      </c>
      <c r="AG85" s="31">
        <f t="shared" si="16"/>
        <v>0</v>
      </c>
    </row>
    <row r="86" spans="1:33" x14ac:dyDescent="0.3">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3">
      <c r="A87" s="8"/>
      <c r="B87" s="8"/>
      <c r="C87" s="177" t="s">
        <v>194</v>
      </c>
      <c r="D87" s="178"/>
      <c r="E87" s="173"/>
      <c r="F87" s="179"/>
      <c r="G87" s="215">
        <f t="shared" si="12"/>
        <v>45291</v>
      </c>
      <c r="H87" s="179"/>
      <c r="I87" s="179">
        <f t="shared" ref="I87:AB87" si="17">SUM(I82:I86)</f>
        <v>0</v>
      </c>
      <c r="J87" s="179">
        <f t="shared" si="17"/>
        <v>0</v>
      </c>
      <c r="K87" s="179">
        <f t="shared" si="17"/>
        <v>0</v>
      </c>
      <c r="L87" s="179">
        <f t="shared" si="17"/>
        <v>0</v>
      </c>
      <c r="M87" s="179">
        <f t="shared" si="17"/>
        <v>0</v>
      </c>
      <c r="N87" s="179">
        <f t="shared" si="17"/>
        <v>0</v>
      </c>
      <c r="O87" s="179">
        <f t="shared" si="17"/>
        <v>0</v>
      </c>
      <c r="P87" s="179">
        <f t="shared" si="17"/>
        <v>0</v>
      </c>
      <c r="Q87" s="179">
        <f t="shared" si="17"/>
        <v>0</v>
      </c>
      <c r="R87" s="179">
        <f t="shared" si="17"/>
        <v>0</v>
      </c>
      <c r="S87" s="179">
        <f t="shared" si="17"/>
        <v>0</v>
      </c>
      <c r="T87" s="179">
        <f t="shared" si="17"/>
        <v>0</v>
      </c>
      <c r="U87" s="179">
        <f t="shared" si="17"/>
        <v>0</v>
      </c>
      <c r="V87" s="179">
        <f t="shared" si="17"/>
        <v>0</v>
      </c>
      <c r="W87" s="179">
        <f t="shared" si="17"/>
        <v>0</v>
      </c>
      <c r="X87" s="179">
        <f t="shared" si="17"/>
        <v>0</v>
      </c>
      <c r="Y87" s="179">
        <f t="shared" si="17"/>
        <v>0</v>
      </c>
      <c r="Z87" s="179">
        <f t="shared" si="17"/>
        <v>0</v>
      </c>
      <c r="AA87" s="179">
        <f t="shared" si="17"/>
        <v>0</v>
      </c>
      <c r="AB87" s="179">
        <f t="shared" si="17"/>
        <v>0</v>
      </c>
      <c r="AC87" s="179">
        <f>SUM(AC82:AC86)</f>
        <v>0</v>
      </c>
      <c r="AD87" s="179">
        <f>SUM(AD82:AD86)</f>
        <v>0</v>
      </c>
      <c r="AE87" s="179">
        <f>SUM(AE82:AE86)</f>
        <v>0</v>
      </c>
      <c r="AF87" s="179">
        <f>SUM(AF82:AF86)</f>
        <v>0</v>
      </c>
      <c r="AG87" s="179">
        <f>SUM(AG82:AG86)</f>
        <v>0</v>
      </c>
    </row>
    <row r="88" spans="1:33" x14ac:dyDescent="0.3">
      <c r="A88" s="8"/>
      <c r="B88" s="8"/>
      <c r="C88" s="75"/>
      <c r="D88" s="138"/>
      <c r="E88" s="64"/>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3">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3">
      <c r="A90" s="8"/>
      <c r="B90" s="8"/>
      <c r="C90" s="230" t="s">
        <v>204</v>
      </c>
      <c r="D90" s="82"/>
      <c r="E90" s="231"/>
      <c r="F90" s="232"/>
      <c r="G90" s="233" cm="1">
        <f t="array" ref="G90">IF(SUM($I17:$AG17)=0,0,(INDEX(I$6:AG$6,MATCH(TRUE,INDEX($I17:$AG17&lt;&gt;0,),0))))</f>
        <v>0</v>
      </c>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3">
      <c r="C91" s="82"/>
      <c r="D91" s="234"/>
      <c r="E91" s="231"/>
      <c r="F91" s="231"/>
      <c r="G91" s="233"/>
    </row>
    <row r="92" spans="1:33" x14ac:dyDescent="0.3">
      <c r="C92" s="235" t="s">
        <v>199</v>
      </c>
      <c r="D92" s="236"/>
      <c r="E92" s="236"/>
      <c r="F92" s="236"/>
      <c r="G92" s="237" t="str">
        <f>IF(_xlfn.MINIFS($G$90:$G$91, $G$90:$G$91, "&gt;"&amp;0)=0, $A$4, _xlfn.MINIFS($G$90:$G$91, $G$90:$G$91, "&gt;"&amp;0))</f>
        <v>Not used</v>
      </c>
    </row>
    <row r="94" spans="1:33" x14ac:dyDescent="0.3">
      <c r="G94" s="12"/>
    </row>
    <row r="102" spans="1:43" ht="14.5" x14ac:dyDescent="0.3">
      <c r="A102" s="89" t="s">
        <v>220</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3">
      <c r="I104" s="242"/>
      <c r="J104" s="242"/>
      <c r="K104" s="242"/>
      <c r="L104" s="242"/>
      <c r="M104" s="242"/>
      <c r="N104" s="242"/>
      <c r="O104" s="242"/>
      <c r="P104" s="242"/>
      <c r="Q104" s="242"/>
      <c r="R104" s="242"/>
      <c r="S104" s="242"/>
      <c r="T104" s="242"/>
      <c r="U104" s="242"/>
      <c r="V104" s="242"/>
      <c r="W104" s="242"/>
      <c r="X104" s="242"/>
      <c r="Y104" s="242"/>
      <c r="Z104" s="242"/>
    </row>
    <row r="105" spans="1:43" x14ac:dyDescent="0.3">
      <c r="I105" s="242"/>
      <c r="J105" s="242"/>
      <c r="K105" s="242"/>
      <c r="L105" s="242"/>
      <c r="M105" s="242"/>
      <c r="N105" s="242"/>
      <c r="O105" s="242"/>
      <c r="P105" s="242"/>
      <c r="Q105" s="242"/>
      <c r="R105" s="242"/>
      <c r="S105" s="242"/>
      <c r="T105" s="242"/>
      <c r="U105" s="242"/>
      <c r="V105" s="242"/>
      <c r="W105" s="242"/>
      <c r="X105" s="242"/>
      <c r="Y105" s="242"/>
      <c r="Z105" s="242"/>
    </row>
    <row r="106" spans="1:43" ht="13.5" x14ac:dyDescent="0.3">
      <c r="A106" s="1" t="s">
        <v>120</v>
      </c>
      <c r="C106" s="1" t="s">
        <v>194</v>
      </c>
      <c r="D106"/>
      <c r="E106"/>
      <c r="F106"/>
      <c r="G106" s="38" t="str">
        <f>PROPER($A$3)&amp;A106</f>
        <v>Option 5NPV</v>
      </c>
      <c r="I106" s="31">
        <f>I87</f>
        <v>0</v>
      </c>
      <c r="J106" s="31">
        <f t="shared" ref="J106:AG106" si="18">J87</f>
        <v>0</v>
      </c>
      <c r="K106" s="31">
        <f t="shared" si="18"/>
        <v>0</v>
      </c>
      <c r="L106" s="31">
        <f t="shared" si="18"/>
        <v>0</v>
      </c>
      <c r="M106" s="31">
        <f t="shared" si="18"/>
        <v>0</v>
      </c>
      <c r="N106" s="31">
        <f t="shared" si="18"/>
        <v>0</v>
      </c>
      <c r="O106" s="31">
        <f t="shared" si="18"/>
        <v>0</v>
      </c>
      <c r="P106" s="31">
        <f t="shared" si="18"/>
        <v>0</v>
      </c>
      <c r="Q106" s="31">
        <f t="shared" si="18"/>
        <v>0</v>
      </c>
      <c r="R106" s="31">
        <f t="shared" si="18"/>
        <v>0</v>
      </c>
      <c r="S106" s="31">
        <f t="shared" si="18"/>
        <v>0</v>
      </c>
      <c r="T106" s="31">
        <f t="shared" si="18"/>
        <v>0</v>
      </c>
      <c r="U106" s="31">
        <f t="shared" si="18"/>
        <v>0</v>
      </c>
      <c r="V106" s="31">
        <f t="shared" si="18"/>
        <v>0</v>
      </c>
      <c r="W106" s="31">
        <f t="shared" si="18"/>
        <v>0</v>
      </c>
      <c r="X106" s="31">
        <f t="shared" si="18"/>
        <v>0</v>
      </c>
      <c r="Y106" s="31">
        <f t="shared" si="18"/>
        <v>0</v>
      </c>
      <c r="Z106" s="31">
        <f t="shared" si="18"/>
        <v>0</v>
      </c>
      <c r="AA106" s="31">
        <f t="shared" si="18"/>
        <v>0</v>
      </c>
      <c r="AB106" s="31">
        <f t="shared" si="18"/>
        <v>0</v>
      </c>
      <c r="AC106" s="31">
        <f t="shared" si="18"/>
        <v>0</v>
      </c>
      <c r="AD106" s="31">
        <f t="shared" si="18"/>
        <v>0</v>
      </c>
      <c r="AE106" s="31">
        <f t="shared" si="18"/>
        <v>0</v>
      </c>
      <c r="AF106" s="31">
        <f t="shared" si="18"/>
        <v>0</v>
      </c>
      <c r="AG106" s="31">
        <f t="shared" si="18"/>
        <v>0</v>
      </c>
    </row>
    <row r="107" spans="1:43" ht="13.5" x14ac:dyDescent="0.3">
      <c r="C107" s="1" t="s">
        <v>163</v>
      </c>
      <c r="D107"/>
      <c r="E107"/>
      <c r="F107"/>
      <c r="G107"/>
      <c r="I107" s="31">
        <f>I82</f>
        <v>0</v>
      </c>
      <c r="J107" s="31">
        <f t="shared" ref="J107:AG107" si="19">J82</f>
        <v>0</v>
      </c>
      <c r="K107" s="31">
        <f t="shared" si="19"/>
        <v>0</v>
      </c>
      <c r="L107" s="31">
        <f t="shared" si="19"/>
        <v>0</v>
      </c>
      <c r="M107" s="31">
        <f t="shared" si="19"/>
        <v>0</v>
      </c>
      <c r="N107" s="31">
        <f t="shared" si="19"/>
        <v>0</v>
      </c>
      <c r="O107" s="31">
        <f t="shared" si="19"/>
        <v>0</v>
      </c>
      <c r="P107" s="31">
        <f t="shared" si="19"/>
        <v>0</v>
      </c>
      <c r="Q107" s="31">
        <f t="shared" si="19"/>
        <v>0</v>
      </c>
      <c r="R107" s="31">
        <f t="shared" si="19"/>
        <v>0</v>
      </c>
      <c r="S107" s="31">
        <f t="shared" si="19"/>
        <v>0</v>
      </c>
      <c r="T107" s="31">
        <f t="shared" si="19"/>
        <v>0</v>
      </c>
      <c r="U107" s="31">
        <f t="shared" si="19"/>
        <v>0</v>
      </c>
      <c r="V107" s="31">
        <f t="shared" si="19"/>
        <v>0</v>
      </c>
      <c r="W107" s="31">
        <f t="shared" si="19"/>
        <v>0</v>
      </c>
      <c r="X107" s="31">
        <f t="shared" si="19"/>
        <v>0</v>
      </c>
      <c r="Y107" s="31">
        <f t="shared" si="19"/>
        <v>0</v>
      </c>
      <c r="Z107" s="31">
        <f t="shared" si="19"/>
        <v>0</v>
      </c>
      <c r="AA107" s="31">
        <f t="shared" si="19"/>
        <v>0</v>
      </c>
      <c r="AB107" s="31">
        <f t="shared" si="19"/>
        <v>0</v>
      </c>
      <c r="AC107" s="31">
        <f t="shared" si="19"/>
        <v>0</v>
      </c>
      <c r="AD107" s="31">
        <f t="shared" si="19"/>
        <v>0</v>
      </c>
      <c r="AE107" s="31">
        <f t="shared" si="19"/>
        <v>0</v>
      </c>
      <c r="AF107" s="31">
        <f t="shared" si="19"/>
        <v>0</v>
      </c>
      <c r="AG107" s="31">
        <f t="shared" si="19"/>
        <v>0</v>
      </c>
    </row>
    <row r="108" spans="1:43" ht="13.5" x14ac:dyDescent="0.3">
      <c r="C108" s="1" t="s">
        <v>245</v>
      </c>
      <c r="D108"/>
      <c r="E108"/>
      <c r="F108"/>
      <c r="G108"/>
      <c r="I108" s="31">
        <f>SUM(I84:I85)</f>
        <v>0</v>
      </c>
      <c r="J108" s="31">
        <f t="shared" ref="J108:AG108" si="20">SUM(J84:J85)</f>
        <v>0</v>
      </c>
      <c r="K108" s="31">
        <f t="shared" si="20"/>
        <v>0</v>
      </c>
      <c r="L108" s="31">
        <f t="shared" si="20"/>
        <v>0</v>
      </c>
      <c r="M108" s="31">
        <f t="shared" si="20"/>
        <v>0</v>
      </c>
      <c r="N108" s="31">
        <f t="shared" si="20"/>
        <v>0</v>
      </c>
      <c r="O108" s="31">
        <f t="shared" si="20"/>
        <v>0</v>
      </c>
      <c r="P108" s="31">
        <f t="shared" si="20"/>
        <v>0</v>
      </c>
      <c r="Q108" s="31">
        <f t="shared" si="20"/>
        <v>0</v>
      </c>
      <c r="R108" s="31">
        <f t="shared" si="20"/>
        <v>0</v>
      </c>
      <c r="S108" s="31">
        <f t="shared" si="20"/>
        <v>0</v>
      </c>
      <c r="T108" s="31">
        <f t="shared" si="20"/>
        <v>0</v>
      </c>
      <c r="U108" s="31">
        <f t="shared" si="20"/>
        <v>0</v>
      </c>
      <c r="V108" s="31">
        <f t="shared" si="20"/>
        <v>0</v>
      </c>
      <c r="W108" s="31">
        <f t="shared" si="20"/>
        <v>0</v>
      </c>
      <c r="X108" s="31">
        <f t="shared" si="20"/>
        <v>0</v>
      </c>
      <c r="Y108" s="31">
        <f t="shared" si="20"/>
        <v>0</v>
      </c>
      <c r="Z108" s="31">
        <f t="shared" si="20"/>
        <v>0</v>
      </c>
      <c r="AA108" s="31">
        <f t="shared" si="20"/>
        <v>0</v>
      </c>
      <c r="AB108" s="31">
        <f t="shared" si="20"/>
        <v>0</v>
      </c>
      <c r="AC108" s="31">
        <f t="shared" si="20"/>
        <v>0</v>
      </c>
      <c r="AD108" s="31">
        <f t="shared" si="20"/>
        <v>0</v>
      </c>
      <c r="AE108" s="31">
        <f t="shared" si="20"/>
        <v>0</v>
      </c>
      <c r="AF108" s="31">
        <f t="shared" si="20"/>
        <v>0</v>
      </c>
      <c r="AG108" s="31">
        <f t="shared" si="20"/>
        <v>0</v>
      </c>
    </row>
    <row r="109" spans="1:43" x14ac:dyDescent="0.3">
      <c r="D109" s="301" t="str">
        <f>Assumptions!G122</f>
        <v>Capex</v>
      </c>
      <c r="E109" s="301" t="str">
        <f>Assumptions!H122</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3">
      <c r="A110" s="1" t="str">
        <f>"sens"&amp;Assumptions!B123</f>
        <v>sens1</v>
      </c>
      <c r="C110" s="300" t="str">
        <f>Assumptions!C123</f>
        <v>Capex 10% higher</v>
      </c>
      <c r="D110" s="301">
        <f>Assumptions!G123</f>
        <v>0.1</v>
      </c>
      <c r="E110" s="301">
        <f>Assumptions!H123</f>
        <v>0</v>
      </c>
      <c r="G110" s="38" t="str">
        <f>PROPER($A$3)&amp;A110</f>
        <v>Option 5sens1</v>
      </c>
      <c r="I110" s="31" cm="1">
        <f t="array" ref="I110">I$106+IF($C110&lt;&gt;0,SUMPRODUCT((I$107:I$108)*TRANSPOSE(($D110:$E110))),0)</f>
        <v>0</v>
      </c>
      <c r="J110" s="31" cm="1">
        <f t="array" ref="J110">J$106+IF($C110&lt;&gt;0,SUMPRODUCT((J$107:J$108)*TRANSPOSE(($D110:$E110))),0)</f>
        <v>0</v>
      </c>
      <c r="K110" s="31" cm="1">
        <f t="array" ref="K110">K$106+IF($C110&lt;&gt;0,SUMPRODUCT((K$107:K$108)*TRANSPOSE(($D110:$E110))),0)</f>
        <v>0</v>
      </c>
      <c r="L110" s="31" cm="1">
        <f t="array" ref="L110">L$106+IF($C110&lt;&gt;0,SUMPRODUCT((L$107:L$108)*TRANSPOSE(($D110:$E110))),0)</f>
        <v>0</v>
      </c>
      <c r="M110" s="31" cm="1">
        <f t="array" ref="M110">M$106+IF($C110&lt;&gt;0,SUMPRODUCT((M$107:M$108)*TRANSPOSE(($D110:$E110))),0)</f>
        <v>0</v>
      </c>
      <c r="N110" s="31" cm="1">
        <f t="array" ref="N110">N$106+IF($C110&lt;&gt;0,SUMPRODUCT((N$107:N$108)*TRANSPOSE(($D110:$E110))),0)</f>
        <v>0</v>
      </c>
      <c r="O110" s="31" cm="1">
        <f t="array" ref="O110">O$106+IF($C110&lt;&gt;0,SUMPRODUCT((O$107:O$108)*TRANSPOSE(($D110:$E110))),0)</f>
        <v>0</v>
      </c>
      <c r="P110" s="31" cm="1">
        <f t="array" ref="P110">P$106+IF($C110&lt;&gt;0,SUMPRODUCT((P$107:P$108)*TRANSPOSE(($D110:$E110))),0)</f>
        <v>0</v>
      </c>
      <c r="Q110" s="31" cm="1">
        <f t="array" ref="Q110">Q$106+IF($C110&lt;&gt;0,SUMPRODUCT((Q$107:Q$108)*TRANSPOSE(($D110:$E110))),0)</f>
        <v>0</v>
      </c>
      <c r="R110" s="31" cm="1">
        <f t="array" ref="R110">R$106+IF($C110&lt;&gt;0,SUMPRODUCT((R$107:R$108)*TRANSPOSE(($D110:$E110))),0)</f>
        <v>0</v>
      </c>
      <c r="S110" s="31" cm="1">
        <f t="array" ref="S110">S$106+IF($C110&lt;&gt;0,SUMPRODUCT((S$107:S$108)*TRANSPOSE(($D110:$E110))),0)</f>
        <v>0</v>
      </c>
      <c r="T110" s="31" cm="1">
        <f t="array" ref="T110">T$106+IF($C110&lt;&gt;0,SUMPRODUCT((T$107:T$108)*TRANSPOSE(($D110:$E110))),0)</f>
        <v>0</v>
      </c>
      <c r="U110" s="31" cm="1">
        <f t="array" ref="U110">U$106+IF($C110&lt;&gt;0,SUMPRODUCT((U$107:U$108)*TRANSPOSE(($D110:$E110))),0)</f>
        <v>0</v>
      </c>
      <c r="V110" s="31" cm="1">
        <f t="array" ref="V110">V$106+IF($C110&lt;&gt;0,SUMPRODUCT((V$107:V$108)*TRANSPOSE(($D110:$E110))),0)</f>
        <v>0</v>
      </c>
      <c r="W110" s="31" cm="1">
        <f t="array" ref="W110">W$106+IF($C110&lt;&gt;0,SUMPRODUCT((W$107:W$108)*TRANSPOSE(($D110:$E110))),0)</f>
        <v>0</v>
      </c>
      <c r="X110" s="31" cm="1">
        <f t="array" ref="X110">X$106+IF($C110&lt;&gt;0,SUMPRODUCT((X$107:X$108)*TRANSPOSE(($D110:$E110))),0)</f>
        <v>0</v>
      </c>
      <c r="Y110" s="31" cm="1">
        <f t="array" ref="Y110">Y$106+IF($C110&lt;&gt;0,SUMPRODUCT((Y$107:Y$108)*TRANSPOSE(($D110:$E110))),0)</f>
        <v>0</v>
      </c>
      <c r="Z110" s="31" cm="1">
        <f t="array" ref="Z110">Z$106+IF($C110&lt;&gt;0,SUMPRODUCT((Z$107:Z$108)*TRANSPOSE(($D110:$E110))),0)</f>
        <v>0</v>
      </c>
      <c r="AA110" s="31" cm="1">
        <f t="array" ref="AA110">AA$106+IF($C110&lt;&gt;0,SUMPRODUCT((AA$107:AA$108)*TRANSPOSE(($D110:$E110))),0)</f>
        <v>0</v>
      </c>
      <c r="AB110" s="31" cm="1">
        <f t="array" ref="AB110">AB$106+IF($C110&lt;&gt;0,SUMPRODUCT((AB$107:AB$108)*TRANSPOSE(($D110:$E110))),0)</f>
        <v>0</v>
      </c>
      <c r="AC110" s="31" cm="1">
        <f t="array" ref="AC110">AC$106+IF($C110&lt;&gt;0,SUMPRODUCT((AC$107:AC$108)*TRANSPOSE(($D110:$E110))),0)</f>
        <v>0</v>
      </c>
      <c r="AD110" s="31" cm="1">
        <f t="array" ref="AD110">AD$106+IF($C110&lt;&gt;0,SUMPRODUCT((AD$107:AD$108)*TRANSPOSE(($D110:$E110))),0)</f>
        <v>0</v>
      </c>
      <c r="AE110" s="31" cm="1">
        <f t="array" ref="AE110">AE$106+IF($C110&lt;&gt;0,SUMPRODUCT((AE$107:AE$108)*TRANSPOSE(($D110:$E110))),0)</f>
        <v>0</v>
      </c>
      <c r="AF110" s="31" cm="1">
        <f t="array" ref="AF110">AF$106+IF($C110&lt;&gt;0,SUMPRODUCT((AF$107:AF$108)*TRANSPOSE(($D110:$E110))),0)</f>
        <v>0</v>
      </c>
      <c r="AG110" s="31" cm="1">
        <f t="array" ref="AG110">AG$106+IF($C110&lt;&gt;0,SUMPRODUCT((AG$107:AG$108)*TRANSPOSE(($D110:$E110))),0)</f>
        <v>0</v>
      </c>
    </row>
    <row r="111" spans="1:43" x14ac:dyDescent="0.3">
      <c r="A111" s="1" t="str">
        <f>"sens"&amp;Assumptions!B124</f>
        <v>sens2</v>
      </c>
      <c r="C111" s="300" t="str">
        <f>Assumptions!C124</f>
        <v>Capex 10% lower</v>
      </c>
      <c r="D111" s="301">
        <f>Assumptions!G124</f>
        <v>-0.1</v>
      </c>
      <c r="E111" s="301">
        <f>Assumptions!H124</f>
        <v>0</v>
      </c>
      <c r="G111" s="38" t="str">
        <f t="shared" ref="G111:G117" si="21">PROPER($A$3)&amp;A111</f>
        <v>Option 5sens2</v>
      </c>
      <c r="I111" s="31" cm="1">
        <f t="array" ref="I111">I$106+IF($C111&lt;&gt;0,SUMPRODUCT((I$107:I$108)*TRANSPOSE(($D111:$E111))),0)</f>
        <v>0</v>
      </c>
      <c r="J111" s="31" cm="1">
        <f t="array" ref="J111">J$106+IF($C111&lt;&gt;0,SUMPRODUCT((J$107:J$108)*TRANSPOSE(($D111:$E111))),0)</f>
        <v>0</v>
      </c>
      <c r="K111" s="31" cm="1">
        <f t="array" ref="K111">K$106+IF($C111&lt;&gt;0,SUMPRODUCT((K$107:K$108)*TRANSPOSE(($D111:$E111))),0)</f>
        <v>0</v>
      </c>
      <c r="L111" s="31" cm="1">
        <f t="array" ref="L111">L$106+IF($C111&lt;&gt;0,SUMPRODUCT((L$107:L$108)*TRANSPOSE(($D111:$E111))),0)</f>
        <v>0</v>
      </c>
      <c r="M111" s="31" cm="1">
        <f t="array" ref="M111">M$106+IF($C111&lt;&gt;0,SUMPRODUCT((M$107:M$108)*TRANSPOSE(($D111:$E111))),0)</f>
        <v>0</v>
      </c>
      <c r="N111" s="31" cm="1">
        <f t="array" ref="N111">N$106+IF($C111&lt;&gt;0,SUMPRODUCT((N$107:N$108)*TRANSPOSE(($D111:$E111))),0)</f>
        <v>0</v>
      </c>
      <c r="O111" s="31" cm="1">
        <f t="array" ref="O111">O$106+IF($C111&lt;&gt;0,SUMPRODUCT((O$107:O$108)*TRANSPOSE(($D111:$E111))),0)</f>
        <v>0</v>
      </c>
      <c r="P111" s="31" cm="1">
        <f t="array" ref="P111">P$106+IF($C111&lt;&gt;0,SUMPRODUCT((P$107:P$108)*TRANSPOSE(($D111:$E111))),0)</f>
        <v>0</v>
      </c>
      <c r="Q111" s="31" cm="1">
        <f t="array" ref="Q111">Q$106+IF($C111&lt;&gt;0,SUMPRODUCT((Q$107:Q$108)*TRANSPOSE(($D111:$E111))),0)</f>
        <v>0</v>
      </c>
      <c r="R111" s="31" cm="1">
        <f t="array" ref="R111">R$106+IF($C111&lt;&gt;0,SUMPRODUCT((R$107:R$108)*TRANSPOSE(($D111:$E111))),0)</f>
        <v>0</v>
      </c>
      <c r="S111" s="31" cm="1">
        <f t="array" ref="S111">S$106+IF($C111&lt;&gt;0,SUMPRODUCT((S$107:S$108)*TRANSPOSE(($D111:$E111))),0)</f>
        <v>0</v>
      </c>
      <c r="T111" s="31" cm="1">
        <f t="array" ref="T111">T$106+IF($C111&lt;&gt;0,SUMPRODUCT((T$107:T$108)*TRANSPOSE(($D111:$E111))),0)</f>
        <v>0</v>
      </c>
      <c r="U111" s="31" cm="1">
        <f t="array" ref="U111">U$106+IF($C111&lt;&gt;0,SUMPRODUCT((U$107:U$108)*TRANSPOSE(($D111:$E111))),0)</f>
        <v>0</v>
      </c>
      <c r="V111" s="31" cm="1">
        <f t="array" ref="V111">V$106+IF($C111&lt;&gt;0,SUMPRODUCT((V$107:V$108)*TRANSPOSE(($D111:$E111))),0)</f>
        <v>0</v>
      </c>
      <c r="W111" s="31" cm="1">
        <f t="array" ref="W111">W$106+IF($C111&lt;&gt;0,SUMPRODUCT((W$107:W$108)*TRANSPOSE(($D111:$E111))),0)</f>
        <v>0</v>
      </c>
      <c r="X111" s="31" cm="1">
        <f t="array" ref="X111">X$106+IF($C111&lt;&gt;0,SUMPRODUCT((X$107:X$108)*TRANSPOSE(($D111:$E111))),0)</f>
        <v>0</v>
      </c>
      <c r="Y111" s="31" cm="1">
        <f t="array" ref="Y111">Y$106+IF($C111&lt;&gt;0,SUMPRODUCT((Y$107:Y$108)*TRANSPOSE(($D111:$E111))),0)</f>
        <v>0</v>
      </c>
      <c r="Z111" s="31" cm="1">
        <f t="array" ref="Z111">Z$106+IF($C111&lt;&gt;0,SUMPRODUCT((Z$107:Z$108)*TRANSPOSE(($D111:$E111))),0)</f>
        <v>0</v>
      </c>
      <c r="AA111" s="31" cm="1">
        <f t="array" ref="AA111">AA$106+IF($C111&lt;&gt;0,SUMPRODUCT((AA$107:AA$108)*TRANSPOSE(($D111:$E111))),0)</f>
        <v>0</v>
      </c>
      <c r="AB111" s="31" cm="1">
        <f t="array" ref="AB111">AB$106+IF($C111&lt;&gt;0,SUMPRODUCT((AB$107:AB$108)*TRANSPOSE(($D111:$E111))),0)</f>
        <v>0</v>
      </c>
      <c r="AC111" s="31" cm="1">
        <f t="array" ref="AC111">AC$106+IF($C111&lt;&gt;0,SUMPRODUCT((AC$107:AC$108)*TRANSPOSE(($D111:$E111))),0)</f>
        <v>0</v>
      </c>
      <c r="AD111" s="31" cm="1">
        <f t="array" ref="AD111">AD$106+IF($C111&lt;&gt;0,SUMPRODUCT((AD$107:AD$108)*TRANSPOSE(($D111:$E111))),0)</f>
        <v>0</v>
      </c>
      <c r="AE111" s="31" cm="1">
        <f t="array" ref="AE111">AE$106+IF($C111&lt;&gt;0,SUMPRODUCT((AE$107:AE$108)*TRANSPOSE(($D111:$E111))),0)</f>
        <v>0</v>
      </c>
      <c r="AF111" s="31" cm="1">
        <f t="array" ref="AF111">AF$106+IF($C111&lt;&gt;0,SUMPRODUCT((AF$107:AF$108)*TRANSPOSE(($D111:$E111))),0)</f>
        <v>0</v>
      </c>
      <c r="AG111" s="31" cm="1">
        <f t="array" ref="AG111">AG$106+IF($C111&lt;&gt;0,SUMPRODUCT((AG$107:AG$108)*TRANSPOSE(($D111:$E111))),0)</f>
        <v>0</v>
      </c>
    </row>
    <row r="112" spans="1:43" x14ac:dyDescent="0.3">
      <c r="A112" s="1" t="str">
        <f>"sens"&amp;Assumptions!B125</f>
        <v>sens3</v>
      </c>
      <c r="C112" s="300" t="str">
        <f>Assumptions!C125</f>
        <v>Total benefits 10% higher</v>
      </c>
      <c r="D112" s="301">
        <f>Assumptions!G125</f>
        <v>0</v>
      </c>
      <c r="E112" s="301">
        <f>Assumptions!H125</f>
        <v>0.1</v>
      </c>
      <c r="G112" s="38" t="str">
        <f t="shared" si="21"/>
        <v>Option 5sens3</v>
      </c>
      <c r="I112" s="31" cm="1">
        <f t="array" ref="I112">I$106+IF($C112&lt;&gt;0,SUMPRODUCT((I$107:I$108)*TRANSPOSE(($D112:$E112))),0)</f>
        <v>0</v>
      </c>
      <c r="J112" s="31" cm="1">
        <f t="array" ref="J112">J$106+IF($C112&lt;&gt;0,SUMPRODUCT((J$107:J$108)*TRANSPOSE(($D112:$E112))),0)</f>
        <v>0</v>
      </c>
      <c r="K112" s="31" cm="1">
        <f t="array" ref="K112">K$106+IF($C112&lt;&gt;0,SUMPRODUCT((K$107:K$108)*TRANSPOSE(($D112:$E112))),0)</f>
        <v>0</v>
      </c>
      <c r="L112" s="31" cm="1">
        <f t="array" ref="L112">L$106+IF($C112&lt;&gt;0,SUMPRODUCT((L$107:L$108)*TRANSPOSE(($D112:$E112))),0)</f>
        <v>0</v>
      </c>
      <c r="M112" s="31" cm="1">
        <f t="array" ref="M112">M$106+IF($C112&lt;&gt;0,SUMPRODUCT((M$107:M$108)*TRANSPOSE(($D112:$E112))),0)</f>
        <v>0</v>
      </c>
      <c r="N112" s="31" cm="1">
        <f t="array" ref="N112">N$106+IF($C112&lt;&gt;0,SUMPRODUCT((N$107:N$108)*TRANSPOSE(($D112:$E112))),0)</f>
        <v>0</v>
      </c>
      <c r="O112" s="31" cm="1">
        <f t="array" ref="O112">O$106+IF($C112&lt;&gt;0,SUMPRODUCT((O$107:O$108)*TRANSPOSE(($D112:$E112))),0)</f>
        <v>0</v>
      </c>
      <c r="P112" s="31" cm="1">
        <f t="array" ref="P112">P$106+IF($C112&lt;&gt;0,SUMPRODUCT((P$107:P$108)*TRANSPOSE(($D112:$E112))),0)</f>
        <v>0</v>
      </c>
      <c r="Q112" s="31" cm="1">
        <f t="array" ref="Q112">Q$106+IF($C112&lt;&gt;0,SUMPRODUCT((Q$107:Q$108)*TRANSPOSE(($D112:$E112))),0)</f>
        <v>0</v>
      </c>
      <c r="R112" s="31" cm="1">
        <f t="array" ref="R112">R$106+IF($C112&lt;&gt;0,SUMPRODUCT((R$107:R$108)*TRANSPOSE(($D112:$E112))),0)</f>
        <v>0</v>
      </c>
      <c r="S112" s="31" cm="1">
        <f t="array" ref="S112">S$106+IF($C112&lt;&gt;0,SUMPRODUCT((S$107:S$108)*TRANSPOSE(($D112:$E112))),0)</f>
        <v>0</v>
      </c>
      <c r="T112" s="31" cm="1">
        <f t="array" ref="T112">T$106+IF($C112&lt;&gt;0,SUMPRODUCT((T$107:T$108)*TRANSPOSE(($D112:$E112))),0)</f>
        <v>0</v>
      </c>
      <c r="U112" s="31" cm="1">
        <f t="array" ref="U112">U$106+IF($C112&lt;&gt;0,SUMPRODUCT((U$107:U$108)*TRANSPOSE(($D112:$E112))),0)</f>
        <v>0</v>
      </c>
      <c r="V112" s="31" cm="1">
        <f t="array" ref="V112">V$106+IF($C112&lt;&gt;0,SUMPRODUCT((V$107:V$108)*TRANSPOSE(($D112:$E112))),0)</f>
        <v>0</v>
      </c>
      <c r="W112" s="31" cm="1">
        <f t="array" ref="W112">W$106+IF($C112&lt;&gt;0,SUMPRODUCT((W$107:W$108)*TRANSPOSE(($D112:$E112))),0)</f>
        <v>0</v>
      </c>
      <c r="X112" s="31" cm="1">
        <f t="array" ref="X112">X$106+IF($C112&lt;&gt;0,SUMPRODUCT((X$107:X$108)*TRANSPOSE(($D112:$E112))),0)</f>
        <v>0</v>
      </c>
      <c r="Y112" s="31" cm="1">
        <f t="array" ref="Y112">Y$106+IF($C112&lt;&gt;0,SUMPRODUCT((Y$107:Y$108)*TRANSPOSE(($D112:$E112))),0)</f>
        <v>0</v>
      </c>
      <c r="Z112" s="31" cm="1">
        <f t="array" ref="Z112">Z$106+IF($C112&lt;&gt;0,SUMPRODUCT((Z$107:Z$108)*TRANSPOSE(($D112:$E112))),0)</f>
        <v>0</v>
      </c>
      <c r="AA112" s="31" cm="1">
        <f t="array" ref="AA112">AA$106+IF($C112&lt;&gt;0,SUMPRODUCT((AA$107:AA$108)*TRANSPOSE(($D112:$E112))),0)</f>
        <v>0</v>
      </c>
      <c r="AB112" s="31" cm="1">
        <f t="array" ref="AB112">AB$106+IF($C112&lt;&gt;0,SUMPRODUCT((AB$107:AB$108)*TRANSPOSE(($D112:$E112))),0)</f>
        <v>0</v>
      </c>
      <c r="AC112" s="31" cm="1">
        <f t="array" ref="AC112">AC$106+IF($C112&lt;&gt;0,SUMPRODUCT((AC$107:AC$108)*TRANSPOSE(($D112:$E112))),0)</f>
        <v>0</v>
      </c>
      <c r="AD112" s="31" cm="1">
        <f t="array" ref="AD112">AD$106+IF($C112&lt;&gt;0,SUMPRODUCT((AD$107:AD$108)*TRANSPOSE(($D112:$E112))),0)</f>
        <v>0</v>
      </c>
      <c r="AE112" s="31" cm="1">
        <f t="array" ref="AE112">AE$106+IF($C112&lt;&gt;0,SUMPRODUCT((AE$107:AE$108)*TRANSPOSE(($D112:$E112))),0)</f>
        <v>0</v>
      </c>
      <c r="AF112" s="31" cm="1">
        <f t="array" ref="AF112">AF$106+IF($C112&lt;&gt;0,SUMPRODUCT((AF$107:AF$108)*TRANSPOSE(($D112:$E112))),0)</f>
        <v>0</v>
      </c>
      <c r="AG112" s="31" cm="1">
        <f t="array" ref="AG112">AG$106+IF($C112&lt;&gt;0,SUMPRODUCT((AG$107:AG$108)*TRANSPOSE(($D112:$E112))),0)</f>
        <v>0</v>
      </c>
    </row>
    <row r="113" spans="1:33" x14ac:dyDescent="0.3">
      <c r="A113" s="1" t="str">
        <f>"sens"&amp;Assumptions!B126</f>
        <v>sens4</v>
      </c>
      <c r="C113" s="300" t="str">
        <f>Assumptions!C126</f>
        <v>Total benefits 10% lower</v>
      </c>
      <c r="D113" s="301">
        <f>Assumptions!G126</f>
        <v>0</v>
      </c>
      <c r="E113" s="301">
        <f>Assumptions!H126</f>
        <v>-0.1</v>
      </c>
      <c r="G113" s="38" t="str">
        <f t="shared" si="21"/>
        <v>Option 5sens4</v>
      </c>
      <c r="I113" s="31" cm="1">
        <f t="array" ref="I113">I$106+IF($C113&lt;&gt;0,SUMPRODUCT((I$107:I$108)*TRANSPOSE(($D113:$E113))),0)</f>
        <v>0</v>
      </c>
      <c r="J113" s="31" cm="1">
        <f t="array" ref="J113">J$106+IF($C113&lt;&gt;0,SUMPRODUCT((J$107:J$108)*TRANSPOSE(($D113:$E113))),0)</f>
        <v>0</v>
      </c>
      <c r="K113" s="31" cm="1">
        <f t="array" ref="K113">K$106+IF($C113&lt;&gt;0,SUMPRODUCT((K$107:K$108)*TRANSPOSE(($D113:$E113))),0)</f>
        <v>0</v>
      </c>
      <c r="L113" s="31" cm="1">
        <f t="array" ref="L113">L$106+IF($C113&lt;&gt;0,SUMPRODUCT((L$107:L$108)*TRANSPOSE(($D113:$E113))),0)</f>
        <v>0</v>
      </c>
      <c r="M113" s="31" cm="1">
        <f t="array" ref="M113">M$106+IF($C113&lt;&gt;0,SUMPRODUCT((M$107:M$108)*TRANSPOSE(($D113:$E113))),0)</f>
        <v>0</v>
      </c>
      <c r="N113" s="31" cm="1">
        <f t="array" ref="N113">N$106+IF($C113&lt;&gt;0,SUMPRODUCT((N$107:N$108)*TRANSPOSE(($D113:$E113))),0)</f>
        <v>0</v>
      </c>
      <c r="O113" s="31" cm="1">
        <f t="array" ref="O113">O$106+IF($C113&lt;&gt;0,SUMPRODUCT((O$107:O$108)*TRANSPOSE(($D113:$E113))),0)</f>
        <v>0</v>
      </c>
      <c r="P113" s="31" cm="1">
        <f t="array" ref="P113">P$106+IF($C113&lt;&gt;0,SUMPRODUCT((P$107:P$108)*TRANSPOSE(($D113:$E113))),0)</f>
        <v>0</v>
      </c>
      <c r="Q113" s="31" cm="1">
        <f t="array" ref="Q113">Q$106+IF($C113&lt;&gt;0,SUMPRODUCT((Q$107:Q$108)*TRANSPOSE(($D113:$E113))),0)</f>
        <v>0</v>
      </c>
      <c r="R113" s="31" cm="1">
        <f t="array" ref="R113">R$106+IF($C113&lt;&gt;0,SUMPRODUCT((R$107:R$108)*TRANSPOSE(($D113:$E113))),0)</f>
        <v>0</v>
      </c>
      <c r="S113" s="31" cm="1">
        <f t="array" ref="S113">S$106+IF($C113&lt;&gt;0,SUMPRODUCT((S$107:S$108)*TRANSPOSE(($D113:$E113))),0)</f>
        <v>0</v>
      </c>
      <c r="T113" s="31" cm="1">
        <f t="array" ref="T113">T$106+IF($C113&lt;&gt;0,SUMPRODUCT((T$107:T$108)*TRANSPOSE(($D113:$E113))),0)</f>
        <v>0</v>
      </c>
      <c r="U113" s="31" cm="1">
        <f t="array" ref="U113">U$106+IF($C113&lt;&gt;0,SUMPRODUCT((U$107:U$108)*TRANSPOSE(($D113:$E113))),0)</f>
        <v>0</v>
      </c>
      <c r="V113" s="31" cm="1">
        <f t="array" ref="V113">V$106+IF($C113&lt;&gt;0,SUMPRODUCT((V$107:V$108)*TRANSPOSE(($D113:$E113))),0)</f>
        <v>0</v>
      </c>
      <c r="W113" s="31" cm="1">
        <f t="array" ref="W113">W$106+IF($C113&lt;&gt;0,SUMPRODUCT((W$107:W$108)*TRANSPOSE(($D113:$E113))),0)</f>
        <v>0</v>
      </c>
      <c r="X113" s="31" cm="1">
        <f t="array" ref="X113">X$106+IF($C113&lt;&gt;0,SUMPRODUCT((X$107:X$108)*TRANSPOSE(($D113:$E113))),0)</f>
        <v>0</v>
      </c>
      <c r="Y113" s="31" cm="1">
        <f t="array" ref="Y113">Y$106+IF($C113&lt;&gt;0,SUMPRODUCT((Y$107:Y$108)*TRANSPOSE(($D113:$E113))),0)</f>
        <v>0</v>
      </c>
      <c r="Z113" s="31" cm="1">
        <f t="array" ref="Z113">Z$106+IF($C113&lt;&gt;0,SUMPRODUCT((Z$107:Z$108)*TRANSPOSE(($D113:$E113))),0)</f>
        <v>0</v>
      </c>
      <c r="AA113" s="31" cm="1">
        <f t="array" ref="AA113">AA$106+IF($C113&lt;&gt;0,SUMPRODUCT((AA$107:AA$108)*TRANSPOSE(($D113:$E113))),0)</f>
        <v>0</v>
      </c>
      <c r="AB113" s="31" cm="1">
        <f t="array" ref="AB113">AB$106+IF($C113&lt;&gt;0,SUMPRODUCT((AB$107:AB$108)*TRANSPOSE(($D113:$E113))),0)</f>
        <v>0</v>
      </c>
      <c r="AC113" s="31" cm="1">
        <f t="array" ref="AC113">AC$106+IF($C113&lt;&gt;0,SUMPRODUCT((AC$107:AC$108)*TRANSPOSE(($D113:$E113))),0)</f>
        <v>0</v>
      </c>
      <c r="AD113" s="31" cm="1">
        <f t="array" ref="AD113">AD$106+IF($C113&lt;&gt;0,SUMPRODUCT((AD$107:AD$108)*TRANSPOSE(($D113:$E113))),0)</f>
        <v>0</v>
      </c>
      <c r="AE113" s="31" cm="1">
        <f t="array" ref="AE113">AE$106+IF($C113&lt;&gt;0,SUMPRODUCT((AE$107:AE$108)*TRANSPOSE(($D113:$E113))),0)</f>
        <v>0</v>
      </c>
      <c r="AF113" s="31" cm="1">
        <f t="array" ref="AF113">AF$106+IF($C113&lt;&gt;0,SUMPRODUCT((AF$107:AF$108)*TRANSPOSE(($D113:$E113))),0)</f>
        <v>0</v>
      </c>
      <c r="AG113" s="31" cm="1">
        <f t="array" ref="AG113">AG$106+IF($C113&lt;&gt;0,SUMPRODUCT((AG$107:AG$108)*TRANSPOSE(($D113:$E113))),0)</f>
        <v>0</v>
      </c>
    </row>
    <row r="114" spans="1:33" x14ac:dyDescent="0.3">
      <c r="A114" s="1" t="str">
        <f>"sens"&amp;Assumptions!B127</f>
        <v>sens5</v>
      </c>
      <c r="C114" s="300" t="str">
        <f>Assumptions!C127</f>
        <v>Capex 10% higher &amp; Total benefits 10% lower</v>
      </c>
      <c r="D114" s="301">
        <f>Assumptions!G127</f>
        <v>0.1</v>
      </c>
      <c r="E114" s="301">
        <f>Assumptions!H127</f>
        <v>-0.1</v>
      </c>
      <c r="G114" s="38" t="str">
        <f t="shared" si="21"/>
        <v>Option 5sens5</v>
      </c>
      <c r="I114" s="31" cm="1">
        <f t="array" ref="I114">I$106+IF($C114&lt;&gt;0,SUMPRODUCT((I$107:I$108)*TRANSPOSE(($D114:$E114))),0)</f>
        <v>0</v>
      </c>
      <c r="J114" s="31" cm="1">
        <f t="array" ref="J114">J$106+IF($C114&lt;&gt;0,SUMPRODUCT((J$107:J$108)*TRANSPOSE(($D114:$E114))),0)</f>
        <v>0</v>
      </c>
      <c r="K114" s="31" cm="1">
        <f t="array" ref="K114">K$106+IF($C114&lt;&gt;0,SUMPRODUCT((K$107:K$108)*TRANSPOSE(($D114:$E114))),0)</f>
        <v>0</v>
      </c>
      <c r="L114" s="31" cm="1">
        <f t="array" ref="L114">L$106+IF($C114&lt;&gt;0,SUMPRODUCT((L$107:L$108)*TRANSPOSE(($D114:$E114))),0)</f>
        <v>0</v>
      </c>
      <c r="M114" s="31" cm="1">
        <f t="array" ref="M114">M$106+IF($C114&lt;&gt;0,SUMPRODUCT((M$107:M$108)*TRANSPOSE(($D114:$E114))),0)</f>
        <v>0</v>
      </c>
      <c r="N114" s="31" cm="1">
        <f t="array" ref="N114">N$106+IF($C114&lt;&gt;0,SUMPRODUCT((N$107:N$108)*TRANSPOSE(($D114:$E114))),0)</f>
        <v>0</v>
      </c>
      <c r="O114" s="31" cm="1">
        <f t="array" ref="O114">O$106+IF($C114&lt;&gt;0,SUMPRODUCT((O$107:O$108)*TRANSPOSE(($D114:$E114))),0)</f>
        <v>0</v>
      </c>
      <c r="P114" s="31" cm="1">
        <f t="array" ref="P114">P$106+IF($C114&lt;&gt;0,SUMPRODUCT((P$107:P$108)*TRANSPOSE(($D114:$E114))),0)</f>
        <v>0</v>
      </c>
      <c r="Q114" s="31" cm="1">
        <f t="array" ref="Q114">Q$106+IF($C114&lt;&gt;0,SUMPRODUCT((Q$107:Q$108)*TRANSPOSE(($D114:$E114))),0)</f>
        <v>0</v>
      </c>
      <c r="R114" s="31" cm="1">
        <f t="array" ref="R114">R$106+IF($C114&lt;&gt;0,SUMPRODUCT((R$107:R$108)*TRANSPOSE(($D114:$E114))),0)</f>
        <v>0</v>
      </c>
      <c r="S114" s="31" cm="1">
        <f t="array" ref="S114">S$106+IF($C114&lt;&gt;0,SUMPRODUCT((S$107:S$108)*TRANSPOSE(($D114:$E114))),0)</f>
        <v>0</v>
      </c>
      <c r="T114" s="31" cm="1">
        <f t="array" ref="T114">T$106+IF($C114&lt;&gt;0,SUMPRODUCT((T$107:T$108)*TRANSPOSE(($D114:$E114))),0)</f>
        <v>0</v>
      </c>
      <c r="U114" s="31" cm="1">
        <f t="array" ref="U114">U$106+IF($C114&lt;&gt;0,SUMPRODUCT((U$107:U$108)*TRANSPOSE(($D114:$E114))),0)</f>
        <v>0</v>
      </c>
      <c r="V114" s="31" cm="1">
        <f t="array" ref="V114">V$106+IF($C114&lt;&gt;0,SUMPRODUCT((V$107:V$108)*TRANSPOSE(($D114:$E114))),0)</f>
        <v>0</v>
      </c>
      <c r="W114" s="31" cm="1">
        <f t="array" ref="W114">W$106+IF($C114&lt;&gt;0,SUMPRODUCT((W$107:W$108)*TRANSPOSE(($D114:$E114))),0)</f>
        <v>0</v>
      </c>
      <c r="X114" s="31" cm="1">
        <f t="array" ref="X114">X$106+IF($C114&lt;&gt;0,SUMPRODUCT((X$107:X$108)*TRANSPOSE(($D114:$E114))),0)</f>
        <v>0</v>
      </c>
      <c r="Y114" s="31" cm="1">
        <f t="array" ref="Y114">Y$106+IF($C114&lt;&gt;0,SUMPRODUCT((Y$107:Y$108)*TRANSPOSE(($D114:$E114))),0)</f>
        <v>0</v>
      </c>
      <c r="Z114" s="31" cm="1">
        <f t="array" ref="Z114">Z$106+IF($C114&lt;&gt;0,SUMPRODUCT((Z$107:Z$108)*TRANSPOSE(($D114:$E114))),0)</f>
        <v>0</v>
      </c>
      <c r="AA114" s="31" cm="1">
        <f t="array" ref="AA114">AA$106+IF($C114&lt;&gt;0,SUMPRODUCT((AA$107:AA$108)*TRANSPOSE(($D114:$E114))),0)</f>
        <v>0</v>
      </c>
      <c r="AB114" s="31" cm="1">
        <f t="array" ref="AB114">AB$106+IF($C114&lt;&gt;0,SUMPRODUCT((AB$107:AB$108)*TRANSPOSE(($D114:$E114))),0)</f>
        <v>0</v>
      </c>
      <c r="AC114" s="31" cm="1">
        <f t="array" ref="AC114">AC$106+IF($C114&lt;&gt;0,SUMPRODUCT((AC$107:AC$108)*TRANSPOSE(($D114:$E114))),0)</f>
        <v>0</v>
      </c>
      <c r="AD114" s="31" cm="1">
        <f t="array" ref="AD114">AD$106+IF($C114&lt;&gt;0,SUMPRODUCT((AD$107:AD$108)*TRANSPOSE(($D114:$E114))),0)</f>
        <v>0</v>
      </c>
      <c r="AE114" s="31" cm="1">
        <f t="array" ref="AE114">AE$106+IF($C114&lt;&gt;0,SUMPRODUCT((AE$107:AE$108)*TRANSPOSE(($D114:$E114))),0)</f>
        <v>0</v>
      </c>
      <c r="AF114" s="31" cm="1">
        <f t="array" ref="AF114">AF$106+IF($C114&lt;&gt;0,SUMPRODUCT((AF$107:AF$108)*TRANSPOSE(($D114:$E114))),0)</f>
        <v>0</v>
      </c>
      <c r="AG114" s="31" cm="1">
        <f t="array" ref="AG114">AG$106+IF($C114&lt;&gt;0,SUMPRODUCT((AG$107:AG$108)*TRANSPOSE(($D114:$E114))),0)</f>
        <v>0</v>
      </c>
    </row>
    <row r="115" spans="1:33" x14ac:dyDescent="0.3">
      <c r="A115" s="1" t="str">
        <f>"sens"&amp;Assumptions!B128</f>
        <v>sens</v>
      </c>
      <c r="C115" s="300">
        <f>Assumptions!C128</f>
        <v>0</v>
      </c>
      <c r="D115" s="301">
        <f>Assumptions!G128</f>
        <v>0</v>
      </c>
      <c r="E115" s="301">
        <f>Assumptions!H128</f>
        <v>0</v>
      </c>
      <c r="G115" s="38" t="str">
        <f t="shared" si="21"/>
        <v>Option 5sens</v>
      </c>
      <c r="I115" s="31" cm="1">
        <f t="array" ref="I115">I$106+IF($C115&lt;&gt;0,SUMPRODUCT((I$107:I$108)*TRANSPOSE(($D115:$E115))),0)</f>
        <v>0</v>
      </c>
      <c r="J115" s="31" cm="1">
        <f t="array" ref="J115">J$106+IF($C115&lt;&gt;0,SUMPRODUCT((J$107:J$108)*TRANSPOSE(($D115:$E115))),0)</f>
        <v>0</v>
      </c>
      <c r="K115" s="31" cm="1">
        <f t="array" ref="K115">K$106+IF($C115&lt;&gt;0,SUMPRODUCT((K$107:K$108)*TRANSPOSE(($D115:$E115))),0)</f>
        <v>0</v>
      </c>
      <c r="L115" s="31" cm="1">
        <f t="array" ref="L115">L$106+IF($C115&lt;&gt;0,SUMPRODUCT((L$107:L$108)*TRANSPOSE(($D115:$E115))),0)</f>
        <v>0</v>
      </c>
      <c r="M115" s="31" cm="1">
        <f t="array" ref="M115">M$106+IF($C115&lt;&gt;0,SUMPRODUCT((M$107:M$108)*TRANSPOSE(($D115:$E115))),0)</f>
        <v>0</v>
      </c>
      <c r="N115" s="31" cm="1">
        <f t="array" ref="N115">N$106+IF($C115&lt;&gt;0,SUMPRODUCT((N$107:N$108)*TRANSPOSE(($D115:$E115))),0)</f>
        <v>0</v>
      </c>
      <c r="O115" s="31" cm="1">
        <f t="array" ref="O115">O$106+IF($C115&lt;&gt;0,SUMPRODUCT((O$107:O$108)*TRANSPOSE(($D115:$E115))),0)</f>
        <v>0</v>
      </c>
      <c r="P115" s="31" cm="1">
        <f t="array" ref="P115">P$106+IF($C115&lt;&gt;0,SUMPRODUCT((P$107:P$108)*TRANSPOSE(($D115:$E115))),0)</f>
        <v>0</v>
      </c>
      <c r="Q115" s="31" cm="1">
        <f t="array" ref="Q115">Q$106+IF($C115&lt;&gt;0,SUMPRODUCT((Q$107:Q$108)*TRANSPOSE(($D115:$E115))),0)</f>
        <v>0</v>
      </c>
      <c r="R115" s="31" cm="1">
        <f t="array" ref="R115">R$106+IF($C115&lt;&gt;0,SUMPRODUCT((R$107:R$108)*TRANSPOSE(($D115:$E115))),0)</f>
        <v>0</v>
      </c>
      <c r="S115" s="31" cm="1">
        <f t="array" ref="S115">S$106+IF($C115&lt;&gt;0,SUMPRODUCT((S$107:S$108)*TRANSPOSE(($D115:$E115))),0)</f>
        <v>0</v>
      </c>
      <c r="T115" s="31" cm="1">
        <f t="array" ref="T115">T$106+IF($C115&lt;&gt;0,SUMPRODUCT((T$107:T$108)*TRANSPOSE(($D115:$E115))),0)</f>
        <v>0</v>
      </c>
      <c r="U115" s="31" cm="1">
        <f t="array" ref="U115">U$106+IF($C115&lt;&gt;0,SUMPRODUCT((U$107:U$108)*TRANSPOSE(($D115:$E115))),0)</f>
        <v>0</v>
      </c>
      <c r="V115" s="31" cm="1">
        <f t="array" ref="V115">V$106+IF($C115&lt;&gt;0,SUMPRODUCT((V$107:V$108)*TRANSPOSE(($D115:$E115))),0)</f>
        <v>0</v>
      </c>
      <c r="W115" s="31" cm="1">
        <f t="array" ref="W115">W$106+IF($C115&lt;&gt;0,SUMPRODUCT((W$107:W$108)*TRANSPOSE(($D115:$E115))),0)</f>
        <v>0</v>
      </c>
      <c r="X115" s="31" cm="1">
        <f t="array" ref="X115">X$106+IF($C115&lt;&gt;0,SUMPRODUCT((X$107:X$108)*TRANSPOSE(($D115:$E115))),0)</f>
        <v>0</v>
      </c>
      <c r="Y115" s="31" cm="1">
        <f t="array" ref="Y115">Y$106+IF($C115&lt;&gt;0,SUMPRODUCT((Y$107:Y$108)*TRANSPOSE(($D115:$E115))),0)</f>
        <v>0</v>
      </c>
      <c r="Z115" s="31" cm="1">
        <f t="array" ref="Z115">Z$106+IF($C115&lt;&gt;0,SUMPRODUCT((Z$107:Z$108)*TRANSPOSE(($D115:$E115))),0)</f>
        <v>0</v>
      </c>
      <c r="AA115" s="31" cm="1">
        <f t="array" ref="AA115">AA$106+IF($C115&lt;&gt;0,SUMPRODUCT((AA$107:AA$108)*TRANSPOSE(($D115:$E115))),0)</f>
        <v>0</v>
      </c>
      <c r="AB115" s="31" cm="1">
        <f t="array" ref="AB115">AB$106+IF($C115&lt;&gt;0,SUMPRODUCT((AB$107:AB$108)*TRANSPOSE(($D115:$E115))),0)</f>
        <v>0</v>
      </c>
      <c r="AC115" s="31" cm="1">
        <f t="array" ref="AC115">AC$106+IF($C115&lt;&gt;0,SUMPRODUCT((AC$107:AC$108)*TRANSPOSE(($D115:$E115))),0)</f>
        <v>0</v>
      </c>
      <c r="AD115" s="31" cm="1">
        <f t="array" ref="AD115">AD$106+IF($C115&lt;&gt;0,SUMPRODUCT((AD$107:AD$108)*TRANSPOSE(($D115:$E115))),0)</f>
        <v>0</v>
      </c>
      <c r="AE115" s="31" cm="1">
        <f t="array" ref="AE115">AE$106+IF($C115&lt;&gt;0,SUMPRODUCT((AE$107:AE$108)*TRANSPOSE(($D115:$E115))),0)</f>
        <v>0</v>
      </c>
      <c r="AF115" s="31" cm="1">
        <f t="array" ref="AF115">AF$106+IF($C115&lt;&gt;0,SUMPRODUCT((AF$107:AF$108)*TRANSPOSE(($D115:$E115))),0)</f>
        <v>0</v>
      </c>
      <c r="AG115" s="31" cm="1">
        <f t="array" ref="AG115">AG$106+IF($C115&lt;&gt;0,SUMPRODUCT((AG$107:AG$108)*TRANSPOSE(($D115:$E115))),0)</f>
        <v>0</v>
      </c>
    </row>
    <row r="116" spans="1:33" x14ac:dyDescent="0.3">
      <c r="A116" s="1" t="str">
        <f>"sens"&amp;Assumptions!B129</f>
        <v>sens</v>
      </c>
      <c r="C116" s="300">
        <f>Assumptions!C129</f>
        <v>0</v>
      </c>
      <c r="D116" s="301">
        <f>Assumptions!G129</f>
        <v>0</v>
      </c>
      <c r="E116" s="301">
        <f>Assumptions!H129</f>
        <v>0</v>
      </c>
      <c r="G116" s="38" t="str">
        <f t="shared" si="21"/>
        <v>Option 5sens</v>
      </c>
      <c r="I116" s="31" cm="1">
        <f t="array" ref="I116">I$106+IF($C116&lt;&gt;0,SUMPRODUCT((I$107:I$108)*TRANSPOSE(($D116:$E116))),0)</f>
        <v>0</v>
      </c>
      <c r="J116" s="31" cm="1">
        <f t="array" ref="J116">J$106+IF($C116&lt;&gt;0,SUMPRODUCT((J$107:J$108)*TRANSPOSE(($D116:$E116))),0)</f>
        <v>0</v>
      </c>
      <c r="K116" s="31" cm="1">
        <f t="array" ref="K116">K$106+IF($C116&lt;&gt;0,SUMPRODUCT((K$107:K$108)*TRANSPOSE(($D116:$E116))),0)</f>
        <v>0</v>
      </c>
      <c r="L116" s="31" cm="1">
        <f t="array" ref="L116">L$106+IF($C116&lt;&gt;0,SUMPRODUCT((L$107:L$108)*TRANSPOSE(($D116:$E116))),0)</f>
        <v>0</v>
      </c>
      <c r="M116" s="31" cm="1">
        <f t="array" ref="M116">M$106+IF($C116&lt;&gt;0,SUMPRODUCT((M$107:M$108)*TRANSPOSE(($D116:$E116))),0)</f>
        <v>0</v>
      </c>
      <c r="N116" s="31" cm="1">
        <f t="array" ref="N116">N$106+IF($C116&lt;&gt;0,SUMPRODUCT((N$107:N$108)*TRANSPOSE(($D116:$E116))),0)</f>
        <v>0</v>
      </c>
      <c r="O116" s="31" cm="1">
        <f t="array" ref="O116">O$106+IF($C116&lt;&gt;0,SUMPRODUCT((O$107:O$108)*TRANSPOSE(($D116:$E116))),0)</f>
        <v>0</v>
      </c>
      <c r="P116" s="31" cm="1">
        <f t="array" ref="P116">P$106+IF($C116&lt;&gt;0,SUMPRODUCT((P$107:P$108)*TRANSPOSE(($D116:$E116))),0)</f>
        <v>0</v>
      </c>
      <c r="Q116" s="31" cm="1">
        <f t="array" ref="Q116">Q$106+IF($C116&lt;&gt;0,SUMPRODUCT((Q$107:Q$108)*TRANSPOSE(($D116:$E116))),0)</f>
        <v>0</v>
      </c>
      <c r="R116" s="31" cm="1">
        <f t="array" ref="R116">R$106+IF($C116&lt;&gt;0,SUMPRODUCT((R$107:R$108)*TRANSPOSE(($D116:$E116))),0)</f>
        <v>0</v>
      </c>
      <c r="S116" s="31" cm="1">
        <f t="array" ref="S116">S$106+IF($C116&lt;&gt;0,SUMPRODUCT((S$107:S$108)*TRANSPOSE(($D116:$E116))),0)</f>
        <v>0</v>
      </c>
      <c r="T116" s="31" cm="1">
        <f t="array" ref="T116">T$106+IF($C116&lt;&gt;0,SUMPRODUCT((T$107:T$108)*TRANSPOSE(($D116:$E116))),0)</f>
        <v>0</v>
      </c>
      <c r="U116" s="31" cm="1">
        <f t="array" ref="U116">U$106+IF($C116&lt;&gt;0,SUMPRODUCT((U$107:U$108)*TRANSPOSE(($D116:$E116))),0)</f>
        <v>0</v>
      </c>
      <c r="V116" s="31" cm="1">
        <f t="array" ref="V116">V$106+IF($C116&lt;&gt;0,SUMPRODUCT((V$107:V$108)*TRANSPOSE(($D116:$E116))),0)</f>
        <v>0</v>
      </c>
      <c r="W116" s="31" cm="1">
        <f t="array" ref="W116">W$106+IF($C116&lt;&gt;0,SUMPRODUCT((W$107:W$108)*TRANSPOSE(($D116:$E116))),0)</f>
        <v>0</v>
      </c>
      <c r="X116" s="31" cm="1">
        <f t="array" ref="X116">X$106+IF($C116&lt;&gt;0,SUMPRODUCT((X$107:X$108)*TRANSPOSE(($D116:$E116))),0)</f>
        <v>0</v>
      </c>
      <c r="Y116" s="31" cm="1">
        <f t="array" ref="Y116">Y$106+IF($C116&lt;&gt;0,SUMPRODUCT((Y$107:Y$108)*TRANSPOSE(($D116:$E116))),0)</f>
        <v>0</v>
      </c>
      <c r="Z116" s="31" cm="1">
        <f t="array" ref="Z116">Z$106+IF($C116&lt;&gt;0,SUMPRODUCT((Z$107:Z$108)*TRANSPOSE(($D116:$E116))),0)</f>
        <v>0</v>
      </c>
      <c r="AA116" s="31" cm="1">
        <f t="array" ref="AA116">AA$106+IF($C116&lt;&gt;0,SUMPRODUCT((AA$107:AA$108)*TRANSPOSE(($D116:$E116))),0)</f>
        <v>0</v>
      </c>
      <c r="AB116" s="31" cm="1">
        <f t="array" ref="AB116">AB$106+IF($C116&lt;&gt;0,SUMPRODUCT((AB$107:AB$108)*TRANSPOSE(($D116:$E116))),0)</f>
        <v>0</v>
      </c>
      <c r="AC116" s="31" cm="1">
        <f t="array" ref="AC116">AC$106+IF($C116&lt;&gt;0,SUMPRODUCT((AC$107:AC$108)*TRANSPOSE(($D116:$E116))),0)</f>
        <v>0</v>
      </c>
      <c r="AD116" s="31" cm="1">
        <f t="array" ref="AD116">AD$106+IF($C116&lt;&gt;0,SUMPRODUCT((AD$107:AD$108)*TRANSPOSE(($D116:$E116))),0)</f>
        <v>0</v>
      </c>
      <c r="AE116" s="31" cm="1">
        <f t="array" ref="AE116">AE$106+IF($C116&lt;&gt;0,SUMPRODUCT((AE$107:AE$108)*TRANSPOSE(($D116:$E116))),0)</f>
        <v>0</v>
      </c>
      <c r="AF116" s="31" cm="1">
        <f t="array" ref="AF116">AF$106+IF($C116&lt;&gt;0,SUMPRODUCT((AF$107:AF$108)*TRANSPOSE(($D116:$E116))),0)</f>
        <v>0</v>
      </c>
      <c r="AG116" s="31" cm="1">
        <f t="array" ref="AG116">AG$106+IF($C116&lt;&gt;0,SUMPRODUCT((AG$107:AG$108)*TRANSPOSE(($D116:$E116))),0)</f>
        <v>0</v>
      </c>
    </row>
    <row r="117" spans="1:33" x14ac:dyDescent="0.3">
      <c r="A117" s="1" t="str">
        <f>"sens"&amp;Assumptions!B130</f>
        <v>sens</v>
      </c>
      <c r="C117" s="300">
        <f>Assumptions!C130</f>
        <v>0</v>
      </c>
      <c r="D117" s="301">
        <f>Assumptions!G130</f>
        <v>0</v>
      </c>
      <c r="E117" s="301">
        <f>Assumptions!H130</f>
        <v>0</v>
      </c>
      <c r="G117" s="38" t="str">
        <f t="shared" si="21"/>
        <v>Option 5sens</v>
      </c>
      <c r="I117" s="31" cm="1">
        <f t="array" ref="I117">I$106+IF($C117&lt;&gt;0,SUMPRODUCT((I$107:I$108)*TRANSPOSE(($D117:$E117))),0)</f>
        <v>0</v>
      </c>
      <c r="J117" s="31" cm="1">
        <f t="array" ref="J117">J$106+IF($C117&lt;&gt;0,SUMPRODUCT((J$107:J$108)*TRANSPOSE(($D117:$E117))),0)</f>
        <v>0</v>
      </c>
      <c r="K117" s="31" cm="1">
        <f t="array" ref="K117">K$106+IF($C117&lt;&gt;0,SUMPRODUCT((K$107:K$108)*TRANSPOSE(($D117:$E117))),0)</f>
        <v>0</v>
      </c>
      <c r="L117" s="31" cm="1">
        <f t="array" ref="L117">L$106+IF($C117&lt;&gt;0,SUMPRODUCT((L$107:L$108)*TRANSPOSE(($D117:$E117))),0)</f>
        <v>0</v>
      </c>
      <c r="M117" s="31" cm="1">
        <f t="array" ref="M117">M$106+IF($C117&lt;&gt;0,SUMPRODUCT((M$107:M$108)*TRANSPOSE(($D117:$E117))),0)</f>
        <v>0</v>
      </c>
      <c r="N117" s="31" cm="1">
        <f t="array" ref="N117">N$106+IF($C117&lt;&gt;0,SUMPRODUCT((N$107:N$108)*TRANSPOSE(($D117:$E117))),0)</f>
        <v>0</v>
      </c>
      <c r="O117" s="31" cm="1">
        <f t="array" ref="O117">O$106+IF($C117&lt;&gt;0,SUMPRODUCT((O$107:O$108)*TRANSPOSE(($D117:$E117))),0)</f>
        <v>0</v>
      </c>
      <c r="P117" s="31" cm="1">
        <f t="array" ref="P117">P$106+IF($C117&lt;&gt;0,SUMPRODUCT((P$107:P$108)*TRANSPOSE(($D117:$E117))),0)</f>
        <v>0</v>
      </c>
      <c r="Q117" s="31" cm="1">
        <f t="array" ref="Q117">Q$106+IF($C117&lt;&gt;0,SUMPRODUCT((Q$107:Q$108)*TRANSPOSE(($D117:$E117))),0)</f>
        <v>0</v>
      </c>
      <c r="R117" s="31" cm="1">
        <f t="array" ref="R117">R$106+IF($C117&lt;&gt;0,SUMPRODUCT((R$107:R$108)*TRANSPOSE(($D117:$E117))),0)</f>
        <v>0</v>
      </c>
      <c r="S117" s="31" cm="1">
        <f t="array" ref="S117">S$106+IF($C117&lt;&gt;0,SUMPRODUCT((S$107:S$108)*TRANSPOSE(($D117:$E117))),0)</f>
        <v>0</v>
      </c>
      <c r="T117" s="31" cm="1">
        <f t="array" ref="T117">T$106+IF($C117&lt;&gt;0,SUMPRODUCT((T$107:T$108)*TRANSPOSE(($D117:$E117))),0)</f>
        <v>0</v>
      </c>
      <c r="U117" s="31" cm="1">
        <f t="array" ref="U117">U$106+IF($C117&lt;&gt;0,SUMPRODUCT((U$107:U$108)*TRANSPOSE(($D117:$E117))),0)</f>
        <v>0</v>
      </c>
      <c r="V117" s="31" cm="1">
        <f t="array" ref="V117">V$106+IF($C117&lt;&gt;0,SUMPRODUCT((V$107:V$108)*TRANSPOSE(($D117:$E117))),0)</f>
        <v>0</v>
      </c>
      <c r="W117" s="31" cm="1">
        <f t="array" ref="W117">W$106+IF($C117&lt;&gt;0,SUMPRODUCT((W$107:W$108)*TRANSPOSE(($D117:$E117))),0)</f>
        <v>0</v>
      </c>
      <c r="X117" s="31" cm="1">
        <f t="array" ref="X117">X$106+IF($C117&lt;&gt;0,SUMPRODUCT((X$107:X$108)*TRANSPOSE(($D117:$E117))),0)</f>
        <v>0</v>
      </c>
      <c r="Y117" s="31" cm="1">
        <f t="array" ref="Y117">Y$106+IF($C117&lt;&gt;0,SUMPRODUCT((Y$107:Y$108)*TRANSPOSE(($D117:$E117))),0)</f>
        <v>0</v>
      </c>
      <c r="Z117" s="31" cm="1">
        <f t="array" ref="Z117">Z$106+IF($C117&lt;&gt;0,SUMPRODUCT((Z$107:Z$108)*TRANSPOSE(($D117:$E117))),0)</f>
        <v>0</v>
      </c>
      <c r="AA117" s="31" cm="1">
        <f t="array" ref="AA117">AA$106+IF($C117&lt;&gt;0,SUMPRODUCT((AA$107:AA$108)*TRANSPOSE(($D117:$E117))),0)</f>
        <v>0</v>
      </c>
      <c r="AB117" s="31" cm="1">
        <f t="array" ref="AB117">AB$106+IF($C117&lt;&gt;0,SUMPRODUCT((AB$107:AB$108)*TRANSPOSE(($D117:$E117))),0)</f>
        <v>0</v>
      </c>
      <c r="AC117" s="31" cm="1">
        <f t="array" ref="AC117">AC$106+IF($C117&lt;&gt;0,SUMPRODUCT((AC$107:AC$108)*TRANSPOSE(($D117:$E117))),0)</f>
        <v>0</v>
      </c>
      <c r="AD117" s="31" cm="1">
        <f t="array" ref="AD117">AD$106+IF($C117&lt;&gt;0,SUMPRODUCT((AD$107:AD$108)*TRANSPOSE(($D117:$E117))),0)</f>
        <v>0</v>
      </c>
      <c r="AE117" s="31" cm="1">
        <f t="array" ref="AE117">AE$106+IF($C117&lt;&gt;0,SUMPRODUCT((AE$107:AE$108)*TRANSPOSE(($D117:$E117))),0)</f>
        <v>0</v>
      </c>
      <c r="AF117" s="31" cm="1">
        <f t="array" ref="AF117">AF$106+IF($C117&lt;&gt;0,SUMPRODUCT((AF$107:AF$108)*TRANSPOSE(($D117:$E117))),0)</f>
        <v>0</v>
      </c>
      <c r="AG117" s="31" cm="1">
        <f t="array" ref="AG117">AG$106+IF($C117&lt;&gt;0,SUMPRODUCT((AG$107:AG$108)*TRANSPOSE(($D117:$E117))),0)</f>
        <v>0</v>
      </c>
    </row>
  </sheetData>
  <conditionalFormatting sqref="E14:E16">
    <cfRule type="expression" dxfId="1" priority="38">
      <formula>AND(SUM($I14:$AB14)&lt;&gt;0, E14=0)</formula>
    </cfRule>
  </conditionalFormatting>
  <conditionalFormatting sqref="E28">
    <cfRule type="expression" dxfId="0" priority="1">
      <formula>AND(SUM($I$27:$AG$27)&gt;0, $E$28=0)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04" id="{E7BF7EA6-A453-4A58-B216-30C5D81DCA5D}">
            <xm:f>$A$4=Data!$C$8</xm:f>
            <x14:dxf>
              <font>
                <color theme="0" tint="-0.499984740745262"/>
              </font>
            </x14:dxf>
          </x14:cfRule>
          <xm:sqref>C3 A4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90" zoomScaleNormal="90" workbookViewId="0">
      <pane xSplit="7" ySplit="10" topLeftCell="H11" activePane="bottomRight" state="frozen"/>
      <selection activeCell="D33" sqref="D33"/>
      <selection pane="topRight" activeCell="D33" sqref="D33"/>
      <selection pane="bottomLeft" activeCell="D33" sqref="D33"/>
      <selection pane="bottomRight" activeCell="F23" sqref="F23"/>
    </sheetView>
  </sheetViews>
  <sheetFormatPr defaultColWidth="0" defaultRowHeight="13.5" zeroHeight="1" outlineLevelRow="1" x14ac:dyDescent="0.3"/>
  <cols>
    <col min="1" max="1" width="8.15234375" style="10" customWidth="1"/>
    <col min="2" max="2" width="5.4609375" style="10" customWidth="1"/>
    <col min="3" max="3" width="16.84375" style="10" bestFit="1" customWidth="1"/>
    <col min="4" max="4" width="12.3828125" style="10" customWidth="1"/>
    <col min="5" max="5" width="14.23046875" customWidth="1"/>
    <col min="6" max="6" width="12.3828125" style="10" customWidth="1"/>
    <col min="7" max="7" width="11.61328125" style="10" customWidth="1"/>
    <col min="8" max="8" width="8.61328125" style="10" customWidth="1"/>
    <col min="9" max="33" width="11" style="10" customWidth="1"/>
    <col min="34" max="35" width="9" style="10" customWidth="1"/>
    <col min="36" max="36" width="0" style="10" hidden="1" customWidth="1"/>
    <col min="37" max="16384" width="9" style="10" hidden="1"/>
  </cols>
  <sheetData>
    <row r="1" spans="1:34" s="8" customFormat="1" ht="18.5" x14ac:dyDescent="0.45">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8" customFormat="1" ht="18.5" x14ac:dyDescent="0.45">
      <c r="A2" s="56" t="str">
        <f>proj</f>
        <v>BAN003-WND024 Tie upgrade</v>
      </c>
      <c r="B2" s="56"/>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4" s="2" customFormat="1" ht="18.5" x14ac:dyDescent="0.45">
      <c r="A3" s="203" t="s">
        <v>91</v>
      </c>
      <c r="B3" s="5"/>
      <c r="C3" s="34"/>
      <c r="D3" s="34"/>
      <c r="E3" s="34"/>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row>
    <row r="4" spans="1:34" s="2" customFormat="1" ht="6.75" customHeight="1" x14ac:dyDescent="0.3">
      <c r="A4" s="114"/>
      <c r="B4" s="114"/>
      <c r="C4" s="115"/>
      <c r="D4" s="115"/>
      <c r="E4" s="115"/>
      <c r="F4" s="115"/>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4" s="2" customFormat="1" ht="13" hidden="1" outlineLevel="1" x14ac:dyDescent="0.3">
      <c r="A5" s="115" t="s">
        <v>200</v>
      </c>
      <c r="B5" s="115"/>
      <c r="C5" s="116"/>
      <c r="D5" s="115"/>
      <c r="E5" s="115"/>
      <c r="F5" s="115"/>
      <c r="G5" s="101"/>
      <c r="H5" s="188">
        <f t="shared" ref="H5:AG5" si="0">IF(H9=start,1/((1+real_disc)^(1/2)),G5/(1+real_disc))</f>
        <v>0</v>
      </c>
      <c r="I5" s="188">
        <f t="shared" si="0"/>
        <v>0.98294637436598087</v>
      </c>
      <c r="J5" s="188">
        <f t="shared" si="0"/>
        <v>0.94970664189949849</v>
      </c>
      <c r="K5" s="188">
        <f t="shared" si="0"/>
        <v>0.91759095835700344</v>
      </c>
      <c r="L5" s="188">
        <f t="shared" si="0"/>
        <v>0.88656131242222558</v>
      </c>
      <c r="M5" s="188">
        <f t="shared" si="0"/>
        <v>0.85658097818572532</v>
      </c>
      <c r="N5" s="188">
        <f t="shared" si="0"/>
        <v>0.8276144716770294</v>
      </c>
      <c r="O5" s="188">
        <f t="shared" si="0"/>
        <v>0.79962750886669509</v>
      </c>
      <c r="P5" s="188">
        <f t="shared" si="0"/>
        <v>0.77258696508859437</v>
      </c>
      <c r="Q5" s="188">
        <f t="shared" si="0"/>
        <v>0.74646083583439071</v>
      </c>
      <c r="R5" s="188">
        <f t="shared" si="0"/>
        <v>0.72121819887380756</v>
      </c>
      <c r="S5" s="188">
        <f t="shared" si="0"/>
        <v>0.69682917765585273</v>
      </c>
      <c r="T5" s="188">
        <f t="shared" si="0"/>
        <v>0.67326490594768384</v>
      </c>
      <c r="U5" s="188">
        <f t="shared" si="0"/>
        <v>0.6504974936692598</v>
      </c>
      <c r="V5" s="188">
        <f t="shared" si="0"/>
        <v>0.62849999388334288</v>
      </c>
      <c r="W5" s="188">
        <f t="shared" si="0"/>
        <v>0.60724637090178057</v>
      </c>
      <c r="X5" s="188">
        <f t="shared" si="0"/>
        <v>0.58671146947031949</v>
      </c>
      <c r="Y5" s="188">
        <f t="shared" si="0"/>
        <v>0.56687098499547783</v>
      </c>
      <c r="Z5" s="188">
        <f t="shared" si="0"/>
        <v>0.54770143477823952</v>
      </c>
      <c r="AA5" s="188">
        <f t="shared" si="0"/>
        <v>0.52918013022052135</v>
      </c>
      <c r="AB5" s="188">
        <f t="shared" si="0"/>
        <v>0.5112851499715183</v>
      </c>
      <c r="AC5" s="188">
        <f t="shared" si="0"/>
        <v>0.4939953139821433</v>
      </c>
      <c r="AD5" s="188">
        <f t="shared" si="0"/>
        <v>0.47729015843685346</v>
      </c>
      <c r="AE5" s="188">
        <f t="shared" si="0"/>
        <v>0.46114991153319179</v>
      </c>
      <c r="AF5" s="188">
        <f t="shared" si="0"/>
        <v>0.4455554700803786</v>
      </c>
      <c r="AG5" s="188">
        <f t="shared" si="0"/>
        <v>0.43048837688925473</v>
      </c>
    </row>
    <row r="6" spans="1:34" s="2" customFormat="1" ht="13" hidden="1" outlineLevel="1" x14ac:dyDescent="0.3">
      <c r="A6" s="189" t="str">
        <f>'Option1 (base case)'!A6</f>
        <v>Count</v>
      </c>
      <c r="B6" s="115"/>
      <c r="C6" s="116"/>
      <c r="D6" s="115"/>
      <c r="E6" s="115"/>
      <c r="F6" s="115"/>
      <c r="G6" s="101"/>
      <c r="H6" s="189">
        <f>'Option1 (base case)'!H6</f>
        <v>0</v>
      </c>
      <c r="I6" s="189">
        <f>'Option1 (base case)'!I6</f>
        <v>1</v>
      </c>
      <c r="J6" s="189">
        <f>'Option1 (base case)'!J6</f>
        <v>2</v>
      </c>
      <c r="K6" s="189">
        <f>'Option1 (base case)'!K6</f>
        <v>3</v>
      </c>
      <c r="L6" s="189">
        <f>'Option1 (base case)'!L6</f>
        <v>4</v>
      </c>
      <c r="M6" s="189">
        <f>'Option1 (base case)'!M6</f>
        <v>5</v>
      </c>
      <c r="N6" s="189">
        <f>'Option1 (base case)'!N6</f>
        <v>6</v>
      </c>
      <c r="O6" s="189">
        <f>'Option1 (base case)'!O6</f>
        <v>7</v>
      </c>
      <c r="P6" s="189">
        <f>'Option1 (base case)'!P6</f>
        <v>8</v>
      </c>
      <c r="Q6" s="189">
        <f>'Option1 (base case)'!Q6</f>
        <v>9</v>
      </c>
      <c r="R6" s="189">
        <f>'Option1 (base case)'!R6</f>
        <v>10</v>
      </c>
      <c r="S6" s="189">
        <f>'Option1 (base case)'!S6</f>
        <v>11</v>
      </c>
      <c r="T6" s="189">
        <f>'Option1 (base case)'!T6</f>
        <v>12</v>
      </c>
      <c r="U6" s="189">
        <f>'Option1 (base case)'!U6</f>
        <v>13</v>
      </c>
      <c r="V6" s="189">
        <f>'Option1 (base case)'!V6</f>
        <v>14</v>
      </c>
      <c r="W6" s="189">
        <f>'Option1 (base case)'!W6</f>
        <v>15</v>
      </c>
      <c r="X6" s="189">
        <f>'Option1 (base case)'!X6</f>
        <v>16</v>
      </c>
      <c r="Y6" s="189">
        <f>'Option1 (base case)'!Y6</f>
        <v>17</v>
      </c>
      <c r="Z6" s="189">
        <f>'Option1 (base case)'!Z6</f>
        <v>18</v>
      </c>
      <c r="AA6" s="189">
        <f>'Option1 (base case)'!AA6</f>
        <v>19</v>
      </c>
      <c r="AB6" s="189">
        <f>'Option1 (base case)'!AB6</f>
        <v>20</v>
      </c>
      <c r="AC6" s="189">
        <f>'Option1 (base case)'!AC6</f>
        <v>21</v>
      </c>
      <c r="AD6" s="189">
        <f>'Option1 (base case)'!AD6</f>
        <v>22</v>
      </c>
      <c r="AE6" s="189">
        <f>'Option1 (base case)'!AE6</f>
        <v>23</v>
      </c>
      <c r="AF6" s="189">
        <f>'Option1 (base case)'!AF6</f>
        <v>24</v>
      </c>
      <c r="AG6" s="189">
        <f>'Option1 (base case)'!AG6</f>
        <v>25</v>
      </c>
    </row>
    <row r="7" spans="1:34" s="2" customFormat="1" ht="13" hidden="1" outlineLevel="1" x14ac:dyDescent="0.3">
      <c r="A7" s="115" t="s">
        <v>201</v>
      </c>
      <c r="B7" s="115"/>
      <c r="C7" s="116"/>
      <c r="D7" s="115"/>
      <c r="E7" s="115"/>
      <c r="F7" s="115"/>
      <c r="G7" s="101"/>
      <c r="H7" s="101" t="b">
        <f t="shared" ref="H7:AG7" si="1">H$6&lt;(first_year+years)</f>
        <v>1</v>
      </c>
      <c r="I7" s="101" t="b">
        <f t="shared" si="1"/>
        <v>1</v>
      </c>
      <c r="J7" s="101" t="b">
        <f t="shared" si="1"/>
        <v>1</v>
      </c>
      <c r="K7" s="101" t="b">
        <f t="shared" si="1"/>
        <v>1</v>
      </c>
      <c r="L7" s="101" t="b">
        <f t="shared" si="1"/>
        <v>1</v>
      </c>
      <c r="M7" s="101" t="b">
        <f t="shared" si="1"/>
        <v>1</v>
      </c>
      <c r="N7" s="101" t="b">
        <f t="shared" si="1"/>
        <v>1</v>
      </c>
      <c r="O7" s="101" t="b">
        <f t="shared" si="1"/>
        <v>1</v>
      </c>
      <c r="P7" s="101" t="b">
        <f t="shared" si="1"/>
        <v>1</v>
      </c>
      <c r="Q7" s="101" t="b">
        <f t="shared" si="1"/>
        <v>1</v>
      </c>
      <c r="R7" s="101" t="b">
        <f t="shared" si="1"/>
        <v>1</v>
      </c>
      <c r="S7" s="101" t="b">
        <f t="shared" si="1"/>
        <v>1</v>
      </c>
      <c r="T7" s="101" t="b">
        <f t="shared" si="1"/>
        <v>1</v>
      </c>
      <c r="U7" s="101" t="b">
        <f t="shared" si="1"/>
        <v>1</v>
      </c>
      <c r="V7" s="101" t="b">
        <f t="shared" si="1"/>
        <v>1</v>
      </c>
      <c r="W7" s="101" t="b">
        <f t="shared" si="1"/>
        <v>1</v>
      </c>
      <c r="X7" s="101" t="b">
        <f t="shared" si="1"/>
        <v>1</v>
      </c>
      <c r="Y7" s="101" t="b">
        <f t="shared" si="1"/>
        <v>1</v>
      </c>
      <c r="Z7" s="101" t="b">
        <f t="shared" si="1"/>
        <v>1</v>
      </c>
      <c r="AA7" s="101" t="b">
        <f t="shared" si="1"/>
        <v>1</v>
      </c>
      <c r="AB7" s="101" t="b">
        <f t="shared" si="1"/>
        <v>1</v>
      </c>
      <c r="AC7" s="101" t="b">
        <f t="shared" si="1"/>
        <v>0</v>
      </c>
      <c r="AD7" s="101" t="b">
        <f t="shared" si="1"/>
        <v>0</v>
      </c>
      <c r="AE7" s="101" t="b">
        <f t="shared" si="1"/>
        <v>0</v>
      </c>
      <c r="AF7" s="101" t="b">
        <f t="shared" si="1"/>
        <v>0</v>
      </c>
      <c r="AG7" s="101" t="b">
        <f t="shared" si="1"/>
        <v>0</v>
      </c>
    </row>
    <row r="8" spans="1:34" s="2" customFormat="1" ht="4.5" customHeight="1" collapsed="1" x14ac:dyDescent="0.3"/>
    <row r="9" spans="1:34" s="2" customFormat="1" ht="14.5" x14ac:dyDescent="0.35">
      <c r="A9" s="19"/>
      <c r="B9" s="19"/>
      <c r="C9" s="19"/>
      <c r="D9" s="19"/>
      <c r="E9" s="83"/>
      <c r="F9" s="19"/>
      <c r="G9" s="20"/>
      <c r="H9" s="319">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4" s="2" customFormat="1" ht="13" x14ac:dyDescent="0.3">
      <c r="C10" s="117"/>
      <c r="D10" s="117"/>
      <c r="F10" s="117"/>
      <c r="G10" s="221"/>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row>
    <row r="11" spans="1:34" s="2" customFormat="1" ht="14.5" x14ac:dyDescent="0.3">
      <c r="A11" s="119" t="s">
        <v>39</v>
      </c>
      <c r="B11" s="119"/>
      <c r="C11" s="120"/>
      <c r="D11" s="120"/>
      <c r="E11" s="120"/>
      <c r="F11" s="70" t="s">
        <v>159</v>
      </c>
      <c r="G11" s="222"/>
      <c r="H11" s="121" t="str" cm="1">
        <f t="array" ref="H11">IF(H6=$C$4,UPPER($A$4),IF(H6=end, "END", ""))</f>
        <v/>
      </c>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4" s="2" customFormat="1" ht="13" x14ac:dyDescent="0.3">
      <c r="A12" s="117"/>
      <c r="B12" s="117"/>
      <c r="C12" s="117"/>
      <c r="D12" s="117"/>
      <c r="F12" s="117"/>
      <c r="G12" s="224"/>
      <c r="H12" s="117"/>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row>
    <row r="13" spans="1:34" s="2" customFormat="1" ht="13" x14ac:dyDescent="0.3">
      <c r="A13" s="122"/>
      <c r="B13" s="122"/>
      <c r="C13" s="122"/>
      <c r="D13" s="117"/>
      <c r="F13" s="117"/>
      <c r="G13" s="221"/>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row>
    <row r="14" spans="1:34" s="270" customFormat="1" ht="13" x14ac:dyDescent="0.3">
      <c r="A14" s="268" t="str">
        <f>A15</f>
        <v>Option 1 (base case)</v>
      </c>
      <c r="B14" s="268"/>
      <c r="C14" s="268" t="s">
        <v>125</v>
      </c>
      <c r="D14" s="269" t="str">
        <f t="shared" ref="D14:D25" si="2">A14&amp;C14</f>
        <v>Option 1 (base case)Energy at risk value</v>
      </c>
      <c r="F14" s="97">
        <f>SUMPRODUCT($H14:$AG14, $H$5:$AG$5)</f>
        <v>68175628.041842252</v>
      </c>
      <c r="G14" s="271">
        <f>output_dollars</f>
        <v>46203</v>
      </c>
      <c r="H14" s="272"/>
      <c r="I14" s="31">
        <f>'Option1 (base case)'!I$28*conv_2026</f>
        <v>3939775.4823051924</v>
      </c>
      <c r="J14" s="31">
        <f>'Option1 (base case)'!J$28*conv_2026</f>
        <v>4036209.3667855766</v>
      </c>
      <c r="K14" s="31">
        <f>'Option1 (base case)'!K$28*conv_2026</f>
        <v>4132639.3114904785</v>
      </c>
      <c r="L14" s="31">
        <f>'Option1 (base case)'!L$28*conv_2026</f>
        <v>4229072.5380283576</v>
      </c>
      <c r="M14" s="31">
        <f>'Option1 (base case)'!M$28*conv_2026</f>
        <v>4325504.8938758541</v>
      </c>
      <c r="N14" s="31">
        <f>'Option1 (base case)'!N$28*conv_2026</f>
        <v>4295369.7836584551</v>
      </c>
      <c r="O14" s="31">
        <f>'Option1 (base case)'!O$28*conv_2026</f>
        <v>4265236.3951229416</v>
      </c>
      <c r="P14" s="31">
        <f>'Option1 (base case)'!P$28*conv_2026</f>
        <v>4235101.0524587892</v>
      </c>
      <c r="Q14" s="31">
        <f>'Option1 (base case)'!Q$28*conv_2026</f>
        <v>4204965.7097946368</v>
      </c>
      <c r="R14" s="31">
        <f>'Option1 (base case)'!R$28*conv_2026</f>
        <v>4174830.3671304854</v>
      </c>
      <c r="S14" s="31">
        <f>'Option1 (base case)'!S$28*conv_2026</f>
        <v>4144695.0244663325</v>
      </c>
      <c r="T14" s="31">
        <f>'Option1 (base case)'!T$28*conv_2026</f>
        <v>4114559.6818021806</v>
      </c>
      <c r="U14" s="31">
        <f>'Option1 (base case)'!U$28*conv_2026</f>
        <v>4084424.3391380277</v>
      </c>
      <c r="V14" s="31">
        <f>'Option1 (base case)'!V$28*conv_2026</f>
        <v>4054288.9964738749</v>
      </c>
      <c r="W14" s="31">
        <f>'Option1 (base case)'!W$28*conv_2026</f>
        <v>4024153.653809723</v>
      </c>
      <c r="X14" s="31">
        <f>'Option1 (base case)'!X$28*conv_2026</f>
        <v>3994018.3111455701</v>
      </c>
      <c r="Y14" s="31">
        <f>'Option1 (base case)'!Y$28*conv_2026</f>
        <v>3963882.9684814177</v>
      </c>
      <c r="Z14" s="31">
        <f>'Option1 (base case)'!Z$28*conv_2026</f>
        <v>3933747.6258172654</v>
      </c>
      <c r="AA14" s="31">
        <f>'Option1 (base case)'!AA$28*conv_2026</f>
        <v>3903612.2831531125</v>
      </c>
      <c r="AB14" s="31">
        <f>'Option1 (base case)'!AB$28*conv_2026</f>
        <v>3873476.9404889601</v>
      </c>
      <c r="AC14" s="31">
        <f>'Option1 (base case)'!AC$28*conv_2026</f>
        <v>3843341.5978248082</v>
      </c>
      <c r="AD14" s="31">
        <f>'Option1 (base case)'!AD$28*conv_2026</f>
        <v>3813206.2551606558</v>
      </c>
      <c r="AE14" s="31">
        <f>'Option1 (base case)'!AE$28*conv_2026</f>
        <v>3783074.8522719857</v>
      </c>
      <c r="AF14" s="31">
        <f>'Option1 (base case)'!AF$28*conv_2026</f>
        <v>3752939.5096078338</v>
      </c>
      <c r="AG14" s="31">
        <f>'Option1 (base case)'!AG$28*conv_2026</f>
        <v>3722804.1669436805</v>
      </c>
    </row>
    <row r="15" spans="1:34" s="1" customFormat="1" ht="13" x14ac:dyDescent="0.3">
      <c r="A15" s="135" t="str">
        <f>Data!B9</f>
        <v>Option 1 (base case)</v>
      </c>
      <c r="B15" s="135"/>
      <c r="C15" s="58" t="str">
        <f>'Option1 (base case)'!C$66</f>
        <v>Capital expenditure</v>
      </c>
      <c r="D15" s="38" t="str">
        <f t="shared" si="2"/>
        <v>Option 1 (base case)Capital expenditure</v>
      </c>
      <c r="F15" s="97">
        <f>SUMPRODUCT($H15:$AG15, $H$5:$AG$5)</f>
        <v>0</v>
      </c>
      <c r="G15" s="225">
        <f>output_dollars</f>
        <v>46203</v>
      </c>
      <c r="H15" s="31"/>
      <c r="I15" s="31">
        <f>SUM('Option1 (base case)'!I$67:I$69)*conv_2026</f>
        <v>0</v>
      </c>
      <c r="J15" s="31">
        <f>SUM('Option1 (base case)'!J$67:J$69)</f>
        <v>0</v>
      </c>
      <c r="K15" s="31">
        <f>SUM('Option1 (base case)'!K$67:K$69)</f>
        <v>0</v>
      </c>
      <c r="L15" s="31">
        <f>SUM('Option1 (base case)'!L$67:L$69)</f>
        <v>0</v>
      </c>
      <c r="M15" s="31">
        <f>SUM('Option1 (base case)'!M$67:M$69)</f>
        <v>0</v>
      </c>
      <c r="N15" s="31">
        <f>SUM('Option1 (base case)'!N$67:N$69)</f>
        <v>0</v>
      </c>
      <c r="O15" s="31">
        <f>SUM('Option1 (base case)'!O$67:O$69)</f>
        <v>0</v>
      </c>
      <c r="P15" s="31">
        <f>SUM('Option1 (base case)'!P$67:P$69)</f>
        <v>0</v>
      </c>
      <c r="Q15" s="31">
        <f>SUM('Option1 (base case)'!Q$67:Q$69)</f>
        <v>0</v>
      </c>
      <c r="R15" s="31">
        <f>SUM('Option1 (base case)'!R$67:R$69)</f>
        <v>0</v>
      </c>
      <c r="S15" s="31">
        <f>SUM('Option1 (base case)'!S$67:S$69)</f>
        <v>0</v>
      </c>
      <c r="T15" s="31">
        <f>SUM('Option1 (base case)'!T$67:T$69)</f>
        <v>0</v>
      </c>
      <c r="U15" s="31">
        <f>SUM('Option1 (base case)'!U$67:U$69)</f>
        <v>0</v>
      </c>
      <c r="V15" s="31">
        <f>SUM('Option1 (base case)'!V$67:V$69)</f>
        <v>0</v>
      </c>
      <c r="W15" s="31">
        <f>SUM('Option1 (base case)'!W$67:W$69)</f>
        <v>0</v>
      </c>
      <c r="X15" s="31">
        <f>SUM('Option1 (base case)'!X$67:X$69)</f>
        <v>0</v>
      </c>
      <c r="Y15" s="31">
        <f>SUM('Option1 (base case)'!Y$67:Y$69)</f>
        <v>0</v>
      </c>
      <c r="Z15" s="31">
        <f>SUM('Option1 (base case)'!Z$67:Z$69)</f>
        <v>0</v>
      </c>
      <c r="AA15" s="31">
        <f>SUM('Option1 (base case)'!AA$67:AA$69)</f>
        <v>0</v>
      </c>
      <c r="AB15" s="31">
        <f>SUM('Option1 (base case)'!AB$67:AB$69)</f>
        <v>0</v>
      </c>
      <c r="AC15" s="31">
        <f>SUM('Option1 (base case)'!AC$67:AC$69)</f>
        <v>0</v>
      </c>
      <c r="AD15" s="31">
        <f>SUM('Option1 (base case)'!AD$67:AD$69)</f>
        <v>0</v>
      </c>
      <c r="AE15" s="31">
        <f>SUM('Option1 (base case)'!AE$67:AE$69)</f>
        <v>0</v>
      </c>
      <c r="AF15" s="31">
        <f>SUM('Option1 (base case)'!AF$67:AF$69)</f>
        <v>0</v>
      </c>
      <c r="AG15" s="31">
        <f>SUM('Option1 (base case)'!AG$67:AG$69)</f>
        <v>0</v>
      </c>
    </row>
    <row r="16" spans="1:34" s="1" customFormat="1" ht="13" x14ac:dyDescent="0.3">
      <c r="A16" s="135" t="str">
        <f t="shared" ref="A16:A25" si="3">A15</f>
        <v>Option 1 (base case)</v>
      </c>
      <c r="B16" s="135"/>
      <c r="C16" s="58" t="str">
        <f>'Option1 (base case)'!C$36</f>
        <v>Total risk cost</v>
      </c>
      <c r="D16" s="38" t="str">
        <f t="shared" si="2"/>
        <v>Option 1 (base case)Total risk cost</v>
      </c>
      <c r="F16" s="108" cm="1">
        <f t="array" ref="F16">SUMPRODUCT(($H16:$AG16)*($H$5:$AG$5)*($H$7:$AG$7))</f>
        <v>59437698.200666778</v>
      </c>
      <c r="G16" s="225">
        <f>output_dollars</f>
        <v>46203</v>
      </c>
      <c r="H16" s="31"/>
      <c r="I16" s="31">
        <f>'Option1 (base case)'!I$36*conv_2026</f>
        <v>3939775.4823051924</v>
      </c>
      <c r="J16" s="31">
        <f>'Option1 (base case)'!J$36*conv_2026</f>
        <v>4036209.3667855766</v>
      </c>
      <c r="K16" s="31">
        <f>'Option1 (base case)'!K$36*conv_2026</f>
        <v>4132639.3114904785</v>
      </c>
      <c r="L16" s="31">
        <f>'Option1 (base case)'!L$36*conv_2026</f>
        <v>4229072.5380283576</v>
      </c>
      <c r="M16" s="31">
        <f>'Option1 (base case)'!M$36*conv_2026</f>
        <v>4325504.8938758541</v>
      </c>
      <c r="N16" s="31">
        <f>'Option1 (base case)'!N$36*conv_2026</f>
        <v>4295369.7836584551</v>
      </c>
      <c r="O16" s="31">
        <f>'Option1 (base case)'!O$36*conv_2026</f>
        <v>4265236.3951229416</v>
      </c>
      <c r="P16" s="31">
        <f>'Option1 (base case)'!P$36*conv_2026</f>
        <v>4235101.0524587892</v>
      </c>
      <c r="Q16" s="31">
        <f>'Option1 (base case)'!Q$36*conv_2026</f>
        <v>4204965.7097946368</v>
      </c>
      <c r="R16" s="31">
        <f>'Option1 (base case)'!R$36*conv_2026</f>
        <v>4174830.3671304854</v>
      </c>
      <c r="S16" s="31">
        <f>'Option1 (base case)'!S$36*conv_2026</f>
        <v>4144695.0244663325</v>
      </c>
      <c r="T16" s="31">
        <f>'Option1 (base case)'!T$36*conv_2026</f>
        <v>4114559.6818021806</v>
      </c>
      <c r="U16" s="31">
        <f>'Option1 (base case)'!U$36*conv_2026</f>
        <v>4084424.3391380277</v>
      </c>
      <c r="V16" s="31">
        <f>'Option1 (base case)'!V$36*conv_2026</f>
        <v>4054288.9964738749</v>
      </c>
      <c r="W16" s="31">
        <f>'Option1 (base case)'!W$36*conv_2026</f>
        <v>4024153.653809723</v>
      </c>
      <c r="X16" s="31">
        <f>'Option1 (base case)'!X$36*conv_2026</f>
        <v>3994018.3111455701</v>
      </c>
      <c r="Y16" s="31">
        <f>'Option1 (base case)'!Y$36*conv_2026</f>
        <v>3963882.9684814177</v>
      </c>
      <c r="Z16" s="31">
        <f>'Option1 (base case)'!Z$36*conv_2026</f>
        <v>3933747.6258172654</v>
      </c>
      <c r="AA16" s="31">
        <f>'Option1 (base case)'!AA$36*conv_2026</f>
        <v>3903612.2831531125</v>
      </c>
      <c r="AB16" s="31">
        <f>'Option1 (base case)'!AB$36*conv_2026</f>
        <v>3873476.9404889601</v>
      </c>
      <c r="AC16" s="31">
        <f>'Option1 (base case)'!AC$36*conv_2026</f>
        <v>3843341.5978248082</v>
      </c>
      <c r="AD16" s="31">
        <f>'Option1 (base case)'!AD$36*conv_2026</f>
        <v>3813206.2551606558</v>
      </c>
      <c r="AE16" s="31">
        <f>'Option1 (base case)'!AE$36*conv_2026</f>
        <v>3783074.8522719857</v>
      </c>
      <c r="AF16" s="31">
        <f>'Option1 (base case)'!AF$36*conv_2026</f>
        <v>3752939.5096078338</v>
      </c>
      <c r="AG16" s="31">
        <f>'Option1 (base case)'!AG$36*conv_2026</f>
        <v>3722804.1669436805</v>
      </c>
    </row>
    <row r="17" spans="1:33" s="1" customFormat="1" x14ac:dyDescent="0.3">
      <c r="A17" s="135" t="str">
        <f t="shared" si="3"/>
        <v>Option 1 (base case)</v>
      </c>
      <c r="B17" s="135"/>
      <c r="C17" s="75"/>
      <c r="D17" s="38" t="str">
        <f t="shared" si="2"/>
        <v>Option 1 (base case)</v>
      </c>
      <c r="F17"/>
      <c r="G17" s="226"/>
      <c r="H17"/>
      <c r="I17"/>
      <c r="J17"/>
      <c r="K17"/>
      <c r="L17"/>
      <c r="M17"/>
      <c r="N17"/>
      <c r="O17"/>
      <c r="P17"/>
      <c r="Q17"/>
      <c r="R17"/>
      <c r="S17"/>
      <c r="T17"/>
      <c r="U17"/>
      <c r="V17"/>
      <c r="W17"/>
      <c r="X17"/>
      <c r="Y17"/>
      <c r="Z17"/>
      <c r="AA17"/>
      <c r="AB17"/>
      <c r="AC17"/>
      <c r="AD17"/>
      <c r="AE17"/>
      <c r="AF17"/>
      <c r="AG17"/>
    </row>
    <row r="18" spans="1:33" s="1" customFormat="1" ht="13" x14ac:dyDescent="0.3">
      <c r="A18" s="135" t="str">
        <f t="shared" si="3"/>
        <v>Option 1 (base case)</v>
      </c>
      <c r="B18" s="135"/>
      <c r="C18" s="58" t="str">
        <f>'Option1 (base case)'!C$82</f>
        <v>Annualised capex</v>
      </c>
      <c r="D18" s="38" t="str">
        <f t="shared" si="2"/>
        <v>Option 1 (base case)Annualised capex</v>
      </c>
      <c r="F18" s="97">
        <f>SUMPRODUCT($H18:$AG18, $H$5:$AG$5)</f>
        <v>0</v>
      </c>
      <c r="G18" s="225">
        <f t="shared" ref="G18:G25" si="4">output_dollars</f>
        <v>46203</v>
      </c>
      <c r="H18" s="31"/>
      <c r="I18" s="31">
        <f>'Option1 (base case)'!I$82*conv_2026</f>
        <v>0</v>
      </c>
      <c r="J18" s="31">
        <f>'Option1 (base case)'!J$82*conv_2026</f>
        <v>0</v>
      </c>
      <c r="K18" s="31">
        <f>'Option1 (base case)'!K$82*conv_2026</f>
        <v>0</v>
      </c>
      <c r="L18" s="31">
        <f>'Option1 (base case)'!L$82*conv_2026</f>
        <v>0</v>
      </c>
      <c r="M18" s="31">
        <f>'Option1 (base case)'!M$82*conv_2026</f>
        <v>0</v>
      </c>
      <c r="N18" s="31">
        <f>'Option1 (base case)'!N$82*conv_2026</f>
        <v>0</v>
      </c>
      <c r="O18" s="31">
        <f>'Option1 (base case)'!O$82*conv_2026</f>
        <v>0</v>
      </c>
      <c r="P18" s="31">
        <f>'Option1 (base case)'!P$82*conv_2026</f>
        <v>0</v>
      </c>
      <c r="Q18" s="31">
        <f>'Option1 (base case)'!Q$82*conv_2026</f>
        <v>0</v>
      </c>
      <c r="R18" s="31">
        <f>'Option1 (base case)'!R$82*conv_2026</f>
        <v>0</v>
      </c>
      <c r="S18" s="31">
        <f>'Option1 (base case)'!S$82*conv_2026</f>
        <v>0</v>
      </c>
      <c r="T18" s="31">
        <f>'Option1 (base case)'!T$82*conv_2026</f>
        <v>0</v>
      </c>
      <c r="U18" s="31">
        <f>'Option1 (base case)'!U$82*conv_2026</f>
        <v>0</v>
      </c>
      <c r="V18" s="31">
        <f>'Option1 (base case)'!V$82*conv_2026</f>
        <v>0</v>
      </c>
      <c r="W18" s="31">
        <f>'Option1 (base case)'!W$82*conv_2026</f>
        <v>0</v>
      </c>
      <c r="X18" s="31">
        <f>'Option1 (base case)'!X$82*conv_2026</f>
        <v>0</v>
      </c>
      <c r="Y18" s="31">
        <f>'Option1 (base case)'!Y$82*conv_2026</f>
        <v>0</v>
      </c>
      <c r="Z18" s="31">
        <f>'Option1 (base case)'!Z$82*conv_2026</f>
        <v>0</v>
      </c>
      <c r="AA18" s="31">
        <f>'Option1 (base case)'!AA$82*conv_2026</f>
        <v>0</v>
      </c>
      <c r="AB18" s="31">
        <f>'Option1 (base case)'!AB$82*conv_2026</f>
        <v>0</v>
      </c>
      <c r="AC18" s="31">
        <f>'Option1 (base case)'!AC$82*conv_2026</f>
        <v>0</v>
      </c>
      <c r="AD18" s="31">
        <f>'Option1 (base case)'!AD$82*conv_2026</f>
        <v>0</v>
      </c>
      <c r="AE18" s="31">
        <f>'Option1 (base case)'!AE$82*conv_2026</f>
        <v>0</v>
      </c>
      <c r="AF18" s="31">
        <f>'Option1 (base case)'!AF$82*conv_2026</f>
        <v>0</v>
      </c>
      <c r="AG18" s="31">
        <f>'Option1 (base case)'!AG$82*conv_2026</f>
        <v>0</v>
      </c>
    </row>
    <row r="19" spans="1:33" s="1" customFormat="1" ht="13" x14ac:dyDescent="0.3">
      <c r="A19" s="135" t="str">
        <f t="shared" si="3"/>
        <v>Option 1 (base case)</v>
      </c>
      <c r="B19" s="135"/>
      <c r="C19" s="58" t="str">
        <f>'Option1 (base case)'!C$83</f>
        <v>Operating expenditure</v>
      </c>
      <c r="D19" s="38" t="str">
        <f t="shared" si="2"/>
        <v>Option 1 (base case)Operating expenditure</v>
      </c>
      <c r="F19" s="97">
        <f>SUMPRODUCT($H19:$AG19, $H$5:$AG$5)</f>
        <v>0</v>
      </c>
      <c r="G19" s="225">
        <f t="shared" si="4"/>
        <v>46203</v>
      </c>
      <c r="H19" s="31"/>
      <c r="I19" s="31">
        <f>'Option1 (base case)'!I$83*conv_2026</f>
        <v>0</v>
      </c>
      <c r="J19" s="31">
        <f>'Option1 (base case)'!J$83*conv_2026</f>
        <v>0</v>
      </c>
      <c r="K19" s="31">
        <f>'Option1 (base case)'!K$83*conv_2026</f>
        <v>0</v>
      </c>
      <c r="L19" s="31">
        <f>'Option1 (base case)'!L$83*conv_2026</f>
        <v>0</v>
      </c>
      <c r="M19" s="31">
        <f>'Option1 (base case)'!M$83*conv_2026</f>
        <v>0</v>
      </c>
      <c r="N19" s="31">
        <f>'Option1 (base case)'!N$83*conv_2026</f>
        <v>0</v>
      </c>
      <c r="O19" s="31">
        <f>'Option1 (base case)'!O$83*conv_2026</f>
        <v>0</v>
      </c>
      <c r="P19" s="31">
        <f>'Option1 (base case)'!P$83*conv_2026</f>
        <v>0</v>
      </c>
      <c r="Q19" s="31">
        <f>'Option1 (base case)'!Q$83*conv_2026</f>
        <v>0</v>
      </c>
      <c r="R19" s="31">
        <f>'Option1 (base case)'!R$83*conv_2026</f>
        <v>0</v>
      </c>
      <c r="S19" s="31">
        <f>'Option1 (base case)'!S$83*conv_2026</f>
        <v>0</v>
      </c>
      <c r="T19" s="31">
        <f>'Option1 (base case)'!T$83*conv_2026</f>
        <v>0</v>
      </c>
      <c r="U19" s="31">
        <f>'Option1 (base case)'!U$83*conv_2026</f>
        <v>0</v>
      </c>
      <c r="V19" s="31">
        <f>'Option1 (base case)'!V$83*conv_2026</f>
        <v>0</v>
      </c>
      <c r="W19" s="31">
        <f>'Option1 (base case)'!W$83*conv_2026</f>
        <v>0</v>
      </c>
      <c r="X19" s="31">
        <f>'Option1 (base case)'!X$83*conv_2026</f>
        <v>0</v>
      </c>
      <c r="Y19" s="31">
        <f>'Option1 (base case)'!Y$83*conv_2026</f>
        <v>0</v>
      </c>
      <c r="Z19" s="31">
        <f>'Option1 (base case)'!Z$83*conv_2026</f>
        <v>0</v>
      </c>
      <c r="AA19" s="31">
        <f>'Option1 (base case)'!AA$83*conv_2026</f>
        <v>0</v>
      </c>
      <c r="AB19" s="31">
        <f>'Option1 (base case)'!AB$83*conv_2026</f>
        <v>0</v>
      </c>
      <c r="AC19" s="31">
        <f>'Option1 (base case)'!AC$83*conv_2026</f>
        <v>0</v>
      </c>
      <c r="AD19" s="31">
        <f>'Option1 (base case)'!AD$83*conv_2026</f>
        <v>0</v>
      </c>
      <c r="AE19" s="31">
        <f>'Option1 (base case)'!AE$83*conv_2026</f>
        <v>0</v>
      </c>
      <c r="AF19" s="31">
        <f>'Option1 (base case)'!AF$83*conv_2026</f>
        <v>0</v>
      </c>
      <c r="AG19" s="31">
        <f>'Option1 (base case)'!AG$83*conv_2026</f>
        <v>0</v>
      </c>
    </row>
    <row r="20" spans="1:33" s="1" customFormat="1" ht="13" x14ac:dyDescent="0.3">
      <c r="A20" s="135" t="str">
        <f t="shared" si="3"/>
        <v>Option 1 (base case)</v>
      </c>
      <c r="B20" s="135"/>
      <c r="C20" s="58" t="str">
        <f>'Option1 (base case)'!C$84</f>
        <v>Risk mitigated</v>
      </c>
      <c r="D20" s="38" t="str">
        <f t="shared" si="2"/>
        <v>Option 1 (base case)Risk mitigated</v>
      </c>
      <c r="F20" s="97">
        <f>SUMPRODUCT($H20:$AG20, $H$5:$AG$5)</f>
        <v>0</v>
      </c>
      <c r="G20" s="225">
        <f t="shared" si="4"/>
        <v>46203</v>
      </c>
      <c r="H20" s="31"/>
      <c r="I20" s="31">
        <f>'Option1 (base case)'!I$84*conv_2026</f>
        <v>0</v>
      </c>
      <c r="J20" s="31">
        <f>'Option1 (base case)'!J$84*conv_2026</f>
        <v>0</v>
      </c>
      <c r="K20" s="31">
        <f>'Option1 (base case)'!K$84*conv_2026</f>
        <v>0</v>
      </c>
      <c r="L20" s="31">
        <f>'Option1 (base case)'!L$84*conv_2026</f>
        <v>0</v>
      </c>
      <c r="M20" s="31">
        <f>'Option1 (base case)'!M$84*conv_2026</f>
        <v>0</v>
      </c>
      <c r="N20" s="31">
        <f>'Option1 (base case)'!N$84*conv_2026</f>
        <v>0</v>
      </c>
      <c r="O20" s="31">
        <f>'Option1 (base case)'!O$84*conv_2026</f>
        <v>0</v>
      </c>
      <c r="P20" s="31">
        <f>'Option1 (base case)'!P$84*conv_2026</f>
        <v>0</v>
      </c>
      <c r="Q20" s="31">
        <f>'Option1 (base case)'!Q$84*conv_2026</f>
        <v>0</v>
      </c>
      <c r="R20" s="31">
        <f>'Option1 (base case)'!R$84*conv_2026</f>
        <v>0</v>
      </c>
      <c r="S20" s="31">
        <f>'Option1 (base case)'!S$84*conv_2026</f>
        <v>0</v>
      </c>
      <c r="T20" s="31">
        <f>'Option1 (base case)'!T$84*conv_2026</f>
        <v>0</v>
      </c>
      <c r="U20" s="31">
        <f>'Option1 (base case)'!U$84*conv_2026</f>
        <v>0</v>
      </c>
      <c r="V20" s="31">
        <f>'Option1 (base case)'!V$84*conv_2026</f>
        <v>0</v>
      </c>
      <c r="W20" s="31">
        <f>'Option1 (base case)'!W$84*conv_2026</f>
        <v>0</v>
      </c>
      <c r="X20" s="31">
        <f>'Option1 (base case)'!X$84*conv_2026</f>
        <v>0</v>
      </c>
      <c r="Y20" s="31">
        <f>'Option1 (base case)'!Y$84*conv_2026</f>
        <v>0</v>
      </c>
      <c r="Z20" s="31">
        <f>'Option1 (base case)'!Z$84*conv_2026</f>
        <v>0</v>
      </c>
      <c r="AA20" s="31">
        <f>'Option1 (base case)'!AA$84*conv_2026</f>
        <v>0</v>
      </c>
      <c r="AB20" s="31">
        <f>'Option1 (base case)'!AB$84*conv_2026</f>
        <v>0</v>
      </c>
      <c r="AC20" s="31">
        <f>'Option1 (base case)'!AC$84*conv_2026</f>
        <v>0</v>
      </c>
      <c r="AD20" s="31">
        <f>'Option1 (base case)'!AD$84*conv_2026</f>
        <v>0</v>
      </c>
      <c r="AE20" s="31">
        <f>'Option1 (base case)'!AE$84*conv_2026</f>
        <v>0</v>
      </c>
      <c r="AF20" s="31">
        <f>'Option1 (base case)'!AF$84*conv_2026</f>
        <v>0</v>
      </c>
      <c r="AG20" s="31">
        <f>'Option1 (base case)'!AG$84*conv_2026</f>
        <v>0</v>
      </c>
    </row>
    <row r="21" spans="1:33" s="1" customFormat="1" ht="13" x14ac:dyDescent="0.3">
      <c r="A21" s="135" t="str">
        <f t="shared" si="3"/>
        <v>Option 1 (base case)</v>
      </c>
      <c r="B21" s="135"/>
      <c r="C21" s="58" t="str">
        <f>'Option1 (base case)'!C$85</f>
        <v>Other benefits value</v>
      </c>
      <c r="D21" s="38" t="str">
        <f t="shared" si="2"/>
        <v>Option 1 (base case)Other benefits value</v>
      </c>
      <c r="F21" s="97">
        <f>SUMPRODUCT($H21:$AG21, $H$5:$AG$5)</f>
        <v>0</v>
      </c>
      <c r="G21" s="225">
        <f t="shared" si="4"/>
        <v>46203</v>
      </c>
      <c r="H21" s="31"/>
      <c r="I21" s="31">
        <f>'Option1 (base case)'!I$85*conv_2026</f>
        <v>0</v>
      </c>
      <c r="J21" s="31">
        <f>'Option1 (base case)'!J$85*conv_2026</f>
        <v>0</v>
      </c>
      <c r="K21" s="31">
        <f>'Option1 (base case)'!K$85*conv_2026</f>
        <v>0</v>
      </c>
      <c r="L21" s="31">
        <f>'Option1 (base case)'!L$85*conv_2026</f>
        <v>0</v>
      </c>
      <c r="M21" s="31">
        <f>'Option1 (base case)'!M$85*conv_2026</f>
        <v>0</v>
      </c>
      <c r="N21" s="31">
        <f>'Option1 (base case)'!N$85*conv_2026</f>
        <v>0</v>
      </c>
      <c r="O21" s="31">
        <f>'Option1 (base case)'!O$85*conv_2026</f>
        <v>0</v>
      </c>
      <c r="P21" s="31">
        <f>'Option1 (base case)'!P$85*conv_2026</f>
        <v>0</v>
      </c>
      <c r="Q21" s="31">
        <f>'Option1 (base case)'!Q$85*conv_2026</f>
        <v>0</v>
      </c>
      <c r="R21" s="31">
        <f>'Option1 (base case)'!R$85*conv_2026</f>
        <v>0</v>
      </c>
      <c r="S21" s="31">
        <f>'Option1 (base case)'!S$85*conv_2026</f>
        <v>0</v>
      </c>
      <c r="T21" s="31">
        <f>'Option1 (base case)'!T$85*conv_2026</f>
        <v>0</v>
      </c>
      <c r="U21" s="31">
        <f>'Option1 (base case)'!U$85*conv_2026</f>
        <v>0</v>
      </c>
      <c r="V21" s="31">
        <f>'Option1 (base case)'!V$85*conv_2026</f>
        <v>0</v>
      </c>
      <c r="W21" s="31">
        <f>'Option1 (base case)'!W$85*conv_2026</f>
        <v>0</v>
      </c>
      <c r="X21" s="31">
        <f>'Option1 (base case)'!X$85*conv_2026</f>
        <v>0</v>
      </c>
      <c r="Y21" s="31">
        <f>'Option1 (base case)'!Y$85*conv_2026</f>
        <v>0</v>
      </c>
      <c r="Z21" s="31">
        <f>'Option1 (base case)'!Z$85*conv_2026</f>
        <v>0</v>
      </c>
      <c r="AA21" s="31">
        <f>'Option1 (base case)'!AA$85*conv_2026</f>
        <v>0</v>
      </c>
      <c r="AB21" s="31">
        <f>'Option1 (base case)'!AB$85*conv_2026</f>
        <v>0</v>
      </c>
      <c r="AC21" s="31">
        <f>'Option1 (base case)'!AC$85*conv_2026</f>
        <v>0</v>
      </c>
      <c r="AD21" s="31">
        <f>'Option1 (base case)'!AD$85*conv_2026</f>
        <v>0</v>
      </c>
      <c r="AE21" s="31">
        <f>'Option1 (base case)'!AE$85*conv_2026</f>
        <v>0</v>
      </c>
      <c r="AF21" s="31">
        <f>'Option1 (base case)'!AF$85*conv_2026</f>
        <v>0</v>
      </c>
      <c r="AG21" s="31">
        <f>'Option1 (base case)'!AG$85*conv_2026</f>
        <v>0</v>
      </c>
    </row>
    <row r="22" spans="1:33" s="1" customFormat="1" ht="13" x14ac:dyDescent="0.3">
      <c r="A22" s="135" t="str">
        <f t="shared" si="3"/>
        <v>Option 1 (base case)</v>
      </c>
      <c r="B22" s="135"/>
      <c r="C22" s="144" t="str">
        <f>'Option1 (base case)'!C$87</f>
        <v>Net benefits</v>
      </c>
      <c r="D22" s="109" t="str">
        <f t="shared" si="2"/>
        <v>Option 1 (base case)Net benefits</v>
      </c>
      <c r="E22" s="110"/>
      <c r="F22" s="143"/>
      <c r="G22" s="227">
        <f t="shared" si="4"/>
        <v>46203</v>
      </c>
      <c r="H22" s="52"/>
      <c r="I22" s="52">
        <f t="shared" ref="I22:AG22" si="5">SUM(I18:I21)</f>
        <v>0</v>
      </c>
      <c r="J22" s="52">
        <f t="shared" si="5"/>
        <v>0</v>
      </c>
      <c r="K22" s="52">
        <f t="shared" si="5"/>
        <v>0</v>
      </c>
      <c r="L22" s="52">
        <f t="shared" si="5"/>
        <v>0</v>
      </c>
      <c r="M22" s="52">
        <f t="shared" si="5"/>
        <v>0</v>
      </c>
      <c r="N22" s="52">
        <f t="shared" si="5"/>
        <v>0</v>
      </c>
      <c r="O22" s="52">
        <f t="shared" si="5"/>
        <v>0</v>
      </c>
      <c r="P22" s="52">
        <f t="shared" si="5"/>
        <v>0</v>
      </c>
      <c r="Q22" s="52">
        <f t="shared" si="5"/>
        <v>0</v>
      </c>
      <c r="R22" s="52">
        <f t="shared" si="5"/>
        <v>0</v>
      </c>
      <c r="S22" s="52">
        <f t="shared" si="5"/>
        <v>0</v>
      </c>
      <c r="T22" s="52">
        <f t="shared" si="5"/>
        <v>0</v>
      </c>
      <c r="U22" s="52">
        <f t="shared" si="5"/>
        <v>0</v>
      </c>
      <c r="V22" s="52">
        <f t="shared" si="5"/>
        <v>0</v>
      </c>
      <c r="W22" s="52">
        <f t="shared" si="5"/>
        <v>0</v>
      </c>
      <c r="X22" s="52">
        <f t="shared" si="5"/>
        <v>0</v>
      </c>
      <c r="Y22" s="52">
        <f t="shared" si="5"/>
        <v>0</v>
      </c>
      <c r="Z22" s="52">
        <f t="shared" si="5"/>
        <v>0</v>
      </c>
      <c r="AA22" s="52">
        <f t="shared" si="5"/>
        <v>0</v>
      </c>
      <c r="AB22" s="52">
        <f t="shared" si="5"/>
        <v>0</v>
      </c>
      <c r="AC22" s="52">
        <f t="shared" si="5"/>
        <v>0</v>
      </c>
      <c r="AD22" s="52">
        <f t="shared" si="5"/>
        <v>0</v>
      </c>
      <c r="AE22" s="52">
        <f t="shared" si="5"/>
        <v>0</v>
      </c>
      <c r="AF22" s="52">
        <f t="shared" si="5"/>
        <v>0</v>
      </c>
      <c r="AG22" s="52">
        <f t="shared" si="5"/>
        <v>0</v>
      </c>
    </row>
    <row r="23" spans="1:33" s="1" customFormat="1" ht="13" x14ac:dyDescent="0.3">
      <c r="A23" s="135" t="str">
        <f t="shared" si="3"/>
        <v>Option 1 (base case)</v>
      </c>
      <c r="B23" s="135"/>
      <c r="C23" s="8" t="s">
        <v>120</v>
      </c>
      <c r="D23" s="38" t="str">
        <f t="shared" si="2"/>
        <v>Option 1 (base case)NPV</v>
      </c>
      <c r="F23" s="108" cm="1">
        <f t="array" ref="F23">SUMPRODUCT(($H22:$AG22)*($H$5:$AG$5)*($H$7:$AG$7))</f>
        <v>0</v>
      </c>
      <c r="G23" s="225">
        <f t="shared" si="4"/>
        <v>46203</v>
      </c>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1" customFormat="1" ht="13" x14ac:dyDescent="0.3">
      <c r="A24" s="135" t="str">
        <f t="shared" si="3"/>
        <v>Option 1 (base case)</v>
      </c>
      <c r="B24" s="135"/>
      <c r="C24" s="8" t="s">
        <v>195</v>
      </c>
      <c r="D24" s="38" t="str">
        <f t="shared" si="2"/>
        <v>Option 1 (base case)PV of costs</v>
      </c>
      <c r="F24" s="108">
        <f>SUM(F18:F19)</f>
        <v>0</v>
      </c>
      <c r="G24" s="225">
        <f t="shared" si="4"/>
        <v>46203</v>
      </c>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1" customFormat="1" ht="13" x14ac:dyDescent="0.3">
      <c r="A25" s="135" t="str">
        <f t="shared" si="3"/>
        <v>Option 1 (base case)</v>
      </c>
      <c r="B25" s="135"/>
      <c r="C25" s="8" t="s">
        <v>196</v>
      </c>
      <c r="D25" s="38" t="str">
        <f t="shared" si="2"/>
        <v>Option 1 (base case)PV of benefits</v>
      </c>
      <c r="F25" s="108">
        <f>SUM(F20:F21)</f>
        <v>0</v>
      </c>
      <c r="G25" s="225">
        <f t="shared" si="4"/>
        <v>46203</v>
      </c>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1" customFormat="1" ht="13" x14ac:dyDescent="0.3">
      <c r="D26" s="38" t="str">
        <f t="shared" ref="D26:D39" si="6">A26&amp;C26</f>
        <v/>
      </c>
      <c r="G26" s="228"/>
    </row>
    <row r="27" spans="1:33" s="2" customFormat="1" ht="13" x14ac:dyDescent="0.3">
      <c r="A27" s="122"/>
      <c r="B27" s="122"/>
      <c r="C27" s="122"/>
      <c r="D27" s="38" t="str">
        <f t="shared" si="6"/>
        <v/>
      </c>
      <c r="F27" s="117"/>
      <c r="G27" s="221"/>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3" s="270" customFormat="1" ht="13" x14ac:dyDescent="0.3">
      <c r="A28" s="268" t="str">
        <f>A29</f>
        <v>Option 2</v>
      </c>
      <c r="B28" s="268"/>
      <c r="C28" s="268" t="s">
        <v>125</v>
      </c>
      <c r="D28" s="269" t="str">
        <f t="shared" si="6"/>
        <v>Option 2Energy at risk value</v>
      </c>
      <c r="F28" s="97">
        <f>SUMPRODUCT($H28:$AG28, $H$5:$AG$5)</f>
        <v>59076771.010662802</v>
      </c>
      <c r="G28" s="271">
        <f>output_dollars</f>
        <v>46203</v>
      </c>
      <c r="H28" s="272"/>
      <c r="I28" s="31">
        <f>Option2!I$28*conv_2026</f>
        <v>3939775.4823051924</v>
      </c>
      <c r="J28" s="31">
        <f>Option2!J$28*conv_2026</f>
        <v>3939775.4823051924</v>
      </c>
      <c r="K28" s="31">
        <f>Option2!K$28*conv_2026</f>
        <v>3939775.4823051924</v>
      </c>
      <c r="L28" s="31">
        <f>Option2!L$28*conv_2026</f>
        <v>3939775.4823051924</v>
      </c>
      <c r="M28" s="31">
        <f>Option2!M$28*conv_2026</f>
        <v>3412813.0490717585</v>
      </c>
      <c r="N28" s="31">
        <f>Option2!N$28*conv_2026</f>
        <v>3406173.2919346658</v>
      </c>
      <c r="O28" s="31">
        <f>Option2!O$28*conv_2026</f>
        <v>3393735.3706443813</v>
      </c>
      <c r="P28" s="31">
        <f>Option2!P$28*conv_2026</f>
        <v>3385799.1300025363</v>
      </c>
      <c r="Q28" s="31">
        <f>Option2!Q$28*conv_2026</f>
        <v>3376697.9849248431</v>
      </c>
      <c r="R28" s="31">
        <f>Option2!R$28*conv_2026</f>
        <v>3380660.1695880531</v>
      </c>
      <c r="S28" s="31">
        <f>Option2!S$28*conv_2026</f>
        <v>3384622.3542512623</v>
      </c>
      <c r="T28" s="31">
        <f>Option2!T$28*conv_2026</f>
        <v>3388584.5389144723</v>
      </c>
      <c r="U28" s="31">
        <f>Option2!U$28*conv_2026</f>
        <v>3392546.7235776819</v>
      </c>
      <c r="V28" s="31">
        <f>Option2!V$28*conv_2026</f>
        <v>3396508.9082408911</v>
      </c>
      <c r="W28" s="31">
        <f>Option2!W$28*conv_2026</f>
        <v>3400471.0929041007</v>
      </c>
      <c r="X28" s="31">
        <f>Option2!X$28*conv_2026</f>
        <v>3404433.2775673107</v>
      </c>
      <c r="Y28" s="31">
        <f>Option2!Y$28*conv_2026</f>
        <v>3408395.4622305199</v>
      </c>
      <c r="Z28" s="31">
        <f>Option2!Z$28*conv_2026</f>
        <v>3412357.6468937299</v>
      </c>
      <c r="AA28" s="31">
        <f>Option2!AA$28*conv_2026</f>
        <v>3416319.8315569395</v>
      </c>
      <c r="AB28" s="31">
        <f>Option2!AB$28*conv_2026</f>
        <v>3420282.0162201487</v>
      </c>
      <c r="AC28" s="31">
        <f>Option2!AC$28*conv_2026</f>
        <v>3424244.2008833583</v>
      </c>
      <c r="AD28" s="31">
        <f>Option2!AD$28*conv_2026</f>
        <v>3428206.3855465683</v>
      </c>
      <c r="AE28" s="31">
        <f>Option2!AE$28*conv_2026</f>
        <v>3432168.0495086489</v>
      </c>
      <c r="AF28" s="31">
        <f>Option2!AF$28*conv_2026</f>
        <v>3436130.2341718576</v>
      </c>
      <c r="AG28" s="31">
        <f>Option2!AG$28*conv_2026</f>
        <v>3440092.4188350672</v>
      </c>
    </row>
    <row r="29" spans="1:33" s="2" customFormat="1" ht="13" x14ac:dyDescent="0.3">
      <c r="A29" s="135" t="str">
        <f>Data!B10</f>
        <v>Option 2</v>
      </c>
      <c r="B29" s="135"/>
      <c r="C29" s="58" t="str">
        <f>Option2!C$66</f>
        <v>Capital expenditure</v>
      </c>
      <c r="D29" s="38" t="str">
        <f t="shared" si="6"/>
        <v>Option 2Capital expenditure</v>
      </c>
      <c r="E29" s="1"/>
      <c r="F29" s="97" cm="1">
        <f t="array" ref="F29">SUMPRODUCT(($H29:$AG29)*($H$5:$AG$5)*($H$7:$AG$7))</f>
        <v>-2796917.9916657186</v>
      </c>
      <c r="G29" s="225">
        <f>output_dollars</f>
        <v>46203</v>
      </c>
      <c r="H29" s="31"/>
      <c r="I29" s="31">
        <f>SUM(Option2!I$67:I$69)*conv_2026*I$7</f>
        <v>0</v>
      </c>
      <c r="J29" s="31">
        <f>SUM(Option2!J$67:J$69)*conv_2026*J$7</f>
        <v>0</v>
      </c>
      <c r="K29" s="31">
        <f>SUM(Option2!K$67:K$69)*conv_2026*K$7</f>
        <v>0</v>
      </c>
      <c r="L29" s="31">
        <f>SUM(Option2!L$67:L$69)*conv_2026*L$7</f>
        <v>-3154793.6419919981</v>
      </c>
      <c r="M29" s="31">
        <f>SUM(Option2!M$67:M$69)*conv_2026*M$7</f>
        <v>0</v>
      </c>
      <c r="N29" s="31">
        <f>SUM(Option2!N$67:N$69)*conv_2026*N$7</f>
        <v>0</v>
      </c>
      <c r="O29" s="31">
        <f>SUM(Option2!O$67:O$69)*conv_2026*O$7</f>
        <v>0</v>
      </c>
      <c r="P29" s="31">
        <f>SUM(Option2!P$67:P$69)*conv_2026*P$7</f>
        <v>0</v>
      </c>
      <c r="Q29" s="31">
        <f>SUM(Option2!Q$67:Q$69)*conv_2026*Q$7</f>
        <v>0</v>
      </c>
      <c r="R29" s="31">
        <f>SUM(Option2!R$67:R$69)*conv_2026*R$7</f>
        <v>0</v>
      </c>
      <c r="S29" s="31">
        <f>SUM(Option2!S$67:S$69)*conv_2026*S$7</f>
        <v>0</v>
      </c>
      <c r="T29" s="31">
        <f>SUM(Option2!T$67:T$69)*conv_2026*T$7</f>
        <v>0</v>
      </c>
      <c r="U29" s="31">
        <f>SUM(Option2!U$67:U$69)*conv_2026*U$7</f>
        <v>0</v>
      </c>
      <c r="V29" s="31">
        <f>SUM(Option2!V$67:V$69)*conv_2026*V$7</f>
        <v>0</v>
      </c>
      <c r="W29" s="31">
        <f>SUM(Option2!W$67:W$69)*conv_2026*W$7</f>
        <v>0</v>
      </c>
      <c r="X29" s="31">
        <f>SUM(Option2!X$67:X$69)*conv_2026*X$7</f>
        <v>0</v>
      </c>
      <c r="Y29" s="31">
        <f>SUM(Option2!Y$67:Y$69)*conv_2026*Y$7</f>
        <v>0</v>
      </c>
      <c r="Z29" s="31">
        <f>SUM(Option2!Z$67:Z$69)*conv_2026*Z$7</f>
        <v>0</v>
      </c>
      <c r="AA29" s="31">
        <f>SUM(Option2!AA$67:AA$69)*conv_2026*AA$7</f>
        <v>0</v>
      </c>
      <c r="AB29" s="31">
        <f>SUM(Option2!AB$67:AB$69)*conv_2026*AB$7</f>
        <v>0</v>
      </c>
      <c r="AC29" s="31">
        <f>SUM(Option2!AC$67:AC$69)*conv_2026*AC$7</f>
        <v>0</v>
      </c>
      <c r="AD29" s="31">
        <f>SUM(Option2!AD$67:AD$69)*conv_2026*AD$7</f>
        <v>0</v>
      </c>
      <c r="AE29" s="31">
        <f>SUM(Option2!AE$67:AE$69)*conv_2026*AE$7</f>
        <v>0</v>
      </c>
      <c r="AF29" s="31">
        <f>SUM(Option2!AF$67:AF$69)*conv_2026*AF$7</f>
        <v>0</v>
      </c>
      <c r="AG29" s="31">
        <f>SUM(Option2!AG$67:AG$69)*conv_2026*AG$7</f>
        <v>0</v>
      </c>
    </row>
    <row r="30" spans="1:33" s="2" customFormat="1" ht="13" x14ac:dyDescent="0.3">
      <c r="A30" s="135" t="str">
        <f t="shared" ref="A30:A39" si="7">A29</f>
        <v>Option 2</v>
      </c>
      <c r="B30" s="135"/>
      <c r="C30" s="58" t="str">
        <f>'Option1 (base case)'!C$36</f>
        <v>Total risk cost</v>
      </c>
      <c r="D30" s="38" t="str">
        <f t="shared" si="6"/>
        <v>Option 2Total risk cost</v>
      </c>
      <c r="E30" s="1"/>
      <c r="F30" s="97" cm="1">
        <f t="array" ref="F30">SUMPRODUCT(($H30:$AG30)*($H$5:$AG$5)*($H$7:$AG$7))</f>
        <v>51154310.836708993</v>
      </c>
      <c r="G30" s="225">
        <f>output_dollars</f>
        <v>46203</v>
      </c>
      <c r="H30" s="31"/>
      <c r="I30" s="31">
        <f>Option2!I$36*conv_2026*I$7</f>
        <v>3939775.4823051924</v>
      </c>
      <c r="J30" s="31">
        <f>Option2!J$36*conv_2026*J$7</f>
        <v>3939775.4823051924</v>
      </c>
      <c r="K30" s="31">
        <f>Option2!K$36*conv_2026*K$7</f>
        <v>3939775.4823051924</v>
      </c>
      <c r="L30" s="31">
        <f>Option2!L$36*conv_2026*L$7</f>
        <v>3939775.4823051924</v>
      </c>
      <c r="M30" s="31">
        <f>Option2!M$36*conv_2026*M$7</f>
        <v>3412813.0490717585</v>
      </c>
      <c r="N30" s="31">
        <f>Option2!N$36*conv_2026*N$7</f>
        <v>3406173.2919346658</v>
      </c>
      <c r="O30" s="31">
        <f>Option2!O$36*conv_2026*O$7</f>
        <v>3393735.3706443813</v>
      </c>
      <c r="P30" s="31">
        <f>Option2!P$36*conv_2026*P$7</f>
        <v>3385799.1300025363</v>
      </c>
      <c r="Q30" s="31">
        <f>Option2!Q$36*conv_2026*Q$7</f>
        <v>3376697.9849248431</v>
      </c>
      <c r="R30" s="31">
        <f>Option2!R$36*conv_2026*R$7</f>
        <v>3380660.1695880531</v>
      </c>
      <c r="S30" s="31">
        <f>Option2!S$36*conv_2026*S$7</f>
        <v>3384622.3542512623</v>
      </c>
      <c r="T30" s="31">
        <f>Option2!T$36*conv_2026*T$7</f>
        <v>3388584.5389144723</v>
      </c>
      <c r="U30" s="31">
        <f>Option2!U$36*conv_2026*U$7</f>
        <v>3392546.7235776819</v>
      </c>
      <c r="V30" s="31">
        <f>Option2!V$36*conv_2026*V$7</f>
        <v>3396508.9082408911</v>
      </c>
      <c r="W30" s="31">
        <f>Option2!W$36*conv_2026*W$7</f>
        <v>3400471.0929041007</v>
      </c>
      <c r="X30" s="31">
        <f>Option2!X$36*conv_2026*X$7</f>
        <v>3404433.2775673107</v>
      </c>
      <c r="Y30" s="31">
        <f>Option2!Y$36*conv_2026*Y$7</f>
        <v>3408395.4622305199</v>
      </c>
      <c r="Z30" s="31">
        <f>Option2!Z$36*conv_2026*Z$7</f>
        <v>3412357.6468937299</v>
      </c>
      <c r="AA30" s="31">
        <f>Option2!AA$36*conv_2026*AA$7</f>
        <v>3416319.8315569395</v>
      </c>
      <c r="AB30" s="31">
        <f>Option2!AB$36*conv_2026*AB$7</f>
        <v>3420282.0162201487</v>
      </c>
      <c r="AC30" s="31">
        <f>Option2!AC$36*conv_2026*AC$7</f>
        <v>0</v>
      </c>
      <c r="AD30" s="31">
        <f>Option2!AD$36*conv_2026*AD$7</f>
        <v>0</v>
      </c>
      <c r="AE30" s="31">
        <f>Option2!AE$36*conv_2026*AE$7</f>
        <v>0</v>
      </c>
      <c r="AF30" s="31">
        <f>Option2!AF$36*conv_2026*AF$7</f>
        <v>0</v>
      </c>
      <c r="AG30" s="31">
        <f>Option2!AG$36*conv_2026*AG$7</f>
        <v>0</v>
      </c>
    </row>
    <row r="31" spans="1:33" s="2" customFormat="1" x14ac:dyDescent="0.3">
      <c r="A31" s="135" t="str">
        <f t="shared" si="7"/>
        <v>Option 2</v>
      </c>
      <c r="B31" s="135"/>
      <c r="C31" s="75"/>
      <c r="D31" s="38" t="str">
        <f t="shared" si="6"/>
        <v>Option 2</v>
      </c>
      <c r="E31" s="1"/>
      <c r="F31" s="97"/>
      <c r="G31" s="226"/>
      <c r="H31"/>
      <c r="I31"/>
      <c r="J31"/>
      <c r="K31"/>
      <c r="L31"/>
      <c r="M31"/>
      <c r="N31"/>
      <c r="O31"/>
      <c r="P31"/>
      <c r="Q31"/>
      <c r="R31"/>
      <c r="S31"/>
      <c r="T31"/>
      <c r="U31"/>
      <c r="V31"/>
      <c r="W31"/>
      <c r="X31"/>
      <c r="Y31"/>
      <c r="Z31"/>
      <c r="AA31"/>
      <c r="AB31"/>
      <c r="AC31"/>
      <c r="AD31"/>
      <c r="AE31"/>
      <c r="AF31"/>
      <c r="AG31"/>
    </row>
    <row r="32" spans="1:33" s="2" customFormat="1" ht="13" x14ac:dyDescent="0.3">
      <c r="A32" s="135" t="str">
        <f t="shared" si="7"/>
        <v>Option 2</v>
      </c>
      <c r="B32" s="135"/>
      <c r="C32" s="58" t="str">
        <f>Option2!C$82</f>
        <v>Annualised capex</v>
      </c>
      <c r="D32" s="38" t="str">
        <f t="shared" si="6"/>
        <v>Option 2Annualised capex</v>
      </c>
      <c r="E32" s="1"/>
      <c r="F32" s="97" cm="1">
        <f t="array" ref="F32">SUMPRODUCT(($H32:$AG32)*($H$5:$AG$5)*($H$7:$AG$7))</f>
        <v>-2380051.5771581046</v>
      </c>
      <c r="G32" s="225">
        <f t="shared" ref="G32:G39" si="8">output_dollars</f>
        <v>46203</v>
      </c>
      <c r="H32" s="31"/>
      <c r="I32" s="31">
        <f>Option2!I$82*conv_2026*I$7</f>
        <v>0</v>
      </c>
      <c r="J32" s="31">
        <f>Option2!J$82*conv_2026*J$7</f>
        <v>0</v>
      </c>
      <c r="K32" s="31">
        <f>Option2!K$82*conv_2026*K$7</f>
        <v>0</v>
      </c>
      <c r="L32" s="31">
        <f>Option2!L$82*conv_2026*L$7</f>
        <v>0</v>
      </c>
      <c r="M32" s="31">
        <f>Option2!M$82*conv_2026*M$7</f>
        <v>-221974.67767880185</v>
      </c>
      <c r="N32" s="31">
        <f>Option2!N$82*conv_2026*N$7</f>
        <v>-221974.67767880185</v>
      </c>
      <c r="O32" s="31">
        <f>Option2!O$82*conv_2026*O$7</f>
        <v>-221974.67767880185</v>
      </c>
      <c r="P32" s="31">
        <f>Option2!P$82*conv_2026*P$7</f>
        <v>-221974.67767880185</v>
      </c>
      <c r="Q32" s="31">
        <f>Option2!Q$82*conv_2026*Q$7</f>
        <v>-221974.67767880185</v>
      </c>
      <c r="R32" s="31">
        <f>Option2!R$82*conv_2026*R$7</f>
        <v>-221974.67767880185</v>
      </c>
      <c r="S32" s="31">
        <f>Option2!S$82*conv_2026*S$7</f>
        <v>-221974.67767880185</v>
      </c>
      <c r="T32" s="31">
        <f>Option2!T$82*conv_2026*T$7</f>
        <v>-221974.67767880185</v>
      </c>
      <c r="U32" s="31">
        <f>Option2!U$82*conv_2026*U$7</f>
        <v>-221974.67767880185</v>
      </c>
      <c r="V32" s="31">
        <f>Option2!V$82*conv_2026*V$7</f>
        <v>-221974.67767880185</v>
      </c>
      <c r="W32" s="31">
        <f>Option2!W$82*conv_2026*W$7</f>
        <v>-221974.67767880185</v>
      </c>
      <c r="X32" s="31">
        <f>Option2!X$82*conv_2026*X$7</f>
        <v>-221974.67767880185</v>
      </c>
      <c r="Y32" s="31">
        <f>Option2!Y$82*conv_2026*Y$7</f>
        <v>-221974.67767880185</v>
      </c>
      <c r="Z32" s="31">
        <f>Option2!Z$82*conv_2026*Z$7</f>
        <v>-221974.67767880185</v>
      </c>
      <c r="AA32" s="31">
        <f>Option2!AA$82*conv_2026*AA$7</f>
        <v>-221974.67767880185</v>
      </c>
      <c r="AB32" s="31">
        <f>Option2!AB$82*conv_2026*AB$7</f>
        <v>-221974.67767880185</v>
      </c>
      <c r="AC32" s="31">
        <f>Option2!AC$82*conv_2026*AC$7</f>
        <v>0</v>
      </c>
      <c r="AD32" s="31">
        <f>Option2!AD$82*conv_2026*AD$7</f>
        <v>0</v>
      </c>
      <c r="AE32" s="31">
        <f>Option2!AE$82*conv_2026*AE$7</f>
        <v>0</v>
      </c>
      <c r="AF32" s="31">
        <f>Option2!AF$82*conv_2026*AF$7</f>
        <v>0</v>
      </c>
      <c r="AG32" s="31">
        <f>Option2!AG$82*conv_2026*AG$7</f>
        <v>0</v>
      </c>
    </row>
    <row r="33" spans="1:33" s="2" customFormat="1" ht="13" x14ac:dyDescent="0.3">
      <c r="A33" s="135" t="str">
        <f t="shared" si="7"/>
        <v>Option 2</v>
      </c>
      <c r="B33" s="135"/>
      <c r="C33" s="58" t="str">
        <f>Option2!C$83</f>
        <v>Operating expenditure</v>
      </c>
      <c r="D33" s="38" t="str">
        <f t="shared" si="6"/>
        <v>Option 2Operating expenditure</v>
      </c>
      <c r="E33" s="1"/>
      <c r="F33" s="97" cm="1">
        <f t="array" ref="F33">SUMPRODUCT(($H33:$AG33)*($H$5:$AG$5)*($H$7:$AG$7))</f>
        <v>-954627.62763447443</v>
      </c>
      <c r="G33" s="225">
        <f t="shared" si="8"/>
        <v>46203</v>
      </c>
      <c r="H33" s="31"/>
      <c r="I33" s="31">
        <f>Option2!I$83*conv_2026*I$7</f>
        <v>0</v>
      </c>
      <c r="J33" s="31">
        <f>Option2!J$83*conv_2026*J$7</f>
        <v>0</v>
      </c>
      <c r="K33" s="31">
        <f>Option2!K$83*conv_2026*K$7</f>
        <v>0</v>
      </c>
      <c r="L33" s="31">
        <f>Option2!L$83*conv_2026*L$7</f>
        <v>0</v>
      </c>
      <c r="M33" s="31">
        <f>Option2!M$83*conv_2026*M$7</f>
        <v>-89033.011713327753</v>
      </c>
      <c r="N33" s="31">
        <f>Option2!N$83*conv_2026*N$7</f>
        <v>-89033.011713327753</v>
      </c>
      <c r="O33" s="31">
        <f>Option2!O$83*conv_2026*O$7</f>
        <v>-89033.011713327753</v>
      </c>
      <c r="P33" s="31">
        <f>Option2!P$83*conv_2026*P$7</f>
        <v>-89033.011713327753</v>
      </c>
      <c r="Q33" s="31">
        <f>Option2!Q$83*conv_2026*Q$7</f>
        <v>-89033.011713327753</v>
      </c>
      <c r="R33" s="31">
        <f>Option2!R$83*conv_2026*R$7</f>
        <v>-89033.011713327753</v>
      </c>
      <c r="S33" s="31">
        <f>Option2!S$83*conv_2026*S$7</f>
        <v>-89033.011713327753</v>
      </c>
      <c r="T33" s="31">
        <f>Option2!T$83*conv_2026*T$7</f>
        <v>-89033.011713327753</v>
      </c>
      <c r="U33" s="31">
        <f>Option2!U$83*conv_2026*U$7</f>
        <v>-89033.011713327753</v>
      </c>
      <c r="V33" s="31">
        <f>Option2!V$83*conv_2026*V$7</f>
        <v>-89033.011713327753</v>
      </c>
      <c r="W33" s="31">
        <f>Option2!W$83*conv_2026*W$7</f>
        <v>-89033.011713327753</v>
      </c>
      <c r="X33" s="31">
        <f>Option2!X$83*conv_2026*X$7</f>
        <v>-89033.011713327753</v>
      </c>
      <c r="Y33" s="31">
        <f>Option2!Y$83*conv_2026*Y$7</f>
        <v>-89033.011713327753</v>
      </c>
      <c r="Z33" s="31">
        <f>Option2!Z$83*conv_2026*Z$7</f>
        <v>-89033.011713327753</v>
      </c>
      <c r="AA33" s="31">
        <f>Option2!AA$83*conv_2026*AA$7</f>
        <v>-89033.011713327753</v>
      </c>
      <c r="AB33" s="31">
        <f>Option2!AB$83*conv_2026*AB$7</f>
        <v>-89033.011713327753</v>
      </c>
      <c r="AC33" s="31">
        <f>Option2!AC$83*conv_2026*AC$7</f>
        <v>0</v>
      </c>
      <c r="AD33" s="31">
        <f>Option2!AD$83*conv_2026*AD$7</f>
        <v>0</v>
      </c>
      <c r="AE33" s="31">
        <f>Option2!AE$83*conv_2026*AE$7</f>
        <v>0</v>
      </c>
      <c r="AF33" s="31">
        <f>Option2!AF$83*conv_2026*AF$7</f>
        <v>0</v>
      </c>
      <c r="AG33" s="31">
        <f>Option2!AG$83*conv_2026*AG$7</f>
        <v>0</v>
      </c>
    </row>
    <row r="34" spans="1:33" s="2" customFormat="1" ht="13" x14ac:dyDescent="0.3">
      <c r="A34" s="135" t="str">
        <f t="shared" si="7"/>
        <v>Option 2</v>
      </c>
      <c r="B34" s="135"/>
      <c r="C34" s="58" t="str">
        <f>Option2!C$84</f>
        <v>Risk mitigated</v>
      </c>
      <c r="D34" s="38" t="str">
        <f t="shared" si="6"/>
        <v>Option 2Risk mitigated</v>
      </c>
      <c r="E34" s="1"/>
      <c r="F34" s="97" cm="1">
        <f t="array" ref="F34">SUMPRODUCT(($H34:$AG34)*($H$5:$AG$5)*($H$7:$AG$7))</f>
        <v>8283387.3639577869</v>
      </c>
      <c r="G34" s="225">
        <f t="shared" si="8"/>
        <v>46203</v>
      </c>
      <c r="H34" s="31"/>
      <c r="I34" s="31">
        <f>Option2!I$84*conv_2026*I$7</f>
        <v>0</v>
      </c>
      <c r="J34" s="31">
        <f>Option2!J$84*conv_2026*J$7</f>
        <v>96433.884480384091</v>
      </c>
      <c r="K34" s="31">
        <f>Option2!K$84*conv_2026*K$7</f>
        <v>192863.82918528613</v>
      </c>
      <c r="L34" s="31">
        <f>Option2!L$84*conv_2026*L$7</f>
        <v>289297.05572316505</v>
      </c>
      <c r="M34" s="31">
        <f>Option2!M$84*conv_2026*M$7</f>
        <v>912691.8448040958</v>
      </c>
      <c r="N34" s="31">
        <f>Option2!N$84*conv_2026*N$7</f>
        <v>889196.49172378948</v>
      </c>
      <c r="O34" s="31">
        <f>Option2!O$84*conv_2026*O$7</f>
        <v>871501.02447856008</v>
      </c>
      <c r="P34" s="31">
        <f>Option2!P$84*conv_2026*P$7</f>
        <v>849301.92245625309</v>
      </c>
      <c r="Q34" s="31">
        <f>Option2!Q$84*conv_2026*Q$7</f>
        <v>828267.72486979386</v>
      </c>
      <c r="R34" s="31">
        <f>Option2!R$84*conv_2026*R$7</f>
        <v>794170.19754243246</v>
      </c>
      <c r="S34" s="31">
        <f>Option2!S$84*conv_2026*S$7</f>
        <v>760072.67021507013</v>
      </c>
      <c r="T34" s="31">
        <f>Option2!T$84*conv_2026*T$7</f>
        <v>725975.14288770827</v>
      </c>
      <c r="U34" s="31">
        <f>Option2!U$84*conv_2026*U$7</f>
        <v>691877.61556034582</v>
      </c>
      <c r="V34" s="31">
        <f>Option2!V$84*conv_2026*V$7</f>
        <v>657780.08823298395</v>
      </c>
      <c r="W34" s="31">
        <f>Option2!W$84*conv_2026*W$7</f>
        <v>623682.56090562209</v>
      </c>
      <c r="X34" s="31">
        <f>Option2!X$84*conv_2026*X$7</f>
        <v>589585.03357825975</v>
      </c>
      <c r="Y34" s="31">
        <f>Option2!Y$84*conv_2026*Y$7</f>
        <v>555487.50625089789</v>
      </c>
      <c r="Z34" s="31">
        <f>Option2!Z$84*conv_2026*Z$7</f>
        <v>521389.9789235355</v>
      </c>
      <c r="AA34" s="31">
        <f>Option2!AA$84*conv_2026*AA$7</f>
        <v>487292.45159617311</v>
      </c>
      <c r="AB34" s="31">
        <f>Option2!AB$84*conv_2026*AB$7</f>
        <v>453194.92426881171</v>
      </c>
      <c r="AC34" s="31">
        <f>Option2!AC$84*conv_2026*AC$7</f>
        <v>0</v>
      </c>
      <c r="AD34" s="31">
        <f>Option2!AD$84*conv_2026*AD$7</f>
        <v>0</v>
      </c>
      <c r="AE34" s="31">
        <f>Option2!AE$84*conv_2026*AE$7</f>
        <v>0</v>
      </c>
      <c r="AF34" s="31">
        <f>Option2!AF$84*conv_2026*AF$7</f>
        <v>0</v>
      </c>
      <c r="AG34" s="31">
        <f>Option2!AG$84*conv_2026*AG$7</f>
        <v>0</v>
      </c>
    </row>
    <row r="35" spans="1:33" s="2" customFormat="1" ht="13" x14ac:dyDescent="0.3">
      <c r="A35" s="135" t="str">
        <f t="shared" si="7"/>
        <v>Option 2</v>
      </c>
      <c r="B35" s="135"/>
      <c r="C35" s="58" t="str">
        <f>Option2!C$85</f>
        <v>Other benefits value</v>
      </c>
      <c r="D35" s="38" t="str">
        <f t="shared" si="6"/>
        <v>Option 2Other benefits value</v>
      </c>
      <c r="E35" s="1"/>
      <c r="F35" s="97" cm="1">
        <f t="array" ref="F35">SUMPRODUCT(($H35:$AG35)*($H$5:$AG$5)*($H$7:$AG$7))</f>
        <v>669646.7662652178</v>
      </c>
      <c r="G35" s="225">
        <f t="shared" si="8"/>
        <v>46203</v>
      </c>
      <c r="H35" s="31"/>
      <c r="I35" s="31">
        <f>Option2!I$85*conv_2026*I$7</f>
        <v>0</v>
      </c>
      <c r="J35" s="31">
        <f>Option2!J$85*conv_2026*J$7</f>
        <v>0</v>
      </c>
      <c r="K35" s="31">
        <f>Option2!K$85*conv_2026*K$7</f>
        <v>0</v>
      </c>
      <c r="L35" s="31">
        <f>Option2!L$85*conv_2026*L$7</f>
        <v>0</v>
      </c>
      <c r="M35" s="31">
        <f>Option2!M$85*conv_2026*M$7</f>
        <v>65437.788806491175</v>
      </c>
      <c r="N35" s="31">
        <f>Option2!N$85*conv_2026*N$7</f>
        <v>64997.278493917009</v>
      </c>
      <c r="O35" s="31">
        <f>Option2!O$85*conv_2026*O$7</f>
        <v>64556.793603883954</v>
      </c>
      <c r="P35" s="31">
        <f>Option2!P$85*conv_2026*P$7</f>
        <v>64116.279858975882</v>
      </c>
      <c r="Q35" s="31">
        <f>Option2!Q$85*conv_2026*Q$7</f>
        <v>63675.766114067796</v>
      </c>
      <c r="R35" s="31">
        <f>Option2!R$85*conv_2026*R$7</f>
        <v>63235.252369159731</v>
      </c>
      <c r="S35" s="31">
        <f>Option2!S$85*conv_2026*S$7</f>
        <v>62794.738624251644</v>
      </c>
      <c r="T35" s="31">
        <f>Option2!T$85*conv_2026*T$7</f>
        <v>62354.224879343557</v>
      </c>
      <c r="U35" s="31">
        <f>Option2!U$85*conv_2026*U$7</f>
        <v>61913.711134435493</v>
      </c>
      <c r="V35" s="31">
        <f>Option2!V$85*conv_2026*V$7</f>
        <v>61473.197389527406</v>
      </c>
      <c r="W35" s="31">
        <f>Option2!W$85*conv_2026*W$7</f>
        <v>61032.683644619334</v>
      </c>
      <c r="X35" s="31">
        <f>Option2!X$85*conv_2026*X$7</f>
        <v>60592.169899711262</v>
      </c>
      <c r="Y35" s="31">
        <f>Option2!Y$85*conv_2026*Y$7</f>
        <v>60151.656154803153</v>
      </c>
      <c r="Z35" s="31">
        <f>Option2!Z$85*conv_2026*Z$7</f>
        <v>59711.142409895088</v>
      </c>
      <c r="AA35" s="31">
        <f>Option2!AA$85*conv_2026*AA$7</f>
        <v>59270.628664987016</v>
      </c>
      <c r="AB35" s="31">
        <f>Option2!AB$85*conv_2026*AB$7</f>
        <v>58830.114920078937</v>
      </c>
      <c r="AC35" s="31">
        <f>Option2!AC$85*conv_2026*AC$7</f>
        <v>0</v>
      </c>
      <c r="AD35" s="31">
        <f>Option2!AD$85*conv_2026*AD$7</f>
        <v>0</v>
      </c>
      <c r="AE35" s="31">
        <f>Option2!AE$85*conv_2026*AE$7</f>
        <v>0</v>
      </c>
      <c r="AF35" s="31">
        <f>Option2!AF$85*conv_2026*AF$7</f>
        <v>0</v>
      </c>
      <c r="AG35" s="31">
        <f>Option2!AG$85*conv_2026*AG$7</f>
        <v>0</v>
      </c>
    </row>
    <row r="36" spans="1:33" s="2" customFormat="1" ht="13" x14ac:dyDescent="0.3">
      <c r="A36" s="135" t="str">
        <f t="shared" si="7"/>
        <v>Option 2</v>
      </c>
      <c r="B36" s="135"/>
      <c r="C36" s="124" t="str">
        <f>Option2!C87</f>
        <v>Net benefits</v>
      </c>
      <c r="D36" s="109" t="str">
        <f t="shared" si="6"/>
        <v>Option 2Net benefits</v>
      </c>
      <c r="E36" s="110"/>
      <c r="F36" s="143"/>
      <c r="G36" s="227">
        <f t="shared" si="8"/>
        <v>46203</v>
      </c>
      <c r="H36" s="52"/>
      <c r="I36" s="52">
        <f>SUM(I32:I35)</f>
        <v>0</v>
      </c>
      <c r="J36" s="52">
        <f t="shared" ref="J36:AG36" si="9">SUM(J32:J35)</f>
        <v>96433.884480384091</v>
      </c>
      <c r="K36" s="52">
        <f t="shared" si="9"/>
        <v>192863.82918528613</v>
      </c>
      <c r="L36" s="52">
        <f t="shared" si="9"/>
        <v>289297.05572316505</v>
      </c>
      <c r="M36" s="52">
        <f t="shared" si="9"/>
        <v>667121.94421845733</v>
      </c>
      <c r="N36" s="52">
        <f t="shared" si="9"/>
        <v>643186.08082557691</v>
      </c>
      <c r="O36" s="52">
        <f t="shared" si="9"/>
        <v>625050.12869031436</v>
      </c>
      <c r="P36" s="52">
        <f t="shared" si="9"/>
        <v>602410.51292309933</v>
      </c>
      <c r="Q36" s="52">
        <f t="shared" si="9"/>
        <v>580935.80159173207</v>
      </c>
      <c r="R36" s="52">
        <f t="shared" si="9"/>
        <v>546397.76051946264</v>
      </c>
      <c r="S36" s="52">
        <f t="shared" si="9"/>
        <v>511859.71944719215</v>
      </c>
      <c r="T36" s="52">
        <f t="shared" si="9"/>
        <v>477321.67837492225</v>
      </c>
      <c r="U36" s="52">
        <f t="shared" si="9"/>
        <v>442783.63730265171</v>
      </c>
      <c r="V36" s="52">
        <f t="shared" si="9"/>
        <v>408245.59623038175</v>
      </c>
      <c r="W36" s="52">
        <f t="shared" si="9"/>
        <v>373707.55515811185</v>
      </c>
      <c r="X36" s="52">
        <f t="shared" si="9"/>
        <v>339169.51408584142</v>
      </c>
      <c r="Y36" s="52">
        <f t="shared" si="9"/>
        <v>304631.47301357146</v>
      </c>
      <c r="Z36" s="52">
        <f t="shared" si="9"/>
        <v>270093.43194130098</v>
      </c>
      <c r="AA36" s="52">
        <f t="shared" si="9"/>
        <v>235555.39086903053</v>
      </c>
      <c r="AB36" s="52">
        <f t="shared" si="9"/>
        <v>201017.34979676106</v>
      </c>
      <c r="AC36" s="52">
        <f t="shared" si="9"/>
        <v>0</v>
      </c>
      <c r="AD36" s="52">
        <f t="shared" si="9"/>
        <v>0</v>
      </c>
      <c r="AE36" s="52">
        <f t="shared" si="9"/>
        <v>0</v>
      </c>
      <c r="AF36" s="52">
        <f t="shared" si="9"/>
        <v>0</v>
      </c>
      <c r="AG36" s="52">
        <f t="shared" si="9"/>
        <v>0</v>
      </c>
    </row>
    <row r="37" spans="1:33" s="2" customFormat="1" ht="13" x14ac:dyDescent="0.3">
      <c r="A37" s="135" t="str">
        <f t="shared" si="7"/>
        <v>Option 2</v>
      </c>
      <c r="B37" s="135"/>
      <c r="C37" s="8" t="s">
        <v>120</v>
      </c>
      <c r="D37" s="38" t="str">
        <f t="shared" si="6"/>
        <v>Option 2NPV</v>
      </c>
      <c r="E37" s="1"/>
      <c r="F37" s="108" cm="1">
        <f t="array" ref="F37">SUMPRODUCT(($H36:$AG36)*($H$5:$AG$5)*($H$7:$AG$7))</f>
        <v>5618354.9254304226</v>
      </c>
      <c r="G37" s="225">
        <f t="shared" si="8"/>
        <v>46203</v>
      </c>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2" customFormat="1" ht="13" x14ac:dyDescent="0.3">
      <c r="A38" s="135" t="str">
        <f t="shared" si="7"/>
        <v>Option 2</v>
      </c>
      <c r="B38" s="135"/>
      <c r="C38" s="8" t="s">
        <v>195</v>
      </c>
      <c r="D38" s="38" t="str">
        <f t="shared" si="6"/>
        <v>Option 2PV of costs</v>
      </c>
      <c r="E38" s="1"/>
      <c r="F38" s="108">
        <f>SUM(F32:F33)</f>
        <v>-3334679.2047925792</v>
      </c>
      <c r="G38" s="225">
        <f t="shared" si="8"/>
        <v>46203</v>
      </c>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2" customFormat="1" ht="13" x14ac:dyDescent="0.3">
      <c r="A39" s="135" t="str">
        <f t="shared" si="7"/>
        <v>Option 2</v>
      </c>
      <c r="B39" s="135"/>
      <c r="C39" s="8" t="s">
        <v>196</v>
      </c>
      <c r="D39" s="38" t="str">
        <f t="shared" si="6"/>
        <v>Option 2PV of benefits</v>
      </c>
      <c r="E39" s="1"/>
      <c r="F39" s="108">
        <f>SUM(F34:F35)</f>
        <v>8953034.1302230041</v>
      </c>
      <c r="G39" s="225">
        <f t="shared" si="8"/>
        <v>46203</v>
      </c>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2" customFormat="1" ht="13" x14ac:dyDescent="0.3">
      <c r="A40" s="135"/>
      <c r="B40" s="135"/>
      <c r="C40" s="1"/>
      <c r="D40" s="38"/>
      <c r="E40" s="1"/>
      <c r="F40" s="108"/>
      <c r="G40" s="228"/>
      <c r="H40" s="1"/>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2" customFormat="1" ht="13" x14ac:dyDescent="0.3">
      <c r="A41" s="122"/>
      <c r="B41" s="122"/>
      <c r="C41" s="122"/>
      <c r="D41" s="38" t="str">
        <f>A41&amp;C41</f>
        <v/>
      </c>
      <c r="F41" s="117"/>
      <c r="G41" s="221"/>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row>
    <row r="42" spans="1:33" s="270" customFormat="1" ht="13" x14ac:dyDescent="0.3">
      <c r="A42" s="268" t="str">
        <f>A43</f>
        <v>Option 3</v>
      </c>
      <c r="B42" s="268"/>
      <c r="C42" s="268" t="s">
        <v>125</v>
      </c>
      <c r="D42" s="269" t="str">
        <f>A42&amp;C42</f>
        <v>Option 3Energy at risk value</v>
      </c>
      <c r="F42" s="97">
        <f>SUMPRODUCT($H42:$AG42, $H$5:$AG$5)</f>
        <v>59076771.010662802</v>
      </c>
      <c r="G42" s="271">
        <f>output_dollars</f>
        <v>46203</v>
      </c>
      <c r="H42" s="272"/>
      <c r="I42" s="31">
        <f>Option3!I$28*conv_2026</f>
        <v>3939775.4823051924</v>
      </c>
      <c r="J42" s="31">
        <f>Option3!J$28*conv_2026</f>
        <v>3939775.4823051924</v>
      </c>
      <c r="K42" s="31">
        <f>Option3!K$28*conv_2026</f>
        <v>3939775.4823051924</v>
      </c>
      <c r="L42" s="31">
        <f>Option3!L$28*conv_2026</f>
        <v>3939775.4823051924</v>
      </c>
      <c r="M42" s="31">
        <f>Option3!M$28*conv_2026</f>
        <v>3412813.0490717585</v>
      </c>
      <c r="N42" s="31">
        <f>Option3!N$28*conv_2026</f>
        <v>3406173.2919346658</v>
      </c>
      <c r="O42" s="31">
        <f>Option3!O$28*conv_2026</f>
        <v>3393735.3706443813</v>
      </c>
      <c r="P42" s="31">
        <f>Option3!P$28*conv_2026</f>
        <v>3385799.1300025363</v>
      </c>
      <c r="Q42" s="31">
        <f>Option3!Q$28*conv_2026</f>
        <v>3376697.9849248431</v>
      </c>
      <c r="R42" s="31">
        <f>Option3!R$28*conv_2026</f>
        <v>3380660.1695880531</v>
      </c>
      <c r="S42" s="31">
        <f>Option3!S$28*conv_2026</f>
        <v>3384622.3542512623</v>
      </c>
      <c r="T42" s="31">
        <f>Option3!T$28*conv_2026</f>
        <v>3388584.5389144723</v>
      </c>
      <c r="U42" s="31">
        <f>Option3!U$28*conv_2026</f>
        <v>3392546.7235776819</v>
      </c>
      <c r="V42" s="31">
        <f>Option3!V$28*conv_2026</f>
        <v>3396508.9082408911</v>
      </c>
      <c r="W42" s="31">
        <f>Option3!W$28*conv_2026</f>
        <v>3400471.0929041007</v>
      </c>
      <c r="X42" s="31">
        <f>Option3!X$28*conv_2026</f>
        <v>3404433.2775673107</v>
      </c>
      <c r="Y42" s="31">
        <f>Option3!Y$28*conv_2026</f>
        <v>3408395.4622305199</v>
      </c>
      <c r="Z42" s="31">
        <f>Option3!Z$28*conv_2026</f>
        <v>3412357.6468937299</v>
      </c>
      <c r="AA42" s="31">
        <f>Option3!AA$28*conv_2026</f>
        <v>3416319.8315569395</v>
      </c>
      <c r="AB42" s="31">
        <f>Option3!AB$28*conv_2026</f>
        <v>3420282.0162201487</v>
      </c>
      <c r="AC42" s="31">
        <f>Option3!AC$28*conv_2026</f>
        <v>3424244.2008833583</v>
      </c>
      <c r="AD42" s="31">
        <f>Option3!AD$28*conv_2026</f>
        <v>3428206.3855465683</v>
      </c>
      <c r="AE42" s="31">
        <f>Option3!AE$28*conv_2026</f>
        <v>3432168.0495086489</v>
      </c>
      <c r="AF42" s="31">
        <f>Option3!AF$28*conv_2026</f>
        <v>3436130.2341718576</v>
      </c>
      <c r="AG42" s="31">
        <f>Option3!AG$28*conv_2026</f>
        <v>3440092.4188350672</v>
      </c>
    </row>
    <row r="43" spans="1:33" s="2" customFormat="1" ht="13" x14ac:dyDescent="0.3">
      <c r="A43" s="135" t="str">
        <f>Data!B11</f>
        <v>Option 3</v>
      </c>
      <c r="B43" s="135"/>
      <c r="C43" s="58" t="str">
        <f>Option3!C$66</f>
        <v>Capital expenditure</v>
      </c>
      <c r="D43" s="38" t="str">
        <f>A43&amp;C43</f>
        <v>Option 3Capital expenditure</v>
      </c>
      <c r="E43" s="1"/>
      <c r="F43" s="97">
        <f>SUMPRODUCT($H43:$AG43, $H$5:$AG$5)</f>
        <v>-6189741.1372246481</v>
      </c>
      <c r="G43" s="225">
        <f>output_dollars</f>
        <v>46203</v>
      </c>
      <c r="H43" s="31"/>
      <c r="I43" s="31">
        <f>SUM(Option3!I$67:I$69)*conv_2026*I$7</f>
        <v>0</v>
      </c>
      <c r="J43" s="31">
        <f>SUM(Option3!J$67:J$69)*conv_2026*J$7</f>
        <v>0</v>
      </c>
      <c r="K43" s="31">
        <f>SUM(Option3!K$67:K$69)*conv_2026*K$7</f>
        <v>0</v>
      </c>
      <c r="L43" s="31">
        <f>SUM(Option3!L$67:L$69)*conv_2026*L$7</f>
        <v>-6981740.6314666467</v>
      </c>
      <c r="M43" s="31">
        <f>SUM(Option3!M$67:M$69)*conv_2026*M$7</f>
        <v>0</v>
      </c>
      <c r="N43" s="31">
        <f>SUM(Option3!N$67:N$69)*conv_2026*N$7</f>
        <v>0</v>
      </c>
      <c r="O43" s="31">
        <f>SUM(Option3!O$67:O$69)*conv_2026*O$7</f>
        <v>0</v>
      </c>
      <c r="P43" s="31">
        <f>SUM(Option3!P$67:P$69)*conv_2026*P$7</f>
        <v>0</v>
      </c>
      <c r="Q43" s="31">
        <f>SUM(Option3!Q$67:Q$69)*conv_2026*Q$7</f>
        <v>0</v>
      </c>
      <c r="R43" s="31">
        <f>SUM(Option3!R$67:R$69)*conv_2026*R$7</f>
        <v>0</v>
      </c>
      <c r="S43" s="31">
        <f>SUM(Option3!S$67:S$69)*conv_2026*S$7</f>
        <v>0</v>
      </c>
      <c r="T43" s="31">
        <f>SUM(Option3!T$67:T$69)*conv_2026*T$7</f>
        <v>0</v>
      </c>
      <c r="U43" s="31">
        <f>SUM(Option3!U$67:U$69)*conv_2026*U$7</f>
        <v>0</v>
      </c>
      <c r="V43" s="31">
        <f>SUM(Option3!V$67:V$69)*conv_2026*V$7</f>
        <v>0</v>
      </c>
      <c r="W43" s="31">
        <f>SUM(Option3!W$67:W$69)*conv_2026*W$7</f>
        <v>0</v>
      </c>
      <c r="X43" s="31">
        <f>SUM(Option3!X$67:X$69)*conv_2026*X$7</f>
        <v>0</v>
      </c>
      <c r="Y43" s="31">
        <f>SUM(Option3!Y$67:Y$69)*conv_2026*Y$7</f>
        <v>0</v>
      </c>
      <c r="Z43" s="31">
        <f>SUM(Option3!Z$67:Z$69)*conv_2026*Z$7</f>
        <v>0</v>
      </c>
      <c r="AA43" s="31">
        <f>SUM(Option3!AA$67:AA$69)*conv_2026*AA$7</f>
        <v>0</v>
      </c>
      <c r="AB43" s="31">
        <f>SUM(Option3!AB$67:AB$69)*conv_2026*AB$7</f>
        <v>0</v>
      </c>
      <c r="AC43" s="31">
        <f>SUM(Option3!AC$67:AC$69)*conv_2026*AC$7</f>
        <v>0</v>
      </c>
      <c r="AD43" s="31">
        <f>SUM(Option3!AD$67:AD$69)*conv_2026*AD$7</f>
        <v>0</v>
      </c>
      <c r="AE43" s="31">
        <f>SUM(Option3!AE$67:AE$69)*conv_2026*AE$7</f>
        <v>0</v>
      </c>
      <c r="AF43" s="31">
        <f>SUM(Option3!AF$67:AF$69)*conv_2026*AF$7</f>
        <v>0</v>
      </c>
      <c r="AG43" s="31">
        <f>SUM(Option3!AG$67:AG$69)*conv_2026*AG$7</f>
        <v>0</v>
      </c>
    </row>
    <row r="44" spans="1:33" s="2" customFormat="1" ht="13" x14ac:dyDescent="0.3">
      <c r="A44" s="135" t="str">
        <f t="shared" ref="A44:A53" si="10">A43</f>
        <v>Option 3</v>
      </c>
      <c r="B44" s="135"/>
      <c r="C44" s="58" t="str">
        <f>'Option1 (base case)'!C$36</f>
        <v>Total risk cost</v>
      </c>
      <c r="D44" s="38" t="str">
        <f>A44&amp;C44</f>
        <v>Option 3Total risk cost</v>
      </c>
      <c r="E44" s="1"/>
      <c r="F44" s="97">
        <f>SUMPRODUCT($H44:$AG44, $H$5:$AG$5)</f>
        <v>51154310.836708993</v>
      </c>
      <c r="G44" s="225">
        <f>output_dollars</f>
        <v>46203</v>
      </c>
      <c r="H44" s="31"/>
      <c r="I44" s="31">
        <f>Option3!I$36*conv_2026*I$7</f>
        <v>3939775.4823051924</v>
      </c>
      <c r="J44" s="31">
        <f>Option3!J$36*conv_2026*J$7</f>
        <v>3939775.4823051924</v>
      </c>
      <c r="K44" s="31">
        <f>Option3!K$36*conv_2026*K$7</f>
        <v>3939775.4823051924</v>
      </c>
      <c r="L44" s="31">
        <f>Option3!L$36*conv_2026*L$7</f>
        <v>3939775.4823051924</v>
      </c>
      <c r="M44" s="31">
        <f>Option3!M$36*conv_2026*M$7</f>
        <v>3412813.0490717585</v>
      </c>
      <c r="N44" s="31">
        <f>Option3!N$36*conv_2026*N$7</f>
        <v>3406173.2919346658</v>
      </c>
      <c r="O44" s="31">
        <f>Option3!O$36*conv_2026*O$7</f>
        <v>3393735.3706443813</v>
      </c>
      <c r="P44" s="31">
        <f>Option3!P$36*conv_2026*P$7</f>
        <v>3385799.1300025363</v>
      </c>
      <c r="Q44" s="31">
        <f>Option3!Q$36*conv_2026*Q$7</f>
        <v>3376697.9849248431</v>
      </c>
      <c r="R44" s="31">
        <f>Option3!R$36*conv_2026*R$7</f>
        <v>3380660.1695880531</v>
      </c>
      <c r="S44" s="31">
        <f>Option3!S$36*conv_2026*S$7</f>
        <v>3384622.3542512623</v>
      </c>
      <c r="T44" s="31">
        <f>Option3!T$36*conv_2026*T$7</f>
        <v>3388584.5389144723</v>
      </c>
      <c r="U44" s="31">
        <f>Option3!U$36*conv_2026*U$7</f>
        <v>3392546.7235776819</v>
      </c>
      <c r="V44" s="31">
        <f>Option3!V$36*conv_2026*V$7</f>
        <v>3396508.9082408911</v>
      </c>
      <c r="W44" s="31">
        <f>Option3!W$36*conv_2026*W$7</f>
        <v>3400471.0929041007</v>
      </c>
      <c r="X44" s="31">
        <f>Option3!X$36*conv_2026*X$7</f>
        <v>3404433.2775673107</v>
      </c>
      <c r="Y44" s="31">
        <f>Option3!Y$36*conv_2026*Y$7</f>
        <v>3408395.4622305199</v>
      </c>
      <c r="Z44" s="31">
        <f>Option3!Z$36*conv_2026*Z$7</f>
        <v>3412357.6468937299</v>
      </c>
      <c r="AA44" s="31">
        <f>Option3!AA$36*conv_2026*AA$7</f>
        <v>3416319.8315569395</v>
      </c>
      <c r="AB44" s="31">
        <f>Option3!AB$36*conv_2026*AB$7</f>
        <v>3420282.0162201487</v>
      </c>
      <c r="AC44" s="31">
        <f>Option3!AC$36*conv_2026*AC$7</f>
        <v>0</v>
      </c>
      <c r="AD44" s="31">
        <f>Option3!AD$36*conv_2026*AD$7</f>
        <v>0</v>
      </c>
      <c r="AE44" s="31">
        <f>Option3!AE$36*conv_2026*AE$7</f>
        <v>0</v>
      </c>
      <c r="AF44" s="31">
        <f>Option3!AF$36*conv_2026*AF$7</f>
        <v>0</v>
      </c>
      <c r="AG44" s="31">
        <f>Option3!AG$36*conv_2026*AG$7</f>
        <v>0</v>
      </c>
    </row>
    <row r="45" spans="1:33" s="2" customFormat="1" ht="13" x14ac:dyDescent="0.3">
      <c r="A45" s="135" t="str">
        <f t="shared" si="10"/>
        <v>Option 3</v>
      </c>
      <c r="B45" s="135"/>
      <c r="C45" s="58"/>
      <c r="D45" s="38"/>
      <c r="E45" s="1"/>
      <c r="F45" s="97"/>
      <c r="G45" s="225"/>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s="2" customFormat="1" ht="13" x14ac:dyDescent="0.3">
      <c r="A46" s="135" t="str">
        <f t="shared" si="10"/>
        <v>Option 3</v>
      </c>
      <c r="B46" s="135"/>
      <c r="C46" s="58" t="str">
        <f>Option3!C$82</f>
        <v>Annualised capex</v>
      </c>
      <c r="D46" s="38" t="str">
        <f t="shared" ref="D46:D53" si="11">A46&amp;C46</f>
        <v>Option 3Annualised capex</v>
      </c>
      <c r="E46" s="1"/>
      <c r="F46" s="97">
        <f>SUMPRODUCT($H46:$AG46, $H$5:$AG$5)</f>
        <v>-5267191.6730308784</v>
      </c>
      <c r="G46" s="225">
        <f t="shared" ref="G46:G53" si="12">output_dollars</f>
        <v>46203</v>
      </c>
      <c r="H46" s="31"/>
      <c r="I46" s="31">
        <f>Option3!I$82*conv_2026*I$7</f>
        <v>0</v>
      </c>
      <c r="J46" s="31">
        <f>Option3!J$82*conv_2026*J$7</f>
        <v>0</v>
      </c>
      <c r="K46" s="31">
        <f>Option3!K$82*conv_2026*K$7</f>
        <v>0</v>
      </c>
      <c r="L46" s="31">
        <f>Option3!L$82*conv_2026*L$7</f>
        <v>0</v>
      </c>
      <c r="M46" s="31">
        <f>Option3!M$82*conv_2026*M$7</f>
        <v>-491242.78864979849</v>
      </c>
      <c r="N46" s="31">
        <f>Option3!N$82*conv_2026*N$7</f>
        <v>-491242.78864979849</v>
      </c>
      <c r="O46" s="31">
        <f>Option3!O$82*conv_2026*O$7</f>
        <v>-491242.78864979849</v>
      </c>
      <c r="P46" s="31">
        <f>Option3!P$82*conv_2026*P$7</f>
        <v>-491242.78864979849</v>
      </c>
      <c r="Q46" s="31">
        <f>Option3!Q$82*conv_2026*Q$7</f>
        <v>-491242.78864979849</v>
      </c>
      <c r="R46" s="31">
        <f>Option3!R$82*conv_2026*R$7</f>
        <v>-491242.78864979849</v>
      </c>
      <c r="S46" s="31">
        <f>Option3!S$82*conv_2026*S$7</f>
        <v>-491242.78864979849</v>
      </c>
      <c r="T46" s="31">
        <f>Option3!T$82*conv_2026*T$7</f>
        <v>-491242.78864979849</v>
      </c>
      <c r="U46" s="31">
        <f>Option3!U$82*conv_2026*U$7</f>
        <v>-491242.78864979849</v>
      </c>
      <c r="V46" s="31">
        <f>Option3!V$82*conv_2026*V$7</f>
        <v>-491242.78864979849</v>
      </c>
      <c r="W46" s="31">
        <f>Option3!W$82*conv_2026*W$7</f>
        <v>-491242.78864979849</v>
      </c>
      <c r="X46" s="31">
        <f>Option3!X$82*conv_2026*X$7</f>
        <v>-491242.78864979849</v>
      </c>
      <c r="Y46" s="31">
        <f>Option3!Y$82*conv_2026*Y$7</f>
        <v>-491242.78864979849</v>
      </c>
      <c r="Z46" s="31">
        <f>Option3!Z$82*conv_2026*Z$7</f>
        <v>-491242.78864979849</v>
      </c>
      <c r="AA46" s="31">
        <f>Option3!AA$82*conv_2026*AA$7</f>
        <v>-491242.78864979849</v>
      </c>
      <c r="AB46" s="31">
        <f>Option3!AB$82*conv_2026*AB$7</f>
        <v>-491242.78864979849</v>
      </c>
      <c r="AC46" s="31">
        <f>Option3!AC$82*conv_2026*AC$7</f>
        <v>0</v>
      </c>
      <c r="AD46" s="31">
        <f>Option3!AD$82*conv_2026*AD$7</f>
        <v>0</v>
      </c>
      <c r="AE46" s="31">
        <f>Option3!AE$82*conv_2026*AE$7</f>
        <v>0</v>
      </c>
      <c r="AF46" s="31">
        <f>Option3!AF$82*conv_2026*AF$7</f>
        <v>0</v>
      </c>
      <c r="AG46" s="31">
        <f>Option3!AG$82*conv_2026*AG$7</f>
        <v>0</v>
      </c>
    </row>
    <row r="47" spans="1:33" s="2" customFormat="1" ht="13" x14ac:dyDescent="0.3">
      <c r="A47" s="135" t="str">
        <f t="shared" si="10"/>
        <v>Option 3</v>
      </c>
      <c r="B47" s="135"/>
      <c r="C47" s="58" t="str">
        <f>Option3!C$83</f>
        <v>Operating expenditure</v>
      </c>
      <c r="D47" s="38" t="str">
        <f t="shared" si="11"/>
        <v>Option 3Operating expenditure</v>
      </c>
      <c r="E47" s="1"/>
      <c r="F47" s="97">
        <f>SUMPRODUCT($H47:$AG47, $H$5:$AG$5)</f>
        <v>-2147912.1621775674</v>
      </c>
      <c r="G47" s="225">
        <f t="shared" si="12"/>
        <v>46203</v>
      </c>
      <c r="H47" s="31"/>
      <c r="I47" s="31">
        <f>Option3!I$83*conv_2026*I$7</f>
        <v>0</v>
      </c>
      <c r="J47" s="31">
        <f>Option3!J$83*conv_2026*J$7</f>
        <v>0</v>
      </c>
      <c r="K47" s="31">
        <f>Option3!K$83*conv_2026*K$7</f>
        <v>0</v>
      </c>
      <c r="L47" s="31">
        <f>Option3!L$83*conv_2026*L$7</f>
        <v>0</v>
      </c>
      <c r="M47" s="31">
        <f>Option3!M$83*conv_2026*M$7</f>
        <v>-200324.27635498744</v>
      </c>
      <c r="N47" s="31">
        <f>Option3!N$83*conv_2026*N$7</f>
        <v>-200324.27635498744</v>
      </c>
      <c r="O47" s="31">
        <f>Option3!O$83*conv_2026*O$7</f>
        <v>-200324.27635498744</v>
      </c>
      <c r="P47" s="31">
        <f>Option3!P$83*conv_2026*P$7</f>
        <v>-200324.27635498744</v>
      </c>
      <c r="Q47" s="31">
        <f>Option3!Q$83*conv_2026*Q$7</f>
        <v>-200324.27635498744</v>
      </c>
      <c r="R47" s="31">
        <f>Option3!R$83*conv_2026*R$7</f>
        <v>-200324.27635498744</v>
      </c>
      <c r="S47" s="31">
        <f>Option3!S$83*conv_2026*S$7</f>
        <v>-200324.27635498744</v>
      </c>
      <c r="T47" s="31">
        <f>Option3!T$83*conv_2026*T$7</f>
        <v>-200324.27635498744</v>
      </c>
      <c r="U47" s="31">
        <f>Option3!U$83*conv_2026*U$7</f>
        <v>-200324.27635498744</v>
      </c>
      <c r="V47" s="31">
        <f>Option3!V$83*conv_2026*V$7</f>
        <v>-200324.27635498744</v>
      </c>
      <c r="W47" s="31">
        <f>Option3!W$83*conv_2026*W$7</f>
        <v>-200324.27635498744</v>
      </c>
      <c r="X47" s="31">
        <f>Option3!X$83*conv_2026*X$7</f>
        <v>-200324.27635498744</v>
      </c>
      <c r="Y47" s="31">
        <f>Option3!Y$83*conv_2026*Y$7</f>
        <v>-200324.27635498744</v>
      </c>
      <c r="Z47" s="31">
        <f>Option3!Z$83*conv_2026*Z$7</f>
        <v>-200324.27635498744</v>
      </c>
      <c r="AA47" s="31">
        <f>Option3!AA$83*conv_2026*AA$7</f>
        <v>-200324.27635498744</v>
      </c>
      <c r="AB47" s="31">
        <f>Option3!AB$83*conv_2026*AB$7</f>
        <v>-200324.27635498744</v>
      </c>
      <c r="AC47" s="31">
        <f>Option3!AC$83*conv_2026*AC$7</f>
        <v>0</v>
      </c>
      <c r="AD47" s="31">
        <f>Option3!AD$83*conv_2026*AD$7</f>
        <v>0</v>
      </c>
      <c r="AE47" s="31">
        <f>Option3!AE$83*conv_2026*AE$7</f>
        <v>0</v>
      </c>
      <c r="AF47" s="31">
        <f>Option3!AF$83*conv_2026*AF$7</f>
        <v>0</v>
      </c>
      <c r="AG47" s="31">
        <f>Option3!AG$83*conv_2026*AG$7</f>
        <v>0</v>
      </c>
    </row>
    <row r="48" spans="1:33" s="2" customFormat="1" ht="13" x14ac:dyDescent="0.3">
      <c r="A48" s="135" t="str">
        <f t="shared" si="10"/>
        <v>Option 3</v>
      </c>
      <c r="B48" s="135"/>
      <c r="C48" s="58" t="str">
        <f>Option3!C$84</f>
        <v>Risk mitigated</v>
      </c>
      <c r="D48" s="38" t="str">
        <f t="shared" si="11"/>
        <v>Option 3Risk mitigated</v>
      </c>
      <c r="E48" s="1"/>
      <c r="F48" s="97">
        <f>SUMPRODUCT($H48:$AG48, $H$5:$AG$5)</f>
        <v>8283387.3639577869</v>
      </c>
      <c r="G48" s="225">
        <f t="shared" si="12"/>
        <v>46203</v>
      </c>
      <c r="H48" s="31"/>
      <c r="I48" s="31">
        <f>Option3!I$84*conv_2026*I$7</f>
        <v>0</v>
      </c>
      <c r="J48" s="31">
        <f>Option3!J$84*conv_2026*J$7</f>
        <v>96433.884480384091</v>
      </c>
      <c r="K48" s="31">
        <f>Option3!K$84*conv_2026*K$7</f>
        <v>192863.82918528613</v>
      </c>
      <c r="L48" s="31">
        <f>Option3!L$84*conv_2026*L$7</f>
        <v>289297.05572316505</v>
      </c>
      <c r="M48" s="31">
        <f>Option3!M$84*conv_2026*M$7</f>
        <v>912691.8448040958</v>
      </c>
      <c r="N48" s="31">
        <f>Option3!N$84*conv_2026*N$7</f>
        <v>889196.49172378948</v>
      </c>
      <c r="O48" s="31">
        <f>Option3!O$84*conv_2026*O$7</f>
        <v>871501.02447856008</v>
      </c>
      <c r="P48" s="31">
        <f>Option3!P$84*conv_2026*P$7</f>
        <v>849301.92245625309</v>
      </c>
      <c r="Q48" s="31">
        <f>Option3!Q$84*conv_2026*Q$7</f>
        <v>828267.72486979386</v>
      </c>
      <c r="R48" s="31">
        <f>Option3!R$84*conv_2026*R$7</f>
        <v>794170.19754243246</v>
      </c>
      <c r="S48" s="31">
        <f>Option3!S$84*conv_2026*S$7</f>
        <v>760072.67021507013</v>
      </c>
      <c r="T48" s="31">
        <f>Option3!T$84*conv_2026*T$7</f>
        <v>725975.14288770827</v>
      </c>
      <c r="U48" s="31">
        <f>Option3!U$84*conv_2026*U$7</f>
        <v>691877.61556034582</v>
      </c>
      <c r="V48" s="31">
        <f>Option3!V$84*conv_2026*V$7</f>
        <v>657780.08823298395</v>
      </c>
      <c r="W48" s="31">
        <f>Option3!W$84*conv_2026*W$7</f>
        <v>623682.56090562209</v>
      </c>
      <c r="X48" s="31">
        <f>Option3!X$84*conv_2026*X$7</f>
        <v>589585.03357825975</v>
      </c>
      <c r="Y48" s="31">
        <f>Option3!Y$84*conv_2026*Y$7</f>
        <v>555487.50625089789</v>
      </c>
      <c r="Z48" s="31">
        <f>Option3!Z$84*conv_2026*Z$7</f>
        <v>521389.9789235355</v>
      </c>
      <c r="AA48" s="31">
        <f>Option3!AA$84*conv_2026*AA$7</f>
        <v>487292.45159617311</v>
      </c>
      <c r="AB48" s="31">
        <f>Option3!AB$84*conv_2026*AB$7</f>
        <v>453194.92426881171</v>
      </c>
      <c r="AC48" s="31">
        <f>Option3!AC$84*conv_2026*AC$7</f>
        <v>0</v>
      </c>
      <c r="AD48" s="31">
        <f>Option3!AD$84*conv_2026*AD$7</f>
        <v>0</v>
      </c>
      <c r="AE48" s="31">
        <f>Option3!AE$84*conv_2026*AE$7</f>
        <v>0</v>
      </c>
      <c r="AF48" s="31">
        <f>Option3!AF$84*conv_2026*AF$7</f>
        <v>0</v>
      </c>
      <c r="AG48" s="31">
        <f>Option3!AG$84*conv_2026*AG$7</f>
        <v>0</v>
      </c>
    </row>
    <row r="49" spans="1:33" s="2" customFormat="1" ht="13" x14ac:dyDescent="0.3">
      <c r="A49" s="135" t="str">
        <f t="shared" si="10"/>
        <v>Option 3</v>
      </c>
      <c r="B49" s="135"/>
      <c r="C49" s="58" t="str">
        <f>Option3!C$85</f>
        <v>Other benefits value</v>
      </c>
      <c r="D49" s="38" t="str">
        <f t="shared" si="11"/>
        <v>Option 3Other benefits value</v>
      </c>
      <c r="E49" s="1"/>
      <c r="F49" s="97">
        <f>SUMPRODUCT($H49:$AG49, $H$5:$AG$5)</f>
        <v>669648.79484892648</v>
      </c>
      <c r="G49" s="225">
        <f t="shared" si="12"/>
        <v>46203</v>
      </c>
      <c r="H49" s="31"/>
      <c r="I49" s="31">
        <f>Option3!I$85*conv_2026*I$7</f>
        <v>0</v>
      </c>
      <c r="J49" s="31">
        <f>Option3!J$85*conv_2026*J$7</f>
        <v>0</v>
      </c>
      <c r="K49" s="31">
        <f>Option3!K$85*conv_2026*K$7</f>
        <v>0</v>
      </c>
      <c r="L49" s="31">
        <f>Option3!L$85*conv_2026*L$7</f>
        <v>0</v>
      </c>
      <c r="M49" s="31">
        <f>Option3!M$85*conv_2026*M$7</f>
        <v>65437.978001641059</v>
      </c>
      <c r="N49" s="31">
        <f>Option3!N$85*conv_2026*N$7</f>
        <v>64997.4676890669</v>
      </c>
      <c r="O49" s="31">
        <f>Option3!O$85*conv_2026*O$7</f>
        <v>64556.982799033845</v>
      </c>
      <c r="P49" s="31">
        <f>Option3!P$85*conv_2026*P$7</f>
        <v>64116.469054125766</v>
      </c>
      <c r="Q49" s="31">
        <f>Option3!Q$85*conv_2026*Q$7</f>
        <v>63675.955309217687</v>
      </c>
      <c r="R49" s="31">
        <f>Option3!R$85*conv_2026*R$7</f>
        <v>63235.441564309614</v>
      </c>
      <c r="S49" s="31">
        <f>Option3!S$85*conv_2026*S$7</f>
        <v>62794.927819401535</v>
      </c>
      <c r="T49" s="31">
        <f>Option3!T$85*conv_2026*T$7</f>
        <v>62354.414074493448</v>
      </c>
      <c r="U49" s="31">
        <f>Option3!U$85*conv_2026*U$7</f>
        <v>61913.900329585384</v>
      </c>
      <c r="V49" s="31">
        <f>Option3!V$85*conv_2026*V$7</f>
        <v>61473.386584677297</v>
      </c>
      <c r="W49" s="31">
        <f>Option3!W$85*conv_2026*W$7</f>
        <v>61032.872839769218</v>
      </c>
      <c r="X49" s="31">
        <f>Option3!X$85*conv_2026*X$7</f>
        <v>60592.359094861153</v>
      </c>
      <c r="Y49" s="31">
        <f>Option3!Y$85*conv_2026*Y$7</f>
        <v>60151.845349953044</v>
      </c>
      <c r="Z49" s="31">
        <f>Option3!Z$85*conv_2026*Z$7</f>
        <v>59711.331605044979</v>
      </c>
      <c r="AA49" s="31">
        <f>Option3!AA$85*conv_2026*AA$7</f>
        <v>59270.8178601369</v>
      </c>
      <c r="AB49" s="31">
        <f>Option3!AB$85*conv_2026*AB$7</f>
        <v>58830.304115228828</v>
      </c>
      <c r="AC49" s="31">
        <f>Option3!AC$85*conv_2026*AC$7</f>
        <v>0</v>
      </c>
      <c r="AD49" s="31">
        <f>Option3!AD$85*conv_2026*AD$7</f>
        <v>0</v>
      </c>
      <c r="AE49" s="31">
        <f>Option3!AE$85*conv_2026*AE$7</f>
        <v>0</v>
      </c>
      <c r="AF49" s="31">
        <f>Option3!AF$85*conv_2026*AF$7</f>
        <v>0</v>
      </c>
      <c r="AG49" s="31">
        <f>Option3!AG$85*conv_2026*AG$7</f>
        <v>0</v>
      </c>
    </row>
    <row r="50" spans="1:33" s="2" customFormat="1" ht="13" x14ac:dyDescent="0.3">
      <c r="A50" s="135" t="str">
        <f t="shared" si="10"/>
        <v>Option 3</v>
      </c>
      <c r="B50" s="135"/>
      <c r="C50" s="124" t="str">
        <f>Option3!C87</f>
        <v>Net benefits</v>
      </c>
      <c r="D50" s="109" t="str">
        <f t="shared" si="11"/>
        <v>Option 3Net benefits</v>
      </c>
      <c r="E50" s="110"/>
      <c r="F50" s="143"/>
      <c r="G50" s="227">
        <f t="shared" si="12"/>
        <v>46203</v>
      </c>
      <c r="H50" s="52"/>
      <c r="I50" s="52">
        <f t="shared" ref="I50:AB50" si="13">SUM(I46:I49)</f>
        <v>0</v>
      </c>
      <c r="J50" s="52">
        <f t="shared" si="13"/>
        <v>96433.884480384091</v>
      </c>
      <c r="K50" s="52">
        <f t="shared" si="13"/>
        <v>192863.82918528613</v>
      </c>
      <c r="L50" s="52">
        <f t="shared" si="13"/>
        <v>289297.05572316505</v>
      </c>
      <c r="M50" s="52">
        <f t="shared" si="13"/>
        <v>286562.75780095096</v>
      </c>
      <c r="N50" s="52">
        <f t="shared" si="13"/>
        <v>262626.89440807048</v>
      </c>
      <c r="O50" s="52">
        <f t="shared" si="13"/>
        <v>244490.94227280802</v>
      </c>
      <c r="P50" s="52">
        <f t="shared" si="13"/>
        <v>221851.32650559297</v>
      </c>
      <c r="Q50" s="52">
        <f t="shared" si="13"/>
        <v>200376.61517422565</v>
      </c>
      <c r="R50" s="52">
        <f t="shared" si="13"/>
        <v>165838.57410195618</v>
      </c>
      <c r="S50" s="52">
        <f t="shared" si="13"/>
        <v>131300.53302968579</v>
      </c>
      <c r="T50" s="52">
        <f t="shared" si="13"/>
        <v>96762.491957415827</v>
      </c>
      <c r="U50" s="52">
        <f t="shared" si="13"/>
        <v>62224.450885145307</v>
      </c>
      <c r="V50" s="52">
        <f t="shared" si="13"/>
        <v>27686.409812875354</v>
      </c>
      <c r="W50" s="52">
        <f t="shared" si="13"/>
        <v>-6851.6312593945913</v>
      </c>
      <c r="X50" s="52">
        <f t="shared" si="13"/>
        <v>-41389.672331664988</v>
      </c>
      <c r="Y50" s="52">
        <f t="shared" si="13"/>
        <v>-75927.713403934962</v>
      </c>
      <c r="Z50" s="52">
        <f t="shared" si="13"/>
        <v>-110465.75447620542</v>
      </c>
      <c r="AA50" s="52">
        <f t="shared" si="13"/>
        <v>-145003.79554847587</v>
      </c>
      <c r="AB50" s="52">
        <f t="shared" si="13"/>
        <v>-179541.83662074537</v>
      </c>
      <c r="AC50" s="52">
        <f>SUM(AC46:AC49)</f>
        <v>0</v>
      </c>
      <c r="AD50" s="52">
        <f>SUM(AD46:AD49)</f>
        <v>0</v>
      </c>
      <c r="AE50" s="52">
        <f>SUM(AE46:AE49)</f>
        <v>0</v>
      </c>
      <c r="AF50" s="52">
        <f>SUM(AF46:AF49)</f>
        <v>0</v>
      </c>
      <c r="AG50" s="52">
        <f>SUM(AG46:AG49)</f>
        <v>0</v>
      </c>
    </row>
    <row r="51" spans="1:33" s="2" customFormat="1" ht="13" x14ac:dyDescent="0.3">
      <c r="A51" s="135" t="str">
        <f t="shared" si="10"/>
        <v>Option 3</v>
      </c>
      <c r="B51" s="135"/>
      <c r="C51" s="8" t="s">
        <v>120</v>
      </c>
      <c r="D51" s="38" t="str">
        <f t="shared" si="11"/>
        <v>Option 3NPV</v>
      </c>
      <c r="E51" s="1"/>
      <c r="F51" s="108" cm="1">
        <f t="array" ref="F51">SUMPRODUCT(($H50:$AG50)*($H$5:$AG$5)*($H$7:$AG$7))</f>
        <v>1537932.3235982652</v>
      </c>
      <c r="G51" s="225">
        <f t="shared" si="12"/>
        <v>46203</v>
      </c>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s="2" customFormat="1" ht="13" x14ac:dyDescent="0.3">
      <c r="A52" s="135" t="str">
        <f t="shared" si="10"/>
        <v>Option 3</v>
      </c>
      <c r="B52" s="135"/>
      <c r="C52" s="8" t="s">
        <v>195</v>
      </c>
      <c r="D52" s="38" t="str">
        <f t="shared" si="11"/>
        <v>Option 3PV of costs</v>
      </c>
      <c r="E52" s="1"/>
      <c r="F52" s="108">
        <f>SUM(F46:F47)</f>
        <v>-7415103.8352084458</v>
      </c>
      <c r="G52" s="225">
        <f t="shared" si="12"/>
        <v>46203</v>
      </c>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s="2" customFormat="1" ht="13" x14ac:dyDescent="0.3">
      <c r="A53" s="135" t="str">
        <f t="shared" si="10"/>
        <v>Option 3</v>
      </c>
      <c r="B53" s="135"/>
      <c r="C53" s="8" t="s">
        <v>196</v>
      </c>
      <c r="D53" s="38" t="str">
        <f t="shared" si="11"/>
        <v>Option 3PV of benefits</v>
      </c>
      <c r="E53" s="1"/>
      <c r="F53" s="108">
        <f>SUM(F48:F49)</f>
        <v>8953036.1588067133</v>
      </c>
      <c r="G53" s="225">
        <f t="shared" si="12"/>
        <v>46203</v>
      </c>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s="2" customFormat="1" ht="13" x14ac:dyDescent="0.3">
      <c r="A54" s="135"/>
      <c r="B54" s="135"/>
      <c r="C54" s="1"/>
      <c r="D54" s="38"/>
      <c r="E54" s="1"/>
      <c r="F54" s="108"/>
      <c r="G54" s="228"/>
      <c r="H54" s="1"/>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2" customFormat="1" ht="13" x14ac:dyDescent="0.3">
      <c r="A55" s="122"/>
      <c r="B55" s="122"/>
      <c r="C55" s="122"/>
      <c r="D55" s="38"/>
      <c r="F55" s="117"/>
      <c r="G55" s="221"/>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row>
    <row r="56" spans="1:33" s="270" customFormat="1" ht="13" x14ac:dyDescent="0.3">
      <c r="A56" s="268" t="str">
        <f>A57</f>
        <v>Option 4</v>
      </c>
      <c r="B56" s="268"/>
      <c r="C56" s="268" t="s">
        <v>125</v>
      </c>
      <c r="D56" s="269" t="str">
        <f>A56&amp;C56</f>
        <v>Option 4Energy at risk value</v>
      </c>
      <c r="F56" s="97">
        <f>SUMPRODUCT($H56:$AG56, $H$5:$AG$5)</f>
        <v>52726649.373072408</v>
      </c>
      <c r="G56" s="271">
        <f>output_dollars</f>
        <v>46203</v>
      </c>
      <c r="H56" s="272"/>
      <c r="I56" s="31">
        <f>Option4!I$28*conv_2026</f>
        <v>3939775.4823051924</v>
      </c>
      <c r="J56" s="31">
        <f>Option4!J$28*conv_2026</f>
        <v>3066499.1883097147</v>
      </c>
      <c r="K56" s="31">
        <f>Option4!K$28*conv_2026</f>
        <v>3139761.5789081068</v>
      </c>
      <c r="L56" s="31">
        <f>Option4!L$28*conv_2026</f>
        <v>3213026.4628702574</v>
      </c>
      <c r="M56" s="31">
        <f>Option4!M$28*conv_2026</f>
        <v>3286290.6853277371</v>
      </c>
      <c r="N56" s="31">
        <f>Option4!N$28*conv_2026</f>
        <v>3263395.6165580829</v>
      </c>
      <c r="O56" s="31">
        <f>Option4!O$28*conv_2026</f>
        <v>3240501.8558316017</v>
      </c>
      <c r="P56" s="31">
        <f>Option4!P$28*conv_2026</f>
        <v>3217606.6104611531</v>
      </c>
      <c r="Q56" s="31">
        <f>Option4!Q$28*conv_2026</f>
        <v>3194711.3650907041</v>
      </c>
      <c r="R56" s="31">
        <f>Option4!R$28*conv_2026</f>
        <v>3171816.1197202564</v>
      </c>
      <c r="S56" s="31">
        <f>Option4!S$28*conv_2026</f>
        <v>3148920.8743498079</v>
      </c>
      <c r="T56" s="31">
        <f>Option4!T$28*conv_2026</f>
        <v>3126025.6289793593</v>
      </c>
      <c r="U56" s="31">
        <f>Option4!U$28*conv_2026</f>
        <v>3103130.3836089107</v>
      </c>
      <c r="V56" s="31">
        <f>Option4!V$28*conv_2026</f>
        <v>3080235.1382384622</v>
      </c>
      <c r="W56" s="31">
        <f>Option4!W$28*conv_2026</f>
        <v>3057339.8928680136</v>
      </c>
      <c r="X56" s="31">
        <f>Option4!X$28*conv_2026</f>
        <v>3034444.647497565</v>
      </c>
      <c r="Y56" s="31">
        <f>Option4!Y$28*conv_2026</f>
        <v>3011549.4021271165</v>
      </c>
      <c r="Z56" s="31">
        <f>Option4!Z$28*conv_2026</f>
        <v>2988654.1567566679</v>
      </c>
      <c r="AA56" s="31">
        <f>Option4!AA$28*conv_2026</f>
        <v>2965758.9113862193</v>
      </c>
      <c r="AB56" s="31">
        <f>Option4!AB$28*conv_2026</f>
        <v>2942863.6660157708</v>
      </c>
      <c r="AC56" s="31">
        <f>Option4!AC$28*conv_2026</f>
        <v>2919968.4206453222</v>
      </c>
      <c r="AD56" s="31">
        <f>Option4!AD$28*conv_2026</f>
        <v>2897073.1752748741</v>
      </c>
      <c r="AE56" s="31">
        <f>Option4!AE$28*conv_2026</f>
        <v>2874180.9231382296</v>
      </c>
      <c r="AF56" s="31">
        <f>Option4!AF$28*conv_2026</f>
        <v>2851285.6777677811</v>
      </c>
      <c r="AG56" s="31">
        <f>Option4!AG$28*conv_2026</f>
        <v>2828390.4323973325</v>
      </c>
    </row>
    <row r="57" spans="1:33" s="2" customFormat="1" ht="13" x14ac:dyDescent="0.3">
      <c r="A57" s="135" t="str">
        <f>Data!B12</f>
        <v>Option 4</v>
      </c>
      <c r="B57" s="135"/>
      <c r="C57" s="58" t="str">
        <f>Option4!C$66</f>
        <v>Capital expenditure</v>
      </c>
      <c r="D57" s="38" t="str">
        <f t="shared" ref="D57:D67" si="14">A57&amp;C57</f>
        <v>Option 4Capital expenditure</v>
      </c>
      <c r="E57" s="1"/>
      <c r="F57" s="97">
        <f>SUMPRODUCT($H57:$AG57, $H$5:$AG$5)</f>
        <v>-3363713.2435858017</v>
      </c>
      <c r="G57" s="225">
        <f>output_dollars</f>
        <v>46203</v>
      </c>
      <c r="H57" s="31"/>
      <c r="I57" s="31">
        <f>SUM(Option4!I$67:I$69)*conv_2026*I$7</f>
        <v>-556456.32320829842</v>
      </c>
      <c r="J57" s="31">
        <f>SUM(Option4!J$67:J$69)*conv_2026*J$7</f>
        <v>-2965912.2027002303</v>
      </c>
      <c r="K57" s="31">
        <f>SUM(Option4!K$67:K$69)*conv_2026*K$7</f>
        <v>0</v>
      </c>
      <c r="L57" s="31">
        <f>SUM(Option4!L$67:L$69)*conv_2026*L$7</f>
        <v>0</v>
      </c>
      <c r="M57" s="31">
        <f>SUM(Option4!M$67:M$69)*conv_2026*M$7</f>
        <v>0</v>
      </c>
      <c r="N57" s="31">
        <f>SUM(Option4!N$67:N$69)*conv_2026*N$7</f>
        <v>0</v>
      </c>
      <c r="O57" s="31">
        <f>SUM(Option4!O$67:O$69)*conv_2026*O$7</f>
        <v>0</v>
      </c>
      <c r="P57" s="31">
        <f>SUM(Option4!P$67:P$69)*conv_2026*P$7</f>
        <v>0</v>
      </c>
      <c r="Q57" s="31">
        <f>SUM(Option4!Q$67:Q$69)*conv_2026*Q$7</f>
        <v>0</v>
      </c>
      <c r="R57" s="31">
        <f>SUM(Option4!R$67:R$69)*conv_2026*R$7</f>
        <v>0</v>
      </c>
      <c r="S57" s="31">
        <f>SUM(Option4!S$67:S$69)*conv_2026*S$7</f>
        <v>0</v>
      </c>
      <c r="T57" s="31">
        <f>SUM(Option4!T$67:T$69)*conv_2026*T$7</f>
        <v>0</v>
      </c>
      <c r="U57" s="31">
        <f>SUM(Option4!U$67:U$69)*conv_2026*U$7</f>
        <v>0</v>
      </c>
      <c r="V57" s="31">
        <f>SUM(Option4!V$67:V$69)*conv_2026*V$7</f>
        <v>0</v>
      </c>
      <c r="W57" s="31">
        <f>SUM(Option4!W$67:W$69)*conv_2026*W$7</f>
        <v>0</v>
      </c>
      <c r="X57" s="31">
        <f>SUM(Option4!X$67:X$69)*conv_2026*X$7</f>
        <v>0</v>
      </c>
      <c r="Y57" s="31">
        <f>SUM(Option4!Y$67:Y$69)*conv_2026*Y$7</f>
        <v>0</v>
      </c>
      <c r="Z57" s="31">
        <f>SUM(Option4!Z$67:Z$69)*conv_2026*Z$7</f>
        <v>0</v>
      </c>
      <c r="AA57" s="31">
        <f>SUM(Option4!AA$67:AA$69)*conv_2026*AA$7</f>
        <v>0</v>
      </c>
      <c r="AB57" s="31">
        <f>SUM(Option4!AB$67:AB$69)*conv_2026*AB$7</f>
        <v>0</v>
      </c>
      <c r="AC57" s="31">
        <f>SUM(Option4!AC$67:AC$69)*conv_2026*AC$7</f>
        <v>0</v>
      </c>
      <c r="AD57" s="31">
        <f>SUM(Option4!AD$67:AD$69)*conv_2026*AD$7</f>
        <v>0</v>
      </c>
      <c r="AE57" s="31">
        <f>SUM(Option4!AE$67:AE$69)*conv_2026*AE$7</f>
        <v>0</v>
      </c>
      <c r="AF57" s="31">
        <f>SUM(Option4!AF$67:AF$69)*conv_2026*AF$7</f>
        <v>0</v>
      </c>
      <c r="AG57" s="31">
        <f>SUM(Option4!AG$67:AG$69)*conv_2026*AG$7</f>
        <v>0</v>
      </c>
    </row>
    <row r="58" spans="1:33" s="2" customFormat="1" ht="13" x14ac:dyDescent="0.3">
      <c r="A58" s="135" t="str">
        <f t="shared" ref="A58:A67" si="15">A57</f>
        <v>Option 4</v>
      </c>
      <c r="B58" s="135"/>
      <c r="C58" s="58" t="str">
        <f>'Option1 (base case)'!C$36</f>
        <v>Total risk cost</v>
      </c>
      <c r="D58" s="38" t="str">
        <f t="shared" si="14"/>
        <v>Option 4Total risk cost</v>
      </c>
      <c r="E58" s="1"/>
      <c r="F58" s="97">
        <f>SUMPRODUCT($H58:$AG58, $H$5:$AG$5)</f>
        <v>46088030.726088993</v>
      </c>
      <c r="G58" s="225">
        <f>output_dollars</f>
        <v>46203</v>
      </c>
      <c r="H58" s="31"/>
      <c r="I58" s="31">
        <f>Option4!I$36*conv_2026*I$7</f>
        <v>3939775.4823051924</v>
      </c>
      <c r="J58" s="31">
        <f>Option4!J$36*conv_2026*J$7</f>
        <v>3066499.1883097147</v>
      </c>
      <c r="K58" s="31">
        <f>Option4!K$36*conv_2026*K$7</f>
        <v>3139761.5789081068</v>
      </c>
      <c r="L58" s="31">
        <f>Option4!L$36*conv_2026*L$7</f>
        <v>3213026.4628702574</v>
      </c>
      <c r="M58" s="31">
        <f>Option4!M$36*conv_2026*M$7</f>
        <v>3286290.6853277371</v>
      </c>
      <c r="N58" s="31">
        <f>Option4!N$36*conv_2026*N$7</f>
        <v>3263395.6165580829</v>
      </c>
      <c r="O58" s="31">
        <f>Option4!O$36*conv_2026*O$7</f>
        <v>3240501.8558316017</v>
      </c>
      <c r="P58" s="31">
        <f>Option4!P$36*conv_2026*P$7</f>
        <v>3217606.6104611531</v>
      </c>
      <c r="Q58" s="31">
        <f>Option4!Q$36*conv_2026*Q$7</f>
        <v>3194711.3650907041</v>
      </c>
      <c r="R58" s="31">
        <f>Option4!R$36*conv_2026*R$7</f>
        <v>3171816.1197202564</v>
      </c>
      <c r="S58" s="31">
        <f>Option4!S$36*conv_2026*S$7</f>
        <v>3148920.8743498079</v>
      </c>
      <c r="T58" s="31">
        <f>Option4!T$36*conv_2026*T$7</f>
        <v>3126025.6289793593</v>
      </c>
      <c r="U58" s="31">
        <f>Option4!U$36*conv_2026*U$7</f>
        <v>3103130.3836089107</v>
      </c>
      <c r="V58" s="31">
        <f>Option4!V$36*conv_2026*V$7</f>
        <v>3080235.1382384622</v>
      </c>
      <c r="W58" s="31">
        <f>Option4!W$36*conv_2026*W$7</f>
        <v>3057339.8928680136</v>
      </c>
      <c r="X58" s="31">
        <f>Option4!X$36*conv_2026*X$7</f>
        <v>3034444.647497565</v>
      </c>
      <c r="Y58" s="31">
        <f>Option4!Y$36*conv_2026*Y$7</f>
        <v>3011549.4021271165</v>
      </c>
      <c r="Z58" s="31">
        <f>Option4!Z$36*conv_2026*Z$7</f>
        <v>2988654.1567566679</v>
      </c>
      <c r="AA58" s="31">
        <f>Option4!AA$36*conv_2026*AA$7</f>
        <v>2965758.9113862193</v>
      </c>
      <c r="AB58" s="31">
        <f>Option4!AB$36*conv_2026*AB$7</f>
        <v>2942863.6660157708</v>
      </c>
      <c r="AC58" s="31">
        <f>Option4!AC$36*conv_2026*AC$7</f>
        <v>0</v>
      </c>
      <c r="AD58" s="31">
        <f>Option4!AD$36*conv_2026*AD$7</f>
        <v>0</v>
      </c>
      <c r="AE58" s="31">
        <f>Option4!AE$36*conv_2026*AE$7</f>
        <v>0</v>
      </c>
      <c r="AF58" s="31">
        <f>Option4!AF$36*conv_2026*AF$7</f>
        <v>0</v>
      </c>
      <c r="AG58" s="31">
        <f>Option4!AG$36*conv_2026*AG$7</f>
        <v>0</v>
      </c>
    </row>
    <row r="59" spans="1:33" s="2" customFormat="1" x14ac:dyDescent="0.3">
      <c r="A59" s="135" t="str">
        <f t="shared" si="15"/>
        <v>Option 4</v>
      </c>
      <c r="B59" s="135"/>
      <c r="C59" s="75"/>
      <c r="D59" s="38" t="str">
        <f t="shared" si="14"/>
        <v>Option 4</v>
      </c>
      <c r="E59" s="1"/>
      <c r="F59"/>
      <c r="G59" s="226"/>
      <c r="H59"/>
      <c r="I59"/>
      <c r="J59"/>
      <c r="K59"/>
      <c r="L59"/>
      <c r="M59"/>
      <c r="N59"/>
      <c r="O59"/>
      <c r="P59"/>
      <c r="Q59"/>
      <c r="R59"/>
      <c r="S59"/>
      <c r="T59"/>
      <c r="U59"/>
      <c r="V59"/>
      <c r="W59"/>
      <c r="X59"/>
      <c r="Y59"/>
      <c r="Z59"/>
      <c r="AA59"/>
      <c r="AB59"/>
      <c r="AC59"/>
      <c r="AD59"/>
      <c r="AE59"/>
      <c r="AF59"/>
      <c r="AG59"/>
    </row>
    <row r="60" spans="1:33" s="2" customFormat="1" ht="13" x14ac:dyDescent="0.3">
      <c r="A60" s="135" t="str">
        <f t="shared" si="15"/>
        <v>Option 4</v>
      </c>
      <c r="B60" s="135"/>
      <c r="C60" s="58" t="str">
        <f>Option4!C$82</f>
        <v>Annualised capex</v>
      </c>
      <c r="D60" s="38" t="str">
        <f t="shared" si="14"/>
        <v>Option 4Annualised capex</v>
      </c>
      <c r="E60" s="1"/>
      <c r="F60" s="97">
        <f>SUMPRODUCT($H60:$AG60, $H$5:$AG$5)</f>
        <v>-1903629.8768676717</v>
      </c>
      <c r="G60" s="225">
        <f t="shared" ref="G60:G67" si="16">output_dollars</f>
        <v>46203</v>
      </c>
      <c r="H60" s="31"/>
      <c r="I60" s="31">
        <f>Option4!I$82*conv_2026*I$7</f>
        <v>0</v>
      </c>
      <c r="J60" s="31">
        <f>Option4!J$82*conv_2026*J$7</f>
        <v>-23723.797270131749</v>
      </c>
      <c r="K60" s="31">
        <f>Option4!K$82*conv_2026*K$7</f>
        <v>-150171.63671993394</v>
      </c>
      <c r="L60" s="31">
        <f>Option4!L$82*conv_2026*L$7</f>
        <v>-150171.63671993394</v>
      </c>
      <c r="M60" s="31">
        <f>Option4!M$82*conv_2026*M$7</f>
        <v>-150171.63671993394</v>
      </c>
      <c r="N60" s="31">
        <f>Option4!N$82*conv_2026*N$7</f>
        <v>-150171.63671993394</v>
      </c>
      <c r="O60" s="31">
        <f>Option4!O$82*conv_2026*O$7</f>
        <v>-150171.63671993394</v>
      </c>
      <c r="P60" s="31">
        <f>Option4!P$82*conv_2026*P$7</f>
        <v>-150171.63671993394</v>
      </c>
      <c r="Q60" s="31">
        <f>Option4!Q$82*conv_2026*Q$7</f>
        <v>-150171.63671993394</v>
      </c>
      <c r="R60" s="31">
        <f>Option4!R$82*conv_2026*R$7</f>
        <v>-150171.63671993394</v>
      </c>
      <c r="S60" s="31">
        <f>Option4!S$82*conv_2026*S$7</f>
        <v>-150171.63671993394</v>
      </c>
      <c r="T60" s="31">
        <f>Option4!T$82*conv_2026*T$7</f>
        <v>-150171.63671993394</v>
      </c>
      <c r="U60" s="31">
        <f>Option4!U$82*conv_2026*U$7</f>
        <v>-150171.63671993394</v>
      </c>
      <c r="V60" s="31">
        <f>Option4!V$82*conv_2026*V$7</f>
        <v>-150171.63671993394</v>
      </c>
      <c r="W60" s="31">
        <f>Option4!W$82*conv_2026*W$7</f>
        <v>-150171.63671993394</v>
      </c>
      <c r="X60" s="31">
        <f>Option4!X$82*conv_2026*X$7</f>
        <v>-150171.63671993394</v>
      </c>
      <c r="Y60" s="31">
        <f>Option4!Y$82*conv_2026*Y$7</f>
        <v>-150171.63671993394</v>
      </c>
      <c r="Z60" s="31">
        <f>Option4!Z$82*conv_2026*Z$7</f>
        <v>-150171.63671993394</v>
      </c>
      <c r="AA60" s="31">
        <f>Option4!AA$82*conv_2026*AA$7</f>
        <v>-150171.63671993394</v>
      </c>
      <c r="AB60" s="31">
        <f>Option4!AB$82*conv_2026*AB$7</f>
        <v>-150171.63671993394</v>
      </c>
      <c r="AC60" s="31">
        <f>Option4!AC$82*conv_2026*AC$7</f>
        <v>0</v>
      </c>
      <c r="AD60" s="31">
        <f>Option4!AD$82*conv_2026*AD$7</f>
        <v>0</v>
      </c>
      <c r="AE60" s="31">
        <f>Option4!AE$82*conv_2026*AE$7</f>
        <v>0</v>
      </c>
      <c r="AF60" s="31">
        <f>Option4!AF$82*conv_2026*AF$7</f>
        <v>0</v>
      </c>
      <c r="AG60" s="31">
        <f>Option4!AG$82*conv_2026*AG$7</f>
        <v>0</v>
      </c>
    </row>
    <row r="61" spans="1:33" s="2" customFormat="1" ht="13" x14ac:dyDescent="0.3">
      <c r="A61" s="135" t="str">
        <f t="shared" si="15"/>
        <v>Option 4</v>
      </c>
      <c r="B61" s="135"/>
      <c r="C61" s="58" t="str">
        <f>Option4!C$83</f>
        <v>Operating expenditure</v>
      </c>
      <c r="D61" s="38" t="str">
        <f t="shared" si="14"/>
        <v>Option 4Operating expenditure</v>
      </c>
      <c r="E61" s="1"/>
      <c r="F61" s="97">
        <f>SUMPRODUCT($H61:$AG61, $H$5:$AG$5)</f>
        <v>0</v>
      </c>
      <c r="G61" s="225">
        <f t="shared" si="16"/>
        <v>46203</v>
      </c>
      <c r="H61" s="31"/>
      <c r="I61" s="31">
        <f>Option4!I$83*conv_2026*I$7</f>
        <v>0</v>
      </c>
      <c r="J61" s="31">
        <f>Option4!J$83*conv_2026*J$7</f>
        <v>0</v>
      </c>
      <c r="K61" s="31">
        <f>Option4!K$83*conv_2026*K$7</f>
        <v>0</v>
      </c>
      <c r="L61" s="31">
        <f>Option4!L$83*conv_2026*L$7</f>
        <v>0</v>
      </c>
      <c r="M61" s="31">
        <f>Option4!M$83*conv_2026*M$7</f>
        <v>0</v>
      </c>
      <c r="N61" s="31">
        <f>Option4!N$83*conv_2026*N$7</f>
        <v>0</v>
      </c>
      <c r="O61" s="31">
        <f>Option4!O$83*conv_2026*O$7</f>
        <v>0</v>
      </c>
      <c r="P61" s="31">
        <f>Option4!P$83*conv_2026*P$7</f>
        <v>0</v>
      </c>
      <c r="Q61" s="31">
        <f>Option4!Q$83*conv_2026*Q$7</f>
        <v>0</v>
      </c>
      <c r="R61" s="31">
        <f>Option4!R$83*conv_2026*R$7</f>
        <v>0</v>
      </c>
      <c r="S61" s="31">
        <f>Option4!S$83*conv_2026*S$7</f>
        <v>0</v>
      </c>
      <c r="T61" s="31">
        <f>Option4!T$83*conv_2026*T$7</f>
        <v>0</v>
      </c>
      <c r="U61" s="31">
        <f>Option4!U$83*conv_2026*U$7</f>
        <v>0</v>
      </c>
      <c r="V61" s="31">
        <f>Option4!V$83*conv_2026*V$7</f>
        <v>0</v>
      </c>
      <c r="W61" s="31">
        <f>Option4!W$83*conv_2026*W$7</f>
        <v>0</v>
      </c>
      <c r="X61" s="31">
        <f>Option4!X$83*conv_2026*X$7</f>
        <v>0</v>
      </c>
      <c r="Y61" s="31">
        <f>Option4!Y$83*conv_2026*Y$7</f>
        <v>0</v>
      </c>
      <c r="Z61" s="31">
        <f>Option4!Z$83*conv_2026*Z$7</f>
        <v>0</v>
      </c>
      <c r="AA61" s="31">
        <f>Option4!AA$83*conv_2026*AA$7</f>
        <v>0</v>
      </c>
      <c r="AB61" s="31">
        <f>Option4!AB$83*conv_2026*AB$7</f>
        <v>0</v>
      </c>
      <c r="AC61" s="31">
        <f>Option4!AC$83*conv_2026*AC$7</f>
        <v>0</v>
      </c>
      <c r="AD61" s="31">
        <f>Option4!AD$83*conv_2026*AD$7</f>
        <v>0</v>
      </c>
      <c r="AE61" s="31">
        <f>Option4!AE$83*conv_2026*AE$7</f>
        <v>0</v>
      </c>
      <c r="AF61" s="31">
        <f>Option4!AF$83*conv_2026*AF$7</f>
        <v>0</v>
      </c>
      <c r="AG61" s="31">
        <f>Option4!AG$83*conv_2026*AG$7</f>
        <v>0</v>
      </c>
    </row>
    <row r="62" spans="1:33" s="2" customFormat="1" ht="13" x14ac:dyDescent="0.3">
      <c r="A62" s="135" t="str">
        <f t="shared" si="15"/>
        <v>Option 4</v>
      </c>
      <c r="B62" s="135"/>
      <c r="C62" s="58" t="str">
        <f>Option4!C$84</f>
        <v>Risk mitigated</v>
      </c>
      <c r="D62" s="38" t="str">
        <f t="shared" si="14"/>
        <v>Option 4Risk mitigated</v>
      </c>
      <c r="E62" s="1"/>
      <c r="F62" s="97">
        <f>SUMPRODUCT($H62:$AG62, $H$5:$AG$5)</f>
        <v>13349667.474577799</v>
      </c>
      <c r="G62" s="225">
        <f t="shared" si="16"/>
        <v>46203</v>
      </c>
      <c r="H62" s="31"/>
      <c r="I62" s="31">
        <f>Option4!I$84*conv_2026*I$7</f>
        <v>0</v>
      </c>
      <c r="J62" s="31">
        <f>Option4!J$84*conv_2026*J$7</f>
        <v>969710.1784758619</v>
      </c>
      <c r="K62" s="31">
        <f>Option4!K$84*conv_2026*K$7</f>
        <v>992877.7325823718</v>
      </c>
      <c r="L62" s="31">
        <f>Option4!L$84*conv_2026*L$7</f>
        <v>1016046.0751581</v>
      </c>
      <c r="M62" s="31">
        <f>Option4!M$84*conv_2026*M$7</f>
        <v>1039214.2085481171</v>
      </c>
      <c r="N62" s="31">
        <f>Option4!N$84*conv_2026*N$7</f>
        <v>1031974.1671003726</v>
      </c>
      <c r="O62" s="31">
        <f>Option4!O$84*conv_2026*O$7</f>
        <v>1024734.53929134</v>
      </c>
      <c r="P62" s="31">
        <f>Option4!P$84*conv_2026*P$7</f>
        <v>1017494.4419976366</v>
      </c>
      <c r="Q62" s="31">
        <f>Option4!Q$84*conv_2026*Q$7</f>
        <v>1010254.3447039332</v>
      </c>
      <c r="R62" s="31">
        <f>Option4!R$84*conv_2026*R$7</f>
        <v>1003014.2474102292</v>
      </c>
      <c r="S62" s="31">
        <f>Option4!S$84*conv_2026*S$7</f>
        <v>995774.15011652478</v>
      </c>
      <c r="T62" s="31">
        <f>Option4!T$84*conv_2026*T$7</f>
        <v>988534.05282282131</v>
      </c>
      <c r="U62" s="31">
        <f>Option4!U$84*conv_2026*U$7</f>
        <v>981293.95552911737</v>
      </c>
      <c r="V62" s="31">
        <f>Option4!V$84*conv_2026*V$7</f>
        <v>974053.85823541286</v>
      </c>
      <c r="W62" s="31">
        <f>Option4!W$84*conv_2026*W$7</f>
        <v>966813.76094170939</v>
      </c>
      <c r="X62" s="31">
        <f>Option4!X$84*conv_2026*X$7</f>
        <v>959573.66364800546</v>
      </c>
      <c r="Y62" s="31">
        <f>Option4!Y$84*conv_2026*Y$7</f>
        <v>952333.56635430153</v>
      </c>
      <c r="Z62" s="31">
        <f>Option4!Z$84*conv_2026*Z$7</f>
        <v>945093.46906059759</v>
      </c>
      <c r="AA62" s="31">
        <f>Option4!AA$84*conv_2026*AA$7</f>
        <v>937853.37176689366</v>
      </c>
      <c r="AB62" s="31">
        <f>Option4!AB$84*conv_2026*AB$7</f>
        <v>930613.27447318973</v>
      </c>
      <c r="AC62" s="31">
        <f>Option4!AC$84*conv_2026*AC$7</f>
        <v>0</v>
      </c>
      <c r="AD62" s="31">
        <f>Option4!AD$84*conv_2026*AD$7</f>
        <v>0</v>
      </c>
      <c r="AE62" s="31">
        <f>Option4!AE$84*conv_2026*AE$7</f>
        <v>0</v>
      </c>
      <c r="AF62" s="31">
        <f>Option4!AF$84*conv_2026*AF$7</f>
        <v>0</v>
      </c>
      <c r="AG62" s="31">
        <f>Option4!AG$84*conv_2026*AG$7</f>
        <v>0</v>
      </c>
    </row>
    <row r="63" spans="1:33" s="2" customFormat="1" ht="13" x14ac:dyDescent="0.3">
      <c r="A63" s="135" t="str">
        <f t="shared" si="15"/>
        <v>Option 4</v>
      </c>
      <c r="B63" s="135"/>
      <c r="C63" s="58" t="str">
        <f>Option4!C$85</f>
        <v>Other benefits value</v>
      </c>
      <c r="D63" s="38" t="str">
        <f t="shared" si="14"/>
        <v>Option 4Other benefits value</v>
      </c>
      <c r="E63" s="1"/>
      <c r="F63" s="97">
        <f>SUMPRODUCT($H63:$AG63, $H$5:$AG$5)</f>
        <v>6272799.7352680583</v>
      </c>
      <c r="G63" s="225">
        <f t="shared" si="16"/>
        <v>46203</v>
      </c>
      <c r="H63" s="31"/>
      <c r="I63" s="31">
        <f>Option4!I$85*conv_2026*I$7</f>
        <v>0</v>
      </c>
      <c r="J63" s="31">
        <f>Option4!J$85*conv_2026*J$7</f>
        <v>465478.14274163818</v>
      </c>
      <c r="K63" s="31">
        <f>Option4!K$85*conv_2026*K$7</f>
        <v>465478.14274163818</v>
      </c>
      <c r="L63" s="31">
        <f>Option4!L$85*conv_2026*L$7</f>
        <v>465478.14274163818</v>
      </c>
      <c r="M63" s="31">
        <f>Option4!M$85*conv_2026*M$7</f>
        <v>465478.14274163818</v>
      </c>
      <c r="N63" s="31">
        <f>Option4!N$85*conv_2026*N$7</f>
        <v>465478.14274163818</v>
      </c>
      <c r="O63" s="31">
        <f>Option4!O$85*conv_2026*O$7</f>
        <v>465478.14274163818</v>
      </c>
      <c r="P63" s="31">
        <f>Option4!P$85*conv_2026*P$7</f>
        <v>465478.14274163818</v>
      </c>
      <c r="Q63" s="31">
        <f>Option4!Q$85*conv_2026*Q$7</f>
        <v>465478.14274163818</v>
      </c>
      <c r="R63" s="31">
        <f>Option4!R$85*conv_2026*R$7</f>
        <v>465478.14274163818</v>
      </c>
      <c r="S63" s="31">
        <f>Option4!S$85*conv_2026*S$7</f>
        <v>465478.14274163818</v>
      </c>
      <c r="T63" s="31">
        <f>Option4!T$85*conv_2026*T$7</f>
        <v>465478.14274163818</v>
      </c>
      <c r="U63" s="31">
        <f>Option4!U$85*conv_2026*U$7</f>
        <v>465478.14274163818</v>
      </c>
      <c r="V63" s="31">
        <f>Option4!V$85*conv_2026*V$7</f>
        <v>465478.14274163818</v>
      </c>
      <c r="W63" s="31">
        <f>Option4!W$85*conv_2026*W$7</f>
        <v>465478.14274163818</v>
      </c>
      <c r="X63" s="31">
        <f>Option4!X$85*conv_2026*X$7</f>
        <v>465478.14274163818</v>
      </c>
      <c r="Y63" s="31">
        <f>Option4!Y$85*conv_2026*Y$7</f>
        <v>465478.14274163818</v>
      </c>
      <c r="Z63" s="31">
        <f>Option4!Z$85*conv_2026*Z$7</f>
        <v>465478.14274163818</v>
      </c>
      <c r="AA63" s="31">
        <f>Option4!AA$85*conv_2026*AA$7</f>
        <v>465478.14274163818</v>
      </c>
      <c r="AB63" s="31">
        <f>Option4!AB$85*conv_2026*AB$7</f>
        <v>465478.14274163818</v>
      </c>
      <c r="AC63" s="31">
        <f>Option4!AC$85*conv_2026*AC$7</f>
        <v>0</v>
      </c>
      <c r="AD63" s="31">
        <f>Option4!AD$85*conv_2026*AD$7</f>
        <v>0</v>
      </c>
      <c r="AE63" s="31">
        <f>Option4!AE$85*conv_2026*AE$7</f>
        <v>0</v>
      </c>
      <c r="AF63" s="31">
        <f>Option4!AF$85*conv_2026*AF$7</f>
        <v>0</v>
      </c>
      <c r="AG63" s="31">
        <f>Option4!AG$85*conv_2026*AG$7</f>
        <v>0</v>
      </c>
    </row>
    <row r="64" spans="1:33" s="2" customFormat="1" ht="13" x14ac:dyDescent="0.3">
      <c r="A64" s="135" t="str">
        <f t="shared" si="15"/>
        <v>Option 4</v>
      </c>
      <c r="B64" s="135"/>
      <c r="C64" s="124" t="str">
        <f>Option4!C87</f>
        <v>Net benefits</v>
      </c>
      <c r="D64" s="109" t="str">
        <f t="shared" si="14"/>
        <v>Option 4Net benefits</v>
      </c>
      <c r="E64" s="110"/>
      <c r="F64" s="143"/>
      <c r="G64" s="227">
        <f t="shared" si="16"/>
        <v>46203</v>
      </c>
      <c r="H64" s="52"/>
      <c r="I64" s="52">
        <f t="shared" ref="I64:AB64" si="17">SUM(I60:I63)</f>
        <v>0</v>
      </c>
      <c r="J64" s="52">
        <f t="shared" si="17"/>
        <v>1411464.5239473684</v>
      </c>
      <c r="K64" s="52">
        <f t="shared" si="17"/>
        <v>1308184.238604076</v>
      </c>
      <c r="L64" s="52">
        <f t="shared" si="17"/>
        <v>1331352.5811798042</v>
      </c>
      <c r="M64" s="52">
        <f t="shared" si="17"/>
        <v>1354520.7145698213</v>
      </c>
      <c r="N64" s="52">
        <f t="shared" si="17"/>
        <v>1347280.6731220768</v>
      </c>
      <c r="O64" s="52">
        <f t="shared" si="17"/>
        <v>1340041.0453130442</v>
      </c>
      <c r="P64" s="52">
        <f t="shared" si="17"/>
        <v>1332800.9480193409</v>
      </c>
      <c r="Q64" s="52">
        <f t="shared" si="17"/>
        <v>1325560.8507256375</v>
      </c>
      <c r="R64" s="52">
        <f t="shared" si="17"/>
        <v>1318320.7534319335</v>
      </c>
      <c r="S64" s="52">
        <f t="shared" si="17"/>
        <v>1311080.656138229</v>
      </c>
      <c r="T64" s="52">
        <f t="shared" si="17"/>
        <v>1303840.5588445256</v>
      </c>
      <c r="U64" s="52">
        <f t="shared" si="17"/>
        <v>1296600.4615508216</v>
      </c>
      <c r="V64" s="52">
        <f t="shared" si="17"/>
        <v>1289360.364257117</v>
      </c>
      <c r="W64" s="52">
        <f t="shared" si="17"/>
        <v>1282120.2669634137</v>
      </c>
      <c r="X64" s="52">
        <f t="shared" si="17"/>
        <v>1274880.1696697096</v>
      </c>
      <c r="Y64" s="52">
        <f t="shared" si="17"/>
        <v>1267640.0723760058</v>
      </c>
      <c r="Z64" s="52">
        <f t="shared" si="17"/>
        <v>1260399.9750823018</v>
      </c>
      <c r="AA64" s="52">
        <f t="shared" si="17"/>
        <v>1253159.877788598</v>
      </c>
      <c r="AB64" s="52">
        <f t="shared" si="17"/>
        <v>1245919.7804948939</v>
      </c>
      <c r="AC64" s="52">
        <f>SUM(AC60:AC63)</f>
        <v>0</v>
      </c>
      <c r="AD64" s="52">
        <f>SUM(AD60:AD63)</f>
        <v>0</v>
      </c>
      <c r="AE64" s="52">
        <f>SUM(AE60:AE63)</f>
        <v>0</v>
      </c>
      <c r="AF64" s="52">
        <f>SUM(AF60:AF63)</f>
        <v>0</v>
      </c>
      <c r="AG64" s="52">
        <f>SUM(AG60:AG63)</f>
        <v>0</v>
      </c>
    </row>
    <row r="65" spans="1:33" s="2" customFormat="1" ht="13" x14ac:dyDescent="0.3">
      <c r="A65" s="135" t="str">
        <f t="shared" si="15"/>
        <v>Option 4</v>
      </c>
      <c r="B65" s="135"/>
      <c r="C65" s="8" t="s">
        <v>120</v>
      </c>
      <c r="D65" s="38" t="str">
        <f t="shared" si="14"/>
        <v>Option 4NPV</v>
      </c>
      <c r="E65" s="1"/>
      <c r="F65" s="108" cm="1">
        <f t="array" ref="F65">SUMPRODUCT(($H64:$AG64)*($H$5:$AG$5)*($H$7:$AG$7))</f>
        <v>17718837.332978185</v>
      </c>
      <c r="G65" s="225">
        <f t="shared" si="16"/>
        <v>46203</v>
      </c>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s="2" customFormat="1" ht="13" x14ac:dyDescent="0.3">
      <c r="A66" s="135" t="str">
        <f t="shared" si="15"/>
        <v>Option 4</v>
      </c>
      <c r="B66" s="135"/>
      <c r="C66" s="8" t="s">
        <v>195</v>
      </c>
      <c r="D66" s="38" t="str">
        <f t="shared" si="14"/>
        <v>Option 4PV of costs</v>
      </c>
      <c r="E66" s="1"/>
      <c r="F66" s="108">
        <f>SUM(F60:F61)</f>
        <v>-1903629.8768676717</v>
      </c>
      <c r="G66" s="225">
        <f t="shared" si="16"/>
        <v>46203</v>
      </c>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s="2" customFormat="1" ht="13" x14ac:dyDescent="0.3">
      <c r="A67" s="135" t="str">
        <f t="shared" si="15"/>
        <v>Option 4</v>
      </c>
      <c r="B67" s="135"/>
      <c r="C67" s="8" t="s">
        <v>196</v>
      </c>
      <c r="D67" s="38" t="str">
        <f t="shared" si="14"/>
        <v>Option 4PV of benefits</v>
      </c>
      <c r="E67" s="1"/>
      <c r="F67" s="108">
        <f>SUM(F62:F63)</f>
        <v>19622467.209845856</v>
      </c>
      <c r="G67" s="225">
        <f t="shared" si="16"/>
        <v>46203</v>
      </c>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s="2" customFormat="1" ht="13" x14ac:dyDescent="0.3">
      <c r="A68" s="135"/>
      <c r="B68" s="135"/>
      <c r="C68" s="1"/>
      <c r="D68" s="38"/>
      <c r="E68" s="1"/>
      <c r="F68" s="108"/>
      <c r="G68" s="228"/>
      <c r="H68" s="1"/>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3" s="2" customFormat="1" ht="13" x14ac:dyDescent="0.3">
      <c r="A69" s="122"/>
      <c r="B69" s="122"/>
      <c r="C69" s="122"/>
      <c r="D69" s="38" t="str">
        <f t="shared" ref="D69:D81" si="18">A69&amp;C69</f>
        <v/>
      </c>
      <c r="F69" s="117"/>
      <c r="G69" s="221"/>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row>
    <row r="70" spans="1:33" s="270" customFormat="1" ht="13" x14ac:dyDescent="0.3">
      <c r="A70" s="268" t="str">
        <f>A71</f>
        <v>Option 5</v>
      </c>
      <c r="B70" s="268"/>
      <c r="C70" s="268" t="s">
        <v>125</v>
      </c>
      <c r="D70" s="269" t="str">
        <f t="shared" si="18"/>
        <v>Option 5Energy at risk value</v>
      </c>
      <c r="F70" s="97">
        <f>SUMPRODUCT($H70:$AG70, $H$5:$AG$5)</f>
        <v>0</v>
      </c>
      <c r="G70" s="271">
        <f>output_dollars</f>
        <v>46203</v>
      </c>
      <c r="H70" s="272"/>
      <c r="I70" s="31">
        <f>Option5!I$28*conv_2026</f>
        <v>0</v>
      </c>
      <c r="J70" s="31">
        <f>Option5!J$28*conv_2026</f>
        <v>0</v>
      </c>
      <c r="K70" s="31">
        <f>Option5!K$28*conv_2026</f>
        <v>0</v>
      </c>
      <c r="L70" s="31">
        <f>Option5!L$28*conv_2026</f>
        <v>0</v>
      </c>
      <c r="M70" s="31">
        <f>Option5!M$28*conv_2026</f>
        <v>0</v>
      </c>
      <c r="N70" s="31">
        <f>Option5!N$28*conv_2026</f>
        <v>0</v>
      </c>
      <c r="O70" s="31">
        <f>Option5!O$28*conv_2026</f>
        <v>0</v>
      </c>
      <c r="P70" s="31">
        <f>Option5!P$28*conv_2026</f>
        <v>0</v>
      </c>
      <c r="Q70" s="31">
        <f>Option5!Q$28*conv_2026</f>
        <v>0</v>
      </c>
      <c r="R70" s="31">
        <f>Option5!R$28*conv_2026</f>
        <v>0</v>
      </c>
      <c r="S70" s="31">
        <f>Option5!S$28*conv_2026</f>
        <v>0</v>
      </c>
      <c r="T70" s="31">
        <f>Option5!T$28*conv_2026</f>
        <v>0</v>
      </c>
      <c r="U70" s="31">
        <f>Option5!U$28*conv_2026</f>
        <v>0</v>
      </c>
      <c r="V70" s="31">
        <f>Option5!V$28*conv_2026</f>
        <v>0</v>
      </c>
      <c r="W70" s="31">
        <f>Option5!W$28*conv_2026</f>
        <v>0</v>
      </c>
      <c r="X70" s="31">
        <f>Option5!X$28*conv_2026</f>
        <v>0</v>
      </c>
      <c r="Y70" s="31">
        <f>Option5!Y$28*conv_2026</f>
        <v>0</v>
      </c>
      <c r="Z70" s="31">
        <f>Option5!Z$28*conv_2026</f>
        <v>0</v>
      </c>
      <c r="AA70" s="31">
        <f>Option5!AA$28*conv_2026</f>
        <v>0</v>
      </c>
      <c r="AB70" s="31">
        <f>Option5!AB$28*conv_2026</f>
        <v>0</v>
      </c>
      <c r="AC70" s="31">
        <f>Option5!AC$28*conv_2026</f>
        <v>0</v>
      </c>
      <c r="AD70" s="31">
        <f>Option5!AD$28*conv_2026</f>
        <v>0</v>
      </c>
      <c r="AE70" s="31">
        <f>Option5!AE$28*conv_2026</f>
        <v>0</v>
      </c>
      <c r="AF70" s="31">
        <f>Option5!AF$28*conv_2026</f>
        <v>0</v>
      </c>
      <c r="AG70" s="31">
        <f>Option5!AG$28*conv_2026</f>
        <v>0</v>
      </c>
    </row>
    <row r="71" spans="1:33" s="2" customFormat="1" ht="13" x14ac:dyDescent="0.3">
      <c r="A71" s="135" t="str">
        <f>Data!B13</f>
        <v>Option 5</v>
      </c>
      <c r="B71" s="135"/>
      <c r="C71" s="58" t="str">
        <f>Option5!C$66</f>
        <v>Capital expenditure</v>
      </c>
      <c r="D71" s="38" t="str">
        <f t="shared" si="18"/>
        <v>Option 5Capital expenditure</v>
      </c>
      <c r="E71" s="1"/>
      <c r="F71" s="97">
        <f>SUMPRODUCT($H71:$AG71, $H$5:$AG$5)</f>
        <v>0</v>
      </c>
      <c r="G71" s="225">
        <f>output_dollars</f>
        <v>46203</v>
      </c>
      <c r="H71" s="31"/>
      <c r="I71" s="31">
        <f>SUM(Option5!I$67:I$69)*conv_2026*I$7</f>
        <v>0</v>
      </c>
      <c r="J71" s="31">
        <f>SUM(Option5!J$67:J$69)*conv_2026*J$7</f>
        <v>0</v>
      </c>
      <c r="K71" s="31">
        <f>SUM(Option5!K$67:K$69)*conv_2026*K$7</f>
        <v>0</v>
      </c>
      <c r="L71" s="31">
        <f>SUM(Option5!L$67:L$69)*conv_2026*L$7</f>
        <v>0</v>
      </c>
      <c r="M71" s="31">
        <f>SUM(Option5!M$67:M$69)*conv_2026*M$7</f>
        <v>0</v>
      </c>
      <c r="N71" s="31">
        <f>SUM(Option5!N$67:N$69)*conv_2026*N$7</f>
        <v>0</v>
      </c>
      <c r="O71" s="31">
        <f>SUM(Option5!O$67:O$69)*conv_2026*O$7</f>
        <v>0</v>
      </c>
      <c r="P71" s="31">
        <f>SUM(Option5!P$67:P$69)*conv_2026*P$7</f>
        <v>0</v>
      </c>
      <c r="Q71" s="31">
        <f>SUM(Option5!Q$67:Q$69)*conv_2026*Q$7</f>
        <v>0</v>
      </c>
      <c r="R71" s="31">
        <f>SUM(Option5!R$67:R$69)*conv_2026*R$7</f>
        <v>0</v>
      </c>
      <c r="S71" s="31">
        <f>SUM(Option5!S$67:S$69)*conv_2026*S$7</f>
        <v>0</v>
      </c>
      <c r="T71" s="31">
        <f>SUM(Option5!T$67:T$69)*conv_2026*T$7</f>
        <v>0</v>
      </c>
      <c r="U71" s="31">
        <f>SUM(Option5!U$67:U$69)*conv_2026*U$7</f>
        <v>0</v>
      </c>
      <c r="V71" s="31">
        <f>SUM(Option5!V$67:V$69)*conv_2026*V$7</f>
        <v>0</v>
      </c>
      <c r="W71" s="31">
        <f>SUM(Option5!W$67:W$69)*conv_2026*W$7</f>
        <v>0</v>
      </c>
      <c r="X71" s="31">
        <f>SUM(Option5!X$67:X$69)*conv_2026*X$7</f>
        <v>0</v>
      </c>
      <c r="Y71" s="31">
        <f>SUM(Option5!Y$67:Y$69)*conv_2026*Y$7</f>
        <v>0</v>
      </c>
      <c r="Z71" s="31">
        <f>SUM(Option5!Z$67:Z$69)*conv_2026*Z$7</f>
        <v>0</v>
      </c>
      <c r="AA71" s="31">
        <f>SUM(Option5!AA$67:AA$69)*conv_2026*AA$7</f>
        <v>0</v>
      </c>
      <c r="AB71" s="31">
        <f>SUM(Option5!AB$67:AB$69)*conv_2026*AB$7</f>
        <v>0</v>
      </c>
      <c r="AC71" s="31">
        <f>SUM(Option5!AC$67:AC$69)*conv_2026*AC$7</f>
        <v>0</v>
      </c>
      <c r="AD71" s="31">
        <f>SUM(Option5!AD$67:AD$69)*conv_2026*AD$7</f>
        <v>0</v>
      </c>
      <c r="AE71" s="31">
        <f>SUM(Option5!AE$67:AE$69)*conv_2026*AE$7</f>
        <v>0</v>
      </c>
      <c r="AF71" s="31">
        <f>SUM(Option5!AF$67:AF$69)*conv_2026*AF$7</f>
        <v>0</v>
      </c>
      <c r="AG71" s="31">
        <f>SUM(Option5!AG$67:AG$69)*conv_2026*AG$7</f>
        <v>0</v>
      </c>
    </row>
    <row r="72" spans="1:33" s="2" customFormat="1" ht="13" x14ac:dyDescent="0.3">
      <c r="A72" s="135" t="str">
        <f t="shared" ref="A72:A81" si="19">A71</f>
        <v>Option 5</v>
      </c>
      <c r="B72" s="135"/>
      <c r="C72" s="58" t="str">
        <f>'Option1 (base case)'!C$36</f>
        <v>Total risk cost</v>
      </c>
      <c r="D72" s="38" t="str">
        <f t="shared" si="18"/>
        <v>Option 5Total risk cost</v>
      </c>
      <c r="E72" s="1"/>
      <c r="F72" s="97">
        <f>SUMPRODUCT($H72:$AG72, $H$5:$AG$5)</f>
        <v>0</v>
      </c>
      <c r="G72" s="225">
        <f>output_dollars</f>
        <v>46203</v>
      </c>
      <c r="H72" s="31"/>
      <c r="I72" s="31">
        <f>Option5!I$36*conv_2026*I$7</f>
        <v>0</v>
      </c>
      <c r="J72" s="31">
        <f>Option5!J$36*conv_2026*J$7</f>
        <v>0</v>
      </c>
      <c r="K72" s="31">
        <f>Option5!K$36*conv_2026*K$7</f>
        <v>0</v>
      </c>
      <c r="L72" s="31">
        <f>Option5!L$36*conv_2026*L$7</f>
        <v>0</v>
      </c>
      <c r="M72" s="31">
        <f>Option5!M$36*conv_2026*M$7</f>
        <v>0</v>
      </c>
      <c r="N72" s="31">
        <f>Option5!N$36*conv_2026*N$7</f>
        <v>0</v>
      </c>
      <c r="O72" s="31">
        <f>Option5!O$36*conv_2026*O$7</f>
        <v>0</v>
      </c>
      <c r="P72" s="31">
        <f>Option5!P$36*conv_2026*P$7</f>
        <v>0</v>
      </c>
      <c r="Q72" s="31">
        <f>Option5!Q$36*conv_2026*Q$7</f>
        <v>0</v>
      </c>
      <c r="R72" s="31">
        <f>Option5!R$36*conv_2026*R$7</f>
        <v>0</v>
      </c>
      <c r="S72" s="31">
        <f>Option5!S$36*conv_2026*S$7</f>
        <v>0</v>
      </c>
      <c r="T72" s="31">
        <f>Option5!T$36*conv_2026*T$7</f>
        <v>0</v>
      </c>
      <c r="U72" s="31">
        <f>Option5!U$36*conv_2026*U$7</f>
        <v>0</v>
      </c>
      <c r="V72" s="31">
        <f>Option5!V$36*conv_2026*V$7</f>
        <v>0</v>
      </c>
      <c r="W72" s="31">
        <f>Option5!W$36*conv_2026*W$7</f>
        <v>0</v>
      </c>
      <c r="X72" s="31">
        <f>Option5!X$36*conv_2026*X$7</f>
        <v>0</v>
      </c>
      <c r="Y72" s="31">
        <f>Option5!Y$36*conv_2026*Y$7</f>
        <v>0</v>
      </c>
      <c r="Z72" s="31">
        <f>Option5!Z$36*conv_2026*Z$7</f>
        <v>0</v>
      </c>
      <c r="AA72" s="31">
        <f>Option5!AA$36*conv_2026*AA$7</f>
        <v>0</v>
      </c>
      <c r="AB72" s="31">
        <f>Option5!AB$36*conv_2026*AB$7</f>
        <v>0</v>
      </c>
      <c r="AC72" s="31">
        <f>Option5!AC$36*conv_2026*AC$7</f>
        <v>0</v>
      </c>
      <c r="AD72" s="31">
        <f>Option5!AD$36*conv_2026*AD$7</f>
        <v>0</v>
      </c>
      <c r="AE72" s="31">
        <f>Option5!AE$36*conv_2026*AE$7</f>
        <v>0</v>
      </c>
      <c r="AF72" s="31">
        <f>Option5!AF$36*conv_2026*AF$7</f>
        <v>0</v>
      </c>
      <c r="AG72" s="31">
        <f>Option5!AG$36*conv_2026*AG$7</f>
        <v>0</v>
      </c>
    </row>
    <row r="73" spans="1:33" s="2" customFormat="1" x14ac:dyDescent="0.3">
      <c r="A73" s="135" t="str">
        <f t="shared" si="19"/>
        <v>Option 5</v>
      </c>
      <c r="B73" s="135"/>
      <c r="C73" s="75"/>
      <c r="D73" s="38" t="str">
        <f t="shared" si="18"/>
        <v>Option 5</v>
      </c>
      <c r="E73" s="1"/>
      <c r="F73"/>
      <c r="G73" s="226"/>
      <c r="H73"/>
      <c r="I73"/>
      <c r="J73"/>
      <c r="K73"/>
      <c r="L73"/>
      <c r="M73"/>
      <c r="N73"/>
      <c r="O73"/>
      <c r="P73"/>
      <c r="Q73"/>
      <c r="R73"/>
      <c r="S73"/>
      <c r="T73"/>
      <c r="U73"/>
      <c r="V73"/>
      <c r="W73"/>
      <c r="X73"/>
      <c r="Y73"/>
      <c r="Z73"/>
      <c r="AA73"/>
      <c r="AB73"/>
      <c r="AC73"/>
      <c r="AD73"/>
      <c r="AE73"/>
      <c r="AF73"/>
      <c r="AG73"/>
    </row>
    <row r="74" spans="1:33" s="2" customFormat="1" ht="13" x14ac:dyDescent="0.3">
      <c r="A74" s="135" t="str">
        <f t="shared" si="19"/>
        <v>Option 5</v>
      </c>
      <c r="B74" s="135"/>
      <c r="C74" s="58" t="str">
        <f>Option5!C$82</f>
        <v>Annualised capex</v>
      </c>
      <c r="D74" s="38" t="str">
        <f t="shared" si="18"/>
        <v>Option 5Annualised capex</v>
      </c>
      <c r="E74" s="1"/>
      <c r="F74" s="108" cm="1">
        <f t="array" ref="F74">SUMPRODUCT(($H74:$AG74)*($H$5:$AG$5)*($H$7:$AG$7))</f>
        <v>0</v>
      </c>
      <c r="G74" s="225">
        <f t="shared" ref="G74:G81" si="20">output_dollars</f>
        <v>46203</v>
      </c>
      <c r="H74" s="31"/>
      <c r="I74" s="31">
        <f>Option5!I$82*conv_2026*I$7</f>
        <v>0</v>
      </c>
      <c r="J74" s="31">
        <f>Option5!J$82*conv_2026*J$7</f>
        <v>0</v>
      </c>
      <c r="K74" s="31">
        <f>Option5!K$82*conv_2026*K$7</f>
        <v>0</v>
      </c>
      <c r="L74" s="31">
        <f>Option5!L$82*conv_2026*L$7</f>
        <v>0</v>
      </c>
      <c r="M74" s="31">
        <f>Option5!M$82*conv_2026*M$7</f>
        <v>0</v>
      </c>
      <c r="N74" s="31">
        <f>Option5!N$82*conv_2026*N$7</f>
        <v>0</v>
      </c>
      <c r="O74" s="31">
        <f>Option5!O$82*conv_2026*O$7</f>
        <v>0</v>
      </c>
      <c r="P74" s="31">
        <f>Option5!P$82*conv_2026*P$7</f>
        <v>0</v>
      </c>
      <c r="Q74" s="31">
        <f>Option5!Q$82*conv_2026*Q$7</f>
        <v>0</v>
      </c>
      <c r="R74" s="31">
        <f>Option5!R$82*conv_2026*R$7</f>
        <v>0</v>
      </c>
      <c r="S74" s="31">
        <f>Option5!S$82*conv_2026*S$7</f>
        <v>0</v>
      </c>
      <c r="T74" s="31">
        <f>Option5!T$82*conv_2026*T$7</f>
        <v>0</v>
      </c>
      <c r="U74" s="31">
        <f>Option5!U$82*conv_2026*U$7</f>
        <v>0</v>
      </c>
      <c r="V74" s="31">
        <f>Option5!V$82*conv_2026*V$7</f>
        <v>0</v>
      </c>
      <c r="W74" s="31">
        <f>Option5!W$82*conv_2026*W$7</f>
        <v>0</v>
      </c>
      <c r="X74" s="31">
        <f>Option5!X$82*conv_2026*X$7</f>
        <v>0</v>
      </c>
      <c r="Y74" s="31">
        <f>Option5!Y$82*conv_2026*Y$7</f>
        <v>0</v>
      </c>
      <c r="Z74" s="31">
        <f>Option5!Z$82*conv_2026*Z$7</f>
        <v>0</v>
      </c>
      <c r="AA74" s="31">
        <f>Option5!AA$82*conv_2026*AA$7</f>
        <v>0</v>
      </c>
      <c r="AB74" s="31">
        <f>Option5!AB$82*conv_2026*AB$7</f>
        <v>0</v>
      </c>
      <c r="AC74" s="31">
        <f>Option5!AC$82*conv_2026*AC$7</f>
        <v>0</v>
      </c>
      <c r="AD74" s="31">
        <f>Option5!AD$82*conv_2026*AD$7</f>
        <v>0</v>
      </c>
      <c r="AE74" s="31">
        <f>Option5!AE$82*conv_2026*AE$7</f>
        <v>0</v>
      </c>
      <c r="AF74" s="31">
        <f>Option5!AF$82*conv_2026*AF$7</f>
        <v>0</v>
      </c>
      <c r="AG74" s="31">
        <f>Option5!AG$82*conv_2026*AG$7</f>
        <v>0</v>
      </c>
    </row>
    <row r="75" spans="1:33" s="2" customFormat="1" ht="13" x14ac:dyDescent="0.3">
      <c r="A75" s="135" t="str">
        <f t="shared" si="19"/>
        <v>Option 5</v>
      </c>
      <c r="B75" s="135"/>
      <c r="C75" s="58" t="str">
        <f>Option5!C$83</f>
        <v>Operating expenditure</v>
      </c>
      <c r="D75" s="38" t="str">
        <f t="shared" si="18"/>
        <v>Option 5Operating expenditure</v>
      </c>
      <c r="E75" s="1"/>
      <c r="F75" s="108" cm="1">
        <f t="array" ref="F75">SUMPRODUCT(($H75:$AG75)*($H$5:$AG$5)*($H$7:$AG$7))</f>
        <v>0</v>
      </c>
      <c r="G75" s="225">
        <f t="shared" si="20"/>
        <v>46203</v>
      </c>
      <c r="H75" s="31"/>
      <c r="I75" s="31">
        <f>Option5!I$83*conv_2026*I$7</f>
        <v>0</v>
      </c>
      <c r="J75" s="31">
        <f>Option5!J$83*conv_2026*J$7</f>
        <v>0</v>
      </c>
      <c r="K75" s="31">
        <f>Option5!K$83*conv_2026*K$7</f>
        <v>0</v>
      </c>
      <c r="L75" s="31">
        <f>Option5!L$83*conv_2026*L$7</f>
        <v>0</v>
      </c>
      <c r="M75" s="31">
        <f>Option5!M$83*conv_2026*M$7</f>
        <v>0</v>
      </c>
      <c r="N75" s="31">
        <f>Option5!N$83*conv_2026*N$7</f>
        <v>0</v>
      </c>
      <c r="O75" s="31">
        <f>Option5!O$83*conv_2026*O$7</f>
        <v>0</v>
      </c>
      <c r="P75" s="31">
        <f>Option5!P$83*conv_2026*P$7</f>
        <v>0</v>
      </c>
      <c r="Q75" s="31">
        <f>Option5!Q$83*conv_2026*Q$7</f>
        <v>0</v>
      </c>
      <c r="R75" s="31">
        <f>Option5!R$83*conv_2026*R$7</f>
        <v>0</v>
      </c>
      <c r="S75" s="31">
        <f>Option5!S$83*conv_2026*S$7</f>
        <v>0</v>
      </c>
      <c r="T75" s="31">
        <f>Option5!T$83*conv_2026*T$7</f>
        <v>0</v>
      </c>
      <c r="U75" s="31">
        <f>Option5!U$83*conv_2026*U$7</f>
        <v>0</v>
      </c>
      <c r="V75" s="31">
        <f>Option5!V$83*conv_2026*V$7</f>
        <v>0</v>
      </c>
      <c r="W75" s="31">
        <f>Option5!W$83*conv_2026*W$7</f>
        <v>0</v>
      </c>
      <c r="X75" s="31">
        <f>Option5!X$83*conv_2026*X$7</f>
        <v>0</v>
      </c>
      <c r="Y75" s="31">
        <f>Option5!Y$83*conv_2026*Y$7</f>
        <v>0</v>
      </c>
      <c r="Z75" s="31">
        <f>Option5!Z$83*conv_2026*Z$7</f>
        <v>0</v>
      </c>
      <c r="AA75" s="31">
        <f>Option5!AA$83*conv_2026*AA$7</f>
        <v>0</v>
      </c>
      <c r="AB75" s="31">
        <f>Option5!AB$83*conv_2026*AB$7</f>
        <v>0</v>
      </c>
      <c r="AC75" s="31">
        <f>Option5!AC$83*conv_2026*AC$7</f>
        <v>0</v>
      </c>
      <c r="AD75" s="31">
        <f>Option5!AD$83*conv_2026*AD$7</f>
        <v>0</v>
      </c>
      <c r="AE75" s="31">
        <f>Option5!AE$83*conv_2026*AE$7</f>
        <v>0</v>
      </c>
      <c r="AF75" s="31">
        <f>Option5!AF$83*conv_2026*AF$7</f>
        <v>0</v>
      </c>
      <c r="AG75" s="31">
        <f>Option5!AG$83*conv_2026*AG$7</f>
        <v>0</v>
      </c>
    </row>
    <row r="76" spans="1:33" s="2" customFormat="1" ht="13" x14ac:dyDescent="0.3">
      <c r="A76" s="135" t="str">
        <f t="shared" si="19"/>
        <v>Option 5</v>
      </c>
      <c r="B76" s="135"/>
      <c r="C76" s="58" t="str">
        <f>Option5!C$84</f>
        <v>Risk mitigated</v>
      </c>
      <c r="D76" s="38" t="str">
        <f t="shared" si="18"/>
        <v>Option 5Risk mitigated</v>
      </c>
      <c r="E76" s="1"/>
      <c r="F76" s="97">
        <f>SUMPRODUCT($H76:$AG76, $H$5:$AG$5)</f>
        <v>0</v>
      </c>
      <c r="G76" s="225">
        <f t="shared" si="20"/>
        <v>46203</v>
      </c>
      <c r="H76" s="31"/>
      <c r="I76" s="31">
        <f>Option5!I$84*conv_2026*I$7</f>
        <v>0</v>
      </c>
      <c r="J76" s="31">
        <f>Option5!J$84*conv_2026*J$7</f>
        <v>0</v>
      </c>
      <c r="K76" s="31">
        <f>Option5!K$84*conv_2026*K$7</f>
        <v>0</v>
      </c>
      <c r="L76" s="31">
        <f>Option5!L$84*conv_2026*L$7</f>
        <v>0</v>
      </c>
      <c r="M76" s="31">
        <f>Option5!M$84*conv_2026*M$7</f>
        <v>0</v>
      </c>
      <c r="N76" s="31">
        <f>Option5!N$84*conv_2026*N$7</f>
        <v>0</v>
      </c>
      <c r="O76" s="31">
        <f>Option5!O$84*conv_2026*O$7</f>
        <v>0</v>
      </c>
      <c r="P76" s="31">
        <f>Option5!P$84*conv_2026*P$7</f>
        <v>0</v>
      </c>
      <c r="Q76" s="31">
        <f>Option5!Q$84*conv_2026*Q$7</f>
        <v>0</v>
      </c>
      <c r="R76" s="31">
        <f>Option5!R$84*conv_2026*R$7</f>
        <v>0</v>
      </c>
      <c r="S76" s="31">
        <f>Option5!S$84*conv_2026*S$7</f>
        <v>0</v>
      </c>
      <c r="T76" s="31">
        <f>Option5!T$84*conv_2026*T$7</f>
        <v>0</v>
      </c>
      <c r="U76" s="31">
        <f>Option5!U$84*conv_2026*U$7</f>
        <v>0</v>
      </c>
      <c r="V76" s="31">
        <f>Option5!V$84*conv_2026*V$7</f>
        <v>0</v>
      </c>
      <c r="W76" s="31">
        <f>Option5!W$84*conv_2026*W$7</f>
        <v>0</v>
      </c>
      <c r="X76" s="31">
        <f>Option5!X$84*conv_2026*X$7</f>
        <v>0</v>
      </c>
      <c r="Y76" s="31">
        <f>Option5!Y$84*conv_2026*Y$7</f>
        <v>0</v>
      </c>
      <c r="Z76" s="31">
        <f>Option5!Z$84*conv_2026*Z$7</f>
        <v>0</v>
      </c>
      <c r="AA76" s="31">
        <f>Option5!AA$84*conv_2026*AA$7</f>
        <v>0</v>
      </c>
      <c r="AB76" s="31">
        <f>Option5!AB$84*conv_2026*AB$7</f>
        <v>0</v>
      </c>
      <c r="AC76" s="31">
        <f>Option5!AC$84*conv_2026*AC$7</f>
        <v>0</v>
      </c>
      <c r="AD76" s="31">
        <f>Option5!AD$84*conv_2026*AD$7</f>
        <v>0</v>
      </c>
      <c r="AE76" s="31">
        <f>Option5!AE$84*conv_2026*AE$7</f>
        <v>0</v>
      </c>
      <c r="AF76" s="31">
        <f>Option5!AF$84*conv_2026*AF$7</f>
        <v>0</v>
      </c>
      <c r="AG76" s="31">
        <f>Option5!AG$84*conv_2026*AG$7</f>
        <v>0</v>
      </c>
    </row>
    <row r="77" spans="1:33" s="2" customFormat="1" ht="13" x14ac:dyDescent="0.3">
      <c r="A77" s="135" t="str">
        <f t="shared" si="19"/>
        <v>Option 5</v>
      </c>
      <c r="B77" s="135"/>
      <c r="C77" s="58" t="str">
        <f>Option5!C$85</f>
        <v>Other benefits value</v>
      </c>
      <c r="D77" s="38" t="str">
        <f t="shared" si="18"/>
        <v>Option 5Other benefits value</v>
      </c>
      <c r="E77" s="1"/>
      <c r="F77" s="97">
        <f>SUMPRODUCT($H77:$AG77, $H$5:$AG$5)</f>
        <v>0</v>
      </c>
      <c r="G77" s="225">
        <f t="shared" si="20"/>
        <v>46203</v>
      </c>
      <c r="H77" s="31"/>
      <c r="I77" s="31">
        <f>Option5!I$85*conv_2026*I$7</f>
        <v>0</v>
      </c>
      <c r="J77" s="31">
        <f>Option5!J$85*conv_2026*J$7</f>
        <v>0</v>
      </c>
      <c r="K77" s="31">
        <f>Option5!K$85*conv_2026*K$7</f>
        <v>0</v>
      </c>
      <c r="L77" s="31">
        <f>Option5!L$85*conv_2026*L$7</f>
        <v>0</v>
      </c>
      <c r="M77" s="31">
        <f>Option5!M$85*conv_2026*M$7</f>
        <v>0</v>
      </c>
      <c r="N77" s="31">
        <f>Option5!N$85*conv_2026*N$7</f>
        <v>0</v>
      </c>
      <c r="O77" s="31">
        <f>Option5!O$85*conv_2026*O$7</f>
        <v>0</v>
      </c>
      <c r="P77" s="31">
        <f>Option5!P$85*conv_2026*P$7</f>
        <v>0</v>
      </c>
      <c r="Q77" s="31">
        <f>Option5!Q$85*conv_2026*Q$7</f>
        <v>0</v>
      </c>
      <c r="R77" s="31">
        <f>Option5!R$85*conv_2026*R$7</f>
        <v>0</v>
      </c>
      <c r="S77" s="31">
        <f>Option5!S$85*conv_2026*S$7</f>
        <v>0</v>
      </c>
      <c r="T77" s="31">
        <f>Option5!T$85*conv_2026*T$7</f>
        <v>0</v>
      </c>
      <c r="U77" s="31">
        <f>Option5!U$85*conv_2026*U$7</f>
        <v>0</v>
      </c>
      <c r="V77" s="31">
        <f>Option5!V$85*conv_2026*V$7</f>
        <v>0</v>
      </c>
      <c r="W77" s="31">
        <f>Option5!W$85*conv_2026*W$7</f>
        <v>0</v>
      </c>
      <c r="X77" s="31">
        <f>Option5!X$85*conv_2026*X$7</f>
        <v>0</v>
      </c>
      <c r="Y77" s="31">
        <f>Option5!Y$85*conv_2026*Y$7</f>
        <v>0</v>
      </c>
      <c r="Z77" s="31">
        <f>Option5!Z$85*conv_2026*Z$7</f>
        <v>0</v>
      </c>
      <c r="AA77" s="31">
        <f>Option5!AA$85*conv_2026*AA$7</f>
        <v>0</v>
      </c>
      <c r="AB77" s="31">
        <f>Option5!AB$85*conv_2026*AB$7</f>
        <v>0</v>
      </c>
      <c r="AC77" s="31">
        <f>Option5!AC$85*conv_2026*AC$7</f>
        <v>0</v>
      </c>
      <c r="AD77" s="31">
        <f>Option5!AD$85*conv_2026*AD$7</f>
        <v>0</v>
      </c>
      <c r="AE77" s="31">
        <f>Option5!AE$85*conv_2026*AE$7</f>
        <v>0</v>
      </c>
      <c r="AF77" s="31">
        <f>Option5!AF$85*conv_2026*AF$7</f>
        <v>0</v>
      </c>
      <c r="AG77" s="31">
        <f>Option5!AG$85*conv_2026*AG$7</f>
        <v>0</v>
      </c>
    </row>
    <row r="78" spans="1:33" s="2" customFormat="1" ht="13" x14ac:dyDescent="0.3">
      <c r="A78" s="135" t="str">
        <f t="shared" si="19"/>
        <v>Option 5</v>
      </c>
      <c r="B78" s="135"/>
      <c r="C78" s="124" t="str">
        <f>Option5!C87</f>
        <v>Net benefits</v>
      </c>
      <c r="D78" s="109" t="str">
        <f t="shared" si="18"/>
        <v>Option 5Net benefits</v>
      </c>
      <c r="E78" s="110"/>
      <c r="F78" s="143"/>
      <c r="G78" s="227">
        <f t="shared" si="20"/>
        <v>46203</v>
      </c>
      <c r="H78" s="52"/>
      <c r="I78" s="52">
        <f t="shared" ref="I78:AB78" si="21">SUM(I74:I77)</f>
        <v>0</v>
      </c>
      <c r="J78" s="52">
        <f t="shared" si="21"/>
        <v>0</v>
      </c>
      <c r="K78" s="52">
        <f t="shared" si="21"/>
        <v>0</v>
      </c>
      <c r="L78" s="52">
        <f t="shared" si="21"/>
        <v>0</v>
      </c>
      <c r="M78" s="52">
        <f t="shared" si="21"/>
        <v>0</v>
      </c>
      <c r="N78" s="52">
        <f t="shared" si="21"/>
        <v>0</v>
      </c>
      <c r="O78" s="52">
        <f t="shared" si="21"/>
        <v>0</v>
      </c>
      <c r="P78" s="52">
        <f t="shared" si="21"/>
        <v>0</v>
      </c>
      <c r="Q78" s="52">
        <f t="shared" si="21"/>
        <v>0</v>
      </c>
      <c r="R78" s="52">
        <f t="shared" si="21"/>
        <v>0</v>
      </c>
      <c r="S78" s="52">
        <f t="shared" si="21"/>
        <v>0</v>
      </c>
      <c r="T78" s="52">
        <f t="shared" si="21"/>
        <v>0</v>
      </c>
      <c r="U78" s="52">
        <f t="shared" si="21"/>
        <v>0</v>
      </c>
      <c r="V78" s="52">
        <f t="shared" si="21"/>
        <v>0</v>
      </c>
      <c r="W78" s="52">
        <f t="shared" si="21"/>
        <v>0</v>
      </c>
      <c r="X78" s="52">
        <f t="shared" si="21"/>
        <v>0</v>
      </c>
      <c r="Y78" s="52">
        <f t="shared" si="21"/>
        <v>0</v>
      </c>
      <c r="Z78" s="52">
        <f t="shared" si="21"/>
        <v>0</v>
      </c>
      <c r="AA78" s="52">
        <f t="shared" si="21"/>
        <v>0</v>
      </c>
      <c r="AB78" s="52">
        <f t="shared" si="21"/>
        <v>0</v>
      </c>
      <c r="AC78" s="52">
        <f>SUM(AC74:AC77)</f>
        <v>0</v>
      </c>
      <c r="AD78" s="52">
        <f>SUM(AD74:AD77)</f>
        <v>0</v>
      </c>
      <c r="AE78" s="52">
        <f>SUM(AE74:AE77)</f>
        <v>0</v>
      </c>
      <c r="AF78" s="52">
        <f>SUM(AF74:AF77)</f>
        <v>0</v>
      </c>
      <c r="AG78" s="52">
        <f>SUM(AG74:AG77)</f>
        <v>0</v>
      </c>
    </row>
    <row r="79" spans="1:33" s="2" customFormat="1" ht="13" x14ac:dyDescent="0.3">
      <c r="A79" s="135" t="str">
        <f t="shared" si="19"/>
        <v>Option 5</v>
      </c>
      <c r="B79" s="135"/>
      <c r="C79" s="8" t="s">
        <v>120</v>
      </c>
      <c r="D79" s="38" t="str">
        <f t="shared" si="18"/>
        <v>Option 5NPV</v>
      </c>
      <c r="E79" s="1"/>
      <c r="F79" s="108" cm="1">
        <f t="array" ref="F79">SUMPRODUCT(($H78:$AG78)*($H$5:$AG$5)*($H$7:$AG$7))</f>
        <v>0</v>
      </c>
      <c r="G79" s="225">
        <f t="shared" si="20"/>
        <v>46203</v>
      </c>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s="2" customFormat="1" ht="13" x14ac:dyDescent="0.3">
      <c r="A80" s="135" t="str">
        <f t="shared" si="19"/>
        <v>Option 5</v>
      </c>
      <c r="B80" s="135"/>
      <c r="C80" s="8" t="s">
        <v>195</v>
      </c>
      <c r="D80" s="38" t="str">
        <f t="shared" si="18"/>
        <v>Option 5PV of costs</v>
      </c>
      <c r="E80" s="1"/>
      <c r="F80" s="108">
        <f>SUM(F74:F75)</f>
        <v>0</v>
      </c>
      <c r="G80" s="225">
        <f t="shared" si="20"/>
        <v>46203</v>
      </c>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s="2" customFormat="1" ht="13" x14ac:dyDescent="0.3">
      <c r="A81" s="135" t="str">
        <f t="shared" si="19"/>
        <v>Option 5</v>
      </c>
      <c r="B81" s="135"/>
      <c r="C81" s="8" t="s">
        <v>196</v>
      </c>
      <c r="D81" s="38" t="str">
        <f t="shared" si="18"/>
        <v>Option 5PV of benefits</v>
      </c>
      <c r="E81" s="1"/>
      <c r="F81" s="108">
        <f>SUM(F76:F77)</f>
        <v>0</v>
      </c>
      <c r="G81" s="225">
        <f t="shared" si="20"/>
        <v>46203</v>
      </c>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s="2" customFormat="1" ht="13" x14ac:dyDescent="0.3">
      <c r="A82" s="123"/>
      <c r="B82" s="123"/>
      <c r="C82" s="123"/>
      <c r="D82" s="38" t="str">
        <f>A82&amp;C82</f>
        <v/>
      </c>
      <c r="F82" s="117"/>
      <c r="G82" s="221"/>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row>
    <row r="83" spans="1:33" ht="12" x14ac:dyDescent="0.3">
      <c r="E83" s="84"/>
      <c r="G83" s="229"/>
    </row>
    <row r="84" spans="1:33" ht="12" x14ac:dyDescent="0.3">
      <c r="E84" s="84"/>
      <c r="G84" s="229"/>
    </row>
    <row r="85" spans="1:33" ht="12" x14ac:dyDescent="0.3">
      <c r="E85" s="84"/>
      <c r="G85" s="229"/>
    </row>
    <row r="86" spans="1:33" ht="12" x14ac:dyDescent="0.3">
      <c r="E86" s="84"/>
      <c r="G86" s="229"/>
    </row>
    <row r="87" spans="1:33" ht="12" x14ac:dyDescent="0.3">
      <c r="E87" s="10"/>
      <c r="G87" s="229"/>
    </row>
    <row r="88" spans="1:33" ht="14.5" x14ac:dyDescent="0.35">
      <c r="A88" s="202" t="s">
        <v>208</v>
      </c>
      <c r="B88" s="54"/>
      <c r="C88" s="19"/>
      <c r="D88" s="19"/>
      <c r="E88" s="83"/>
      <c r="F88" s="19"/>
      <c r="G88" s="223"/>
      <c r="H88" s="223"/>
      <c r="I88" s="199" t="str">
        <f>"FY"&amp;RIGHT(I$9,2)</f>
        <v>FY27</v>
      </c>
      <c r="J88" s="199" t="str">
        <f t="shared" ref="J88:AG88" si="22">"FY"&amp;RIGHT(J$9,2)</f>
        <v>FY28</v>
      </c>
      <c r="K88" s="199" t="str">
        <f t="shared" si="22"/>
        <v>FY29</v>
      </c>
      <c r="L88" s="199" t="str">
        <f t="shared" si="22"/>
        <v>FY30</v>
      </c>
      <c r="M88" s="199" t="str">
        <f t="shared" si="22"/>
        <v>FY31</v>
      </c>
      <c r="N88" s="199" t="str">
        <f t="shared" si="22"/>
        <v>FY32</v>
      </c>
      <c r="O88" s="199" t="str">
        <f t="shared" si="22"/>
        <v>FY33</v>
      </c>
      <c r="P88" s="199" t="str">
        <f t="shared" si="22"/>
        <v>FY34</v>
      </c>
      <c r="Q88" s="199" t="str">
        <f t="shared" si="22"/>
        <v>FY35</v>
      </c>
      <c r="R88" s="199" t="str">
        <f t="shared" si="22"/>
        <v>FY36</v>
      </c>
      <c r="S88" s="199" t="str">
        <f t="shared" si="22"/>
        <v>FY37</v>
      </c>
      <c r="T88" s="199" t="str">
        <f t="shared" si="22"/>
        <v>FY38</v>
      </c>
      <c r="U88" s="199" t="str">
        <f t="shared" si="22"/>
        <v>FY39</v>
      </c>
      <c r="V88" s="199" t="str">
        <f t="shared" si="22"/>
        <v>FY40</v>
      </c>
      <c r="W88" s="199" t="str">
        <f t="shared" si="22"/>
        <v>FY41</v>
      </c>
      <c r="X88" s="199" t="str">
        <f t="shared" si="22"/>
        <v>FY42</v>
      </c>
      <c r="Y88" s="199" t="str">
        <f t="shared" si="22"/>
        <v>FY43</v>
      </c>
      <c r="Z88" s="199" t="str">
        <f t="shared" si="22"/>
        <v>FY44</v>
      </c>
      <c r="AA88" s="199" t="str">
        <f t="shared" si="22"/>
        <v>FY45</v>
      </c>
      <c r="AB88" s="199" t="str">
        <f t="shared" si="22"/>
        <v>FY46</v>
      </c>
      <c r="AC88" s="199" t="str">
        <f t="shared" si="22"/>
        <v>FY47</v>
      </c>
      <c r="AD88" s="199" t="str">
        <f t="shared" si="22"/>
        <v>FY48</v>
      </c>
      <c r="AE88" s="199" t="str">
        <f t="shared" si="22"/>
        <v>FY49</v>
      </c>
      <c r="AF88" s="199" t="str">
        <f t="shared" si="22"/>
        <v>FY50</v>
      </c>
      <c r="AG88" s="199" t="str">
        <f t="shared" si="22"/>
        <v>FY51</v>
      </c>
    </row>
    <row r="89" spans="1:33" ht="12" x14ac:dyDescent="0.3">
      <c r="E89" s="84"/>
      <c r="G89" s="229"/>
    </row>
    <row r="90" spans="1:33" ht="12" x14ac:dyDescent="0.3">
      <c r="E90" s="84"/>
    </row>
    <row r="91" spans="1:33" ht="13" x14ac:dyDescent="0.3">
      <c r="A91" s="198" t="str">
        <f>Summary!$C$26</f>
        <v>Option 4</v>
      </c>
      <c r="B91" s="139"/>
      <c r="C91" s="196" t="s">
        <v>92</v>
      </c>
      <c r="D91" s="117">
        <f>INDEX(Data!$C$30:$C$36, MATCH(C91, Data!$B$30:$B$36,0))</f>
        <v>-1</v>
      </c>
      <c r="E91" s="2"/>
      <c r="F91" s="117"/>
      <c r="G91" s="118"/>
      <c r="H91" s="118" t="str">
        <f>A91&amp;" "&amp;LOWER(C91)</f>
        <v>Option 4 annualised capex</v>
      </c>
      <c r="I91" s="297" cm="1">
        <f t="array" ref="I91">MAX($D91*INDEX(I$15:W$81, MATCH($A91&amp;$C91, $D$15:$D$81,0),))/mill_conv</f>
        <v>0.15017163671993394</v>
      </c>
      <c r="J91" s="297" cm="1">
        <f t="array" ref="J91">MAX($D91*INDEX(J$15:X$81, MATCH($A91&amp;$C91, $D$15:$D$81,0),))/mill_conv</f>
        <v>0.15017163671993394</v>
      </c>
      <c r="K91" s="297" cm="1">
        <f t="array" ref="K91">MAX($D91*INDEX(K$15:Y$81, MATCH($A91&amp;$C91, $D$15:$D$81,0),))/mill_conv</f>
        <v>0.15017163671993394</v>
      </c>
      <c r="L91" s="297" cm="1">
        <f t="array" ref="L91">MAX($D91*INDEX(L$15:Z$81, MATCH($A91&amp;$C91, $D$15:$D$81,0),))/mill_conv</f>
        <v>0.15017163671993394</v>
      </c>
      <c r="M91" s="297" cm="1">
        <f t="array" ref="M91">MAX($D91*INDEX(M$15:AA$81, MATCH($A91&amp;$C91, $D$15:$D$81,0),))/mill_conv</f>
        <v>0.15017163671993394</v>
      </c>
      <c r="N91" s="297" cm="1">
        <f t="array" ref="N91">MAX($D91*INDEX(N$15:AB$81, MATCH($A91&amp;$C91, $D$15:$D$81,0),))/mill_conv</f>
        <v>0.15017163671993394</v>
      </c>
      <c r="O91" s="297" cm="1">
        <f t="array" ref="O91">MAX($D91*INDEX(O$15:AC$81, MATCH($A91&amp;$C91, $D$15:$D$81,0),))/mill_conv</f>
        <v>0.15017163671993394</v>
      </c>
      <c r="P91" s="297" cm="1">
        <f t="array" ref="P91">MAX($D91*INDEX(P$15:AD$81, MATCH($A91&amp;$C91, $D$15:$D$81,0),))/mill_conv</f>
        <v>0.15017163671993394</v>
      </c>
      <c r="Q91" s="297" cm="1">
        <f t="array" ref="Q91">MAX($D91*INDEX(Q$15:AE$81, MATCH($A91&amp;$C91, $D$15:$D$81,0),))/mill_conv</f>
        <v>0.15017163671993394</v>
      </c>
      <c r="R91" s="297" cm="1">
        <f t="array" ref="R91">MAX($D91*INDEX(R$15:AF$81, MATCH($A91&amp;$C91, $D$15:$D$81,0),))/mill_conv</f>
        <v>0.15017163671993394</v>
      </c>
      <c r="S91" s="297" cm="1">
        <f t="array" ref="S91">MAX($D91*INDEX(S$15:AG$81, MATCH($A91&amp;$C91, $D$15:$D$81,0),))/mill_conv</f>
        <v>0.15017163671993394</v>
      </c>
      <c r="T91" s="297" cm="1">
        <f t="array" ref="T91">MAX($D91*INDEX(T$15:AH$81, MATCH($A91&amp;$C91, $D$15:$D$81,0),))/mill_conv</f>
        <v>0.15017163671993394</v>
      </c>
      <c r="U91" s="297" cm="1">
        <f t="array" ref="U91">MAX($D91*INDEX(U$15:AI$81, MATCH($A91&amp;$C91, $D$15:$D$81,0),))/mill_conv</f>
        <v>0.15017163671993394</v>
      </c>
      <c r="V91" s="297" cm="1">
        <f t="array" ref="V91">MAX($D91*INDEX(V$15:AJ$81, MATCH($A91&amp;$C91, $D$15:$D$81,0),))/mill_conv</f>
        <v>0.15017163671993394</v>
      </c>
      <c r="W91" s="297" cm="1">
        <f t="array" ref="W91">MAX($D91*INDEX(W$15:AK$81, MATCH($A91&amp;$C91, $D$15:$D$81,0),))/mill_conv</f>
        <v>0.15017163671993394</v>
      </c>
      <c r="X91" s="297" cm="1">
        <f t="array" ref="X91">MAX($D91*INDEX(X$15:AL$81, MATCH($A91&amp;$C91, $D$15:$D$81,0),))/mill_conv</f>
        <v>0.15017163671993394</v>
      </c>
      <c r="Y91" s="297" cm="1">
        <f t="array" ref="Y91">MAX($D91*INDEX(Y$15:AM$81, MATCH($A91&amp;$C91, $D$15:$D$81,0),))/mill_conv</f>
        <v>0.15017163671993394</v>
      </c>
      <c r="Z91" s="297" cm="1">
        <f t="array" ref="Z91">MAX($D91*INDEX(Z$15:AN$81, MATCH($A91&amp;$C91, $D$15:$D$81,0),))/mill_conv</f>
        <v>0.15017163671993394</v>
      </c>
      <c r="AA91" s="297" cm="1">
        <f t="array" ref="AA91">MAX($D91*INDEX(AA$15:AO$81, MATCH($A91&amp;$C91, $D$15:$D$81,0),))/mill_conv</f>
        <v>0.15017163671993394</v>
      </c>
      <c r="AB91" s="297" cm="1">
        <f t="array" ref="AB91">MAX($D91*INDEX(AB$15:AP$81, MATCH($A91&amp;$C91, $D$15:$D$81,0),))/mill_conv</f>
        <v>0.15017163671993394</v>
      </c>
      <c r="AC91" s="297" cm="1">
        <f t="array" ref="AC91">MAX($D91*INDEX(AC$15:AQ$81, MATCH($A91&amp;$C91, $D$15:$D$81,0),))/mill_conv</f>
        <v>0</v>
      </c>
      <c r="AD91" s="297" cm="1">
        <f t="array" ref="AD91">MAX($D91*INDEX(AD$15:AR$81, MATCH($A91&amp;$C91, $D$15:$D$81,0),))/mill_conv</f>
        <v>0</v>
      </c>
      <c r="AE91" s="297" cm="1">
        <f t="array" ref="AE91">MAX($D91*INDEX(AE$15:AS$81, MATCH($A91&amp;$C91, $D$15:$D$81,0),))/mill_conv</f>
        <v>0</v>
      </c>
      <c r="AF91" s="297" cm="1">
        <f t="array" ref="AF91">MAX($D91*INDEX(AF$15:AT$81, MATCH($A91&amp;$C91, $D$15:$D$81,0),))/mill_conv</f>
        <v>0</v>
      </c>
      <c r="AG91" s="297" cm="1">
        <f t="array" ref="AG91">MAX($D91*INDEX(AG$15:AU$81, MATCH($A91&amp;$C91, $D$15:$D$81,0),))/mill_conv</f>
        <v>0</v>
      </c>
    </row>
    <row r="92" spans="1:33" ht="13" x14ac:dyDescent="0.3">
      <c r="A92" s="197" t="str">
        <f>A16</f>
        <v>Option 1 (base case)</v>
      </c>
      <c r="B92" s="139"/>
      <c r="C92" s="197" t="s">
        <v>178</v>
      </c>
      <c r="D92" s="117">
        <f>INDEX(Data!$C$30:$C$36, MATCH(C92, Data!$B$30:$B$36,0))</f>
        <v>1</v>
      </c>
      <c r="E92" s="84"/>
      <c r="H92" s="118" t="str">
        <f>A92&amp;" risk cost"</f>
        <v>Option 1 (base case) risk cost</v>
      </c>
      <c r="I92" s="297">
        <f t="shared" ref="I92:R92" si="23">$D92*INDEX(I$15:I$81, MATCH($A92&amp;$C92, $D$15:$D$81,0))/mill_conv</f>
        <v>3.9397754823051923</v>
      </c>
      <c r="J92" s="297">
        <f t="shared" si="23"/>
        <v>4.0362093667855765</v>
      </c>
      <c r="K92" s="297">
        <f t="shared" si="23"/>
        <v>4.132639311490478</v>
      </c>
      <c r="L92" s="297">
        <f t="shared" si="23"/>
        <v>4.2290725380283574</v>
      </c>
      <c r="M92" s="297">
        <f t="shared" si="23"/>
        <v>4.3255048938758538</v>
      </c>
      <c r="N92" s="297">
        <f t="shared" si="23"/>
        <v>4.2953697836584555</v>
      </c>
      <c r="O92" s="297">
        <f t="shared" si="23"/>
        <v>4.2652363951229413</v>
      </c>
      <c r="P92" s="297">
        <f t="shared" si="23"/>
        <v>4.2351010524587895</v>
      </c>
      <c r="Q92" s="297">
        <f t="shared" si="23"/>
        <v>4.2049657097946369</v>
      </c>
      <c r="R92" s="297">
        <f t="shared" si="23"/>
        <v>4.1748303671304852</v>
      </c>
      <c r="S92" s="297">
        <f t="shared" ref="S92:AG92" si="24">$D92*INDEX(S$15:S$81, MATCH($A92&amp;$C92, $D$15:$D$81,0))/mill_conv</f>
        <v>4.1446950244663325</v>
      </c>
      <c r="T92" s="297">
        <f t="shared" si="24"/>
        <v>4.1145596818021808</v>
      </c>
      <c r="U92" s="297">
        <f t="shared" si="24"/>
        <v>4.0844243391380282</v>
      </c>
      <c r="V92" s="297">
        <f t="shared" si="24"/>
        <v>4.0542889964738746</v>
      </c>
      <c r="W92" s="297">
        <f t="shared" si="24"/>
        <v>4.0241536538097229</v>
      </c>
      <c r="X92" s="297">
        <f t="shared" si="24"/>
        <v>3.9940183111455703</v>
      </c>
      <c r="Y92" s="297">
        <f t="shared" si="24"/>
        <v>3.9638829684814176</v>
      </c>
      <c r="Z92" s="297">
        <f t="shared" si="24"/>
        <v>3.9337476258172654</v>
      </c>
      <c r="AA92" s="297">
        <f t="shared" si="24"/>
        <v>3.9036122831531124</v>
      </c>
      <c r="AB92" s="297">
        <f t="shared" si="24"/>
        <v>3.8734769404889602</v>
      </c>
      <c r="AC92" s="297">
        <f t="shared" si="24"/>
        <v>3.843341597824808</v>
      </c>
      <c r="AD92" s="297">
        <f t="shared" si="24"/>
        <v>3.8132062551606558</v>
      </c>
      <c r="AE92" s="297">
        <f t="shared" si="24"/>
        <v>3.7830748522719859</v>
      </c>
      <c r="AF92" s="297">
        <f t="shared" si="24"/>
        <v>3.7529395096078337</v>
      </c>
      <c r="AG92" s="297">
        <f t="shared" si="24"/>
        <v>3.7228041669436807</v>
      </c>
    </row>
    <row r="93" spans="1:33" ht="12" x14ac:dyDescent="0.3">
      <c r="E93" s="84"/>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row>
    <row r="94" spans="1:33" ht="12" x14ac:dyDescent="0.3">
      <c r="E94" s="84"/>
    </row>
    <row r="95" spans="1:33" ht="12" x14ac:dyDescent="0.3">
      <c r="E95" s="84"/>
    </row>
    <row r="96" spans="1:33" ht="12" x14ac:dyDescent="0.3">
      <c r="E96" s="84"/>
    </row>
    <row r="97" spans="1:33" ht="12" x14ac:dyDescent="0.3">
      <c r="E97" s="84"/>
      <c r="I97" s="294" t="str">
        <f>I88</f>
        <v>FY27</v>
      </c>
      <c r="J97" s="294" t="str">
        <f t="shared" ref="J97:AG97" si="25">J88</f>
        <v>FY28</v>
      </c>
      <c r="K97" s="294" t="str">
        <f t="shared" si="25"/>
        <v>FY29</v>
      </c>
      <c r="L97" s="294" t="str">
        <f t="shared" si="25"/>
        <v>FY30</v>
      </c>
      <c r="M97" s="294" t="str">
        <f t="shared" si="25"/>
        <v>FY31</v>
      </c>
      <c r="N97" s="294" t="str">
        <f t="shared" si="25"/>
        <v>FY32</v>
      </c>
      <c r="O97" s="294" t="str">
        <f t="shared" si="25"/>
        <v>FY33</v>
      </c>
      <c r="P97" s="294" t="str">
        <f t="shared" si="25"/>
        <v>FY34</v>
      </c>
      <c r="Q97" s="294" t="str">
        <f t="shared" si="25"/>
        <v>FY35</v>
      </c>
      <c r="R97" s="294" t="str">
        <f t="shared" si="25"/>
        <v>FY36</v>
      </c>
      <c r="S97" s="294" t="str">
        <f t="shared" si="25"/>
        <v>FY37</v>
      </c>
      <c r="T97" s="294" t="str">
        <f t="shared" si="25"/>
        <v>FY38</v>
      </c>
      <c r="U97" s="294" t="str">
        <f t="shared" si="25"/>
        <v>FY39</v>
      </c>
      <c r="V97" s="294" t="str">
        <f t="shared" si="25"/>
        <v>FY40</v>
      </c>
      <c r="W97" s="294" t="str">
        <f t="shared" si="25"/>
        <v>FY41</v>
      </c>
      <c r="X97" s="294" t="str">
        <f t="shared" si="25"/>
        <v>FY42</v>
      </c>
      <c r="Y97" s="294" t="str">
        <f t="shared" si="25"/>
        <v>FY43</v>
      </c>
      <c r="Z97" s="294" t="str">
        <f t="shared" si="25"/>
        <v>FY44</v>
      </c>
      <c r="AA97" s="294" t="str">
        <f t="shared" si="25"/>
        <v>FY45</v>
      </c>
      <c r="AB97" s="294" t="str">
        <f t="shared" si="25"/>
        <v>FY46</v>
      </c>
      <c r="AC97" s="294" t="str">
        <f t="shared" si="25"/>
        <v>FY47</v>
      </c>
      <c r="AD97" s="294" t="str">
        <f t="shared" si="25"/>
        <v>FY48</v>
      </c>
      <c r="AE97" s="294" t="str">
        <f t="shared" si="25"/>
        <v>FY49</v>
      </c>
      <c r="AF97" s="294" t="str">
        <f t="shared" si="25"/>
        <v>FY50</v>
      </c>
      <c r="AG97" s="294" t="str">
        <f t="shared" si="25"/>
        <v>FY51</v>
      </c>
    </row>
    <row r="98" spans="1:33" ht="13" x14ac:dyDescent="0.3">
      <c r="A98" s="198" t="s">
        <v>238</v>
      </c>
      <c r="B98" s="139"/>
      <c r="C98" s="196" t="s">
        <v>124</v>
      </c>
      <c r="D98" s="190">
        <f>MAX(H98:AG98)</f>
        <v>86.846116548858205</v>
      </c>
      <c r="E98" s="293"/>
      <c r="F98" s="117"/>
      <c r="G98" s="118"/>
      <c r="H98" s="118" t="str">
        <f>A98&amp;" "&amp;LOWER(C98)</f>
        <v>Energy at risk energy at risk (weighted)</v>
      </c>
      <c r="I98" s="118">
        <f>INDEX('Option1 (base case)'!I$14:I$87, MATCH($C98, 'Option1 (base case)'!$C$14:$C$87,0))</f>
        <v>79.101563657236937</v>
      </c>
      <c r="J98" s="118">
        <f>INDEX('Option1 (base case)'!J$14:J$87, MATCH($C98, 'Option1 (base case)'!$C$14:$C$87,0))</f>
        <v>81.037732630875126</v>
      </c>
      <c r="K98" s="118">
        <f>INDEX('Option1 (base case)'!K$14:K$87, MATCH($C98, 'Option1 (base case)'!$C$14:$C$87,0))</f>
        <v>82.973822502949659</v>
      </c>
      <c r="L98" s="118">
        <f>INDEX('Option1 (base case)'!L$14:L$87, MATCH($C98, 'Option1 (base case)'!$C$14:$C$87,0))</f>
        <v>84.909978266626723</v>
      </c>
      <c r="M98" s="118">
        <f>INDEX('Option1 (base case)'!M$14:M$87, MATCH($C98, 'Option1 (base case)'!$C$14:$C$87,0))</f>
        <v>86.846116548858205</v>
      </c>
      <c r="N98" s="118">
        <f>INDEX('Option1 (base case)'!N$14:N$87, MATCH($C98, 'Option1 (base case)'!$C$14:$C$87,0))</f>
        <v>86.241073355436257</v>
      </c>
      <c r="O98" s="118">
        <f>INDEX('Option1 (base case)'!O$14:O$87, MATCH($C98, 'Option1 (base case)'!$C$14:$C$87,0))</f>
        <v>85.636064729397617</v>
      </c>
      <c r="P98" s="118">
        <f>INDEX('Option1 (base case)'!P$14:P$87, MATCH($C98, 'Option1 (base case)'!$C$14:$C$87,0))</f>
        <v>85.031016868983414</v>
      </c>
      <c r="Q98" s="118">
        <f>INDEX('Option1 (base case)'!Q$14:Q$87, MATCH($C98, 'Option1 (base case)'!$C$14:$C$87,0))</f>
        <v>84.425969008569211</v>
      </c>
      <c r="R98" s="118">
        <f>INDEX('Option1 (base case)'!R$14:R$87, MATCH($C98, 'Option1 (base case)'!$C$14:$C$87,0))</f>
        <v>83.820921148155023</v>
      </c>
      <c r="S98" s="118">
        <f>INDEX('Option1 (base case)'!S$14:S$87, MATCH($C98, 'Option1 (base case)'!$C$14:$C$87,0))</f>
        <v>83.215873287740806</v>
      </c>
      <c r="T98" s="118">
        <f>INDEX('Option1 (base case)'!T$14:T$87, MATCH($C98, 'Option1 (base case)'!$C$14:$C$87,0))</f>
        <v>82.610825427326603</v>
      </c>
      <c r="U98" s="118">
        <f>INDEX('Option1 (base case)'!U$14:U$87, MATCH($C98, 'Option1 (base case)'!$C$14:$C$87,0))</f>
        <v>82.0057775669124</v>
      </c>
      <c r="V98" s="118">
        <f>INDEX('Option1 (base case)'!V$14:V$87, MATCH($C98, 'Option1 (base case)'!$C$14:$C$87,0))</f>
        <v>81.400729706498183</v>
      </c>
      <c r="W98" s="118">
        <f>INDEX('Option1 (base case)'!W$14:W$87, MATCH($C98, 'Option1 (base case)'!$C$14:$C$87,0))</f>
        <v>80.79568184608398</v>
      </c>
      <c r="X98" s="118">
        <f>INDEX('Option1 (base case)'!X$14:X$87, MATCH($C98, 'Option1 (base case)'!$C$14:$C$87,0))</f>
        <v>80.190633985669777</v>
      </c>
      <c r="Y98" s="118">
        <f>INDEX('Option1 (base case)'!Y$14:Y$87, MATCH($C98, 'Option1 (base case)'!$C$14:$C$87,0))</f>
        <v>79.585586125255574</v>
      </c>
      <c r="Z98" s="118">
        <f>INDEX('Option1 (base case)'!Z$14:Z$87, MATCH($C98, 'Option1 (base case)'!$C$14:$C$87,0))</f>
        <v>78.980538264841357</v>
      </c>
      <c r="AA98" s="118">
        <f>INDEX('Option1 (base case)'!AA$14:AA$87, MATCH($C98, 'Option1 (base case)'!$C$14:$C$87,0))</f>
        <v>78.375490404427154</v>
      </c>
      <c r="AB98" s="118">
        <f>INDEX('Option1 (base case)'!AB$14:AB$87, MATCH($C98, 'Option1 (base case)'!$C$14:$C$87,0))</f>
        <v>77.770442544012951</v>
      </c>
      <c r="AC98" s="118">
        <f>INDEX('Option1 (base case)'!AC$14:AC$87, MATCH($C98, 'Option1 (base case)'!$C$14:$C$87,0))</f>
        <v>77.165394683598748</v>
      </c>
      <c r="AD98" s="118">
        <f>INDEX('Option1 (base case)'!AD$14:AD$87, MATCH($C98, 'Option1 (base case)'!$C$14:$C$87,0))</f>
        <v>76.560346823184545</v>
      </c>
      <c r="AE98" s="118">
        <f>INDEX('Option1 (base case)'!AE$14:AE$87, MATCH($C98, 'Option1 (base case)'!$C$14:$C$87,0))</f>
        <v>75.955378064333999</v>
      </c>
      <c r="AF98" s="118">
        <f>INDEX('Option1 (base case)'!AF$14:AF$87, MATCH($C98, 'Option1 (base case)'!$C$14:$C$87,0))</f>
        <v>75.350330203919796</v>
      </c>
      <c r="AG98" s="118">
        <f>INDEX('Option1 (base case)'!AG$14:AG$87, MATCH($C98, 'Option1 (base case)'!$C$14:$C$87,0))</f>
        <v>74.745282343505579</v>
      </c>
    </row>
    <row r="99" spans="1:33" ht="13" x14ac:dyDescent="0.3">
      <c r="A99" s="197" t="str">
        <f>A23</f>
        <v>Option 1 (base case)</v>
      </c>
      <c r="B99" s="139"/>
      <c r="C99" s="197" t="s">
        <v>125</v>
      </c>
      <c r="D99" s="190">
        <f>MAX(H99:AG99)</f>
        <v>3.8866526567051758</v>
      </c>
      <c r="E99" s="293"/>
      <c r="H99" s="118" t="str">
        <f>A99&amp;" risk cost"</f>
        <v>Option 1 (base case) risk cost</v>
      </c>
      <c r="I99" s="118">
        <f>INDEX('Option1 (base case)'!I$14:I$87, MATCH($C99, 'Option1 (base case)'!$C$14:$C$87,0))/10^6</f>
        <v>3.5400581483107842</v>
      </c>
      <c r="J99" s="118">
        <f>INDEX('Option1 (base case)'!J$14:J$87, MATCH($C99, 'Option1 (base case)'!$C$14:$C$87,0))/10^6</f>
        <v>3.6267081516069872</v>
      </c>
      <c r="K99" s="118">
        <f>INDEX('Option1 (base case)'!K$14:K$87, MATCH($C99, 'Option1 (base case)'!$C$14:$C$87,0))/10^6</f>
        <v>3.7133546148450423</v>
      </c>
      <c r="L99" s="118">
        <f>INDEX('Option1 (base case)'!L$14:L$87, MATCH($C99, 'Option1 (base case)'!$C$14:$C$87,0))/10^6</f>
        <v>3.8000040269515347</v>
      </c>
      <c r="M99" s="118">
        <f>INDEX('Option1 (base case)'!M$14:M$87, MATCH($C99, 'Option1 (base case)'!$C$14:$C$87,0))/10^6</f>
        <v>3.8866526567051758</v>
      </c>
      <c r="N99" s="118">
        <f>INDEX('Option1 (base case)'!N$14:N$87, MATCH($C99, 'Option1 (base case)'!$C$14:$C$87,0))/10^6</f>
        <v>3.8595749607921777</v>
      </c>
      <c r="O99" s="118">
        <f>INDEX('Option1 (base case)'!O$14:O$87, MATCH($C99, 'Option1 (base case)'!$C$14:$C$87,0))/10^6</f>
        <v>3.8324988118845895</v>
      </c>
      <c r="P99" s="118">
        <f>INDEX('Option1 (base case)'!P$14:P$87, MATCH($C99, 'Option1 (base case)'!$C$14:$C$87,0))/10^6</f>
        <v>3.8054209071081608</v>
      </c>
      <c r="Q99" s="118">
        <f>INDEX('Option1 (base case)'!Q$14:Q$87, MATCH($C99, 'Option1 (base case)'!$C$14:$C$87,0))/10^6</f>
        <v>3.7783430023317313</v>
      </c>
      <c r="R99" s="118">
        <f>INDEX('Option1 (base case)'!R$14:R$87, MATCH($C99, 'Option1 (base case)'!$C$14:$C$87,0))/10^6</f>
        <v>3.751265097555303</v>
      </c>
      <c r="S99" s="118">
        <f>INDEX('Option1 (base case)'!S$14:S$87, MATCH($C99, 'Option1 (base case)'!$C$14:$C$87,0))/10^6</f>
        <v>3.7241871927788734</v>
      </c>
      <c r="T99" s="118">
        <f>INDEX('Option1 (base case)'!T$14:T$87, MATCH($C99, 'Option1 (base case)'!$C$14:$C$87,0))/10^6</f>
        <v>3.6971092880024443</v>
      </c>
      <c r="U99" s="118">
        <f>INDEX('Option1 (base case)'!U$14:U$87, MATCH($C99, 'Option1 (base case)'!$C$14:$C$87,0))/10^6</f>
        <v>3.6700313832260152</v>
      </c>
      <c r="V99" s="118">
        <f>INDEX('Option1 (base case)'!V$14:V$87, MATCH($C99, 'Option1 (base case)'!$C$14:$C$87,0))/10^6</f>
        <v>3.6429534784495852</v>
      </c>
      <c r="W99" s="118">
        <f>INDEX('Option1 (base case)'!W$14:W$87, MATCH($C99, 'Option1 (base case)'!$C$14:$C$87,0))/10^6</f>
        <v>3.6158755736731565</v>
      </c>
      <c r="X99" s="118">
        <f>INDEX('Option1 (base case)'!X$14:X$87, MATCH($C99, 'Option1 (base case)'!$C$14:$C$87,0))/10^6</f>
        <v>3.5887976688967274</v>
      </c>
      <c r="Y99" s="118">
        <f>INDEX('Option1 (base case)'!Y$14:Y$87, MATCH($C99, 'Option1 (base case)'!$C$14:$C$87,0))/10^6</f>
        <v>3.5617197641202978</v>
      </c>
      <c r="Z99" s="118">
        <f>INDEX('Option1 (base case)'!Z$14:Z$87, MATCH($C99, 'Option1 (base case)'!$C$14:$C$87,0))/10^6</f>
        <v>3.5346418593438687</v>
      </c>
      <c r="AA99" s="118">
        <f>INDEX('Option1 (base case)'!AA$14:AA$87, MATCH($C99, 'Option1 (base case)'!$C$14:$C$87,0))/10^6</f>
        <v>3.5075639545674395</v>
      </c>
      <c r="AB99" s="118">
        <f>INDEX('Option1 (base case)'!AB$14:AB$87, MATCH($C99, 'Option1 (base case)'!$C$14:$C$87,0))/10^6</f>
        <v>3.48048604979101</v>
      </c>
      <c r="AC99" s="118">
        <f>INDEX('Option1 (base case)'!AC$14:AC$87, MATCH($C99, 'Option1 (base case)'!$C$14:$C$87,0))/10^6</f>
        <v>3.4534081450145813</v>
      </c>
      <c r="AD99" s="118">
        <f>INDEX('Option1 (base case)'!AD$14:AD$87, MATCH($C99, 'Option1 (base case)'!$C$14:$C$87,0))/10^6</f>
        <v>3.4263302402381521</v>
      </c>
      <c r="AE99" s="118">
        <f>INDEX('Option1 (base case)'!AE$14:AE$87, MATCH($C99, 'Option1 (base case)'!$C$14:$C$87,0))/10^6</f>
        <v>3.3992558755198714</v>
      </c>
      <c r="AF99" s="118">
        <f>INDEX('Option1 (base case)'!AF$14:AF$87, MATCH($C99, 'Option1 (base case)'!$C$14:$C$87,0))/10^6</f>
        <v>3.3721779707434423</v>
      </c>
      <c r="AG99" s="118">
        <f>INDEX('Option1 (base case)'!AG$14:AG$87, MATCH($C99, 'Option1 (base case)'!$C$14:$C$87,0))/10^6</f>
        <v>3.3451000659670127</v>
      </c>
    </row>
    <row r="100" spans="1:33" ht="12" x14ac:dyDescent="0.3">
      <c r="E100" s="10"/>
    </row>
    <row r="101" spans="1:33" s="295" customFormat="1" ht="12" x14ac:dyDescent="0.3"/>
    <row r="102" spans="1:33" ht="12" x14ac:dyDescent="0.3">
      <c r="E102" s="10"/>
    </row>
    <row r="103" spans="1:33" ht="12" x14ac:dyDescent="0.3">
      <c r="E103" s="10"/>
      <c r="I103" s="295"/>
    </row>
    <row r="104" spans="1:33" ht="12" x14ac:dyDescent="0.3">
      <c r="E104" s="10"/>
      <c r="H104" s="150"/>
    </row>
    <row r="105" spans="1:33" ht="12" x14ac:dyDescent="0.3">
      <c r="E105" s="10"/>
      <c r="H105" s="150"/>
    </row>
    <row r="106" spans="1:33" ht="12" x14ac:dyDescent="0.3">
      <c r="D106" s="190"/>
      <c r="E106" s="10"/>
    </row>
    <row r="107" spans="1:33" ht="12" x14ac:dyDescent="0.3">
      <c r="D107" s="190"/>
      <c r="E107" s="10"/>
    </row>
    <row r="108" spans="1:33" ht="12" x14ac:dyDescent="0.3">
      <c r="D108" s="190"/>
      <c r="E108" s="84"/>
    </row>
    <row r="109" spans="1:33" ht="12" x14ac:dyDescent="0.3">
      <c r="C109" s="123"/>
      <c r="D109" s="190"/>
      <c r="E109" s="190"/>
    </row>
    <row r="110" spans="1:33" ht="12" x14ac:dyDescent="0.3">
      <c r="D110" s="190"/>
      <c r="E110" s="84"/>
    </row>
    <row r="111" spans="1:33" ht="12" x14ac:dyDescent="0.3">
      <c r="D111" s="190"/>
      <c r="E111" s="84"/>
    </row>
    <row r="112" spans="1:33" ht="12" x14ac:dyDescent="0.3">
      <c r="D112" s="190"/>
      <c r="E112" s="84"/>
    </row>
    <row r="113" spans="4:5" ht="12" x14ac:dyDescent="0.3">
      <c r="D113" s="190"/>
      <c r="E113" s="84"/>
    </row>
    <row r="114" spans="4:5" ht="12" x14ac:dyDescent="0.3">
      <c r="D114" s="190"/>
      <c r="E114" s="84"/>
    </row>
    <row r="115" spans="4:5" ht="12" x14ac:dyDescent="0.3">
      <c r="D115" s="190"/>
      <c r="E115" s="84"/>
    </row>
    <row r="116" spans="4:5" ht="12" x14ac:dyDescent="0.3">
      <c r="D116" s="190"/>
      <c r="E116" s="84"/>
    </row>
    <row r="117" spans="4:5" ht="12" x14ac:dyDescent="0.3">
      <c r="D117" s="190"/>
      <c r="E117" s="84"/>
    </row>
    <row r="118" spans="4:5" ht="12" x14ac:dyDescent="0.3">
      <c r="D118" s="190"/>
      <c r="E118" s="84"/>
    </row>
    <row r="119" spans="4:5" ht="12" x14ac:dyDescent="0.3">
      <c r="D119" s="190"/>
      <c r="E119" s="84"/>
    </row>
    <row r="120" spans="4:5" ht="12" x14ac:dyDescent="0.3">
      <c r="D120" s="190"/>
      <c r="E120" s="84"/>
    </row>
    <row r="121" spans="4:5" ht="12" x14ac:dyDescent="0.3">
      <c r="D121" s="190"/>
      <c r="E121" s="84"/>
    </row>
    <row r="122" spans="4:5" ht="12" x14ac:dyDescent="0.3">
      <c r="D122" s="190"/>
      <c r="E122" s="84"/>
    </row>
    <row r="123" spans="4:5" ht="12" x14ac:dyDescent="0.3">
      <c r="D123" s="190"/>
      <c r="E123" s="84"/>
    </row>
    <row r="124" spans="4:5" ht="12" x14ac:dyDescent="0.3">
      <c r="D124" s="190"/>
      <c r="E124" s="84"/>
    </row>
    <row r="125" spans="4:5" ht="12" x14ac:dyDescent="0.3">
      <c r="D125" s="190"/>
      <c r="E125" s="84"/>
    </row>
    <row r="126" spans="4:5" ht="12" x14ac:dyDescent="0.3">
      <c r="D126" s="190"/>
      <c r="E126" s="84"/>
    </row>
    <row r="127" spans="4:5" ht="12" x14ac:dyDescent="0.3">
      <c r="D127" s="190"/>
      <c r="E127" s="84"/>
    </row>
    <row r="128" spans="4:5" ht="12" x14ac:dyDescent="0.3">
      <c r="D128" s="190"/>
      <c r="E128" s="84"/>
    </row>
    <row r="129" spans="4:5" ht="12" x14ac:dyDescent="0.3">
      <c r="D129" s="190"/>
      <c r="E129" s="84"/>
    </row>
    <row r="130" spans="4:5" ht="12" x14ac:dyDescent="0.3">
      <c r="D130" s="190"/>
      <c r="E130" s="84"/>
    </row>
    <row r="131" spans="4:5" ht="12" x14ac:dyDescent="0.3">
      <c r="D131" s="190"/>
      <c r="E131" s="84"/>
    </row>
    <row r="132" spans="4:5" ht="12" x14ac:dyDescent="0.3">
      <c r="D132" s="190"/>
      <c r="E132" s="84"/>
    </row>
    <row r="133" spans="4:5" ht="12" x14ac:dyDescent="0.3">
      <c r="D133" s="190"/>
      <c r="E133" s="84"/>
    </row>
    <row r="134" spans="4:5" ht="12" x14ac:dyDescent="0.3">
      <c r="D134" s="190"/>
      <c r="E134" s="84"/>
    </row>
    <row r="135" spans="4:5" ht="12" x14ac:dyDescent="0.3">
      <c r="D135" s="190"/>
      <c r="E135" s="84"/>
    </row>
    <row r="136" spans="4:5" ht="12" x14ac:dyDescent="0.3">
      <c r="D136" s="190"/>
      <c r="E136" s="84"/>
    </row>
    <row r="137" spans="4:5" ht="12" x14ac:dyDescent="0.3">
      <c r="D137" s="190"/>
      <c r="E137" s="84"/>
    </row>
    <row r="138" spans="4:5" ht="12" x14ac:dyDescent="0.3">
      <c r="E138" s="84"/>
    </row>
    <row r="139" spans="4:5" ht="12" x14ac:dyDescent="0.3">
      <c r="E139" s="84"/>
    </row>
    <row r="140" spans="4:5" ht="12" x14ac:dyDescent="0.3">
      <c r="E140" s="84"/>
    </row>
    <row r="141" spans="4:5" ht="12" x14ac:dyDescent="0.3">
      <c r="E141" s="84"/>
    </row>
    <row r="142" spans="4:5" ht="12" x14ac:dyDescent="0.3">
      <c r="E142" s="84"/>
    </row>
    <row r="143" spans="4:5" ht="12" x14ac:dyDescent="0.3">
      <c r="E143" s="84"/>
    </row>
    <row r="144" spans="4:5" ht="12" x14ac:dyDescent="0.3">
      <c r="E144" s="84"/>
    </row>
    <row r="145" spans="5:5" ht="12" x14ac:dyDescent="0.3">
      <c r="E145" s="84"/>
    </row>
    <row r="146" spans="5:5" ht="12" x14ac:dyDescent="0.3">
      <c r="E146" s="84"/>
    </row>
    <row r="147" spans="5:5" ht="12" x14ac:dyDescent="0.3">
      <c r="E147" s="84"/>
    </row>
    <row r="148" spans="5:5" ht="12" x14ac:dyDescent="0.3">
      <c r="E148" s="84"/>
    </row>
    <row r="149" spans="5:5" ht="12" x14ac:dyDescent="0.3">
      <c r="E149" s="84"/>
    </row>
    <row r="150" spans="5:5" ht="12" x14ac:dyDescent="0.3">
      <c r="E150" s="84"/>
    </row>
    <row r="151" spans="5:5" ht="12" x14ac:dyDescent="0.3">
      <c r="E151" s="84"/>
    </row>
    <row r="152" spans="5:5" ht="12" x14ac:dyDescent="0.3">
      <c r="E152" s="84"/>
    </row>
    <row r="153" spans="5:5" ht="12" x14ac:dyDescent="0.3">
      <c r="E153" s="84"/>
    </row>
    <row r="154" spans="5:5" ht="12" x14ac:dyDescent="0.3">
      <c r="E154" s="84"/>
    </row>
    <row r="155" spans="5:5" ht="12" x14ac:dyDescent="0.3">
      <c r="E155" s="84"/>
    </row>
    <row r="156" spans="5:5" ht="12" x14ac:dyDescent="0.3">
      <c r="E156" s="84"/>
    </row>
    <row r="157" spans="5:5" ht="12" x14ac:dyDescent="0.3">
      <c r="E157" s="84"/>
    </row>
    <row r="158" spans="5:5" ht="12" x14ac:dyDescent="0.3">
      <c r="E158" s="84"/>
    </row>
    <row r="159" spans="5:5" ht="12" x14ac:dyDescent="0.3">
      <c r="E159" s="84"/>
    </row>
    <row r="160" spans="5:5" ht="12" x14ac:dyDescent="0.3">
      <c r="E160" s="84"/>
    </row>
    <row r="161" spans="5:5" ht="12" x14ac:dyDescent="0.3">
      <c r="E161" s="84"/>
    </row>
    <row r="162" spans="5:5" ht="12" x14ac:dyDescent="0.3">
      <c r="E162" s="84"/>
    </row>
    <row r="163" spans="5:5" ht="12" x14ac:dyDescent="0.3">
      <c r="E163" s="84"/>
    </row>
    <row r="164" spans="5:5" ht="12" x14ac:dyDescent="0.3">
      <c r="E164" s="84"/>
    </row>
    <row r="165" spans="5:5" ht="12" x14ac:dyDescent="0.3">
      <c r="E165" s="84"/>
    </row>
    <row r="166" spans="5:5" ht="12" x14ac:dyDescent="0.3">
      <c r="E166" s="84"/>
    </row>
    <row r="167" spans="5:5" ht="12" x14ac:dyDescent="0.3">
      <c r="E167" s="84"/>
    </row>
    <row r="168" spans="5:5" ht="12" x14ac:dyDescent="0.3">
      <c r="E168" s="84"/>
    </row>
    <row r="169" spans="5:5" ht="12" x14ac:dyDescent="0.3">
      <c r="E169" s="84"/>
    </row>
    <row r="170" spans="5:5" ht="12" x14ac:dyDescent="0.3">
      <c r="E170" s="84"/>
    </row>
    <row r="171" spans="5:5" ht="12" x14ac:dyDescent="0.3">
      <c r="E171" s="84"/>
    </row>
    <row r="172" spans="5:5" ht="12" x14ac:dyDescent="0.3">
      <c r="E172" s="84"/>
    </row>
    <row r="173" spans="5:5" ht="12" x14ac:dyDescent="0.3">
      <c r="E173" s="84"/>
    </row>
    <row r="174" spans="5:5" ht="12" x14ac:dyDescent="0.3">
      <c r="E174" s="84"/>
    </row>
    <row r="175" spans="5:5" ht="12" x14ac:dyDescent="0.3">
      <c r="E175" s="84"/>
    </row>
    <row r="176" spans="5:5" ht="12" x14ac:dyDescent="0.3">
      <c r="E176" s="84"/>
    </row>
    <row r="177" spans="5:5" ht="12" x14ac:dyDescent="0.3">
      <c r="E177" s="84"/>
    </row>
    <row r="178" spans="5:5" ht="12" x14ac:dyDescent="0.3">
      <c r="E178" s="84"/>
    </row>
    <row r="179" spans="5:5" ht="12" x14ac:dyDescent="0.3">
      <c r="E179" s="84"/>
    </row>
    <row r="180" spans="5:5" ht="12" x14ac:dyDescent="0.3">
      <c r="E180" s="84"/>
    </row>
    <row r="181" spans="5:5" ht="12" x14ac:dyDescent="0.3">
      <c r="E181" s="84"/>
    </row>
    <row r="182" spans="5:5" ht="12" x14ac:dyDescent="0.3">
      <c r="E182" s="84"/>
    </row>
    <row r="183" spans="5:5" ht="12" x14ac:dyDescent="0.3">
      <c r="E183" s="84"/>
    </row>
    <row r="184" spans="5:5" ht="12" x14ac:dyDescent="0.3">
      <c r="E184" s="84"/>
    </row>
    <row r="185" spans="5:5" ht="12" x14ac:dyDescent="0.3">
      <c r="E185" s="84"/>
    </row>
    <row r="186" spans="5:5" ht="12" x14ac:dyDescent="0.3">
      <c r="E186" s="84"/>
    </row>
    <row r="187" spans="5:5" ht="12" x14ac:dyDescent="0.3">
      <c r="E187" s="84"/>
    </row>
    <row r="188" spans="5:5" ht="12" x14ac:dyDescent="0.3">
      <c r="E188" s="84"/>
    </row>
    <row r="189" spans="5:5" ht="12" x14ac:dyDescent="0.3">
      <c r="E189" s="84"/>
    </row>
    <row r="190" spans="5:5" ht="12" x14ac:dyDescent="0.3">
      <c r="E190" s="84"/>
    </row>
    <row r="191" spans="5:5" ht="12" x14ac:dyDescent="0.3">
      <c r="E191" s="84"/>
    </row>
    <row r="192" spans="5:5" ht="12" x14ac:dyDescent="0.3">
      <c r="E192" s="84"/>
    </row>
    <row r="193" spans="5:5" ht="12" x14ac:dyDescent="0.3">
      <c r="E193" s="84"/>
    </row>
    <row r="194" spans="5:5" ht="12" x14ac:dyDescent="0.3">
      <c r="E194" s="84"/>
    </row>
    <row r="195" spans="5:5" ht="12" x14ac:dyDescent="0.3">
      <c r="E195" s="84"/>
    </row>
    <row r="196" spans="5:5" ht="12" x14ac:dyDescent="0.3">
      <c r="E196" s="84"/>
    </row>
    <row r="197" spans="5:5" ht="12" x14ac:dyDescent="0.3">
      <c r="E197" s="84"/>
    </row>
    <row r="198" spans="5:5" ht="12" x14ac:dyDescent="0.3">
      <c r="E198" s="84"/>
    </row>
    <row r="199" spans="5:5" ht="12" x14ac:dyDescent="0.3">
      <c r="E199" s="84"/>
    </row>
    <row r="200" spans="5:5" ht="12" x14ac:dyDescent="0.3">
      <c r="E200" s="84"/>
    </row>
    <row r="201" spans="5:5" ht="12" x14ac:dyDescent="0.3">
      <c r="E201" s="84"/>
    </row>
    <row r="202" spans="5:5" ht="12" x14ac:dyDescent="0.3">
      <c r="E202" s="84"/>
    </row>
    <row r="203" spans="5:5" ht="12" x14ac:dyDescent="0.3">
      <c r="E203" s="84"/>
    </row>
    <row r="204" spans="5:5" ht="12" x14ac:dyDescent="0.3">
      <c r="E204" s="84"/>
    </row>
    <row r="205" spans="5:5" ht="12" x14ac:dyDescent="0.3">
      <c r="E205" s="84"/>
    </row>
    <row r="206" spans="5:5" ht="12" x14ac:dyDescent="0.3">
      <c r="E206" s="84"/>
    </row>
    <row r="207" spans="5:5" ht="12" x14ac:dyDescent="0.3">
      <c r="E207" s="84"/>
    </row>
    <row r="208" spans="5:5" ht="12" x14ac:dyDescent="0.3">
      <c r="E208" s="84"/>
    </row>
    <row r="209" spans="5:5" ht="12" x14ac:dyDescent="0.3">
      <c r="E209" s="84"/>
    </row>
    <row r="210" spans="5:5" ht="12" x14ac:dyDescent="0.3">
      <c r="E210" s="84"/>
    </row>
    <row r="211" spans="5:5" ht="12" x14ac:dyDescent="0.3">
      <c r="E211" s="84"/>
    </row>
    <row r="212" spans="5:5" ht="12" x14ac:dyDescent="0.3">
      <c r="E212" s="84"/>
    </row>
    <row r="213" spans="5:5" ht="12" x14ac:dyDescent="0.3">
      <c r="E213" s="84"/>
    </row>
    <row r="214" spans="5:5" ht="12" x14ac:dyDescent="0.3">
      <c r="E214" s="84"/>
    </row>
    <row r="215" spans="5:5" ht="12" x14ac:dyDescent="0.3">
      <c r="E215" s="84"/>
    </row>
    <row r="216" spans="5:5" ht="12" x14ac:dyDescent="0.3">
      <c r="E216" s="84"/>
    </row>
    <row r="217" spans="5:5" ht="12" x14ac:dyDescent="0.3">
      <c r="E217" s="84"/>
    </row>
    <row r="218" spans="5:5" ht="12" x14ac:dyDescent="0.3">
      <c r="E218" s="84"/>
    </row>
    <row r="219" spans="5:5" ht="12" x14ac:dyDescent="0.3">
      <c r="E219" s="84"/>
    </row>
    <row r="220" spans="5:5" ht="12" x14ac:dyDescent="0.3">
      <c r="E220" s="84"/>
    </row>
    <row r="221" spans="5:5" ht="12" x14ac:dyDescent="0.3">
      <c r="E221" s="84"/>
    </row>
    <row r="222" spans="5:5" ht="12" x14ac:dyDescent="0.3">
      <c r="E222" s="84"/>
    </row>
    <row r="223" spans="5:5" ht="12" x14ac:dyDescent="0.3">
      <c r="E223" s="84"/>
    </row>
    <row r="224" spans="5:5" ht="12" x14ac:dyDescent="0.3">
      <c r="E224" s="84"/>
    </row>
    <row r="225" spans="5:5" ht="12" x14ac:dyDescent="0.3">
      <c r="E225" s="84"/>
    </row>
    <row r="226" spans="5:5" ht="12" x14ac:dyDescent="0.3">
      <c r="E226" s="84"/>
    </row>
    <row r="227" spans="5:5" ht="12" x14ac:dyDescent="0.3">
      <c r="E227" s="84"/>
    </row>
    <row r="228" spans="5:5" ht="12" x14ac:dyDescent="0.3">
      <c r="E228" s="84"/>
    </row>
    <row r="229" spans="5:5" ht="12" x14ac:dyDescent="0.3">
      <c r="E229" s="84"/>
    </row>
    <row r="230" spans="5:5" ht="12" x14ac:dyDescent="0.3">
      <c r="E230" s="84"/>
    </row>
    <row r="231" spans="5:5" ht="12" x14ac:dyDescent="0.3">
      <c r="E231" s="84"/>
    </row>
    <row r="232" spans="5:5" ht="12" x14ac:dyDescent="0.3">
      <c r="E232" s="84"/>
    </row>
    <row r="233" spans="5:5" ht="12" x14ac:dyDescent="0.3">
      <c r="E233" s="84"/>
    </row>
    <row r="234" spans="5:5" ht="12" x14ac:dyDescent="0.3">
      <c r="E234" s="84"/>
    </row>
    <row r="235" spans="5:5" ht="12" x14ac:dyDescent="0.3">
      <c r="E235" s="84"/>
    </row>
    <row r="236" spans="5:5" ht="12" x14ac:dyDescent="0.3">
      <c r="E236" s="84"/>
    </row>
    <row r="237" spans="5:5" ht="12" x14ac:dyDescent="0.3">
      <c r="E237" s="84"/>
    </row>
    <row r="238" spans="5:5" ht="12" x14ac:dyDescent="0.3">
      <c r="E238" s="84"/>
    </row>
    <row r="239" spans="5:5" ht="12" x14ac:dyDescent="0.3">
      <c r="E239" s="84"/>
    </row>
    <row r="240" spans="5:5" ht="12" x14ac:dyDescent="0.3">
      <c r="E240" s="84"/>
    </row>
    <row r="241" spans="5:5" ht="12" x14ac:dyDescent="0.3">
      <c r="E241" s="84"/>
    </row>
    <row r="242" spans="5:5" ht="12" x14ac:dyDescent="0.3">
      <c r="E242" s="84"/>
    </row>
    <row r="243" spans="5:5" ht="12" x14ac:dyDescent="0.3">
      <c r="E243" s="84"/>
    </row>
    <row r="244" spans="5:5" ht="12" x14ac:dyDescent="0.3">
      <c r="E244" s="84"/>
    </row>
    <row r="245" spans="5:5" ht="12" x14ac:dyDescent="0.3">
      <c r="E245" s="84"/>
    </row>
    <row r="246" spans="5:5" ht="12" x14ac:dyDescent="0.3">
      <c r="E246" s="84"/>
    </row>
    <row r="247" spans="5:5" ht="12" x14ac:dyDescent="0.3">
      <c r="E247" s="84"/>
    </row>
    <row r="248" spans="5:5" ht="12" x14ac:dyDescent="0.3">
      <c r="E248" s="84"/>
    </row>
    <row r="249" spans="5:5" ht="12" x14ac:dyDescent="0.3">
      <c r="E249" s="84"/>
    </row>
    <row r="250" spans="5:5" ht="12" x14ac:dyDescent="0.3">
      <c r="E250" s="84"/>
    </row>
    <row r="251" spans="5:5" ht="12" x14ac:dyDescent="0.3">
      <c r="E251" s="84"/>
    </row>
    <row r="252" spans="5:5" x14ac:dyDescent="0.3"/>
    <row r="253" spans="5:5" x14ac:dyDescent="0.3"/>
    <row r="254" spans="5:5" x14ac:dyDescent="0.3"/>
    <row r="255" spans="5:5" x14ac:dyDescent="0.3"/>
    <row r="256" spans="5:5"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sheetData>
  <pageMargins left="0.25" right="0.25"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737E-41CF-42A2-A119-76A4B8382B50}">
  <sheetPr codeName="Sheet19">
    <tabColor rgb="FFFFFF00"/>
    <pageSetUpPr fitToPage="1"/>
  </sheetPr>
  <dimension ref="A1:AK1328"/>
  <sheetViews>
    <sheetView showGridLines="0" zoomScale="90" zoomScaleNormal="9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0" defaultRowHeight="13.5" zeroHeight="1" outlineLevelRow="1" x14ac:dyDescent="0.3"/>
  <cols>
    <col min="1" max="1" width="8.15234375" style="10" customWidth="1"/>
    <col min="2" max="2" width="20.765625" style="10" customWidth="1"/>
    <col min="3" max="3" width="20.4609375" style="10" customWidth="1"/>
    <col min="4" max="4" width="16.84375" style="10" bestFit="1" customWidth="1"/>
    <col min="5" max="5" width="12.3828125" style="10" customWidth="1"/>
    <col min="6" max="6" width="14.23046875" customWidth="1"/>
    <col min="7" max="7" width="11.61328125" style="10" customWidth="1"/>
    <col min="8" max="8" width="10" style="10" customWidth="1"/>
    <col min="9" max="33" width="11" style="10" customWidth="1"/>
    <col min="34" max="35" width="9" style="10" customWidth="1"/>
    <col min="36" max="37" width="0" style="10" hidden="1" customWidth="1"/>
    <col min="38" max="16384" width="9" style="10" hidden="1"/>
  </cols>
  <sheetData>
    <row r="1" spans="1:33" s="8" customFormat="1" ht="18.5" x14ac:dyDescent="0.45">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8" customFormat="1" ht="18.5" x14ac:dyDescent="0.45">
      <c r="A2" s="56" t="str">
        <f>proj</f>
        <v>BAN003-WND024 Tie upgrade</v>
      </c>
      <c r="B2" s="56"/>
      <c r="C2" s="56"/>
      <c r="D2" s="56"/>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s="2" customFormat="1" ht="18.5" x14ac:dyDescent="0.45">
      <c r="A3" s="203" t="s">
        <v>226</v>
      </c>
      <c r="B3" s="5"/>
      <c r="D3" s="34"/>
      <c r="E3" s="34"/>
      <c r="F3" s="34"/>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row>
    <row r="4" spans="1:33" s="2" customFormat="1" ht="6.75" customHeight="1" x14ac:dyDescent="0.3">
      <c r="A4" s="114"/>
      <c r="B4" s="114"/>
      <c r="D4" s="115"/>
      <c r="E4" s="115"/>
      <c r="F4" s="115"/>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s="2" customFormat="1" ht="13" hidden="1" outlineLevel="1" x14ac:dyDescent="0.3">
      <c r="A5" s="115" t="s">
        <v>200</v>
      </c>
      <c r="B5" s="115"/>
      <c r="D5" s="116"/>
      <c r="E5" s="115"/>
      <c r="F5" s="115"/>
      <c r="G5" s="101"/>
      <c r="H5" s="188">
        <f>Consol!H5</f>
        <v>0</v>
      </c>
      <c r="I5" s="188">
        <f>Consol!I5</f>
        <v>0.98294637436598087</v>
      </c>
      <c r="J5" s="188">
        <f>Consol!J5</f>
        <v>0.94970664189949849</v>
      </c>
      <c r="K5" s="188">
        <f>Consol!K5</f>
        <v>0.91759095835700344</v>
      </c>
      <c r="L5" s="188">
        <f>Consol!L5</f>
        <v>0.88656131242222558</v>
      </c>
      <c r="M5" s="188">
        <f>Consol!M5</f>
        <v>0.85658097818572532</v>
      </c>
      <c r="N5" s="188">
        <f>Consol!N5</f>
        <v>0.8276144716770294</v>
      </c>
      <c r="O5" s="188">
        <f>Consol!O5</f>
        <v>0.79962750886669509</v>
      </c>
      <c r="P5" s="188">
        <f>Consol!P5</f>
        <v>0.77258696508859437</v>
      </c>
      <c r="Q5" s="188">
        <f>Consol!Q5</f>
        <v>0.74646083583439071</v>
      </c>
      <c r="R5" s="188">
        <f>Consol!R5</f>
        <v>0.72121819887380756</v>
      </c>
      <c r="S5" s="188">
        <f>Consol!S5</f>
        <v>0.69682917765585273</v>
      </c>
      <c r="T5" s="188">
        <f>Consol!T5</f>
        <v>0.67326490594768384</v>
      </c>
      <c r="U5" s="188">
        <f>Consol!U5</f>
        <v>0.6504974936692598</v>
      </c>
      <c r="V5" s="188">
        <f>Consol!V5</f>
        <v>0.62849999388334288</v>
      </c>
      <c r="W5" s="188">
        <f>Consol!W5</f>
        <v>0.60724637090178057</v>
      </c>
      <c r="X5" s="188">
        <f>Consol!X5</f>
        <v>0.58671146947031949</v>
      </c>
      <c r="Y5" s="188">
        <f>Consol!Y5</f>
        <v>0.56687098499547783</v>
      </c>
      <c r="Z5" s="188">
        <f>Consol!Z5</f>
        <v>0.54770143477823952</v>
      </c>
      <c r="AA5" s="188">
        <f>Consol!AA5</f>
        <v>0.52918013022052135</v>
      </c>
      <c r="AB5" s="188">
        <f>Consol!AB5</f>
        <v>0.5112851499715183</v>
      </c>
      <c r="AC5" s="188">
        <f>Consol!AC5</f>
        <v>0.4939953139821433</v>
      </c>
      <c r="AD5" s="188">
        <f>Consol!AD5</f>
        <v>0.47729015843685346</v>
      </c>
      <c r="AE5" s="188">
        <f>Consol!AE5</f>
        <v>0.46114991153319179</v>
      </c>
      <c r="AF5" s="188">
        <f>Consol!AF5</f>
        <v>0.4455554700803786</v>
      </c>
      <c r="AG5" s="188">
        <f>Consol!AG5</f>
        <v>0.43048837688925473</v>
      </c>
    </row>
    <row r="6" spans="1:33" s="2" customFormat="1" ht="13" hidden="1" outlineLevel="1" x14ac:dyDescent="0.3">
      <c r="A6" s="189" t="str">
        <f>'Option1 (base case)'!A6</f>
        <v>Count</v>
      </c>
      <c r="B6" s="115"/>
      <c r="D6" s="116"/>
      <c r="E6" s="115"/>
      <c r="F6" s="115"/>
      <c r="G6" s="101"/>
      <c r="H6" s="189">
        <f>Consol!H6</f>
        <v>0</v>
      </c>
      <c r="I6" s="189">
        <f>Consol!I6</f>
        <v>1</v>
      </c>
      <c r="J6" s="189">
        <f>Consol!J6</f>
        <v>2</v>
      </c>
      <c r="K6" s="189">
        <f>Consol!K6</f>
        <v>3</v>
      </c>
      <c r="L6" s="189">
        <f>Consol!L6</f>
        <v>4</v>
      </c>
      <c r="M6" s="189">
        <f>Consol!M6</f>
        <v>5</v>
      </c>
      <c r="N6" s="189">
        <f>Consol!N6</f>
        <v>6</v>
      </c>
      <c r="O6" s="189">
        <f>Consol!O6</f>
        <v>7</v>
      </c>
      <c r="P6" s="189">
        <f>Consol!P6</f>
        <v>8</v>
      </c>
      <c r="Q6" s="189">
        <f>Consol!Q6</f>
        <v>9</v>
      </c>
      <c r="R6" s="189">
        <f>Consol!R6</f>
        <v>10</v>
      </c>
      <c r="S6" s="189">
        <f>Consol!S6</f>
        <v>11</v>
      </c>
      <c r="T6" s="189">
        <f>Consol!T6</f>
        <v>12</v>
      </c>
      <c r="U6" s="189">
        <f>Consol!U6</f>
        <v>13</v>
      </c>
      <c r="V6" s="189">
        <f>Consol!V6</f>
        <v>14</v>
      </c>
      <c r="W6" s="189">
        <f>Consol!W6</f>
        <v>15</v>
      </c>
      <c r="X6" s="189">
        <f>Consol!X6</f>
        <v>16</v>
      </c>
      <c r="Y6" s="189">
        <f>Consol!Y6</f>
        <v>17</v>
      </c>
      <c r="Z6" s="189">
        <f>Consol!Z6</f>
        <v>18</v>
      </c>
      <c r="AA6" s="189">
        <f>Consol!AA6</f>
        <v>19</v>
      </c>
      <c r="AB6" s="189">
        <f>Consol!AB6</f>
        <v>20</v>
      </c>
      <c r="AC6" s="189">
        <f>Consol!AC6</f>
        <v>21</v>
      </c>
      <c r="AD6" s="189">
        <f>Consol!AD6</f>
        <v>22</v>
      </c>
      <c r="AE6" s="189">
        <f>Consol!AE6</f>
        <v>23</v>
      </c>
      <c r="AF6" s="189">
        <f>Consol!AF6</f>
        <v>24</v>
      </c>
      <c r="AG6" s="189">
        <f>Consol!AG6</f>
        <v>25</v>
      </c>
    </row>
    <row r="7" spans="1:33" s="2" customFormat="1" ht="13" collapsed="1" x14ac:dyDescent="0.3">
      <c r="A7" s="115" t="s">
        <v>201</v>
      </c>
      <c r="B7" s="115"/>
      <c r="D7" s="116"/>
      <c r="E7" s="115"/>
      <c r="F7" s="115"/>
      <c r="G7" s="101"/>
      <c r="H7" s="255" t="b">
        <f>Consol!H7</f>
        <v>1</v>
      </c>
      <c r="I7" s="255" t="b">
        <f>Consol!I7</f>
        <v>1</v>
      </c>
      <c r="J7" s="255" t="b">
        <f>Consol!J7</f>
        <v>1</v>
      </c>
      <c r="K7" s="255" t="b">
        <f>Consol!K7</f>
        <v>1</v>
      </c>
      <c r="L7" s="255" t="b">
        <f>Consol!L7</f>
        <v>1</v>
      </c>
      <c r="M7" s="255" t="b">
        <f>Consol!M7</f>
        <v>1</v>
      </c>
      <c r="N7" s="255" t="b">
        <f>Consol!N7</f>
        <v>1</v>
      </c>
      <c r="O7" s="255" t="b">
        <f>Consol!O7</f>
        <v>1</v>
      </c>
      <c r="P7" s="255" t="b">
        <f>Consol!P7</f>
        <v>1</v>
      </c>
      <c r="Q7" s="255" t="b">
        <f>Consol!Q7</f>
        <v>1</v>
      </c>
      <c r="R7" s="255" t="b">
        <f>Consol!R7</f>
        <v>1</v>
      </c>
      <c r="S7" s="255" t="b">
        <f>Consol!S7</f>
        <v>1</v>
      </c>
      <c r="T7" s="255" t="b">
        <f>Consol!T7</f>
        <v>1</v>
      </c>
      <c r="U7" s="255" t="b">
        <f>Consol!U7</f>
        <v>1</v>
      </c>
      <c r="V7" s="255" t="b">
        <f>Consol!V7</f>
        <v>1</v>
      </c>
      <c r="W7" s="255" t="b">
        <f>Consol!W7</f>
        <v>1</v>
      </c>
      <c r="X7" s="255" t="b">
        <f>Consol!X7</f>
        <v>1</v>
      </c>
      <c r="Y7" s="255" t="b">
        <f>Consol!Y7</f>
        <v>1</v>
      </c>
      <c r="Z7" s="255" t="b">
        <f>Consol!Z7</f>
        <v>1</v>
      </c>
      <c r="AA7" s="255" t="b">
        <f>Consol!AA7</f>
        <v>1</v>
      </c>
      <c r="AB7" s="255" t="b">
        <f>Consol!AB7</f>
        <v>1</v>
      </c>
      <c r="AC7" s="255" t="b">
        <f>Consol!AC7</f>
        <v>0</v>
      </c>
      <c r="AD7" s="255" t="b">
        <f>Consol!AD7</f>
        <v>0</v>
      </c>
      <c r="AE7" s="255" t="b">
        <f>Consol!AE7</f>
        <v>0</v>
      </c>
      <c r="AF7" s="255" t="b">
        <f>Consol!AF7</f>
        <v>0</v>
      </c>
      <c r="AG7" s="255" t="b">
        <f>Consol!AG7</f>
        <v>0</v>
      </c>
    </row>
    <row r="8" spans="1:33" s="2" customFormat="1" ht="4.5" customHeight="1" x14ac:dyDescent="0.3"/>
    <row r="9" spans="1:33" s="2" customFormat="1" ht="14.5" x14ac:dyDescent="0.35">
      <c r="A9" s="19"/>
      <c r="B9" s="19"/>
      <c r="C9" s="19"/>
      <c r="D9" s="19"/>
      <c r="E9" s="19"/>
      <c r="F9" s="83"/>
      <c r="G9" s="20"/>
      <c r="H9" s="20">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3" s="2" customFormat="1" ht="13" x14ac:dyDescent="0.3">
      <c r="D10" s="117"/>
      <c r="E10" s="117"/>
      <c r="G10" s="221"/>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row>
    <row r="11" spans="1:33" s="2" customFormat="1" ht="14.5" x14ac:dyDescent="0.3">
      <c r="A11" s="119"/>
      <c r="B11" s="119"/>
      <c r="C11" s="119"/>
      <c r="D11" s="120"/>
      <c r="E11" s="120"/>
      <c r="F11" s="70" t="s">
        <v>159</v>
      </c>
      <c r="G11" s="222"/>
      <c r="H11" s="121" t="str" cm="1">
        <f t="array" ref="H11">IF(H6=$D$4,UPPER($A$4),IF(H6=end, "END", ""))</f>
        <v/>
      </c>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s="7" customFormat="1" ht="13" x14ac:dyDescent="0.3">
      <c r="A12" s="245"/>
      <c r="B12" s="245"/>
      <c r="C12" s="245"/>
      <c r="D12" s="245"/>
      <c r="E12" s="245"/>
      <c r="F12" s="245"/>
      <c r="G12" s="246"/>
      <c r="H12" s="31"/>
      <c r="I12" s="31"/>
      <c r="J12" s="31"/>
      <c r="K12" s="31"/>
      <c r="L12" s="31"/>
      <c r="M12" s="31"/>
      <c r="N12" s="31"/>
      <c r="O12" s="31"/>
      <c r="P12" s="31"/>
      <c r="Q12" s="31"/>
      <c r="R12" s="31"/>
      <c r="S12" s="31"/>
      <c r="T12" s="31"/>
      <c r="U12" s="31"/>
      <c r="V12" s="31"/>
      <c r="W12" s="31"/>
      <c r="X12" s="31"/>
      <c r="Y12" s="31"/>
      <c r="Z12" s="31">
        <f>Consol!AA36</f>
        <v>235555.39086903053</v>
      </c>
      <c r="AA12" s="31">
        <f>Consol!AB36</f>
        <v>201017.34979676106</v>
      </c>
      <c r="AB12" s="31">
        <f>Consol!AC36</f>
        <v>0</v>
      </c>
      <c r="AC12" s="31">
        <f>Consol!AD36</f>
        <v>0</v>
      </c>
      <c r="AD12" s="31">
        <f>Consol!AE36</f>
        <v>0</v>
      </c>
      <c r="AE12" s="31">
        <f>Consol!AF36</f>
        <v>0</v>
      </c>
      <c r="AF12" s="31">
        <f>Consol!AG36</f>
        <v>0</v>
      </c>
      <c r="AG12" s="246"/>
    </row>
    <row r="13" spans="1:33" s="7" customFormat="1" ht="13" x14ac:dyDescent="0.3">
      <c r="A13" s="245"/>
      <c r="B13" s="245"/>
      <c r="C13" s="245"/>
      <c r="D13" s="245"/>
      <c r="E13" s="245"/>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row>
    <row r="14" spans="1:33" s="7" customFormat="1" ht="13" x14ac:dyDescent="0.3">
      <c r="A14" s="253" t="s">
        <v>148</v>
      </c>
      <c r="B14" s="253" t="s">
        <v>120</v>
      </c>
      <c r="C14" s="253" t="s">
        <v>194</v>
      </c>
      <c r="D14" s="253" t="str">
        <f>A14&amp;B14</f>
        <v>OPTION 1 (base case)NPV</v>
      </c>
      <c r="E14" s="254"/>
      <c r="F14" s="31">
        <f>SUMPRODUCT($H14:$AG14, $H$5:$AG$5)</f>
        <v>0</v>
      </c>
      <c r="G14" s="246"/>
      <c r="H14" s="31">
        <f>'Option1 (base case)'!I87*conv_2026</f>
        <v>0</v>
      </c>
      <c r="I14" s="31">
        <f>'Option1 (base case)'!J87*conv_2026</f>
        <v>0</v>
      </c>
      <c r="J14" s="31">
        <f>'Option1 (base case)'!K87*conv_2026</f>
        <v>0</v>
      </c>
      <c r="K14" s="31">
        <f>'Option1 (base case)'!L87*conv_2026</f>
        <v>0</v>
      </c>
      <c r="L14" s="31">
        <f>'Option1 (base case)'!M87*conv_2026</f>
        <v>0</v>
      </c>
      <c r="M14" s="31">
        <f>'Option1 (base case)'!N87*conv_2026</f>
        <v>0</v>
      </c>
      <c r="N14" s="31">
        <f>'Option1 (base case)'!O87*conv_2026</f>
        <v>0</v>
      </c>
      <c r="O14" s="31">
        <f>'Option1 (base case)'!P87*conv_2026</f>
        <v>0</v>
      </c>
      <c r="P14" s="31">
        <f>'Option1 (base case)'!Q87*conv_2026</f>
        <v>0</v>
      </c>
      <c r="Q14" s="31">
        <f>'Option1 (base case)'!R87*conv_2026</f>
        <v>0</v>
      </c>
      <c r="R14" s="31">
        <f>'Option1 (base case)'!S87*conv_2026</f>
        <v>0</v>
      </c>
      <c r="S14" s="31">
        <f>'Option1 (base case)'!T87*conv_2026</f>
        <v>0</v>
      </c>
      <c r="T14" s="31">
        <f>'Option1 (base case)'!U87*conv_2026</f>
        <v>0</v>
      </c>
      <c r="U14" s="31">
        <f>'Option1 (base case)'!V87*conv_2026</f>
        <v>0</v>
      </c>
      <c r="V14" s="31">
        <f>'Option1 (base case)'!W87*conv_2026</f>
        <v>0</v>
      </c>
      <c r="W14" s="31">
        <f>'Option1 (base case)'!X87*conv_2026</f>
        <v>0</v>
      </c>
      <c r="X14" s="31">
        <f>'Option1 (base case)'!Y87*conv_2026</f>
        <v>0</v>
      </c>
      <c r="Y14" s="31">
        <f>'Option1 (base case)'!Z87*conv_2026</f>
        <v>0</v>
      </c>
      <c r="Z14" s="31">
        <f>'Option1 (base case)'!AA87*conv_2026</f>
        <v>0</v>
      </c>
      <c r="AA14" s="31">
        <f>'Option1 (base case)'!AB87*conv_2026</f>
        <v>0</v>
      </c>
      <c r="AB14" s="31">
        <f>'Option1 (base case)'!AC87*conv_2026</f>
        <v>0</v>
      </c>
      <c r="AC14" s="31">
        <f>'Option1 (base case)'!AD87*conv_2026</f>
        <v>0</v>
      </c>
      <c r="AD14" s="31">
        <f>'Option1 (base case)'!AE87*conv_2026</f>
        <v>0</v>
      </c>
      <c r="AE14" s="31">
        <f>'Option1 (base case)'!AF87*conv_2026</f>
        <v>0</v>
      </c>
      <c r="AF14" s="31">
        <f>'Option1 (base case)'!AG87*conv_2026</f>
        <v>0</v>
      </c>
      <c r="AG14" s="31">
        <f>'Option1 (base case)'!AH87*conv_2026</f>
        <v>0</v>
      </c>
    </row>
    <row r="15" spans="1:33" s="7" customFormat="1" ht="13" x14ac:dyDescent="0.3">
      <c r="A15" s="245"/>
      <c r="B15" s="245"/>
      <c r="C15" s="245"/>
      <c r="D15" s="245"/>
      <c r="E15" s="245"/>
      <c r="F15" s="245"/>
      <c r="G15" s="246"/>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7" customFormat="1" ht="13" x14ac:dyDescent="0.3">
      <c r="A16" s="253" t="s">
        <v>148</v>
      </c>
      <c r="B16" s="253" t="str">
        <f>'Option1 (base case)'!A110</f>
        <v>sens1</v>
      </c>
      <c r="C16" s="253" t="str">
        <f>'Option1 (base case)'!C110</f>
        <v>Capex 10% higher</v>
      </c>
      <c r="D16" s="253" t="str">
        <f t="shared" ref="D16:D23" si="0">A16&amp;B16</f>
        <v>OPTION 1 (base case)sens1</v>
      </c>
      <c r="E16" s="254"/>
      <c r="F16" s="31">
        <f>SUMPRODUCT($H16:$AG16, $H$5:$AG$5)</f>
        <v>0</v>
      </c>
      <c r="G16" s="246"/>
      <c r="H16" s="31">
        <f>(INDEX('Option1 (base case)'!H$106:H$117, MATCH($D16, 'Option1 (base case)'!$G$106:$G$117,0)))*conv_2026*H$7</f>
        <v>0</v>
      </c>
      <c r="I16" s="31">
        <f>(INDEX('Option1 (base case)'!I$106:I$117, MATCH($D16, 'Option1 (base case)'!$G$106:$G$117,0)))*conv_2026*I$7</f>
        <v>0</v>
      </c>
      <c r="J16" s="31">
        <f>(INDEX('Option1 (base case)'!J$106:J$117, MATCH($D16, 'Option1 (base case)'!$G$106:$G$117,0)))*conv_2026*J$7</f>
        <v>0</v>
      </c>
      <c r="K16" s="31">
        <f>(INDEX('Option1 (base case)'!K$106:K$117, MATCH($D16, 'Option1 (base case)'!$G$106:$G$117,0)))*conv_2026*K$7</f>
        <v>0</v>
      </c>
      <c r="L16" s="31">
        <f>(INDEX('Option1 (base case)'!L$106:L$117, MATCH($D16, 'Option1 (base case)'!$G$106:$G$117,0)))*conv_2026*L$7</f>
        <v>0</v>
      </c>
      <c r="M16" s="31">
        <f>(INDEX('Option1 (base case)'!M$106:M$117, MATCH($D16, 'Option1 (base case)'!$G$106:$G$117,0)))*conv_2026*M$7</f>
        <v>0</v>
      </c>
      <c r="N16" s="31">
        <f>(INDEX('Option1 (base case)'!N$106:N$117, MATCH($D16, 'Option1 (base case)'!$G$106:$G$117,0)))*conv_2026*N$7</f>
        <v>0</v>
      </c>
      <c r="O16" s="31">
        <f>(INDEX('Option1 (base case)'!O$106:O$117, MATCH($D16, 'Option1 (base case)'!$G$106:$G$117,0)))*conv_2026*O$7</f>
        <v>0</v>
      </c>
      <c r="P16" s="31">
        <f>(INDEX('Option1 (base case)'!P$106:P$117, MATCH($D16, 'Option1 (base case)'!$G$106:$G$117,0)))*conv_2026*P$7</f>
        <v>0</v>
      </c>
      <c r="Q16" s="31">
        <f>(INDEX('Option1 (base case)'!Q$106:Q$117, MATCH($D16, 'Option1 (base case)'!$G$106:$G$117,0)))*conv_2026*Q$7</f>
        <v>0</v>
      </c>
      <c r="R16" s="31">
        <f>(INDEX('Option1 (base case)'!R$106:R$117, MATCH($D16, 'Option1 (base case)'!$G$106:$G$117,0)))*conv_2026*R$7</f>
        <v>0</v>
      </c>
      <c r="S16" s="31">
        <f>(INDEX('Option1 (base case)'!S$106:S$117, MATCH($D16, 'Option1 (base case)'!$G$106:$G$117,0)))*conv_2026*S$7</f>
        <v>0</v>
      </c>
      <c r="T16" s="31">
        <f>(INDEX('Option1 (base case)'!T$106:T$117, MATCH($D16, 'Option1 (base case)'!$G$106:$G$117,0)))*conv_2026*T$7</f>
        <v>0</v>
      </c>
      <c r="U16" s="31">
        <f>(INDEX('Option1 (base case)'!U$106:U$117, MATCH($D16, 'Option1 (base case)'!$G$106:$G$117,0)))*conv_2026*U$7</f>
        <v>0</v>
      </c>
      <c r="V16" s="31">
        <f>(INDEX('Option1 (base case)'!V$106:V$117, MATCH($D16, 'Option1 (base case)'!$G$106:$G$117,0)))*conv_2026*V$7</f>
        <v>0</v>
      </c>
      <c r="W16" s="31">
        <f>(INDEX('Option1 (base case)'!W$106:W$117, MATCH($D16, 'Option1 (base case)'!$G$106:$G$117,0)))*conv_2026*W$7</f>
        <v>0</v>
      </c>
      <c r="X16" s="31">
        <f>(INDEX('Option1 (base case)'!X$106:X$117, MATCH($D16, 'Option1 (base case)'!$G$106:$G$117,0)))*conv_2026*X$7</f>
        <v>0</v>
      </c>
      <c r="Y16" s="31">
        <f>(INDEX('Option1 (base case)'!Y$106:Y$117, MATCH($D16, 'Option1 (base case)'!$G$106:$G$117,0)))*conv_2026*Y$7</f>
        <v>0</v>
      </c>
      <c r="Z16" s="31">
        <f>(INDEX('Option1 (base case)'!Z$106:Z$117, MATCH($D16, 'Option1 (base case)'!$G$106:$G$117,0)))*conv_2026*Z$7</f>
        <v>0</v>
      </c>
      <c r="AA16" s="31">
        <f>(INDEX('Option1 (base case)'!AA$106:AA$117, MATCH($D16, 'Option1 (base case)'!$G$106:$G$117,0)))*conv_2026*AA$7</f>
        <v>0</v>
      </c>
      <c r="AB16" s="31">
        <f>(INDEX('Option1 (base case)'!AB$106:AB$117, MATCH($D16, 'Option1 (base case)'!$G$106:$G$117,0)))*conv_2026*AB$7</f>
        <v>0</v>
      </c>
      <c r="AC16" s="31">
        <f>(INDEX('Option1 (base case)'!AC$106:AC$117, MATCH($D16, 'Option1 (base case)'!$G$106:$G$117,0)))*conv_2026*AC$7</f>
        <v>0</v>
      </c>
      <c r="AD16" s="31">
        <f>(INDEX('Option1 (base case)'!AD$106:AD$117, MATCH($D16, 'Option1 (base case)'!$G$106:$G$117,0)))*conv_2026*AD$7</f>
        <v>0</v>
      </c>
      <c r="AE16" s="31">
        <f>(INDEX('Option1 (base case)'!AE$106:AE$117, MATCH($D16, 'Option1 (base case)'!$G$106:$G$117,0)))*conv_2026*AE$7</f>
        <v>0</v>
      </c>
      <c r="AF16" s="31">
        <f>(INDEX('Option1 (base case)'!AF$106:AF$117, MATCH($D16, 'Option1 (base case)'!$G$106:$G$117,0)))*conv_2026*AF$7</f>
        <v>0</v>
      </c>
      <c r="AG16" s="31">
        <f>(INDEX('Option1 (base case)'!AG$106:AG$117, MATCH($D16, 'Option1 (base case)'!$G$106:$G$117,0)))*conv_2026*AG$7</f>
        <v>0</v>
      </c>
    </row>
    <row r="17" spans="1:35" s="7" customFormat="1" ht="13" x14ac:dyDescent="0.3">
      <c r="A17" s="253" t="s">
        <v>148</v>
      </c>
      <c r="B17" s="253" t="str">
        <f>'Option1 (base case)'!A111</f>
        <v>sens2</v>
      </c>
      <c r="C17" s="253" t="str">
        <f>'Option1 (base case)'!C111</f>
        <v>Capex 10% lower</v>
      </c>
      <c r="D17" s="253" t="str">
        <f t="shared" si="0"/>
        <v>OPTION 1 (base case)sens2</v>
      </c>
      <c r="E17" s="254"/>
      <c r="F17" s="31">
        <f t="shared" ref="F17:F23" si="1">SUMPRODUCT($H17:$AG17, $H$5:$AG$5)</f>
        <v>0</v>
      </c>
      <c r="G17" s="253"/>
      <c r="H17" s="31">
        <f>(INDEX('Option1 (base case)'!H$106:H$117, MATCH($D17, 'Option1 (base case)'!$G$106:$G$117,0)))*conv_2026*H$7</f>
        <v>0</v>
      </c>
      <c r="I17" s="31">
        <f>(INDEX('Option1 (base case)'!I$106:I$117, MATCH($D17, 'Option1 (base case)'!$G$106:$G$117,0)))*conv_2026*I$7</f>
        <v>0</v>
      </c>
      <c r="J17" s="31">
        <f>(INDEX('Option1 (base case)'!J$106:J$117, MATCH($D17, 'Option1 (base case)'!$G$106:$G$117,0)))*conv_2026*J$7</f>
        <v>0</v>
      </c>
      <c r="K17" s="31">
        <f>(INDEX('Option1 (base case)'!K$106:K$117, MATCH($D17, 'Option1 (base case)'!$G$106:$G$117,0)))*conv_2026*K$7</f>
        <v>0</v>
      </c>
      <c r="L17" s="31">
        <f>(INDEX('Option1 (base case)'!L$106:L$117, MATCH($D17, 'Option1 (base case)'!$G$106:$G$117,0)))*conv_2026*L$7</f>
        <v>0</v>
      </c>
      <c r="M17" s="31">
        <f>(INDEX('Option1 (base case)'!M$106:M$117, MATCH($D17, 'Option1 (base case)'!$G$106:$G$117,0)))*conv_2026*M$7</f>
        <v>0</v>
      </c>
      <c r="N17" s="31">
        <f>(INDEX('Option1 (base case)'!N$106:N$117, MATCH($D17, 'Option1 (base case)'!$G$106:$G$117,0)))*conv_2026*N$7</f>
        <v>0</v>
      </c>
      <c r="O17" s="31">
        <f>(INDEX('Option1 (base case)'!O$106:O$117, MATCH($D17, 'Option1 (base case)'!$G$106:$G$117,0)))*conv_2026*O$7</f>
        <v>0</v>
      </c>
      <c r="P17" s="31">
        <f>(INDEX('Option1 (base case)'!P$106:P$117, MATCH($D17, 'Option1 (base case)'!$G$106:$G$117,0)))*conv_2026*P$7</f>
        <v>0</v>
      </c>
      <c r="Q17" s="31">
        <f>(INDEX('Option1 (base case)'!Q$106:Q$117, MATCH($D17, 'Option1 (base case)'!$G$106:$G$117,0)))*conv_2026*Q$7</f>
        <v>0</v>
      </c>
      <c r="R17" s="31">
        <f>(INDEX('Option1 (base case)'!R$106:R$117, MATCH($D17, 'Option1 (base case)'!$G$106:$G$117,0)))*conv_2026*R$7</f>
        <v>0</v>
      </c>
      <c r="S17" s="31">
        <f>(INDEX('Option1 (base case)'!S$106:S$117, MATCH($D17, 'Option1 (base case)'!$G$106:$G$117,0)))*conv_2026*S$7</f>
        <v>0</v>
      </c>
      <c r="T17" s="31">
        <f>(INDEX('Option1 (base case)'!T$106:T$117, MATCH($D17, 'Option1 (base case)'!$G$106:$G$117,0)))*conv_2026*T$7</f>
        <v>0</v>
      </c>
      <c r="U17" s="31">
        <f>(INDEX('Option1 (base case)'!U$106:U$117, MATCH($D17, 'Option1 (base case)'!$G$106:$G$117,0)))*conv_2026*U$7</f>
        <v>0</v>
      </c>
      <c r="V17" s="31">
        <f>(INDEX('Option1 (base case)'!V$106:V$117, MATCH($D17, 'Option1 (base case)'!$G$106:$G$117,0)))*conv_2026*V$7</f>
        <v>0</v>
      </c>
      <c r="W17" s="31">
        <f>(INDEX('Option1 (base case)'!W$106:W$117, MATCH($D17, 'Option1 (base case)'!$G$106:$G$117,0)))*conv_2026*W$7</f>
        <v>0</v>
      </c>
      <c r="X17" s="31">
        <f>(INDEX('Option1 (base case)'!X$106:X$117, MATCH($D17, 'Option1 (base case)'!$G$106:$G$117,0)))*conv_2026*X$7</f>
        <v>0</v>
      </c>
      <c r="Y17" s="31">
        <f>(INDEX('Option1 (base case)'!Y$106:Y$117, MATCH($D17, 'Option1 (base case)'!$G$106:$G$117,0)))*conv_2026*Y$7</f>
        <v>0</v>
      </c>
      <c r="Z17" s="31">
        <f>(INDEX('Option1 (base case)'!Z$106:Z$117, MATCH($D17, 'Option1 (base case)'!$G$106:$G$117,0)))*conv_2026*Z$7</f>
        <v>0</v>
      </c>
      <c r="AA17" s="31">
        <f>(INDEX('Option1 (base case)'!AA$106:AA$117, MATCH($D17, 'Option1 (base case)'!$G$106:$G$117,0)))*conv_2026*AA$7</f>
        <v>0</v>
      </c>
      <c r="AB17" s="31">
        <f>(INDEX('Option1 (base case)'!AB$106:AB$117, MATCH($D17, 'Option1 (base case)'!$G$106:$G$117,0)))*conv_2026*AB$7</f>
        <v>0</v>
      </c>
      <c r="AC17" s="31">
        <f>(INDEX('Option1 (base case)'!AC$106:AC$117, MATCH($D17, 'Option1 (base case)'!$G$106:$G$117,0)))*conv_2026*AC$7</f>
        <v>0</v>
      </c>
      <c r="AD17" s="31">
        <f>(INDEX('Option1 (base case)'!AD$106:AD$117, MATCH($D17, 'Option1 (base case)'!$G$106:$G$117,0)))*conv_2026*AD$7</f>
        <v>0</v>
      </c>
      <c r="AE17" s="31">
        <f>(INDEX('Option1 (base case)'!AE$106:AE$117, MATCH($D17, 'Option1 (base case)'!$G$106:$G$117,0)))*conv_2026*AE$7</f>
        <v>0</v>
      </c>
      <c r="AF17" s="31">
        <f>(INDEX('Option1 (base case)'!AF$106:AF$117, MATCH($D17, 'Option1 (base case)'!$G$106:$G$117,0)))*conv_2026*AF$7</f>
        <v>0</v>
      </c>
      <c r="AG17" s="31">
        <f>(INDEX('Option1 (base case)'!AG$106:AG$117, MATCH($D17, 'Option1 (base case)'!$G$106:$G$117,0)))*conv_2026*AG$7</f>
        <v>0</v>
      </c>
      <c r="AH17" s="8"/>
      <c r="AI17" s="8"/>
    </row>
    <row r="18" spans="1:35" s="7" customFormat="1" ht="13" x14ac:dyDescent="0.3">
      <c r="A18" s="253" t="s">
        <v>148</v>
      </c>
      <c r="B18" s="253" t="str">
        <f>'Option1 (base case)'!A112</f>
        <v>sens3</v>
      </c>
      <c r="C18" s="253" t="str">
        <f>'Option1 (base case)'!C112</f>
        <v>Total benefits 10% higher</v>
      </c>
      <c r="D18" s="253" t="str">
        <f t="shared" si="0"/>
        <v>OPTION 1 (base case)sens3</v>
      </c>
      <c r="E18" s="254"/>
      <c r="F18" s="31">
        <f t="shared" si="1"/>
        <v>0</v>
      </c>
      <c r="G18" s="8"/>
      <c r="H18" s="31">
        <f>(INDEX('Option1 (base case)'!H$106:H$117, MATCH($D18, 'Option1 (base case)'!$G$106:$G$117,0)))*conv_2026*H$7</f>
        <v>0</v>
      </c>
      <c r="I18" s="31">
        <f>(INDEX('Option1 (base case)'!I$106:I$117, MATCH($D18, 'Option1 (base case)'!$G$106:$G$117,0)))*conv_2026*I$7</f>
        <v>0</v>
      </c>
      <c r="J18" s="31">
        <f>(INDEX('Option1 (base case)'!J$106:J$117, MATCH($D18, 'Option1 (base case)'!$G$106:$G$117,0)))*conv_2026*J$7</f>
        <v>0</v>
      </c>
      <c r="K18" s="31">
        <f>(INDEX('Option1 (base case)'!K$106:K$117, MATCH($D18, 'Option1 (base case)'!$G$106:$G$117,0)))*conv_2026*K$7</f>
        <v>0</v>
      </c>
      <c r="L18" s="31">
        <f>(INDEX('Option1 (base case)'!L$106:L$117, MATCH($D18, 'Option1 (base case)'!$G$106:$G$117,0)))*conv_2026*L$7</f>
        <v>0</v>
      </c>
      <c r="M18" s="31">
        <f>(INDEX('Option1 (base case)'!M$106:M$117, MATCH($D18, 'Option1 (base case)'!$G$106:$G$117,0)))*conv_2026*M$7</f>
        <v>0</v>
      </c>
      <c r="N18" s="31">
        <f>(INDEX('Option1 (base case)'!N$106:N$117, MATCH($D18, 'Option1 (base case)'!$G$106:$G$117,0)))*conv_2026*N$7</f>
        <v>0</v>
      </c>
      <c r="O18" s="31">
        <f>(INDEX('Option1 (base case)'!O$106:O$117, MATCH($D18, 'Option1 (base case)'!$G$106:$G$117,0)))*conv_2026*O$7</f>
        <v>0</v>
      </c>
      <c r="P18" s="31">
        <f>(INDEX('Option1 (base case)'!P$106:P$117, MATCH($D18, 'Option1 (base case)'!$G$106:$G$117,0)))*conv_2026*P$7</f>
        <v>0</v>
      </c>
      <c r="Q18" s="31">
        <f>(INDEX('Option1 (base case)'!Q$106:Q$117, MATCH($D18, 'Option1 (base case)'!$G$106:$G$117,0)))*conv_2026*Q$7</f>
        <v>0</v>
      </c>
      <c r="R18" s="31">
        <f>(INDEX('Option1 (base case)'!R$106:R$117, MATCH($D18, 'Option1 (base case)'!$G$106:$G$117,0)))*conv_2026*R$7</f>
        <v>0</v>
      </c>
      <c r="S18" s="31">
        <f>(INDEX('Option1 (base case)'!S$106:S$117, MATCH($D18, 'Option1 (base case)'!$G$106:$G$117,0)))*conv_2026*S$7</f>
        <v>0</v>
      </c>
      <c r="T18" s="31">
        <f>(INDEX('Option1 (base case)'!T$106:T$117, MATCH($D18, 'Option1 (base case)'!$G$106:$G$117,0)))*conv_2026*T$7</f>
        <v>0</v>
      </c>
      <c r="U18" s="31">
        <f>(INDEX('Option1 (base case)'!U$106:U$117, MATCH($D18, 'Option1 (base case)'!$G$106:$G$117,0)))*conv_2026*U$7</f>
        <v>0</v>
      </c>
      <c r="V18" s="31">
        <f>(INDEX('Option1 (base case)'!V$106:V$117, MATCH($D18, 'Option1 (base case)'!$G$106:$G$117,0)))*conv_2026*V$7</f>
        <v>0</v>
      </c>
      <c r="W18" s="31">
        <f>(INDEX('Option1 (base case)'!W$106:W$117, MATCH($D18, 'Option1 (base case)'!$G$106:$G$117,0)))*conv_2026*W$7</f>
        <v>0</v>
      </c>
      <c r="X18" s="31">
        <f>(INDEX('Option1 (base case)'!X$106:X$117, MATCH($D18, 'Option1 (base case)'!$G$106:$G$117,0)))*conv_2026*X$7</f>
        <v>0</v>
      </c>
      <c r="Y18" s="31">
        <f>(INDEX('Option1 (base case)'!Y$106:Y$117, MATCH($D18, 'Option1 (base case)'!$G$106:$G$117,0)))*conv_2026*Y$7</f>
        <v>0</v>
      </c>
      <c r="Z18" s="31">
        <f>(INDEX('Option1 (base case)'!Z$106:Z$117, MATCH($D18, 'Option1 (base case)'!$G$106:$G$117,0)))*conv_2026*Z$7</f>
        <v>0</v>
      </c>
      <c r="AA18" s="31">
        <f>(INDEX('Option1 (base case)'!AA$106:AA$117, MATCH($D18, 'Option1 (base case)'!$G$106:$G$117,0)))*conv_2026*AA$7</f>
        <v>0</v>
      </c>
      <c r="AB18" s="31">
        <f>(INDEX('Option1 (base case)'!AB$106:AB$117, MATCH($D18, 'Option1 (base case)'!$G$106:$G$117,0)))*conv_2026*AB$7</f>
        <v>0</v>
      </c>
      <c r="AC18" s="31">
        <f>(INDEX('Option1 (base case)'!AC$106:AC$117, MATCH($D18, 'Option1 (base case)'!$G$106:$G$117,0)))*conv_2026*AC$7</f>
        <v>0</v>
      </c>
      <c r="AD18" s="31">
        <f>(INDEX('Option1 (base case)'!AD$106:AD$117, MATCH($D18, 'Option1 (base case)'!$G$106:$G$117,0)))*conv_2026*AD$7</f>
        <v>0</v>
      </c>
      <c r="AE18" s="31">
        <f>(INDEX('Option1 (base case)'!AE$106:AE$117, MATCH($D18, 'Option1 (base case)'!$G$106:$G$117,0)))*conv_2026*AE$7</f>
        <v>0</v>
      </c>
      <c r="AF18" s="31">
        <f>(INDEX('Option1 (base case)'!AF$106:AF$117, MATCH($D18, 'Option1 (base case)'!$G$106:$G$117,0)))*conv_2026*AF$7</f>
        <v>0</v>
      </c>
      <c r="AG18" s="31">
        <f>(INDEX('Option1 (base case)'!AG$106:AG$117, MATCH($D18, 'Option1 (base case)'!$G$106:$G$117,0)))*conv_2026*AG$7</f>
        <v>0</v>
      </c>
      <c r="AH18" s="8"/>
      <c r="AI18" s="8"/>
    </row>
    <row r="19" spans="1:35" s="7" customFormat="1" ht="13" x14ac:dyDescent="0.3">
      <c r="A19" s="253" t="s">
        <v>148</v>
      </c>
      <c r="B19" s="253" t="str">
        <f>'Option1 (base case)'!A113</f>
        <v>sens4</v>
      </c>
      <c r="C19" s="253" t="str">
        <f>'Option1 (base case)'!C113</f>
        <v>Total benefits 10% lower</v>
      </c>
      <c r="D19" s="253" t="str">
        <f t="shared" si="0"/>
        <v>OPTION 1 (base case)sens4</v>
      </c>
      <c r="E19" s="254"/>
      <c r="F19" s="31">
        <f t="shared" si="1"/>
        <v>0</v>
      </c>
      <c r="G19" s="8"/>
      <c r="H19" s="31">
        <f>(INDEX('Option1 (base case)'!H$106:H$117, MATCH($D19, 'Option1 (base case)'!$G$106:$G$117,0)))*conv_2026*H$7</f>
        <v>0</v>
      </c>
      <c r="I19" s="31">
        <f>(INDEX('Option1 (base case)'!I$106:I$117, MATCH($D19, 'Option1 (base case)'!$G$106:$G$117,0)))*conv_2026*I$7</f>
        <v>0</v>
      </c>
      <c r="J19" s="31">
        <f>(INDEX('Option1 (base case)'!J$106:J$117, MATCH($D19, 'Option1 (base case)'!$G$106:$G$117,0)))*conv_2026*J$7</f>
        <v>0</v>
      </c>
      <c r="K19" s="31">
        <f>(INDEX('Option1 (base case)'!K$106:K$117, MATCH($D19, 'Option1 (base case)'!$G$106:$G$117,0)))*conv_2026*K$7</f>
        <v>0</v>
      </c>
      <c r="L19" s="31">
        <f>(INDEX('Option1 (base case)'!L$106:L$117, MATCH($D19, 'Option1 (base case)'!$G$106:$G$117,0)))*conv_2026*L$7</f>
        <v>0</v>
      </c>
      <c r="M19" s="31">
        <f>(INDEX('Option1 (base case)'!M$106:M$117, MATCH($D19, 'Option1 (base case)'!$G$106:$G$117,0)))*conv_2026*M$7</f>
        <v>0</v>
      </c>
      <c r="N19" s="31">
        <f>(INDEX('Option1 (base case)'!N$106:N$117, MATCH($D19, 'Option1 (base case)'!$G$106:$G$117,0)))*conv_2026*N$7</f>
        <v>0</v>
      </c>
      <c r="O19" s="31">
        <f>(INDEX('Option1 (base case)'!O$106:O$117, MATCH($D19, 'Option1 (base case)'!$G$106:$G$117,0)))*conv_2026*O$7</f>
        <v>0</v>
      </c>
      <c r="P19" s="31">
        <f>(INDEX('Option1 (base case)'!P$106:P$117, MATCH($D19, 'Option1 (base case)'!$G$106:$G$117,0)))*conv_2026*P$7</f>
        <v>0</v>
      </c>
      <c r="Q19" s="31">
        <f>(INDEX('Option1 (base case)'!Q$106:Q$117, MATCH($D19, 'Option1 (base case)'!$G$106:$G$117,0)))*conv_2026*Q$7</f>
        <v>0</v>
      </c>
      <c r="R19" s="31">
        <f>(INDEX('Option1 (base case)'!R$106:R$117, MATCH($D19, 'Option1 (base case)'!$G$106:$G$117,0)))*conv_2026*R$7</f>
        <v>0</v>
      </c>
      <c r="S19" s="31">
        <f>(INDEX('Option1 (base case)'!S$106:S$117, MATCH($D19, 'Option1 (base case)'!$G$106:$G$117,0)))*conv_2026*S$7</f>
        <v>0</v>
      </c>
      <c r="T19" s="31">
        <f>(INDEX('Option1 (base case)'!T$106:T$117, MATCH($D19, 'Option1 (base case)'!$G$106:$G$117,0)))*conv_2026*T$7</f>
        <v>0</v>
      </c>
      <c r="U19" s="31">
        <f>(INDEX('Option1 (base case)'!U$106:U$117, MATCH($D19, 'Option1 (base case)'!$G$106:$G$117,0)))*conv_2026*U$7</f>
        <v>0</v>
      </c>
      <c r="V19" s="31">
        <f>(INDEX('Option1 (base case)'!V$106:V$117, MATCH($D19, 'Option1 (base case)'!$G$106:$G$117,0)))*conv_2026*V$7</f>
        <v>0</v>
      </c>
      <c r="W19" s="31">
        <f>(INDEX('Option1 (base case)'!W$106:W$117, MATCH($D19, 'Option1 (base case)'!$G$106:$G$117,0)))*conv_2026*W$7</f>
        <v>0</v>
      </c>
      <c r="X19" s="31">
        <f>(INDEX('Option1 (base case)'!X$106:X$117, MATCH($D19, 'Option1 (base case)'!$G$106:$G$117,0)))*conv_2026*X$7</f>
        <v>0</v>
      </c>
      <c r="Y19" s="31">
        <f>(INDEX('Option1 (base case)'!Y$106:Y$117, MATCH($D19, 'Option1 (base case)'!$G$106:$G$117,0)))*conv_2026*Y$7</f>
        <v>0</v>
      </c>
      <c r="Z19" s="31">
        <f>(INDEX('Option1 (base case)'!Z$106:Z$117, MATCH($D19, 'Option1 (base case)'!$G$106:$G$117,0)))*conv_2026*Z$7</f>
        <v>0</v>
      </c>
      <c r="AA19" s="31">
        <f>(INDEX('Option1 (base case)'!AA$106:AA$117, MATCH($D19, 'Option1 (base case)'!$G$106:$G$117,0)))*conv_2026*AA$7</f>
        <v>0</v>
      </c>
      <c r="AB19" s="31">
        <f>(INDEX('Option1 (base case)'!AB$106:AB$117, MATCH($D19, 'Option1 (base case)'!$G$106:$G$117,0)))*conv_2026*AB$7</f>
        <v>0</v>
      </c>
      <c r="AC19" s="31">
        <f>(INDEX('Option1 (base case)'!AC$106:AC$117, MATCH($D19, 'Option1 (base case)'!$G$106:$G$117,0)))*conv_2026*AC$7</f>
        <v>0</v>
      </c>
      <c r="AD19" s="31">
        <f>(INDEX('Option1 (base case)'!AD$106:AD$117, MATCH($D19, 'Option1 (base case)'!$G$106:$G$117,0)))*conv_2026*AD$7</f>
        <v>0</v>
      </c>
      <c r="AE19" s="31">
        <f>(INDEX('Option1 (base case)'!AE$106:AE$117, MATCH($D19, 'Option1 (base case)'!$G$106:$G$117,0)))*conv_2026*AE$7</f>
        <v>0</v>
      </c>
      <c r="AF19" s="31">
        <f>(INDEX('Option1 (base case)'!AF$106:AF$117, MATCH($D19, 'Option1 (base case)'!$G$106:$G$117,0)))*conv_2026*AF$7</f>
        <v>0</v>
      </c>
      <c r="AG19" s="31">
        <f>(INDEX('Option1 (base case)'!AG$106:AG$117, MATCH($D19, 'Option1 (base case)'!$G$106:$G$117,0)))*conv_2026*AG$7</f>
        <v>0</v>
      </c>
      <c r="AH19" s="8"/>
      <c r="AI19" s="8"/>
    </row>
    <row r="20" spans="1:35" s="7" customFormat="1" ht="13" x14ac:dyDescent="0.3">
      <c r="A20" s="253" t="s">
        <v>148</v>
      </c>
      <c r="B20" s="253" t="str">
        <f>'Option1 (base case)'!A114</f>
        <v>sens5</v>
      </c>
      <c r="C20" s="253" t="str">
        <f>'Option1 (base case)'!C114</f>
        <v>Capex 10% higher &amp; Total benefits 10% lower</v>
      </c>
      <c r="D20" s="253" t="str">
        <f t="shared" si="0"/>
        <v>OPTION 1 (base case)sens5</v>
      </c>
      <c r="E20" s="254"/>
      <c r="F20" s="31">
        <f t="shared" si="1"/>
        <v>0</v>
      </c>
      <c r="G20" s="8"/>
      <c r="H20" s="31">
        <f>(INDEX('Option1 (base case)'!H$106:H$117, MATCH($D20, 'Option1 (base case)'!$G$106:$G$117,0)))*conv_2026*H$7</f>
        <v>0</v>
      </c>
      <c r="I20" s="31">
        <f>(INDEX('Option1 (base case)'!I$106:I$117, MATCH($D20, 'Option1 (base case)'!$G$106:$G$117,0)))*conv_2026*I$7</f>
        <v>0</v>
      </c>
      <c r="J20" s="31">
        <f>(INDEX('Option1 (base case)'!J$106:J$117, MATCH($D20, 'Option1 (base case)'!$G$106:$G$117,0)))*conv_2026*J$7</f>
        <v>0</v>
      </c>
      <c r="K20" s="31">
        <f>(INDEX('Option1 (base case)'!K$106:K$117, MATCH($D20, 'Option1 (base case)'!$G$106:$G$117,0)))*conv_2026*K$7</f>
        <v>0</v>
      </c>
      <c r="L20" s="31">
        <f>(INDEX('Option1 (base case)'!L$106:L$117, MATCH($D20, 'Option1 (base case)'!$G$106:$G$117,0)))*conv_2026*L$7</f>
        <v>0</v>
      </c>
      <c r="M20" s="31">
        <f>(INDEX('Option1 (base case)'!M$106:M$117, MATCH($D20, 'Option1 (base case)'!$G$106:$G$117,0)))*conv_2026*M$7</f>
        <v>0</v>
      </c>
      <c r="N20" s="31">
        <f>(INDEX('Option1 (base case)'!N$106:N$117, MATCH($D20, 'Option1 (base case)'!$G$106:$G$117,0)))*conv_2026*N$7</f>
        <v>0</v>
      </c>
      <c r="O20" s="31">
        <f>(INDEX('Option1 (base case)'!O$106:O$117, MATCH($D20, 'Option1 (base case)'!$G$106:$G$117,0)))*conv_2026*O$7</f>
        <v>0</v>
      </c>
      <c r="P20" s="31">
        <f>(INDEX('Option1 (base case)'!P$106:P$117, MATCH($D20, 'Option1 (base case)'!$G$106:$G$117,0)))*conv_2026*P$7</f>
        <v>0</v>
      </c>
      <c r="Q20" s="31">
        <f>(INDEX('Option1 (base case)'!Q$106:Q$117, MATCH($D20, 'Option1 (base case)'!$G$106:$G$117,0)))*conv_2026*Q$7</f>
        <v>0</v>
      </c>
      <c r="R20" s="31">
        <f>(INDEX('Option1 (base case)'!R$106:R$117, MATCH($D20, 'Option1 (base case)'!$G$106:$G$117,0)))*conv_2026*R$7</f>
        <v>0</v>
      </c>
      <c r="S20" s="31">
        <f>(INDEX('Option1 (base case)'!S$106:S$117, MATCH($D20, 'Option1 (base case)'!$G$106:$G$117,0)))*conv_2026*S$7</f>
        <v>0</v>
      </c>
      <c r="T20" s="31">
        <f>(INDEX('Option1 (base case)'!T$106:T$117, MATCH($D20, 'Option1 (base case)'!$G$106:$G$117,0)))*conv_2026*T$7</f>
        <v>0</v>
      </c>
      <c r="U20" s="31">
        <f>(INDEX('Option1 (base case)'!U$106:U$117, MATCH($D20, 'Option1 (base case)'!$G$106:$G$117,0)))*conv_2026*U$7</f>
        <v>0</v>
      </c>
      <c r="V20" s="31">
        <f>(INDEX('Option1 (base case)'!V$106:V$117, MATCH($D20, 'Option1 (base case)'!$G$106:$G$117,0)))*conv_2026*V$7</f>
        <v>0</v>
      </c>
      <c r="W20" s="31">
        <f>(INDEX('Option1 (base case)'!W$106:W$117, MATCH($D20, 'Option1 (base case)'!$G$106:$G$117,0)))*conv_2026*W$7</f>
        <v>0</v>
      </c>
      <c r="X20" s="31">
        <f>(INDEX('Option1 (base case)'!X$106:X$117, MATCH($D20, 'Option1 (base case)'!$G$106:$G$117,0)))*conv_2026*X$7</f>
        <v>0</v>
      </c>
      <c r="Y20" s="31">
        <f>(INDEX('Option1 (base case)'!Y$106:Y$117, MATCH($D20, 'Option1 (base case)'!$G$106:$G$117,0)))*conv_2026*Y$7</f>
        <v>0</v>
      </c>
      <c r="Z20" s="31">
        <f>(INDEX('Option1 (base case)'!Z$106:Z$117, MATCH($D20, 'Option1 (base case)'!$G$106:$G$117,0)))*conv_2026*Z$7</f>
        <v>0</v>
      </c>
      <c r="AA20" s="31">
        <f>(INDEX('Option1 (base case)'!AA$106:AA$117, MATCH($D20, 'Option1 (base case)'!$G$106:$G$117,0)))*conv_2026*AA$7</f>
        <v>0</v>
      </c>
      <c r="AB20" s="31">
        <f>(INDEX('Option1 (base case)'!AB$106:AB$117, MATCH($D20, 'Option1 (base case)'!$G$106:$G$117,0)))*conv_2026*AB$7</f>
        <v>0</v>
      </c>
      <c r="AC20" s="31">
        <f>(INDEX('Option1 (base case)'!AC$106:AC$117, MATCH($D20, 'Option1 (base case)'!$G$106:$G$117,0)))*conv_2026*AC$7</f>
        <v>0</v>
      </c>
      <c r="AD20" s="31">
        <f>(INDEX('Option1 (base case)'!AD$106:AD$117, MATCH($D20, 'Option1 (base case)'!$G$106:$G$117,0)))*conv_2026*AD$7</f>
        <v>0</v>
      </c>
      <c r="AE20" s="31">
        <f>(INDEX('Option1 (base case)'!AE$106:AE$117, MATCH($D20, 'Option1 (base case)'!$G$106:$G$117,0)))*conv_2026*AE$7</f>
        <v>0</v>
      </c>
      <c r="AF20" s="31">
        <f>(INDEX('Option1 (base case)'!AF$106:AF$117, MATCH($D20, 'Option1 (base case)'!$G$106:$G$117,0)))*conv_2026*AF$7</f>
        <v>0</v>
      </c>
      <c r="AG20" s="31">
        <f>(INDEX('Option1 (base case)'!AG$106:AG$117, MATCH($D20, 'Option1 (base case)'!$G$106:$G$117,0)))*conv_2026*AG$7</f>
        <v>0</v>
      </c>
      <c r="AH20" s="8"/>
      <c r="AI20" s="8"/>
    </row>
    <row r="21" spans="1:35" s="7" customFormat="1" ht="13" x14ac:dyDescent="0.3">
      <c r="A21" s="253" t="s">
        <v>148</v>
      </c>
      <c r="B21" s="253" t="str">
        <f>'Option1 (base case)'!A115</f>
        <v>sens</v>
      </c>
      <c r="C21" s="253">
        <f>'Option1 (base case)'!C115</f>
        <v>0</v>
      </c>
      <c r="D21" s="253" t="str">
        <f t="shared" si="0"/>
        <v>OPTION 1 (base case)sens</v>
      </c>
      <c r="E21" s="254"/>
      <c r="F21" s="31">
        <f t="shared" si="1"/>
        <v>0</v>
      </c>
      <c r="G21" s="8"/>
      <c r="H21" s="31">
        <f>(INDEX('Option1 (base case)'!H$106:H$117, MATCH($D21, 'Option1 (base case)'!$G$106:$G$117,0)))*conv_2026*H$7</f>
        <v>0</v>
      </c>
      <c r="I21" s="31">
        <f>(INDEX('Option1 (base case)'!I$106:I$117, MATCH($D21, 'Option1 (base case)'!$G$106:$G$117,0)))*conv_2026*I$7</f>
        <v>0</v>
      </c>
      <c r="J21" s="31">
        <f>(INDEX('Option1 (base case)'!J$106:J$117, MATCH($D21, 'Option1 (base case)'!$G$106:$G$117,0)))*conv_2026*J$7</f>
        <v>0</v>
      </c>
      <c r="K21" s="31">
        <f>(INDEX('Option1 (base case)'!K$106:K$117, MATCH($D21, 'Option1 (base case)'!$G$106:$G$117,0)))*conv_2026*K$7</f>
        <v>0</v>
      </c>
      <c r="L21" s="31">
        <f>(INDEX('Option1 (base case)'!L$106:L$117, MATCH($D21, 'Option1 (base case)'!$G$106:$G$117,0)))*conv_2026*L$7</f>
        <v>0</v>
      </c>
      <c r="M21" s="31">
        <f>(INDEX('Option1 (base case)'!M$106:M$117, MATCH($D21, 'Option1 (base case)'!$G$106:$G$117,0)))*conv_2026*M$7</f>
        <v>0</v>
      </c>
      <c r="N21" s="31">
        <f>(INDEX('Option1 (base case)'!N$106:N$117, MATCH($D21, 'Option1 (base case)'!$G$106:$G$117,0)))*conv_2026*N$7</f>
        <v>0</v>
      </c>
      <c r="O21" s="31">
        <f>(INDEX('Option1 (base case)'!O$106:O$117, MATCH($D21, 'Option1 (base case)'!$G$106:$G$117,0)))*conv_2026*O$7</f>
        <v>0</v>
      </c>
      <c r="P21" s="31">
        <f>(INDEX('Option1 (base case)'!P$106:P$117, MATCH($D21, 'Option1 (base case)'!$G$106:$G$117,0)))*conv_2026*P$7</f>
        <v>0</v>
      </c>
      <c r="Q21" s="31">
        <f>(INDEX('Option1 (base case)'!Q$106:Q$117, MATCH($D21, 'Option1 (base case)'!$G$106:$G$117,0)))*conv_2026*Q$7</f>
        <v>0</v>
      </c>
      <c r="R21" s="31">
        <f>(INDEX('Option1 (base case)'!R$106:R$117, MATCH($D21, 'Option1 (base case)'!$G$106:$G$117,0)))*conv_2026*R$7</f>
        <v>0</v>
      </c>
      <c r="S21" s="31">
        <f>(INDEX('Option1 (base case)'!S$106:S$117, MATCH($D21, 'Option1 (base case)'!$G$106:$G$117,0)))*conv_2026*S$7</f>
        <v>0</v>
      </c>
      <c r="T21" s="31">
        <f>(INDEX('Option1 (base case)'!T$106:T$117, MATCH($D21, 'Option1 (base case)'!$G$106:$G$117,0)))*conv_2026*T$7</f>
        <v>0</v>
      </c>
      <c r="U21" s="31">
        <f>(INDEX('Option1 (base case)'!U$106:U$117, MATCH($D21, 'Option1 (base case)'!$G$106:$G$117,0)))*conv_2026*U$7</f>
        <v>0</v>
      </c>
      <c r="V21" s="31">
        <f>(INDEX('Option1 (base case)'!V$106:V$117, MATCH($D21, 'Option1 (base case)'!$G$106:$G$117,0)))*conv_2026*V$7</f>
        <v>0</v>
      </c>
      <c r="W21" s="31">
        <f>(INDEX('Option1 (base case)'!W$106:W$117, MATCH($D21, 'Option1 (base case)'!$G$106:$G$117,0)))*conv_2026*W$7</f>
        <v>0</v>
      </c>
      <c r="X21" s="31">
        <f>(INDEX('Option1 (base case)'!X$106:X$117, MATCH($D21, 'Option1 (base case)'!$G$106:$G$117,0)))*conv_2026*X$7</f>
        <v>0</v>
      </c>
      <c r="Y21" s="31">
        <f>(INDEX('Option1 (base case)'!Y$106:Y$117, MATCH($D21, 'Option1 (base case)'!$G$106:$G$117,0)))*conv_2026*Y$7</f>
        <v>0</v>
      </c>
      <c r="Z21" s="31">
        <f>(INDEX('Option1 (base case)'!Z$106:Z$117, MATCH($D21, 'Option1 (base case)'!$G$106:$G$117,0)))*conv_2026*Z$7</f>
        <v>0</v>
      </c>
      <c r="AA21" s="31">
        <f>(INDEX('Option1 (base case)'!AA$106:AA$117, MATCH($D21, 'Option1 (base case)'!$G$106:$G$117,0)))*conv_2026*AA$7</f>
        <v>0</v>
      </c>
      <c r="AB21" s="31">
        <f>(INDEX('Option1 (base case)'!AB$106:AB$117, MATCH($D21, 'Option1 (base case)'!$G$106:$G$117,0)))*conv_2026*AB$7</f>
        <v>0</v>
      </c>
      <c r="AC21" s="31">
        <f>(INDEX('Option1 (base case)'!AC$106:AC$117, MATCH($D21, 'Option1 (base case)'!$G$106:$G$117,0)))*conv_2026*AC$7</f>
        <v>0</v>
      </c>
      <c r="AD21" s="31">
        <f>(INDEX('Option1 (base case)'!AD$106:AD$117, MATCH($D21, 'Option1 (base case)'!$G$106:$G$117,0)))*conv_2026*AD$7</f>
        <v>0</v>
      </c>
      <c r="AE21" s="31">
        <f>(INDEX('Option1 (base case)'!AE$106:AE$117, MATCH($D21, 'Option1 (base case)'!$G$106:$G$117,0)))*conv_2026*AE$7</f>
        <v>0</v>
      </c>
      <c r="AF21" s="31">
        <f>(INDEX('Option1 (base case)'!AF$106:AF$117, MATCH($D21, 'Option1 (base case)'!$G$106:$G$117,0)))*conv_2026*AF$7</f>
        <v>0</v>
      </c>
      <c r="AG21" s="31">
        <f>(INDEX('Option1 (base case)'!AG$106:AG$117, MATCH($D21, 'Option1 (base case)'!$G$106:$G$117,0)))*conv_2026*AG$7</f>
        <v>0</v>
      </c>
      <c r="AH21" s="8"/>
      <c r="AI21" s="8"/>
    </row>
    <row r="22" spans="1:35" s="7" customFormat="1" ht="13" x14ac:dyDescent="0.3">
      <c r="A22" s="253" t="s">
        <v>148</v>
      </c>
      <c r="B22" s="253" t="str">
        <f>'Option1 (base case)'!A116</f>
        <v>sens</v>
      </c>
      <c r="C22" s="253">
        <f>'Option1 (base case)'!C116</f>
        <v>0</v>
      </c>
      <c r="D22" s="253" t="str">
        <f t="shared" si="0"/>
        <v>OPTION 1 (base case)sens</v>
      </c>
      <c r="E22" s="254"/>
      <c r="F22" s="31">
        <f t="shared" si="1"/>
        <v>0</v>
      </c>
      <c r="G22" s="8"/>
      <c r="H22" s="31">
        <f>(INDEX('Option1 (base case)'!H$106:H$117, MATCH($D22, 'Option1 (base case)'!$G$106:$G$117,0)))*conv_2026*H$7</f>
        <v>0</v>
      </c>
      <c r="I22" s="31">
        <f>(INDEX('Option1 (base case)'!I$106:I$117, MATCH($D22, 'Option1 (base case)'!$G$106:$G$117,0)))*conv_2026*I$7</f>
        <v>0</v>
      </c>
      <c r="J22" s="31">
        <f>(INDEX('Option1 (base case)'!J$106:J$117, MATCH($D22, 'Option1 (base case)'!$G$106:$G$117,0)))*conv_2026*J$7</f>
        <v>0</v>
      </c>
      <c r="K22" s="31">
        <f>(INDEX('Option1 (base case)'!K$106:K$117, MATCH($D22, 'Option1 (base case)'!$G$106:$G$117,0)))*conv_2026*K$7</f>
        <v>0</v>
      </c>
      <c r="L22" s="31">
        <f>(INDEX('Option1 (base case)'!L$106:L$117, MATCH($D22, 'Option1 (base case)'!$G$106:$G$117,0)))*conv_2026*L$7</f>
        <v>0</v>
      </c>
      <c r="M22" s="31">
        <f>(INDEX('Option1 (base case)'!M$106:M$117, MATCH($D22, 'Option1 (base case)'!$G$106:$G$117,0)))*conv_2026*M$7</f>
        <v>0</v>
      </c>
      <c r="N22" s="31">
        <f>(INDEX('Option1 (base case)'!N$106:N$117, MATCH($D22, 'Option1 (base case)'!$G$106:$G$117,0)))*conv_2026*N$7</f>
        <v>0</v>
      </c>
      <c r="O22" s="31">
        <f>(INDEX('Option1 (base case)'!O$106:O$117, MATCH($D22, 'Option1 (base case)'!$G$106:$G$117,0)))*conv_2026*O$7</f>
        <v>0</v>
      </c>
      <c r="P22" s="31">
        <f>(INDEX('Option1 (base case)'!P$106:P$117, MATCH($D22, 'Option1 (base case)'!$G$106:$G$117,0)))*conv_2026*P$7</f>
        <v>0</v>
      </c>
      <c r="Q22" s="31">
        <f>(INDEX('Option1 (base case)'!Q$106:Q$117, MATCH($D22, 'Option1 (base case)'!$G$106:$G$117,0)))*conv_2026*Q$7</f>
        <v>0</v>
      </c>
      <c r="R22" s="31">
        <f>(INDEX('Option1 (base case)'!R$106:R$117, MATCH($D22, 'Option1 (base case)'!$G$106:$G$117,0)))*conv_2026*R$7</f>
        <v>0</v>
      </c>
      <c r="S22" s="31">
        <f>(INDEX('Option1 (base case)'!S$106:S$117, MATCH($D22, 'Option1 (base case)'!$G$106:$G$117,0)))*conv_2026*S$7</f>
        <v>0</v>
      </c>
      <c r="T22" s="31">
        <f>(INDEX('Option1 (base case)'!T$106:T$117, MATCH($D22, 'Option1 (base case)'!$G$106:$G$117,0)))*conv_2026*T$7</f>
        <v>0</v>
      </c>
      <c r="U22" s="31">
        <f>(INDEX('Option1 (base case)'!U$106:U$117, MATCH($D22, 'Option1 (base case)'!$G$106:$G$117,0)))*conv_2026*U$7</f>
        <v>0</v>
      </c>
      <c r="V22" s="31">
        <f>(INDEX('Option1 (base case)'!V$106:V$117, MATCH($D22, 'Option1 (base case)'!$G$106:$G$117,0)))*conv_2026*V$7</f>
        <v>0</v>
      </c>
      <c r="W22" s="31">
        <f>(INDEX('Option1 (base case)'!W$106:W$117, MATCH($D22, 'Option1 (base case)'!$G$106:$G$117,0)))*conv_2026*W$7</f>
        <v>0</v>
      </c>
      <c r="X22" s="31">
        <f>(INDEX('Option1 (base case)'!X$106:X$117, MATCH($D22, 'Option1 (base case)'!$G$106:$G$117,0)))*conv_2026*X$7</f>
        <v>0</v>
      </c>
      <c r="Y22" s="31">
        <f>(INDEX('Option1 (base case)'!Y$106:Y$117, MATCH($D22, 'Option1 (base case)'!$G$106:$G$117,0)))*conv_2026*Y$7</f>
        <v>0</v>
      </c>
      <c r="Z22" s="31">
        <f>(INDEX('Option1 (base case)'!Z$106:Z$117, MATCH($D22, 'Option1 (base case)'!$G$106:$G$117,0)))*conv_2026*Z$7</f>
        <v>0</v>
      </c>
      <c r="AA22" s="31">
        <f>(INDEX('Option1 (base case)'!AA$106:AA$117, MATCH($D22, 'Option1 (base case)'!$G$106:$G$117,0)))*conv_2026*AA$7</f>
        <v>0</v>
      </c>
      <c r="AB22" s="31">
        <f>(INDEX('Option1 (base case)'!AB$106:AB$117, MATCH($D22, 'Option1 (base case)'!$G$106:$G$117,0)))*conv_2026*AB$7</f>
        <v>0</v>
      </c>
      <c r="AC22" s="31">
        <f>(INDEX('Option1 (base case)'!AC$106:AC$117, MATCH($D22, 'Option1 (base case)'!$G$106:$G$117,0)))*conv_2026*AC$7</f>
        <v>0</v>
      </c>
      <c r="AD22" s="31">
        <f>(INDEX('Option1 (base case)'!AD$106:AD$117, MATCH($D22, 'Option1 (base case)'!$G$106:$G$117,0)))*conv_2026*AD$7</f>
        <v>0</v>
      </c>
      <c r="AE22" s="31">
        <f>(INDEX('Option1 (base case)'!AE$106:AE$117, MATCH($D22, 'Option1 (base case)'!$G$106:$G$117,0)))*conv_2026*AE$7</f>
        <v>0</v>
      </c>
      <c r="AF22" s="31">
        <f>(INDEX('Option1 (base case)'!AF$106:AF$117, MATCH($D22, 'Option1 (base case)'!$G$106:$G$117,0)))*conv_2026*AF$7</f>
        <v>0</v>
      </c>
      <c r="AG22" s="31">
        <f>(INDEX('Option1 (base case)'!AG$106:AG$117, MATCH($D22, 'Option1 (base case)'!$G$106:$G$117,0)))*conv_2026*AG$7</f>
        <v>0</v>
      </c>
      <c r="AH22" s="8"/>
      <c r="AI22" s="8"/>
    </row>
    <row r="23" spans="1:35" s="7" customFormat="1" ht="13" x14ac:dyDescent="0.3">
      <c r="A23" s="253" t="s">
        <v>148</v>
      </c>
      <c r="B23" s="253" t="str">
        <f>'Option1 (base case)'!A117</f>
        <v>sens</v>
      </c>
      <c r="C23" s="253">
        <f>'Option1 (base case)'!C117</f>
        <v>0</v>
      </c>
      <c r="D23" s="253" t="str">
        <f t="shared" si="0"/>
        <v>OPTION 1 (base case)sens</v>
      </c>
      <c r="E23" s="254"/>
      <c r="F23" s="31">
        <f t="shared" si="1"/>
        <v>0</v>
      </c>
      <c r="G23" s="8"/>
      <c r="H23" s="31">
        <f>(INDEX('Option1 (base case)'!H$106:H$117, MATCH($D23, 'Option1 (base case)'!$G$106:$G$117,0)))*conv_2026*H$7</f>
        <v>0</v>
      </c>
      <c r="I23" s="31">
        <f>(INDEX('Option1 (base case)'!I$106:I$117, MATCH($D23, 'Option1 (base case)'!$G$106:$G$117,0)))*conv_2026*I$7</f>
        <v>0</v>
      </c>
      <c r="J23" s="31">
        <f>(INDEX('Option1 (base case)'!J$106:J$117, MATCH($D23, 'Option1 (base case)'!$G$106:$G$117,0)))*conv_2026*J$7</f>
        <v>0</v>
      </c>
      <c r="K23" s="31">
        <f>(INDEX('Option1 (base case)'!K$106:K$117, MATCH($D23, 'Option1 (base case)'!$G$106:$G$117,0)))*conv_2026*K$7</f>
        <v>0</v>
      </c>
      <c r="L23" s="31">
        <f>(INDEX('Option1 (base case)'!L$106:L$117, MATCH($D23, 'Option1 (base case)'!$G$106:$G$117,0)))*conv_2026*L$7</f>
        <v>0</v>
      </c>
      <c r="M23" s="31">
        <f>(INDEX('Option1 (base case)'!M$106:M$117, MATCH($D23, 'Option1 (base case)'!$G$106:$G$117,0)))*conv_2026*M$7</f>
        <v>0</v>
      </c>
      <c r="N23" s="31">
        <f>(INDEX('Option1 (base case)'!N$106:N$117, MATCH($D23, 'Option1 (base case)'!$G$106:$G$117,0)))*conv_2026*N$7</f>
        <v>0</v>
      </c>
      <c r="O23" s="31">
        <f>(INDEX('Option1 (base case)'!O$106:O$117, MATCH($D23, 'Option1 (base case)'!$G$106:$G$117,0)))*conv_2026*O$7</f>
        <v>0</v>
      </c>
      <c r="P23" s="31">
        <f>(INDEX('Option1 (base case)'!P$106:P$117, MATCH($D23, 'Option1 (base case)'!$G$106:$G$117,0)))*conv_2026*P$7</f>
        <v>0</v>
      </c>
      <c r="Q23" s="31">
        <f>(INDEX('Option1 (base case)'!Q$106:Q$117, MATCH($D23, 'Option1 (base case)'!$G$106:$G$117,0)))*conv_2026*Q$7</f>
        <v>0</v>
      </c>
      <c r="R23" s="31">
        <f>(INDEX('Option1 (base case)'!R$106:R$117, MATCH($D23, 'Option1 (base case)'!$G$106:$G$117,0)))*conv_2026*R$7</f>
        <v>0</v>
      </c>
      <c r="S23" s="31">
        <f>(INDEX('Option1 (base case)'!S$106:S$117, MATCH($D23, 'Option1 (base case)'!$G$106:$G$117,0)))*conv_2026*S$7</f>
        <v>0</v>
      </c>
      <c r="T23" s="31">
        <f>(INDEX('Option1 (base case)'!T$106:T$117, MATCH($D23, 'Option1 (base case)'!$G$106:$G$117,0)))*conv_2026*T$7</f>
        <v>0</v>
      </c>
      <c r="U23" s="31">
        <f>(INDEX('Option1 (base case)'!U$106:U$117, MATCH($D23, 'Option1 (base case)'!$G$106:$G$117,0)))*conv_2026*U$7</f>
        <v>0</v>
      </c>
      <c r="V23" s="31">
        <f>(INDEX('Option1 (base case)'!V$106:V$117, MATCH($D23, 'Option1 (base case)'!$G$106:$G$117,0)))*conv_2026*V$7</f>
        <v>0</v>
      </c>
      <c r="W23" s="31">
        <f>(INDEX('Option1 (base case)'!W$106:W$117, MATCH($D23, 'Option1 (base case)'!$G$106:$G$117,0)))*conv_2026*W$7</f>
        <v>0</v>
      </c>
      <c r="X23" s="31">
        <f>(INDEX('Option1 (base case)'!X$106:X$117, MATCH($D23, 'Option1 (base case)'!$G$106:$G$117,0)))*conv_2026*X$7</f>
        <v>0</v>
      </c>
      <c r="Y23" s="31">
        <f>(INDEX('Option1 (base case)'!Y$106:Y$117, MATCH($D23, 'Option1 (base case)'!$G$106:$G$117,0)))*conv_2026*Y$7</f>
        <v>0</v>
      </c>
      <c r="Z23" s="31">
        <f>(INDEX('Option1 (base case)'!Z$106:Z$117, MATCH($D23, 'Option1 (base case)'!$G$106:$G$117,0)))*conv_2026*Z$7</f>
        <v>0</v>
      </c>
      <c r="AA23" s="31">
        <f>(INDEX('Option1 (base case)'!AA$106:AA$117, MATCH($D23, 'Option1 (base case)'!$G$106:$G$117,0)))*conv_2026*AA$7</f>
        <v>0</v>
      </c>
      <c r="AB23" s="31">
        <f>(INDEX('Option1 (base case)'!AB$106:AB$117, MATCH($D23, 'Option1 (base case)'!$G$106:$G$117,0)))*conv_2026*AB$7</f>
        <v>0</v>
      </c>
      <c r="AC23" s="31">
        <f>(INDEX('Option1 (base case)'!AC$106:AC$117, MATCH($D23, 'Option1 (base case)'!$G$106:$G$117,0)))*conv_2026*AC$7</f>
        <v>0</v>
      </c>
      <c r="AD23" s="31">
        <f>(INDEX('Option1 (base case)'!AD$106:AD$117, MATCH($D23, 'Option1 (base case)'!$G$106:$G$117,0)))*conv_2026*AD$7</f>
        <v>0</v>
      </c>
      <c r="AE23" s="31">
        <f>(INDEX('Option1 (base case)'!AE$106:AE$117, MATCH($D23, 'Option1 (base case)'!$G$106:$G$117,0)))*conv_2026*AE$7</f>
        <v>0</v>
      </c>
      <c r="AF23" s="31">
        <f>(INDEX('Option1 (base case)'!AF$106:AF$117, MATCH($D23, 'Option1 (base case)'!$G$106:$G$117,0)))*conv_2026*AF$7</f>
        <v>0</v>
      </c>
      <c r="AG23" s="31">
        <f>(INDEX('Option1 (base case)'!AG$106:AG$117, MATCH($D23, 'Option1 (base case)'!$G$106:$G$117,0)))*conv_2026*AG$7</f>
        <v>0</v>
      </c>
      <c r="AH23" s="8"/>
      <c r="AI23" s="8"/>
    </row>
    <row r="24" spans="1:35" s="7" customFormat="1" ht="13" x14ac:dyDescent="0.3">
      <c r="A24" s="245"/>
      <c r="B24" s="245"/>
      <c r="C24" s="245"/>
      <c r="D24" s="245"/>
      <c r="E24" s="245"/>
      <c r="F24" s="245"/>
      <c r="G24" s="24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5" s="7" customFormat="1" ht="13" x14ac:dyDescent="0.3">
      <c r="A25" s="245"/>
      <c r="B25" s="245"/>
      <c r="C25" s="245"/>
      <c r="D25" s="245"/>
      <c r="E25" s="245"/>
      <c r="F25" s="245"/>
      <c r="G25" s="24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5" s="7" customFormat="1" ht="13" x14ac:dyDescent="0.3">
      <c r="A26" s="245"/>
      <c r="B26" s="245"/>
      <c r="C26" s="245"/>
      <c r="D26" s="245"/>
      <c r="E26" s="245"/>
      <c r="F26" s="245"/>
      <c r="G26" s="24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5" s="7" customFormat="1" ht="13" x14ac:dyDescent="0.3">
      <c r="A27" s="245"/>
      <c r="B27" s="245"/>
      <c r="C27" s="245"/>
      <c r="D27" s="245"/>
      <c r="E27" s="245"/>
      <c r="F27" s="245"/>
      <c r="G27" s="24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5" s="7" customFormat="1" ht="13" x14ac:dyDescent="0.3">
      <c r="A28" s="253" t="s">
        <v>132</v>
      </c>
      <c r="B28" s="253" t="s">
        <v>120</v>
      </c>
      <c r="C28" s="253" t="s">
        <v>194</v>
      </c>
      <c r="D28" s="253" t="str">
        <f>A28&amp;B28</f>
        <v>Option 2NPV</v>
      </c>
      <c r="E28" s="254"/>
      <c r="F28" s="31">
        <f>SUMPRODUCT($H28:$AG28, $H$5:$AG$5)</f>
        <v>5618354.9254304226</v>
      </c>
      <c r="G28" s="246"/>
      <c r="H28" s="31">
        <f>(INDEX(Option2!H$106:H$117, MATCH($D28, Option2!$G$106:$G$117,0)))*conv_2026*H$7</f>
        <v>0</v>
      </c>
      <c r="I28" s="31">
        <f>(INDEX(Option2!I$106:I$117, MATCH($D28, Option2!$G$106:$G$117,0)))*conv_2026*I$7</f>
        <v>0</v>
      </c>
      <c r="J28" s="31">
        <f>(INDEX(Option2!J$106:J$117, MATCH($D28, Option2!$G$106:$G$117,0)))*conv_2026*J$7</f>
        <v>96433.884480384091</v>
      </c>
      <c r="K28" s="31">
        <f>(INDEX(Option2!K$106:K$117, MATCH($D28, Option2!$G$106:$G$117,0)))*conv_2026*K$7</f>
        <v>192863.82918528613</v>
      </c>
      <c r="L28" s="31">
        <f>(INDEX(Option2!L$106:L$117, MATCH($D28, Option2!$G$106:$G$117,0)))*conv_2026*L$7</f>
        <v>289297.05572316505</v>
      </c>
      <c r="M28" s="31">
        <f>(INDEX(Option2!M$106:M$117, MATCH($D28, Option2!$G$106:$G$117,0)))*conv_2026*M$7</f>
        <v>667121.94421845733</v>
      </c>
      <c r="N28" s="31">
        <f>(INDEX(Option2!N$106:N$117, MATCH($D28, Option2!$G$106:$G$117,0)))*conv_2026*N$7</f>
        <v>643186.08082557702</v>
      </c>
      <c r="O28" s="31">
        <f>(INDEX(Option2!O$106:O$117, MATCH($D28, Option2!$G$106:$G$117,0)))*conv_2026*O$7</f>
        <v>625050.12869031436</v>
      </c>
      <c r="P28" s="31">
        <f>(INDEX(Option2!P$106:P$117, MATCH($D28, Option2!$G$106:$G$117,0)))*conv_2026*P$7</f>
        <v>602410.51292309933</v>
      </c>
      <c r="Q28" s="31">
        <f>(INDEX(Option2!Q$106:Q$117, MATCH($D28, Option2!$G$106:$G$117,0)))*conv_2026*Q$7</f>
        <v>580935.80159173207</v>
      </c>
      <c r="R28" s="31">
        <f>(INDEX(Option2!R$106:R$117, MATCH($D28, Option2!$G$106:$G$117,0)))*conv_2026*R$7</f>
        <v>546397.76051946264</v>
      </c>
      <c r="S28" s="31">
        <f>(INDEX(Option2!S$106:S$117, MATCH($D28, Option2!$G$106:$G$117,0)))*conv_2026*S$7</f>
        <v>511859.71944719215</v>
      </c>
      <c r="T28" s="31">
        <f>(INDEX(Option2!T$106:T$117, MATCH($D28, Option2!$G$106:$G$117,0)))*conv_2026*T$7</f>
        <v>477321.67837492219</v>
      </c>
      <c r="U28" s="31">
        <f>(INDEX(Option2!U$106:U$117, MATCH($D28, Option2!$G$106:$G$117,0)))*conv_2026*U$7</f>
        <v>442783.63730265171</v>
      </c>
      <c r="V28" s="31">
        <f>(INDEX(Option2!V$106:V$117, MATCH($D28, Option2!$G$106:$G$117,0)))*conv_2026*V$7</f>
        <v>408245.59623038175</v>
      </c>
      <c r="W28" s="31">
        <f>(INDEX(Option2!W$106:W$117, MATCH($D28, Option2!$G$106:$G$117,0)))*conv_2026*W$7</f>
        <v>373707.55515811185</v>
      </c>
      <c r="X28" s="31">
        <f>(INDEX(Option2!X$106:X$117, MATCH($D28, Option2!$G$106:$G$117,0)))*conv_2026*X$7</f>
        <v>339169.51408584137</v>
      </c>
      <c r="Y28" s="31">
        <f>(INDEX(Option2!Y$106:Y$117, MATCH($D28, Option2!$G$106:$G$117,0)))*conv_2026*Y$7</f>
        <v>304631.47301357135</v>
      </c>
      <c r="Z28" s="31">
        <f>(INDEX(Option2!Z$106:Z$117, MATCH($D28, Option2!$G$106:$G$117,0)))*conv_2026*Z$7</f>
        <v>270093.43194130092</v>
      </c>
      <c r="AA28" s="31">
        <f>(INDEX(Option2!AA$106:AA$117, MATCH($D28, Option2!$G$106:$G$117,0)))*conv_2026*AA$7</f>
        <v>235555.39086903047</v>
      </c>
      <c r="AB28" s="31">
        <f>(INDEX(Option2!AB$106:AB$117, MATCH($D28, Option2!$G$106:$G$117,0)))*conv_2026*AB$7</f>
        <v>201017.34979676103</v>
      </c>
      <c r="AC28" s="31">
        <f>(INDEX(Option2!AC$106:AC$117, MATCH($D28, Option2!$G$106:$G$117,0)))*conv_2026*AC$7</f>
        <v>0</v>
      </c>
      <c r="AD28" s="31">
        <f>(INDEX(Option2!AD$106:AD$117, MATCH($D28, Option2!$G$106:$G$117,0)))*conv_2026*AD$7</f>
        <v>0</v>
      </c>
      <c r="AE28" s="31">
        <f>(INDEX(Option2!AE$106:AE$117, MATCH($D28, Option2!$G$106:$G$117,0)))*conv_2026*AE$7</f>
        <v>0</v>
      </c>
      <c r="AF28" s="31">
        <f>(INDEX(Option2!AF$106:AF$117, MATCH($D28, Option2!$G$106:$G$117,0)))*conv_2026*AF$7</f>
        <v>0</v>
      </c>
      <c r="AG28" s="31">
        <f>(INDEX(Option2!AG$106:AG$117, MATCH($D28, Option2!$G$106:$G$117,0)))*conv_2026*AG$7</f>
        <v>0</v>
      </c>
    </row>
    <row r="29" spans="1:35" s="7" customFormat="1" ht="13" x14ac:dyDescent="0.3">
      <c r="A29" s="245"/>
      <c r="B29" s="245"/>
      <c r="C29" s="245"/>
      <c r="D29" s="245"/>
      <c r="E29" s="245"/>
      <c r="F29" s="245"/>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row>
    <row r="30" spans="1:35" s="7" customFormat="1" ht="13" x14ac:dyDescent="0.3">
      <c r="A30" s="253" t="s">
        <v>132</v>
      </c>
      <c r="B30" s="253" t="str">
        <f>Option2!A110</f>
        <v>sens1</v>
      </c>
      <c r="C30" s="253" t="str">
        <f>Option2!C110</f>
        <v>Capex 10% higher</v>
      </c>
      <c r="D30" s="253" t="str">
        <f t="shared" ref="D30:D37" si="2">A30&amp;B30</f>
        <v>Option 2sens1</v>
      </c>
      <c r="E30" s="254"/>
      <c r="F30" s="31">
        <f>SUMPRODUCT($H30:$AG30, $H$5:$AG$5)</f>
        <v>5380349.7677146122</v>
      </c>
      <c r="G30" s="246"/>
      <c r="H30" s="31">
        <f>IF($B30=0,0, (INDEX(Option2!H$106:H$117, MATCH($D30, Option2!$G$106:$G$117,0)))*conv_2026*H$7)</f>
        <v>0</v>
      </c>
      <c r="I30" s="31">
        <f>IF($B30=0,0, (INDEX(Option2!I$106:I$117, MATCH($D30, Option2!$G$106:$G$117,0)))*conv_2026*I$7)</f>
        <v>0</v>
      </c>
      <c r="J30" s="31">
        <f>IF($B30=0,0, (INDEX(Option2!J$106:J$117, MATCH($D30, Option2!$G$106:$G$117,0)))*conv_2026*J$7)</f>
        <v>96433.884480384091</v>
      </c>
      <c r="K30" s="31">
        <f>IF($B30=0,0, (INDEX(Option2!K$106:K$117, MATCH($D30, Option2!$G$106:$G$117,0)))*conv_2026*K$7)</f>
        <v>192863.82918528613</v>
      </c>
      <c r="L30" s="31">
        <f>IF($B30=0,0, (INDEX(Option2!L$106:L$117, MATCH($D30, Option2!$G$106:$G$117,0)))*conv_2026*L$7)</f>
        <v>289297.05572316505</v>
      </c>
      <c r="M30" s="31">
        <f>IF($B30=0,0, (INDEX(Option2!M$106:M$117, MATCH($D30, Option2!$G$106:$G$117,0)))*conv_2026*M$7)</f>
        <v>644924.47645057715</v>
      </c>
      <c r="N30" s="31">
        <f>IF($B30=0,0, (INDEX(Option2!N$106:N$117, MATCH($D30, Option2!$G$106:$G$117,0)))*conv_2026*N$7)</f>
        <v>620988.61305769673</v>
      </c>
      <c r="O30" s="31">
        <f>IF($B30=0,0, (INDEX(Option2!O$106:O$117, MATCH($D30, Option2!$G$106:$G$117,0)))*conv_2026*O$7)</f>
        <v>602852.66092243418</v>
      </c>
      <c r="P30" s="31">
        <f>IF($B30=0,0, (INDEX(Option2!P$106:P$117, MATCH($D30, Option2!$G$106:$G$117,0)))*conv_2026*P$7)</f>
        <v>580213.04515521904</v>
      </c>
      <c r="Q30" s="31">
        <f>IF($B30=0,0, (INDEX(Option2!Q$106:Q$117, MATCH($D30, Option2!$G$106:$G$117,0)))*conv_2026*Q$7)</f>
        <v>558738.33382385189</v>
      </c>
      <c r="R30" s="31">
        <f>IF($B30=0,0, (INDEX(Option2!R$106:R$117, MATCH($D30, Option2!$G$106:$G$117,0)))*conv_2026*R$7)</f>
        <v>524200.2927515824</v>
      </c>
      <c r="S30" s="31">
        <f>IF($B30=0,0, (INDEX(Option2!S$106:S$117, MATCH($D30, Option2!$G$106:$G$117,0)))*conv_2026*S$7)</f>
        <v>489662.25167931197</v>
      </c>
      <c r="T30" s="31">
        <f>IF($B30=0,0, (INDEX(Option2!T$106:T$117, MATCH($D30, Option2!$G$106:$G$117,0)))*conv_2026*T$7)</f>
        <v>455124.21060704201</v>
      </c>
      <c r="U30" s="31">
        <f>IF($B30=0,0, (INDEX(Option2!U$106:U$117, MATCH($D30, Option2!$G$106:$G$117,0)))*conv_2026*U$7)</f>
        <v>420586.16953477153</v>
      </c>
      <c r="V30" s="31">
        <f>IF($B30=0,0, (INDEX(Option2!V$106:V$117, MATCH($D30, Option2!$G$106:$G$117,0)))*conv_2026*V$7)</f>
        <v>386048.12846250151</v>
      </c>
      <c r="W30" s="31">
        <f>IF($B30=0,0, (INDEX(Option2!W$106:W$117, MATCH($D30, Option2!$G$106:$G$117,0)))*conv_2026*W$7)</f>
        <v>351510.08739023161</v>
      </c>
      <c r="X30" s="31">
        <f>IF($B30=0,0, (INDEX(Option2!X$106:X$117, MATCH($D30, Option2!$G$106:$G$117,0)))*conv_2026*X$7)</f>
        <v>316972.04631796113</v>
      </c>
      <c r="Y30" s="31">
        <f>IF($B30=0,0, (INDEX(Option2!Y$106:Y$117, MATCH($D30, Option2!$G$106:$G$117,0)))*conv_2026*Y$7)</f>
        <v>282434.00524569117</v>
      </c>
      <c r="Z30" s="31">
        <f>IF($B30=0,0, (INDEX(Option2!Z$106:Z$117, MATCH($D30, Option2!$G$106:$G$117,0)))*conv_2026*Z$7)</f>
        <v>247895.96417342077</v>
      </c>
      <c r="AA30" s="31">
        <f>IF($B30=0,0, (INDEX(Option2!AA$106:AA$117, MATCH($D30, Option2!$G$106:$G$117,0)))*conv_2026*AA$7)</f>
        <v>213357.92310115029</v>
      </c>
      <c r="AB30" s="31">
        <f>IF($B30=0,0, (INDEX(Option2!AB$106:AB$117, MATCH($D30, Option2!$G$106:$G$117,0)))*conv_2026*AB$7)</f>
        <v>178819.88202888085</v>
      </c>
      <c r="AC30" s="31">
        <f>IF($B30=0,0, (INDEX(Option2!AC$106:AC$117, MATCH($D30, Option2!$G$106:$G$117,0)))*conv_2026*AC$7)</f>
        <v>0</v>
      </c>
      <c r="AD30" s="31">
        <f>IF($B30=0,0, (INDEX(Option2!AD$106:AD$117, MATCH($D30, Option2!$G$106:$G$117,0)))*conv_2026*AD$7)</f>
        <v>0</v>
      </c>
      <c r="AE30" s="31">
        <f>IF($B30=0,0, (INDEX(Option2!AE$106:AE$117, MATCH($D30, Option2!$G$106:$G$117,0)))*conv_2026*AE$7)</f>
        <v>0</v>
      </c>
      <c r="AF30" s="31">
        <f>IF($B30=0,0, (INDEX(Option2!AF$106:AF$117, MATCH($D30, Option2!$G$106:$G$117,0)))*conv_2026*AF$7)</f>
        <v>0</v>
      </c>
      <c r="AG30" s="31">
        <f>IF($B30=0,0, (INDEX(Option2!AG$106:AG$117, MATCH($D30, Option2!$G$106:$G$117,0)))*conv_2026*AG$7)</f>
        <v>0</v>
      </c>
    </row>
    <row r="31" spans="1:35" s="8" customFormat="1" ht="13" x14ac:dyDescent="0.3">
      <c r="A31" s="253" t="s">
        <v>132</v>
      </c>
      <c r="B31" s="253" t="str">
        <f>Option2!A111</f>
        <v>sens2</v>
      </c>
      <c r="C31" s="253" t="str">
        <f>Option2!C111</f>
        <v>Capex 10% lower</v>
      </c>
      <c r="D31" s="253" t="str">
        <f t="shared" si="2"/>
        <v>Option 2sens2</v>
      </c>
      <c r="E31" s="254"/>
      <c r="F31" s="31">
        <f t="shared" ref="F31:F37" si="3">SUMPRODUCT($H31:$AG31, $H$5:$AG$5)</f>
        <v>5856360.083146235</v>
      </c>
      <c r="G31" s="253"/>
      <c r="H31" s="31">
        <f>IF($B31=0,0, (INDEX(Option2!H$106:H$117, MATCH($D31, Option2!$G$106:$G$117,0)))*conv_2026*H$7)</f>
        <v>0</v>
      </c>
      <c r="I31" s="31">
        <f>IF($B31=0,0, (INDEX(Option2!I$106:I$117, MATCH($D31, Option2!$G$106:$G$117,0)))*conv_2026*I$7)</f>
        <v>0</v>
      </c>
      <c r="J31" s="31">
        <f>IF($B31=0,0, (INDEX(Option2!J$106:J$117, MATCH($D31, Option2!$G$106:$G$117,0)))*conv_2026*J$7)</f>
        <v>96433.884480384091</v>
      </c>
      <c r="K31" s="31">
        <f>IF($B31=0,0, (INDEX(Option2!K$106:K$117, MATCH($D31, Option2!$G$106:$G$117,0)))*conv_2026*K$7)</f>
        <v>192863.82918528613</v>
      </c>
      <c r="L31" s="31">
        <f>IF($B31=0,0, (INDEX(Option2!L$106:L$117, MATCH($D31, Option2!$G$106:$G$117,0)))*conv_2026*L$7)</f>
        <v>289297.05572316505</v>
      </c>
      <c r="M31" s="31">
        <f>IF($B31=0,0, (INDEX(Option2!M$106:M$117, MATCH($D31, Option2!$G$106:$G$117,0)))*conv_2026*M$7)</f>
        <v>689319.41198633763</v>
      </c>
      <c r="N31" s="31">
        <f>IF($B31=0,0, (INDEX(Option2!N$106:N$117, MATCH($D31, Option2!$G$106:$G$117,0)))*conv_2026*N$7)</f>
        <v>665383.54859345721</v>
      </c>
      <c r="O31" s="31">
        <f>IF($B31=0,0, (INDEX(Option2!O$106:O$117, MATCH($D31, Option2!$G$106:$G$117,0)))*conv_2026*O$7)</f>
        <v>647247.59645819466</v>
      </c>
      <c r="P31" s="31">
        <f>IF($B31=0,0, (INDEX(Option2!P$106:P$117, MATCH($D31, Option2!$G$106:$G$117,0)))*conv_2026*P$7)</f>
        <v>624607.98069097952</v>
      </c>
      <c r="Q31" s="31">
        <f>IF($B31=0,0, (INDEX(Option2!Q$106:Q$117, MATCH($D31, Option2!$G$106:$G$117,0)))*conv_2026*Q$7)</f>
        <v>603133.26935961226</v>
      </c>
      <c r="R31" s="31">
        <f>IF($B31=0,0, (INDEX(Option2!R$106:R$117, MATCH($D31, Option2!$G$106:$G$117,0)))*conv_2026*R$7)</f>
        <v>568595.22828734282</v>
      </c>
      <c r="S31" s="31">
        <f>IF($B31=0,0, (INDEX(Option2!S$106:S$117, MATCH($D31, Option2!$G$106:$G$117,0)))*conv_2026*S$7)</f>
        <v>534057.18721507234</v>
      </c>
      <c r="T31" s="31">
        <f>IF($B31=0,0, (INDEX(Option2!T$106:T$117, MATCH($D31, Option2!$G$106:$G$117,0)))*conv_2026*T$7)</f>
        <v>499519.14614280243</v>
      </c>
      <c r="U31" s="31">
        <f>IF($B31=0,0, (INDEX(Option2!U$106:U$117, MATCH($D31, Option2!$G$106:$G$117,0)))*conv_2026*U$7)</f>
        <v>464981.10507053195</v>
      </c>
      <c r="V31" s="31">
        <f>IF($B31=0,0, (INDEX(Option2!V$106:V$117, MATCH($D31, Option2!$G$106:$G$117,0)))*conv_2026*V$7)</f>
        <v>430443.06399826193</v>
      </c>
      <c r="W31" s="31">
        <f>IF($B31=0,0, (INDEX(Option2!W$106:W$117, MATCH($D31, Option2!$G$106:$G$117,0)))*conv_2026*W$7)</f>
        <v>395905.02292599203</v>
      </c>
      <c r="X31" s="31">
        <f>IF($B31=0,0, (INDEX(Option2!X$106:X$117, MATCH($D31, Option2!$G$106:$G$117,0)))*conv_2026*X$7)</f>
        <v>361366.98185372155</v>
      </c>
      <c r="Y31" s="31">
        <f>IF($B31=0,0, (INDEX(Option2!Y$106:Y$117, MATCH($D31, Option2!$G$106:$G$117,0)))*conv_2026*Y$7)</f>
        <v>326828.94078145159</v>
      </c>
      <c r="Z31" s="31">
        <f>IF($B31=0,0, (INDEX(Option2!Z$106:Z$117, MATCH($D31, Option2!$G$106:$G$117,0)))*conv_2026*Z$7)</f>
        <v>292290.89970918116</v>
      </c>
      <c r="AA31" s="31">
        <f>IF($B31=0,0, (INDEX(Option2!AA$106:AA$117, MATCH($D31, Option2!$G$106:$G$117,0)))*conv_2026*AA$7)</f>
        <v>257752.85863691065</v>
      </c>
      <c r="AB31" s="31">
        <f>IF($B31=0,0, (INDEX(Option2!AB$106:AB$117, MATCH($D31, Option2!$G$106:$G$117,0)))*conv_2026*AB$7)</f>
        <v>223214.81756464121</v>
      </c>
      <c r="AC31" s="31">
        <f>IF($B31=0,0, (INDEX(Option2!AC$106:AC$117, MATCH($D31, Option2!$G$106:$G$117,0)))*conv_2026*AC$7)</f>
        <v>0</v>
      </c>
      <c r="AD31" s="31">
        <f>IF($B31=0,0, (INDEX(Option2!AD$106:AD$117, MATCH($D31, Option2!$G$106:$G$117,0)))*conv_2026*AD$7)</f>
        <v>0</v>
      </c>
      <c r="AE31" s="31">
        <f>IF($B31=0,0, (INDEX(Option2!AE$106:AE$117, MATCH($D31, Option2!$G$106:$G$117,0)))*conv_2026*AE$7)</f>
        <v>0</v>
      </c>
      <c r="AF31" s="31">
        <f>IF($B31=0,0, (INDEX(Option2!AF$106:AF$117, MATCH($D31, Option2!$G$106:$G$117,0)))*conv_2026*AF$7)</f>
        <v>0</v>
      </c>
      <c r="AG31" s="31">
        <f>IF($B31=0,0, (INDEX(Option2!AG$106:AG$117, MATCH($D31, Option2!$G$106:$G$117,0)))*conv_2026*AG$7)</f>
        <v>0</v>
      </c>
    </row>
    <row r="32" spans="1:35" s="8" customFormat="1" ht="13" x14ac:dyDescent="0.3">
      <c r="A32" s="253" t="s">
        <v>132</v>
      </c>
      <c r="B32" s="253" t="str">
        <f>Option2!A112</f>
        <v>sens3</v>
      </c>
      <c r="C32" s="253" t="str">
        <f>Option2!C112</f>
        <v>Total benefits 10% higher</v>
      </c>
      <c r="D32" s="253" t="str">
        <f t="shared" si="2"/>
        <v>Option 2sens3</v>
      </c>
      <c r="E32" s="254"/>
      <c r="F32" s="31">
        <f t="shared" si="3"/>
        <v>6513658.3384527229</v>
      </c>
      <c r="H32" s="31">
        <f>IF($B32=0,0, (INDEX(Option2!H$106:H$117, MATCH($D32, Option2!$G$106:$G$117,0)))*conv_2026*H$7)</f>
        <v>0</v>
      </c>
      <c r="I32" s="31">
        <f>IF($B32=0,0, (INDEX(Option2!I$106:I$117, MATCH($D32, Option2!$G$106:$G$117,0)))*conv_2026*I$7)</f>
        <v>0</v>
      </c>
      <c r="J32" s="31">
        <f>IF($B32=0,0, (INDEX(Option2!J$106:J$117, MATCH($D32, Option2!$G$106:$G$117,0)))*conv_2026*J$7)</f>
        <v>106077.27292842251</v>
      </c>
      <c r="K32" s="31">
        <f>IF($B32=0,0, (INDEX(Option2!K$106:K$117, MATCH($D32, Option2!$G$106:$G$117,0)))*conv_2026*K$7)</f>
        <v>212150.21210381476</v>
      </c>
      <c r="L32" s="31">
        <f>IF($B32=0,0, (INDEX(Option2!L$106:L$117, MATCH($D32, Option2!$G$106:$G$117,0)))*conv_2026*L$7)</f>
        <v>318226.76129548158</v>
      </c>
      <c r="M32" s="31">
        <f>IF($B32=0,0, (INDEX(Option2!M$106:M$117, MATCH($D32, Option2!$G$106:$G$117,0)))*conv_2026*M$7)</f>
        <v>764934.90757951606</v>
      </c>
      <c r="N32" s="31">
        <f>IF($B32=0,0, (INDEX(Option2!N$106:N$117, MATCH($D32, Option2!$G$106:$G$117,0)))*conv_2026*N$7)</f>
        <v>738605.45784734772</v>
      </c>
      <c r="O32" s="31">
        <f>IF($B32=0,0, (INDEX(Option2!O$106:O$117, MATCH($D32, Option2!$G$106:$G$117,0)))*conv_2026*O$7)</f>
        <v>718655.91049855878</v>
      </c>
      <c r="P32" s="31">
        <f>IF($B32=0,0, (INDEX(Option2!P$106:P$117, MATCH($D32, Option2!$G$106:$G$117,0)))*conv_2026*P$7)</f>
        <v>693752.33315462223</v>
      </c>
      <c r="Q32" s="31">
        <f>IF($B32=0,0, (INDEX(Option2!Q$106:Q$117, MATCH($D32, Option2!$G$106:$G$117,0)))*conv_2026*Q$7)</f>
        <v>670130.15069011832</v>
      </c>
      <c r="R32" s="31">
        <f>IF($B32=0,0, (INDEX(Option2!R$106:R$117, MATCH($D32, Option2!$G$106:$G$117,0)))*conv_2026*R$7)</f>
        <v>632138.30551062187</v>
      </c>
      <c r="S32" s="31">
        <f>IF($B32=0,0, (INDEX(Option2!S$106:S$117, MATCH($D32, Option2!$G$106:$G$117,0)))*conv_2026*S$7)</f>
        <v>594146.46033112437</v>
      </c>
      <c r="T32" s="31">
        <f>IF($B32=0,0, (INDEX(Option2!T$106:T$117, MATCH($D32, Option2!$G$106:$G$117,0)))*conv_2026*T$7)</f>
        <v>556154.61515162734</v>
      </c>
      <c r="U32" s="31">
        <f>IF($B32=0,0, (INDEX(Option2!U$106:U$117, MATCH($D32, Option2!$G$106:$G$117,0)))*conv_2026*U$7)</f>
        <v>518162.76997212984</v>
      </c>
      <c r="V32" s="31">
        <f>IF($B32=0,0, (INDEX(Option2!V$106:V$117, MATCH($D32, Option2!$G$106:$G$117,0)))*conv_2026*V$7)</f>
        <v>480170.92479263287</v>
      </c>
      <c r="W32" s="31">
        <f>IF($B32=0,0, (INDEX(Option2!W$106:W$117, MATCH($D32, Option2!$G$106:$G$117,0)))*conv_2026*W$7)</f>
        <v>442179.07961313595</v>
      </c>
      <c r="X32" s="31">
        <f>IF($B32=0,0, (INDEX(Option2!X$106:X$117, MATCH($D32, Option2!$G$106:$G$117,0)))*conv_2026*X$7)</f>
        <v>404187.23443363846</v>
      </c>
      <c r="Y32" s="31">
        <f>IF($B32=0,0, (INDEX(Option2!Y$106:Y$117, MATCH($D32, Option2!$G$106:$G$117,0)))*conv_2026*Y$7)</f>
        <v>366195.38925414148</v>
      </c>
      <c r="Z32" s="31">
        <f>IF($B32=0,0, (INDEX(Option2!Z$106:Z$117, MATCH($D32, Option2!$G$106:$G$117,0)))*conv_2026*Z$7)</f>
        <v>328203.54407464404</v>
      </c>
      <c r="AA32" s="31">
        <f>IF($B32=0,0, (INDEX(Option2!AA$106:AA$117, MATCH($D32, Option2!$G$106:$G$117,0)))*conv_2026*AA$7)</f>
        <v>290211.69889514649</v>
      </c>
      <c r="AB32" s="31">
        <f>IF($B32=0,0, (INDEX(Option2!AB$106:AB$117, MATCH($D32, Option2!$G$106:$G$117,0)))*conv_2026*AB$7)</f>
        <v>252219.85371565013</v>
      </c>
      <c r="AC32" s="31">
        <f>IF($B32=0,0, (INDEX(Option2!AC$106:AC$117, MATCH($D32, Option2!$G$106:$G$117,0)))*conv_2026*AC$7)</f>
        <v>0</v>
      </c>
      <c r="AD32" s="31">
        <f>IF($B32=0,0, (INDEX(Option2!AD$106:AD$117, MATCH($D32, Option2!$G$106:$G$117,0)))*conv_2026*AD$7)</f>
        <v>0</v>
      </c>
      <c r="AE32" s="31">
        <f>IF($B32=0,0, (INDEX(Option2!AE$106:AE$117, MATCH($D32, Option2!$G$106:$G$117,0)))*conv_2026*AE$7)</f>
        <v>0</v>
      </c>
      <c r="AF32" s="31">
        <f>IF($B32=0,0, (INDEX(Option2!AF$106:AF$117, MATCH($D32, Option2!$G$106:$G$117,0)))*conv_2026*AF$7)</f>
        <v>0</v>
      </c>
      <c r="AG32" s="31">
        <f>IF($B32=0,0, (INDEX(Option2!AG$106:AG$117, MATCH($D32, Option2!$G$106:$G$117,0)))*conv_2026*AG$7)</f>
        <v>0</v>
      </c>
    </row>
    <row r="33" spans="1:35" s="8" customFormat="1" ht="13" x14ac:dyDescent="0.3">
      <c r="A33" s="253" t="s">
        <v>132</v>
      </c>
      <c r="B33" s="253" t="str">
        <f>Option2!A113</f>
        <v>sens4</v>
      </c>
      <c r="C33" s="253" t="str">
        <f>Option2!C113</f>
        <v>Total benefits 10% lower</v>
      </c>
      <c r="D33" s="253" t="str">
        <f t="shared" si="2"/>
        <v>Option 2sens4</v>
      </c>
      <c r="E33" s="254"/>
      <c r="F33" s="31">
        <f t="shared" si="3"/>
        <v>4723051.5124081224</v>
      </c>
      <c r="H33" s="31">
        <f>IF($B33=0,0, (INDEX(Option2!H$106:H$117, MATCH($D33, Option2!$G$106:$G$117,0)))*conv_2026*H$7)</f>
        <v>0</v>
      </c>
      <c r="I33" s="31">
        <f>IF($B33=0,0, (INDEX(Option2!I$106:I$117, MATCH($D33, Option2!$G$106:$G$117,0)))*conv_2026*I$7)</f>
        <v>0</v>
      </c>
      <c r="J33" s="31">
        <f>IF($B33=0,0, (INDEX(Option2!J$106:J$117, MATCH($D33, Option2!$G$106:$G$117,0)))*conv_2026*J$7)</f>
        <v>86790.496032345691</v>
      </c>
      <c r="K33" s="31">
        <f>IF($B33=0,0, (INDEX(Option2!K$106:K$117, MATCH($D33, Option2!$G$106:$G$117,0)))*conv_2026*K$7)</f>
        <v>173577.4462667575</v>
      </c>
      <c r="L33" s="31">
        <f>IF($B33=0,0, (INDEX(Option2!L$106:L$117, MATCH($D33, Option2!$G$106:$G$117,0)))*conv_2026*L$7)</f>
        <v>260367.35015084856</v>
      </c>
      <c r="M33" s="31">
        <f>IF($B33=0,0, (INDEX(Option2!M$106:M$117, MATCH($D33, Option2!$G$106:$G$117,0)))*conv_2026*M$7)</f>
        <v>569308.98085739871</v>
      </c>
      <c r="N33" s="31">
        <f>IF($B33=0,0, (INDEX(Option2!N$106:N$117, MATCH($D33, Option2!$G$106:$G$117,0)))*conv_2026*N$7)</f>
        <v>547766.70380380633</v>
      </c>
      <c r="O33" s="31">
        <f>IF($B33=0,0, (INDEX(Option2!O$106:O$117, MATCH($D33, Option2!$G$106:$G$117,0)))*conv_2026*O$7)</f>
        <v>531444.34688207007</v>
      </c>
      <c r="P33" s="31">
        <f>IF($B33=0,0, (INDEX(Option2!P$106:P$117, MATCH($D33, Option2!$G$106:$G$117,0)))*conv_2026*P$7)</f>
        <v>511068.69269157643</v>
      </c>
      <c r="Q33" s="31">
        <f>IF($B33=0,0, (INDEX(Option2!Q$106:Q$117, MATCH($D33, Option2!$G$106:$G$117,0)))*conv_2026*Q$7)</f>
        <v>491741.45249334589</v>
      </c>
      <c r="R33" s="31">
        <f>IF($B33=0,0, (INDEX(Option2!R$106:R$117, MATCH($D33, Option2!$G$106:$G$117,0)))*conv_2026*R$7)</f>
        <v>460657.21552830335</v>
      </c>
      <c r="S33" s="31">
        <f>IF($B33=0,0, (INDEX(Option2!S$106:S$117, MATCH($D33, Option2!$G$106:$G$117,0)))*conv_2026*S$7)</f>
        <v>429572.97856326</v>
      </c>
      <c r="T33" s="31">
        <f>IF($B33=0,0, (INDEX(Option2!T$106:T$117, MATCH($D33, Option2!$G$106:$G$117,0)))*conv_2026*T$7)</f>
        <v>398488.74159821705</v>
      </c>
      <c r="U33" s="31">
        <f>IF($B33=0,0, (INDEX(Option2!U$106:U$117, MATCH($D33, Option2!$G$106:$G$117,0)))*conv_2026*U$7)</f>
        <v>367404.50463317358</v>
      </c>
      <c r="V33" s="31">
        <f>IF($B33=0,0, (INDEX(Option2!V$106:V$117, MATCH($D33, Option2!$G$106:$G$117,0)))*conv_2026*V$7)</f>
        <v>336320.26766813063</v>
      </c>
      <c r="W33" s="31">
        <f>IF($B33=0,0, (INDEX(Option2!W$106:W$117, MATCH($D33, Option2!$G$106:$G$117,0)))*conv_2026*W$7)</f>
        <v>305236.03070308769</v>
      </c>
      <c r="X33" s="31">
        <f>IF($B33=0,0, (INDEX(Option2!X$106:X$117, MATCH($D33, Option2!$G$106:$G$117,0)))*conv_2026*X$7)</f>
        <v>274151.79373804427</v>
      </c>
      <c r="Y33" s="31">
        <f>IF($B33=0,0, (INDEX(Option2!Y$106:Y$117, MATCH($D33, Option2!$G$106:$G$117,0)))*conv_2026*Y$7)</f>
        <v>243067.55677300127</v>
      </c>
      <c r="Z33" s="31">
        <f>IF($B33=0,0, (INDEX(Option2!Z$106:Z$117, MATCH($D33, Option2!$G$106:$G$117,0)))*conv_2026*Z$7)</f>
        <v>211983.31980795789</v>
      </c>
      <c r="AA33" s="31">
        <f>IF($B33=0,0, (INDEX(Option2!AA$106:AA$117, MATCH($D33, Option2!$G$106:$G$117,0)))*conv_2026*AA$7)</f>
        <v>180899.08284291445</v>
      </c>
      <c r="AB33" s="31">
        <f>IF($B33=0,0, (INDEX(Option2!AB$106:AB$117, MATCH($D33, Option2!$G$106:$G$117,0)))*conv_2026*AB$7)</f>
        <v>149814.84587787197</v>
      </c>
      <c r="AC33" s="31">
        <f>IF($B33=0,0, (INDEX(Option2!AC$106:AC$117, MATCH($D33, Option2!$G$106:$G$117,0)))*conv_2026*AC$7)</f>
        <v>0</v>
      </c>
      <c r="AD33" s="31">
        <f>IF($B33=0,0, (INDEX(Option2!AD$106:AD$117, MATCH($D33, Option2!$G$106:$G$117,0)))*conv_2026*AD$7)</f>
        <v>0</v>
      </c>
      <c r="AE33" s="31">
        <f>IF($B33=0,0, (INDEX(Option2!AE$106:AE$117, MATCH($D33, Option2!$G$106:$G$117,0)))*conv_2026*AE$7)</f>
        <v>0</v>
      </c>
      <c r="AF33" s="31">
        <f>IF($B33=0,0, (INDEX(Option2!AF$106:AF$117, MATCH($D33, Option2!$G$106:$G$117,0)))*conv_2026*AF$7)</f>
        <v>0</v>
      </c>
      <c r="AG33" s="31">
        <f>IF($B33=0,0, (INDEX(Option2!AG$106:AG$117, MATCH($D33, Option2!$G$106:$G$117,0)))*conv_2026*AG$7)</f>
        <v>0</v>
      </c>
    </row>
    <row r="34" spans="1:35" s="8" customFormat="1" ht="13" x14ac:dyDescent="0.3">
      <c r="A34" s="253" t="s">
        <v>132</v>
      </c>
      <c r="B34" s="253" t="str">
        <f>Option2!A114</f>
        <v>sens5</v>
      </c>
      <c r="C34" s="253" t="str">
        <f>Option2!C114</f>
        <v>Capex 10% higher &amp; Total benefits 10% lower</v>
      </c>
      <c r="D34" s="253" t="str">
        <f t="shared" si="2"/>
        <v>Option 2sens5</v>
      </c>
      <c r="E34" s="254"/>
      <c r="F34" s="31">
        <f t="shared" si="3"/>
        <v>4485046.354692312</v>
      </c>
      <c r="H34" s="31">
        <f>IF($B34=0,0, (INDEX(Option2!H$106:H$117, MATCH($D34, Option2!$G$106:$G$117,0)))*conv_2026*H$7)</f>
        <v>0</v>
      </c>
      <c r="I34" s="31">
        <f>IF($B34=0,0, (INDEX(Option2!I$106:I$117, MATCH($D34, Option2!$G$106:$G$117,0)))*conv_2026*I$7)</f>
        <v>0</v>
      </c>
      <c r="J34" s="31">
        <f>IF($B34=0,0, (INDEX(Option2!J$106:J$117, MATCH($D34, Option2!$G$106:$G$117,0)))*conv_2026*J$7)</f>
        <v>86790.496032345691</v>
      </c>
      <c r="K34" s="31">
        <f>IF($B34=0,0, (INDEX(Option2!K$106:K$117, MATCH($D34, Option2!$G$106:$G$117,0)))*conv_2026*K$7)</f>
        <v>173577.4462667575</v>
      </c>
      <c r="L34" s="31">
        <f>IF($B34=0,0, (INDEX(Option2!L$106:L$117, MATCH($D34, Option2!$G$106:$G$117,0)))*conv_2026*L$7)</f>
        <v>260367.35015084856</v>
      </c>
      <c r="M34" s="31">
        <f>IF($B34=0,0, (INDEX(Option2!M$106:M$117, MATCH($D34, Option2!$G$106:$G$117,0)))*conv_2026*M$7)</f>
        <v>547111.51308951841</v>
      </c>
      <c r="N34" s="31">
        <f>IF($B34=0,0, (INDEX(Option2!N$106:N$117, MATCH($D34, Option2!$G$106:$G$117,0)))*conv_2026*N$7)</f>
        <v>525569.23603592615</v>
      </c>
      <c r="O34" s="31">
        <f>IF($B34=0,0, (INDEX(Option2!O$106:O$117, MATCH($D34, Option2!$G$106:$G$117,0)))*conv_2026*O$7)</f>
        <v>509246.87911418983</v>
      </c>
      <c r="P34" s="31">
        <f>IF($B34=0,0, (INDEX(Option2!P$106:P$117, MATCH($D34, Option2!$G$106:$G$117,0)))*conv_2026*P$7)</f>
        <v>488871.22492369619</v>
      </c>
      <c r="Q34" s="31">
        <f>IF($B34=0,0, (INDEX(Option2!Q$106:Q$117, MATCH($D34, Option2!$G$106:$G$117,0)))*conv_2026*Q$7)</f>
        <v>469543.98472546571</v>
      </c>
      <c r="R34" s="31">
        <f>IF($B34=0,0, (INDEX(Option2!R$106:R$117, MATCH($D34, Option2!$G$106:$G$117,0)))*conv_2026*R$7)</f>
        <v>438459.74776042323</v>
      </c>
      <c r="S34" s="31">
        <f>IF($B34=0,0, (INDEX(Option2!S$106:S$117, MATCH($D34, Option2!$G$106:$G$117,0)))*conv_2026*S$7)</f>
        <v>407375.51079537976</v>
      </c>
      <c r="T34" s="31">
        <f>IF($B34=0,0, (INDEX(Option2!T$106:T$117, MATCH($D34, Option2!$G$106:$G$117,0)))*conv_2026*T$7)</f>
        <v>376291.27383033681</v>
      </c>
      <c r="U34" s="31">
        <f>IF($B34=0,0, (INDEX(Option2!U$106:U$117, MATCH($D34, Option2!$G$106:$G$117,0)))*conv_2026*U$7)</f>
        <v>345207.0368652934</v>
      </c>
      <c r="V34" s="31">
        <f>IF($B34=0,0, (INDEX(Option2!V$106:V$117, MATCH($D34, Option2!$G$106:$G$117,0)))*conv_2026*V$7)</f>
        <v>314122.79990025039</v>
      </c>
      <c r="W34" s="31">
        <f>IF($B34=0,0, (INDEX(Option2!W$106:W$117, MATCH($D34, Option2!$G$106:$G$117,0)))*conv_2026*W$7)</f>
        <v>283038.5629352075</v>
      </c>
      <c r="X34" s="31">
        <f>IF($B34=0,0, (INDEX(Option2!X$106:X$117, MATCH($D34, Option2!$G$106:$G$117,0)))*conv_2026*X$7)</f>
        <v>251954.32597016406</v>
      </c>
      <c r="Y34" s="31">
        <f>IF($B34=0,0, (INDEX(Option2!Y$106:Y$117, MATCH($D34, Option2!$G$106:$G$117,0)))*conv_2026*Y$7)</f>
        <v>220870.08900512109</v>
      </c>
      <c r="Z34" s="31">
        <f>IF($B34=0,0, (INDEX(Option2!Z$106:Z$117, MATCH($D34, Option2!$G$106:$G$117,0)))*conv_2026*Z$7)</f>
        <v>189785.85204007771</v>
      </c>
      <c r="AA34" s="31">
        <f>IF($B34=0,0, (INDEX(Option2!AA$106:AA$117, MATCH($D34, Option2!$G$106:$G$117,0)))*conv_2026*AA$7)</f>
        <v>158701.61507503426</v>
      </c>
      <c r="AB34" s="31">
        <f>IF($B34=0,0, (INDEX(Option2!AB$106:AB$117, MATCH($D34, Option2!$G$106:$G$117,0)))*conv_2026*AB$7)</f>
        <v>127617.37810999178</v>
      </c>
      <c r="AC34" s="31">
        <f>IF($B34=0,0, (INDEX(Option2!AC$106:AC$117, MATCH($D34, Option2!$G$106:$G$117,0)))*conv_2026*AC$7)</f>
        <v>0</v>
      </c>
      <c r="AD34" s="31">
        <f>IF($B34=0,0, (INDEX(Option2!AD$106:AD$117, MATCH($D34, Option2!$G$106:$G$117,0)))*conv_2026*AD$7)</f>
        <v>0</v>
      </c>
      <c r="AE34" s="31">
        <f>IF($B34=0,0, (INDEX(Option2!AE$106:AE$117, MATCH($D34, Option2!$G$106:$G$117,0)))*conv_2026*AE$7)</f>
        <v>0</v>
      </c>
      <c r="AF34" s="31">
        <f>IF($B34=0,0, (INDEX(Option2!AF$106:AF$117, MATCH($D34, Option2!$G$106:$G$117,0)))*conv_2026*AF$7)</f>
        <v>0</v>
      </c>
      <c r="AG34" s="31">
        <f>IF($B34=0,0, (INDEX(Option2!AG$106:AG$117, MATCH($D34, Option2!$G$106:$G$117,0)))*conv_2026*AG$7)</f>
        <v>0</v>
      </c>
    </row>
    <row r="35" spans="1:35" s="8" customFormat="1" ht="13" x14ac:dyDescent="0.3">
      <c r="A35" s="253" t="s">
        <v>132</v>
      </c>
      <c r="B35" s="253" t="str">
        <f>Option2!A115</f>
        <v>sens</v>
      </c>
      <c r="C35" s="253">
        <f>Option2!C115</f>
        <v>0</v>
      </c>
      <c r="D35" s="253" t="str">
        <f t="shared" si="2"/>
        <v>Option 2sens</v>
      </c>
      <c r="E35" s="254"/>
      <c r="F35" s="31">
        <f t="shared" si="3"/>
        <v>5618354.9254304226</v>
      </c>
      <c r="H35" s="31">
        <f>IF($B35=0,0, (INDEX(Option2!H$106:H$117, MATCH($D35, Option2!$G$106:$G$117,0)))*conv_2026*H$7)</f>
        <v>0</v>
      </c>
      <c r="I35" s="31">
        <f>IF($B35=0,0, (INDEX(Option2!I$106:I$117, MATCH($D35, Option2!$G$106:$G$117,0)))*conv_2026*I$7)</f>
        <v>0</v>
      </c>
      <c r="J35" s="31">
        <f>IF($B35=0,0, (INDEX(Option2!J$106:J$117, MATCH($D35, Option2!$G$106:$G$117,0)))*conv_2026*J$7)</f>
        <v>96433.884480384091</v>
      </c>
      <c r="K35" s="31">
        <f>IF($B35=0,0, (INDEX(Option2!K$106:K$117, MATCH($D35, Option2!$G$106:$G$117,0)))*conv_2026*K$7)</f>
        <v>192863.82918528613</v>
      </c>
      <c r="L35" s="31">
        <f>IF($B35=0,0, (INDEX(Option2!L$106:L$117, MATCH($D35, Option2!$G$106:$G$117,0)))*conv_2026*L$7)</f>
        <v>289297.05572316505</v>
      </c>
      <c r="M35" s="31">
        <f>IF($B35=0,0, (INDEX(Option2!M$106:M$117, MATCH($D35, Option2!$G$106:$G$117,0)))*conv_2026*M$7)</f>
        <v>667121.94421845733</v>
      </c>
      <c r="N35" s="31">
        <f>IF($B35=0,0, (INDEX(Option2!N$106:N$117, MATCH($D35, Option2!$G$106:$G$117,0)))*conv_2026*N$7)</f>
        <v>643186.08082557702</v>
      </c>
      <c r="O35" s="31">
        <f>IF($B35=0,0, (INDEX(Option2!O$106:O$117, MATCH($D35, Option2!$G$106:$G$117,0)))*conv_2026*O$7)</f>
        <v>625050.12869031436</v>
      </c>
      <c r="P35" s="31">
        <f>IF($B35=0,0, (INDEX(Option2!P$106:P$117, MATCH($D35, Option2!$G$106:$G$117,0)))*conv_2026*P$7)</f>
        <v>602410.51292309933</v>
      </c>
      <c r="Q35" s="31">
        <f>IF($B35=0,0, (INDEX(Option2!Q$106:Q$117, MATCH($D35, Option2!$G$106:$G$117,0)))*conv_2026*Q$7)</f>
        <v>580935.80159173207</v>
      </c>
      <c r="R35" s="31">
        <f>IF($B35=0,0, (INDEX(Option2!R$106:R$117, MATCH($D35, Option2!$G$106:$G$117,0)))*conv_2026*R$7)</f>
        <v>546397.76051946264</v>
      </c>
      <c r="S35" s="31">
        <f>IF($B35=0,0, (INDEX(Option2!S$106:S$117, MATCH($D35, Option2!$G$106:$G$117,0)))*conv_2026*S$7)</f>
        <v>511859.71944719215</v>
      </c>
      <c r="T35" s="31">
        <f>IF($B35=0,0, (INDEX(Option2!T$106:T$117, MATCH($D35, Option2!$G$106:$G$117,0)))*conv_2026*T$7)</f>
        <v>477321.67837492219</v>
      </c>
      <c r="U35" s="31">
        <f>IF($B35=0,0, (INDEX(Option2!U$106:U$117, MATCH($D35, Option2!$G$106:$G$117,0)))*conv_2026*U$7)</f>
        <v>442783.63730265171</v>
      </c>
      <c r="V35" s="31">
        <f>IF($B35=0,0, (INDEX(Option2!V$106:V$117, MATCH($D35, Option2!$G$106:$G$117,0)))*conv_2026*V$7)</f>
        <v>408245.59623038175</v>
      </c>
      <c r="W35" s="31">
        <f>IF($B35=0,0, (INDEX(Option2!W$106:W$117, MATCH($D35, Option2!$G$106:$G$117,0)))*conv_2026*W$7)</f>
        <v>373707.55515811185</v>
      </c>
      <c r="X35" s="31">
        <f>IF($B35=0,0, (INDEX(Option2!X$106:X$117, MATCH($D35, Option2!$G$106:$G$117,0)))*conv_2026*X$7)</f>
        <v>339169.51408584137</v>
      </c>
      <c r="Y35" s="31">
        <f>IF($B35=0,0, (INDEX(Option2!Y$106:Y$117, MATCH($D35, Option2!$G$106:$G$117,0)))*conv_2026*Y$7)</f>
        <v>304631.47301357135</v>
      </c>
      <c r="Z35" s="31">
        <f>IF($B35=0,0, (INDEX(Option2!Z$106:Z$117, MATCH($D35, Option2!$G$106:$G$117,0)))*conv_2026*Z$7)</f>
        <v>270093.43194130092</v>
      </c>
      <c r="AA35" s="31">
        <f>IF($B35=0,0, (INDEX(Option2!AA$106:AA$117, MATCH($D35, Option2!$G$106:$G$117,0)))*conv_2026*AA$7)</f>
        <v>235555.39086903047</v>
      </c>
      <c r="AB35" s="31">
        <f>IF($B35=0,0, (INDEX(Option2!AB$106:AB$117, MATCH($D35, Option2!$G$106:$G$117,0)))*conv_2026*AB$7)</f>
        <v>201017.34979676103</v>
      </c>
      <c r="AC35" s="31">
        <f>IF($B35=0,0, (INDEX(Option2!AC$106:AC$117, MATCH($D35, Option2!$G$106:$G$117,0)))*conv_2026*AC$7)</f>
        <v>0</v>
      </c>
      <c r="AD35" s="31">
        <f>IF($B35=0,0, (INDEX(Option2!AD$106:AD$117, MATCH($D35, Option2!$G$106:$G$117,0)))*conv_2026*AD$7)</f>
        <v>0</v>
      </c>
      <c r="AE35" s="31">
        <f>IF($B35=0,0, (INDEX(Option2!AE$106:AE$117, MATCH($D35, Option2!$G$106:$G$117,0)))*conv_2026*AE$7)</f>
        <v>0</v>
      </c>
      <c r="AF35" s="31">
        <f>IF($B35=0,0, (INDEX(Option2!AF$106:AF$117, MATCH($D35, Option2!$G$106:$G$117,0)))*conv_2026*AF$7)</f>
        <v>0</v>
      </c>
      <c r="AG35" s="31">
        <f>IF($B35=0,0, (INDEX(Option2!AG$106:AG$117, MATCH($D35, Option2!$G$106:$G$117,0)))*conv_2026*AG$7)</f>
        <v>0</v>
      </c>
    </row>
    <row r="36" spans="1:35" s="8" customFormat="1" ht="13" x14ac:dyDescent="0.3">
      <c r="A36" s="253" t="s">
        <v>132</v>
      </c>
      <c r="B36" s="253" t="str">
        <f>Option2!A116</f>
        <v>sens</v>
      </c>
      <c r="C36" s="253">
        <f>Option2!C116</f>
        <v>0</v>
      </c>
      <c r="D36" s="253" t="str">
        <f t="shared" si="2"/>
        <v>Option 2sens</v>
      </c>
      <c r="E36" s="254"/>
      <c r="F36" s="31">
        <f t="shared" si="3"/>
        <v>5618354.9254304226</v>
      </c>
      <c r="H36" s="31">
        <f>IF($B36=0,0, (INDEX(Option2!H$106:H$117, MATCH($D36, Option2!$G$106:$G$117,0)))*conv_2026*H$7)</f>
        <v>0</v>
      </c>
      <c r="I36" s="31">
        <f>IF($B36=0,0, (INDEX(Option2!I$106:I$117, MATCH($D36, Option2!$G$106:$G$117,0)))*conv_2026*I$7)</f>
        <v>0</v>
      </c>
      <c r="J36" s="31">
        <f>IF($B36=0,0, (INDEX(Option2!J$106:J$117, MATCH($D36, Option2!$G$106:$G$117,0)))*conv_2026*J$7)</f>
        <v>96433.884480384091</v>
      </c>
      <c r="K36" s="31">
        <f>IF($B36=0,0, (INDEX(Option2!K$106:K$117, MATCH($D36, Option2!$G$106:$G$117,0)))*conv_2026*K$7)</f>
        <v>192863.82918528613</v>
      </c>
      <c r="L36" s="31">
        <f>IF($B36=0,0, (INDEX(Option2!L$106:L$117, MATCH($D36, Option2!$G$106:$G$117,0)))*conv_2026*L$7)</f>
        <v>289297.05572316505</v>
      </c>
      <c r="M36" s="31">
        <f>IF($B36=0,0, (INDEX(Option2!M$106:M$117, MATCH($D36, Option2!$G$106:$G$117,0)))*conv_2026*M$7)</f>
        <v>667121.94421845733</v>
      </c>
      <c r="N36" s="31">
        <f>IF($B36=0,0, (INDEX(Option2!N$106:N$117, MATCH($D36, Option2!$G$106:$G$117,0)))*conv_2026*N$7)</f>
        <v>643186.08082557702</v>
      </c>
      <c r="O36" s="31">
        <f>IF($B36=0,0, (INDEX(Option2!O$106:O$117, MATCH($D36, Option2!$G$106:$G$117,0)))*conv_2026*O$7)</f>
        <v>625050.12869031436</v>
      </c>
      <c r="P36" s="31">
        <f>IF($B36=0,0, (INDEX(Option2!P$106:P$117, MATCH($D36, Option2!$G$106:$G$117,0)))*conv_2026*P$7)</f>
        <v>602410.51292309933</v>
      </c>
      <c r="Q36" s="31">
        <f>IF($B36=0,0, (INDEX(Option2!Q$106:Q$117, MATCH($D36, Option2!$G$106:$G$117,0)))*conv_2026*Q$7)</f>
        <v>580935.80159173207</v>
      </c>
      <c r="R36" s="31">
        <f>IF($B36=0,0, (INDEX(Option2!R$106:R$117, MATCH($D36, Option2!$G$106:$G$117,0)))*conv_2026*R$7)</f>
        <v>546397.76051946264</v>
      </c>
      <c r="S36" s="31">
        <f>IF($B36=0,0, (INDEX(Option2!S$106:S$117, MATCH($D36, Option2!$G$106:$G$117,0)))*conv_2026*S$7)</f>
        <v>511859.71944719215</v>
      </c>
      <c r="T36" s="31">
        <f>IF($B36=0,0, (INDEX(Option2!T$106:T$117, MATCH($D36, Option2!$G$106:$G$117,0)))*conv_2026*T$7)</f>
        <v>477321.67837492219</v>
      </c>
      <c r="U36" s="31">
        <f>IF($B36=0,0, (INDEX(Option2!U$106:U$117, MATCH($D36, Option2!$G$106:$G$117,0)))*conv_2026*U$7)</f>
        <v>442783.63730265171</v>
      </c>
      <c r="V36" s="31">
        <f>IF($B36=0,0, (INDEX(Option2!V$106:V$117, MATCH($D36, Option2!$G$106:$G$117,0)))*conv_2026*V$7)</f>
        <v>408245.59623038175</v>
      </c>
      <c r="W36" s="31">
        <f>IF($B36=0,0, (INDEX(Option2!W$106:W$117, MATCH($D36, Option2!$G$106:$G$117,0)))*conv_2026*W$7)</f>
        <v>373707.55515811185</v>
      </c>
      <c r="X36" s="31">
        <f>IF($B36=0,0, (INDEX(Option2!X$106:X$117, MATCH($D36, Option2!$G$106:$G$117,0)))*conv_2026*X$7)</f>
        <v>339169.51408584137</v>
      </c>
      <c r="Y36" s="31">
        <f>IF($B36=0,0, (INDEX(Option2!Y$106:Y$117, MATCH($D36, Option2!$G$106:$G$117,0)))*conv_2026*Y$7)</f>
        <v>304631.47301357135</v>
      </c>
      <c r="Z36" s="31">
        <f>IF($B36=0,0, (INDEX(Option2!Z$106:Z$117, MATCH($D36, Option2!$G$106:$G$117,0)))*conv_2026*Z$7)</f>
        <v>270093.43194130092</v>
      </c>
      <c r="AA36" s="31">
        <f>IF($B36=0,0, (INDEX(Option2!AA$106:AA$117, MATCH($D36, Option2!$G$106:$G$117,0)))*conv_2026*AA$7)</f>
        <v>235555.39086903047</v>
      </c>
      <c r="AB36" s="31">
        <f>IF($B36=0,0, (INDEX(Option2!AB$106:AB$117, MATCH($D36, Option2!$G$106:$G$117,0)))*conv_2026*AB$7)</f>
        <v>201017.34979676103</v>
      </c>
      <c r="AC36" s="31">
        <f>IF($B36=0,0, (INDEX(Option2!AC$106:AC$117, MATCH($D36, Option2!$G$106:$G$117,0)))*conv_2026*AC$7)</f>
        <v>0</v>
      </c>
      <c r="AD36" s="31">
        <f>IF($B36=0,0, (INDEX(Option2!AD$106:AD$117, MATCH($D36, Option2!$G$106:$G$117,0)))*conv_2026*AD$7)</f>
        <v>0</v>
      </c>
      <c r="AE36" s="31">
        <f>IF($B36=0,0, (INDEX(Option2!AE$106:AE$117, MATCH($D36, Option2!$G$106:$G$117,0)))*conv_2026*AE$7)</f>
        <v>0</v>
      </c>
      <c r="AF36" s="31">
        <f>IF($B36=0,0, (INDEX(Option2!AF$106:AF$117, MATCH($D36, Option2!$G$106:$G$117,0)))*conv_2026*AF$7)</f>
        <v>0</v>
      </c>
      <c r="AG36" s="31">
        <f>IF($B36=0,0, (INDEX(Option2!AG$106:AG$117, MATCH($D36, Option2!$G$106:$G$117,0)))*conv_2026*AG$7)</f>
        <v>0</v>
      </c>
    </row>
    <row r="37" spans="1:35" s="8" customFormat="1" ht="13" x14ac:dyDescent="0.3">
      <c r="A37" s="253" t="s">
        <v>132</v>
      </c>
      <c r="B37" s="253" t="str">
        <f>Option2!A117</f>
        <v>sens</v>
      </c>
      <c r="C37" s="253">
        <f>Option2!C117</f>
        <v>0</v>
      </c>
      <c r="D37" s="253" t="str">
        <f t="shared" si="2"/>
        <v>Option 2sens</v>
      </c>
      <c r="E37" s="254"/>
      <c r="F37" s="31">
        <f t="shared" si="3"/>
        <v>5618354.9254304226</v>
      </c>
      <c r="H37" s="31">
        <f>IF($B37=0,0, (INDEX(Option2!H$106:H$117, MATCH($D37, Option2!$G$106:$G$117,0)))*conv_2026*H$7)</f>
        <v>0</v>
      </c>
      <c r="I37" s="31">
        <f>IF($B37=0,0, (INDEX(Option2!I$106:I$117, MATCH($D37, Option2!$G$106:$G$117,0)))*conv_2026*I$7)</f>
        <v>0</v>
      </c>
      <c r="J37" s="31">
        <f>IF($B37=0,0, (INDEX(Option2!J$106:J$117, MATCH($D37, Option2!$G$106:$G$117,0)))*conv_2026*J$7)</f>
        <v>96433.884480384091</v>
      </c>
      <c r="K37" s="31">
        <f>IF($B37=0,0, (INDEX(Option2!K$106:K$117, MATCH($D37, Option2!$G$106:$G$117,0)))*conv_2026*K$7)</f>
        <v>192863.82918528613</v>
      </c>
      <c r="L37" s="31">
        <f>IF($B37=0,0, (INDEX(Option2!L$106:L$117, MATCH($D37, Option2!$G$106:$G$117,0)))*conv_2026*L$7)</f>
        <v>289297.05572316505</v>
      </c>
      <c r="M37" s="31">
        <f>IF($B37=0,0, (INDEX(Option2!M$106:M$117, MATCH($D37, Option2!$G$106:$G$117,0)))*conv_2026*M$7)</f>
        <v>667121.94421845733</v>
      </c>
      <c r="N37" s="31">
        <f>IF($B37=0,0, (INDEX(Option2!N$106:N$117, MATCH($D37, Option2!$G$106:$G$117,0)))*conv_2026*N$7)</f>
        <v>643186.08082557702</v>
      </c>
      <c r="O37" s="31">
        <f>IF($B37=0,0, (INDEX(Option2!O$106:O$117, MATCH($D37, Option2!$G$106:$G$117,0)))*conv_2026*O$7)</f>
        <v>625050.12869031436</v>
      </c>
      <c r="P37" s="31">
        <f>IF($B37=0,0, (INDEX(Option2!P$106:P$117, MATCH($D37, Option2!$G$106:$G$117,0)))*conv_2026*P$7)</f>
        <v>602410.51292309933</v>
      </c>
      <c r="Q37" s="31">
        <f>IF($B37=0,0, (INDEX(Option2!Q$106:Q$117, MATCH($D37, Option2!$G$106:$G$117,0)))*conv_2026*Q$7)</f>
        <v>580935.80159173207</v>
      </c>
      <c r="R37" s="31">
        <f>IF($B37=0,0, (INDEX(Option2!R$106:R$117, MATCH($D37, Option2!$G$106:$G$117,0)))*conv_2026*R$7)</f>
        <v>546397.76051946264</v>
      </c>
      <c r="S37" s="31">
        <f>IF($B37=0,0, (INDEX(Option2!S$106:S$117, MATCH($D37, Option2!$G$106:$G$117,0)))*conv_2026*S$7)</f>
        <v>511859.71944719215</v>
      </c>
      <c r="T37" s="31">
        <f>IF($B37=0,0, (INDEX(Option2!T$106:T$117, MATCH($D37, Option2!$G$106:$G$117,0)))*conv_2026*T$7)</f>
        <v>477321.67837492219</v>
      </c>
      <c r="U37" s="31">
        <f>IF($B37=0,0, (INDEX(Option2!U$106:U$117, MATCH($D37, Option2!$G$106:$G$117,0)))*conv_2026*U$7)</f>
        <v>442783.63730265171</v>
      </c>
      <c r="V37" s="31">
        <f>IF($B37=0,0, (INDEX(Option2!V$106:V$117, MATCH($D37, Option2!$G$106:$G$117,0)))*conv_2026*V$7)</f>
        <v>408245.59623038175</v>
      </c>
      <c r="W37" s="31">
        <f>IF($B37=0,0, (INDEX(Option2!W$106:W$117, MATCH($D37, Option2!$G$106:$G$117,0)))*conv_2026*W$7)</f>
        <v>373707.55515811185</v>
      </c>
      <c r="X37" s="31">
        <f>IF($B37=0,0, (INDEX(Option2!X$106:X$117, MATCH($D37, Option2!$G$106:$G$117,0)))*conv_2026*X$7)</f>
        <v>339169.51408584137</v>
      </c>
      <c r="Y37" s="31">
        <f>IF($B37=0,0, (INDEX(Option2!Y$106:Y$117, MATCH($D37, Option2!$G$106:$G$117,0)))*conv_2026*Y$7)</f>
        <v>304631.47301357135</v>
      </c>
      <c r="Z37" s="31">
        <f>IF($B37=0,0, (INDEX(Option2!Z$106:Z$117, MATCH($D37, Option2!$G$106:$G$117,0)))*conv_2026*Z$7)</f>
        <v>270093.43194130092</v>
      </c>
      <c r="AA37" s="31">
        <f>IF($B37=0,0, (INDEX(Option2!AA$106:AA$117, MATCH($D37, Option2!$G$106:$G$117,0)))*conv_2026*AA$7)</f>
        <v>235555.39086903047</v>
      </c>
      <c r="AB37" s="31">
        <f>IF($B37=0,0, (INDEX(Option2!AB$106:AB$117, MATCH($D37, Option2!$G$106:$G$117,0)))*conv_2026*AB$7)</f>
        <v>201017.34979676103</v>
      </c>
      <c r="AC37" s="31">
        <f>IF($B37=0,0, (INDEX(Option2!AC$106:AC$117, MATCH($D37, Option2!$G$106:$G$117,0)))*conv_2026*AC$7)</f>
        <v>0</v>
      </c>
      <c r="AD37" s="31">
        <f>IF($B37=0,0, (INDEX(Option2!AD$106:AD$117, MATCH($D37, Option2!$G$106:$G$117,0)))*conv_2026*AD$7)</f>
        <v>0</v>
      </c>
      <c r="AE37" s="31">
        <f>IF($B37=0,0, (INDEX(Option2!AE$106:AE$117, MATCH($D37, Option2!$G$106:$G$117,0)))*conv_2026*AE$7)</f>
        <v>0</v>
      </c>
      <c r="AF37" s="31">
        <f>IF($B37=0,0, (INDEX(Option2!AF$106:AF$117, MATCH($D37, Option2!$G$106:$G$117,0)))*conv_2026*AF$7)</f>
        <v>0</v>
      </c>
      <c r="AG37" s="31">
        <f>IF($B37=0,0, (INDEX(Option2!AG$106:AG$117, MATCH($D37, Option2!$G$106:$G$117,0)))*conv_2026*AG$7)</f>
        <v>0</v>
      </c>
    </row>
    <row r="38" spans="1:35" s="8" customFormat="1" ht="13" x14ac:dyDescent="0.3">
      <c r="A38" s="253"/>
      <c r="B38" s="253"/>
      <c r="C38" s="253"/>
      <c r="D38" s="253"/>
      <c r="E38" s="253"/>
      <c r="F38" s="31"/>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row>
    <row r="39" spans="1:35" s="8" customFormat="1" ht="13" x14ac:dyDescent="0.3">
      <c r="A39" s="253"/>
      <c r="B39" s="253"/>
      <c r="C39" s="253"/>
      <c r="D39" s="253"/>
      <c r="E39" s="253"/>
      <c r="F39" s="31"/>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row>
    <row r="40" spans="1:35" s="8" customFormat="1" ht="13" x14ac:dyDescent="0.3">
      <c r="A40" s="253"/>
      <c r="B40" s="253"/>
      <c r="C40" s="253"/>
      <c r="D40" s="253"/>
      <c r="E40" s="253"/>
      <c r="F40" s="31"/>
      <c r="H40" s="31">
        <f>Consol!H50</f>
        <v>0</v>
      </c>
      <c r="I40" s="31">
        <f>Consol!I50</f>
        <v>0</v>
      </c>
      <c r="J40" s="31">
        <f>Consol!J50</f>
        <v>96433.884480384091</v>
      </c>
      <c r="K40" s="31">
        <f>Consol!K50</f>
        <v>192863.82918528613</v>
      </c>
      <c r="L40" s="31">
        <f>Consol!L50</f>
        <v>289297.05572316505</v>
      </c>
      <c r="M40" s="31">
        <f>Consol!M50</f>
        <v>286562.75780095096</v>
      </c>
      <c r="N40" s="31">
        <f>Consol!N50</f>
        <v>262626.89440807048</v>
      </c>
      <c r="O40" s="31">
        <f>Consol!O50</f>
        <v>244490.94227280802</v>
      </c>
      <c r="P40" s="31">
        <f>Consol!P50</f>
        <v>221851.32650559297</v>
      </c>
      <c r="Q40" s="31">
        <f>Consol!Q50</f>
        <v>200376.61517422565</v>
      </c>
      <c r="R40" s="31">
        <f>Consol!R50</f>
        <v>165838.57410195618</v>
      </c>
      <c r="S40" s="31">
        <f>Consol!S50</f>
        <v>131300.53302968579</v>
      </c>
      <c r="T40" s="31">
        <f>Consol!T50</f>
        <v>96762.491957415827</v>
      </c>
      <c r="U40" s="31">
        <f>Consol!U50</f>
        <v>62224.450885145307</v>
      </c>
      <c r="V40" s="31">
        <f>Consol!V50</f>
        <v>27686.409812875354</v>
      </c>
      <c r="W40" s="31">
        <f>Consol!W50</f>
        <v>-6851.6312593945913</v>
      </c>
      <c r="X40" s="31">
        <f>Consol!X50</f>
        <v>-41389.672331664988</v>
      </c>
      <c r="Y40" s="31">
        <f>Consol!Y50</f>
        <v>-75927.713403934962</v>
      </c>
      <c r="Z40" s="31">
        <f>Consol!Z50</f>
        <v>-110465.75447620542</v>
      </c>
      <c r="AA40" s="31">
        <f>Consol!AA50</f>
        <v>-145003.79554847587</v>
      </c>
      <c r="AB40" s="31">
        <f>Consol!AB50</f>
        <v>-179541.83662074537</v>
      </c>
      <c r="AC40" s="31">
        <f>Consol!AC50</f>
        <v>0</v>
      </c>
      <c r="AD40" s="31">
        <f>Consol!AD50</f>
        <v>0</v>
      </c>
      <c r="AE40" s="31">
        <f>Consol!AE50</f>
        <v>0</v>
      </c>
      <c r="AF40" s="31">
        <f>Consol!AF50</f>
        <v>0</v>
      </c>
      <c r="AG40" s="31">
        <f>Consol!AG50</f>
        <v>0</v>
      </c>
    </row>
    <row r="41" spans="1:35" s="8" customFormat="1" ht="13" x14ac:dyDescent="0.3">
      <c r="A41" s="253"/>
      <c r="B41" s="253"/>
      <c r="C41" s="253"/>
      <c r="D41" s="253"/>
      <c r="E41" s="253"/>
      <c r="F41" s="31"/>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row>
    <row r="42" spans="1:35" s="8" customFormat="1" ht="13" x14ac:dyDescent="0.3">
      <c r="A42" s="253" t="s">
        <v>133</v>
      </c>
      <c r="B42" s="253" t="s">
        <v>120</v>
      </c>
      <c r="C42" s="253" t="s">
        <v>194</v>
      </c>
      <c r="D42" s="253" t="str">
        <f>A42&amp;B42</f>
        <v>Option 3NPV</v>
      </c>
      <c r="E42" s="254"/>
      <c r="F42" s="31">
        <f t="shared" ref="F42:F51" si="4">SUMPRODUCT($H42:$AG42, $H$5:$AG$5)</f>
        <v>1537932.3235982649</v>
      </c>
      <c r="G42" s="246"/>
      <c r="H42" s="31">
        <f>(INDEX(Option3!H$106:H$117, MATCH($D42, Option3!$G$106:$G$117,0)))*conv_2026*H$7</f>
        <v>0</v>
      </c>
      <c r="I42" s="31">
        <f>(INDEX(Option3!I$106:I$117, MATCH($D42, Option3!$G$106:$G$117,0)))*conv_2026*I$7</f>
        <v>0</v>
      </c>
      <c r="J42" s="31">
        <f>(INDEX(Option3!J$106:J$117, MATCH($D42, Option3!$G$106:$G$117,0)))*conv_2026*J$7</f>
        <v>96433.884480384091</v>
      </c>
      <c r="K42" s="31">
        <f>(INDEX(Option3!K$106:K$117, MATCH($D42, Option3!$G$106:$G$117,0)))*conv_2026*K$7</f>
        <v>192863.82918528613</v>
      </c>
      <c r="L42" s="31">
        <f>(INDEX(Option3!L$106:L$117, MATCH($D42, Option3!$G$106:$G$117,0)))*conv_2026*L$7</f>
        <v>289297.05572316505</v>
      </c>
      <c r="M42" s="31">
        <f>(INDEX(Option3!M$106:M$117, MATCH($D42, Option3!$G$106:$G$117,0)))*conv_2026*M$7</f>
        <v>286562.7578009509</v>
      </c>
      <c r="N42" s="31">
        <f>(INDEX(Option3!N$106:N$117, MATCH($D42, Option3!$G$106:$G$117,0)))*conv_2026*N$7</f>
        <v>262626.89440807048</v>
      </c>
      <c r="O42" s="31">
        <f>(INDEX(Option3!O$106:O$117, MATCH($D42, Option3!$G$106:$G$117,0)))*conv_2026*O$7</f>
        <v>244490.942272808</v>
      </c>
      <c r="P42" s="31">
        <f>(INDEX(Option3!P$106:P$117, MATCH($D42, Option3!$G$106:$G$117,0)))*conv_2026*P$7</f>
        <v>221851.32650559294</v>
      </c>
      <c r="Q42" s="31">
        <f>(INDEX(Option3!Q$106:Q$117, MATCH($D42, Option3!$G$106:$G$117,0)))*conv_2026*Q$7</f>
        <v>200376.61517422562</v>
      </c>
      <c r="R42" s="31">
        <f>(INDEX(Option3!R$106:R$117, MATCH($D42, Option3!$G$106:$G$117,0)))*conv_2026*R$7</f>
        <v>165838.57410195621</v>
      </c>
      <c r="S42" s="31">
        <f>(INDEX(Option3!S$106:S$117, MATCH($D42, Option3!$G$106:$G$117,0)))*conv_2026*S$7</f>
        <v>131300.53302968573</v>
      </c>
      <c r="T42" s="31">
        <f>(INDEX(Option3!T$106:T$117, MATCH($D42, Option3!$G$106:$G$117,0)))*conv_2026*T$7</f>
        <v>96762.491957415768</v>
      </c>
      <c r="U42" s="31">
        <f>(INDEX(Option3!U$106:U$117, MATCH($D42, Option3!$G$106:$G$117,0)))*conv_2026*U$7</f>
        <v>62224.450885145314</v>
      </c>
      <c r="V42" s="31">
        <f>(INDEX(Option3!V$106:V$117, MATCH($D42, Option3!$G$106:$G$117,0)))*conv_2026*V$7</f>
        <v>27686.409812875354</v>
      </c>
      <c r="W42" s="31">
        <f>(INDEX(Option3!W$106:W$117, MATCH($D42, Option3!$G$106:$G$117,0)))*conv_2026*W$7</f>
        <v>-6851.6312593945922</v>
      </c>
      <c r="X42" s="31">
        <f>(INDEX(Option3!X$106:X$117, MATCH($D42, Option3!$G$106:$G$117,0)))*conv_2026*X$7</f>
        <v>-41389.672331665053</v>
      </c>
      <c r="Y42" s="31">
        <f>(INDEX(Option3!Y$106:Y$117, MATCH($D42, Option3!$G$106:$G$117,0)))*conv_2026*Y$7</f>
        <v>-75927.713403935035</v>
      </c>
      <c r="Z42" s="31">
        <f>(INDEX(Option3!Z$106:Z$117, MATCH($D42, Option3!$G$106:$G$117,0)))*conv_2026*Z$7</f>
        <v>-110465.75447620549</v>
      </c>
      <c r="AA42" s="31">
        <f>(INDEX(Option3!AA$106:AA$117, MATCH($D42, Option3!$G$106:$G$117,0)))*conv_2026*AA$7</f>
        <v>-145003.79554847596</v>
      </c>
      <c r="AB42" s="31">
        <f>(INDEX(Option3!AB$106:AB$117, MATCH($D42, Option3!$G$106:$G$117,0)))*conv_2026*AB$7</f>
        <v>-179541.83662074537</v>
      </c>
      <c r="AC42" s="31">
        <f>(INDEX(Option3!AC$106:AC$117, MATCH($D42, Option3!$G$106:$G$117,0)))*conv_2026*AC$7</f>
        <v>0</v>
      </c>
      <c r="AD42" s="31">
        <f>(INDEX(Option3!AD$106:AD$117, MATCH($D42, Option3!$G$106:$G$117,0)))*conv_2026*AD$7</f>
        <v>0</v>
      </c>
      <c r="AE42" s="31">
        <f>(INDEX(Option3!AE$106:AE$117, MATCH($D42, Option3!$G$106:$G$117,0)))*conv_2026*AE$7</f>
        <v>0</v>
      </c>
      <c r="AF42" s="31">
        <f>(INDEX(Option3!AF$106:AF$117, MATCH($D42, Option3!$G$106:$G$117,0)))*conv_2026*AF$7</f>
        <v>0</v>
      </c>
      <c r="AG42" s="31">
        <f>(INDEX(Option3!AG$106:AG$117, MATCH($D42, Option3!$G$106:$G$117,0)))*conv_2026*AG$7</f>
        <v>0</v>
      </c>
      <c r="AH42" s="7"/>
      <c r="AI42" s="7"/>
    </row>
    <row r="43" spans="1:35" s="8" customFormat="1" ht="13" x14ac:dyDescent="0.3">
      <c r="A43" s="245"/>
      <c r="B43" s="245"/>
      <c r="C43" s="245"/>
      <c r="D43" s="245"/>
      <c r="E43" s="245"/>
      <c r="F43" s="245"/>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7"/>
      <c r="AI43" s="7"/>
    </row>
    <row r="44" spans="1:35" s="8" customFormat="1" ht="13" x14ac:dyDescent="0.3">
      <c r="A44" s="253" t="s">
        <v>133</v>
      </c>
      <c r="B44" s="253" t="str">
        <f>Option3!A110</f>
        <v>sens1</v>
      </c>
      <c r="C44" s="253" t="str">
        <f>Option3!C110</f>
        <v>Capex 10% higher</v>
      </c>
      <c r="D44" s="253" t="str">
        <f t="shared" ref="D44:D51" si="5">A44&amp;B44</f>
        <v>Option 3sens1</v>
      </c>
      <c r="E44" s="254"/>
      <c r="F44" s="31">
        <f t="shared" si="4"/>
        <v>1011213.1562951768</v>
      </c>
      <c r="G44" s="246"/>
      <c r="H44" s="31">
        <f>(INDEX(Option3!H$106:H$117, MATCH($D44, Option3!$G$106:$G$117,0)))*conv_2026*H$7</f>
        <v>0</v>
      </c>
      <c r="I44" s="31">
        <f>(INDEX(Option3!I$106:I$117, MATCH($D44, Option3!$G$106:$G$117,0)))*conv_2026*I$7</f>
        <v>0</v>
      </c>
      <c r="J44" s="31">
        <f>(INDEX(Option3!J$106:J$117, MATCH($D44, Option3!$G$106:$G$117,0)))*conv_2026*J$7</f>
        <v>96433.884480384091</v>
      </c>
      <c r="K44" s="31">
        <f>(INDEX(Option3!K$106:K$117, MATCH($D44, Option3!$G$106:$G$117,0)))*conv_2026*K$7</f>
        <v>192863.82918528613</v>
      </c>
      <c r="L44" s="31">
        <f>(INDEX(Option3!L$106:L$117, MATCH($D44, Option3!$G$106:$G$117,0)))*conv_2026*L$7</f>
        <v>289297.05572316505</v>
      </c>
      <c r="M44" s="31">
        <f>(INDEX(Option3!M$106:M$117, MATCH($D44, Option3!$G$106:$G$117,0)))*conv_2026*M$7</f>
        <v>237438.47893597107</v>
      </c>
      <c r="N44" s="31">
        <f>(INDEX(Option3!N$106:N$117, MATCH($D44, Option3!$G$106:$G$117,0)))*conv_2026*N$7</f>
        <v>213502.61554309065</v>
      </c>
      <c r="O44" s="31">
        <f>(INDEX(Option3!O$106:O$117, MATCH($D44, Option3!$G$106:$G$117,0)))*conv_2026*O$7</f>
        <v>195366.66340782816</v>
      </c>
      <c r="P44" s="31">
        <f>(INDEX(Option3!P$106:P$117, MATCH($D44, Option3!$G$106:$G$117,0)))*conv_2026*P$7</f>
        <v>172727.04764061308</v>
      </c>
      <c r="Q44" s="31">
        <f>(INDEX(Option3!Q$106:Q$117, MATCH($D44, Option3!$G$106:$G$117,0)))*conv_2026*Q$7</f>
        <v>151252.33630924579</v>
      </c>
      <c r="R44" s="31">
        <f>(INDEX(Option3!R$106:R$117, MATCH($D44, Option3!$G$106:$G$117,0)))*conv_2026*R$7</f>
        <v>116714.29523697635</v>
      </c>
      <c r="S44" s="31">
        <f>(INDEX(Option3!S$106:S$117, MATCH($D44, Option3!$G$106:$G$117,0)))*conv_2026*S$7</f>
        <v>82176.254164705868</v>
      </c>
      <c r="T44" s="31">
        <f>(INDEX(Option3!T$106:T$117, MATCH($D44, Option3!$G$106:$G$117,0)))*conv_2026*T$7</f>
        <v>47638.213092435915</v>
      </c>
      <c r="U44" s="31">
        <f>(INDEX(Option3!U$106:U$117, MATCH($D44, Option3!$G$106:$G$117,0)))*conv_2026*U$7</f>
        <v>13100.172020165457</v>
      </c>
      <c r="V44" s="31">
        <f>(INDEX(Option3!V$106:V$117, MATCH($D44, Option3!$G$106:$G$117,0)))*conv_2026*V$7</f>
        <v>-21437.869052104499</v>
      </c>
      <c r="W44" s="31">
        <f>(INDEX(Option3!W$106:W$117, MATCH($D44, Option3!$G$106:$G$117,0)))*conv_2026*W$7</f>
        <v>-55975.910124374444</v>
      </c>
      <c r="X44" s="31">
        <f>(INDEX(Option3!X$106:X$117, MATCH($D44, Option3!$G$106:$G$117,0)))*conv_2026*X$7</f>
        <v>-90513.951196644906</v>
      </c>
      <c r="Y44" s="31">
        <f>(INDEX(Option3!Y$106:Y$117, MATCH($D44, Option3!$G$106:$G$117,0)))*conv_2026*Y$7</f>
        <v>-125051.99226891488</v>
      </c>
      <c r="Z44" s="31">
        <f>(INDEX(Option3!Z$106:Z$117, MATCH($D44, Option3!$G$106:$G$117,0)))*conv_2026*Z$7</f>
        <v>-159590.03334118534</v>
      </c>
      <c r="AA44" s="31">
        <f>(INDEX(Option3!AA$106:AA$117, MATCH($D44, Option3!$G$106:$G$117,0)))*conv_2026*AA$7</f>
        <v>-194128.07441345579</v>
      </c>
      <c r="AB44" s="31">
        <f>(INDEX(Option3!AB$106:AB$117, MATCH($D44, Option3!$G$106:$G$117,0)))*conv_2026*AB$7</f>
        <v>-228666.11548572523</v>
      </c>
      <c r="AC44" s="31">
        <f>(INDEX(Option3!AC$106:AC$117, MATCH($D44, Option3!$G$106:$G$117,0)))*conv_2026*AC$7</f>
        <v>0</v>
      </c>
      <c r="AD44" s="31">
        <f>(INDEX(Option3!AD$106:AD$117, MATCH($D44, Option3!$G$106:$G$117,0)))*conv_2026*AD$7</f>
        <v>0</v>
      </c>
      <c r="AE44" s="31">
        <f>(INDEX(Option3!AE$106:AE$117, MATCH($D44, Option3!$G$106:$G$117,0)))*conv_2026*AE$7</f>
        <v>0</v>
      </c>
      <c r="AF44" s="31">
        <f>(INDEX(Option3!AF$106:AF$117, MATCH($D44, Option3!$G$106:$G$117,0)))*conv_2026*AF$7</f>
        <v>0</v>
      </c>
      <c r="AG44" s="31">
        <f>(INDEX(Option3!AG$106:AG$117, MATCH($D44, Option3!$G$106:$G$117,0)))*conv_2026*AG$7</f>
        <v>0</v>
      </c>
      <c r="AH44" s="7"/>
      <c r="AI44" s="7"/>
    </row>
    <row r="45" spans="1:35" s="8" customFormat="1" ht="13" x14ac:dyDescent="0.3">
      <c r="A45" s="253" t="s">
        <v>133</v>
      </c>
      <c r="B45" s="253" t="str">
        <f>Option3!A111</f>
        <v>sens2</v>
      </c>
      <c r="C45" s="253" t="str">
        <f>Option3!C111</f>
        <v>Capex 10% lower</v>
      </c>
      <c r="D45" s="253" t="str">
        <f t="shared" si="5"/>
        <v>Option 3sens2</v>
      </c>
      <c r="E45" s="254"/>
      <c r="F45" s="31">
        <f t="shared" si="4"/>
        <v>2064651.4909013519</v>
      </c>
      <c r="G45" s="253"/>
      <c r="H45" s="31">
        <f>(INDEX(Option3!H$106:H$117, MATCH($D45, Option3!$G$106:$G$117,0)))*conv_2026*H$7</f>
        <v>0</v>
      </c>
      <c r="I45" s="31">
        <f>(INDEX(Option3!I$106:I$117, MATCH($D45, Option3!$G$106:$G$117,0)))*conv_2026*I$7</f>
        <v>0</v>
      </c>
      <c r="J45" s="31">
        <f>(INDEX(Option3!J$106:J$117, MATCH($D45, Option3!$G$106:$G$117,0)))*conv_2026*J$7</f>
        <v>96433.884480384091</v>
      </c>
      <c r="K45" s="31">
        <f>(INDEX(Option3!K$106:K$117, MATCH($D45, Option3!$G$106:$G$117,0)))*conv_2026*K$7</f>
        <v>192863.82918528613</v>
      </c>
      <c r="L45" s="31">
        <f>(INDEX(Option3!L$106:L$117, MATCH($D45, Option3!$G$106:$G$117,0)))*conv_2026*L$7</f>
        <v>289297.05572316505</v>
      </c>
      <c r="M45" s="31">
        <f>(INDEX(Option3!M$106:M$117, MATCH($D45, Option3!$G$106:$G$117,0)))*conv_2026*M$7</f>
        <v>335687.03666593082</v>
      </c>
      <c r="N45" s="31">
        <f>(INDEX(Option3!N$106:N$117, MATCH($D45, Option3!$G$106:$G$117,0)))*conv_2026*N$7</f>
        <v>311751.17327305034</v>
      </c>
      <c r="O45" s="31">
        <f>(INDEX(Option3!O$106:O$117, MATCH($D45, Option3!$G$106:$G$117,0)))*conv_2026*O$7</f>
        <v>293615.22113778786</v>
      </c>
      <c r="P45" s="31">
        <f>(INDEX(Option3!P$106:P$117, MATCH($D45, Option3!$G$106:$G$117,0)))*conv_2026*P$7</f>
        <v>270975.60537057277</v>
      </c>
      <c r="Q45" s="31">
        <f>(INDEX(Option3!Q$106:Q$117, MATCH($D45, Option3!$G$106:$G$117,0)))*conv_2026*Q$7</f>
        <v>249500.89403920545</v>
      </c>
      <c r="R45" s="31">
        <f>(INDEX(Option3!R$106:R$117, MATCH($D45, Option3!$G$106:$G$117,0)))*conv_2026*R$7</f>
        <v>214962.85296693604</v>
      </c>
      <c r="S45" s="31">
        <f>(INDEX(Option3!S$106:S$117, MATCH($D45, Option3!$G$106:$G$117,0)))*conv_2026*S$7</f>
        <v>180424.81189466559</v>
      </c>
      <c r="T45" s="31">
        <f>(INDEX(Option3!T$106:T$117, MATCH($D45, Option3!$G$106:$G$117,0)))*conv_2026*T$7</f>
        <v>145886.7708223956</v>
      </c>
      <c r="U45" s="31">
        <f>(INDEX(Option3!U$106:U$117, MATCH($D45, Option3!$G$106:$G$117,0)))*conv_2026*U$7</f>
        <v>111348.72975012516</v>
      </c>
      <c r="V45" s="31">
        <f>(INDEX(Option3!V$106:V$117, MATCH($D45, Option3!$G$106:$G$117,0)))*conv_2026*V$7</f>
        <v>76810.688677855214</v>
      </c>
      <c r="W45" s="31">
        <f>(INDEX(Option3!W$106:W$117, MATCH($D45, Option3!$G$106:$G$117,0)))*conv_2026*W$7</f>
        <v>42272.647605585262</v>
      </c>
      <c r="X45" s="31">
        <f>(INDEX(Option3!X$106:X$117, MATCH($D45, Option3!$G$106:$G$117,0)))*conv_2026*X$7</f>
        <v>7734.6065333148026</v>
      </c>
      <c r="Y45" s="31">
        <f>(INDEX(Option3!Y$106:Y$117, MATCH($D45, Option3!$G$106:$G$117,0)))*conv_2026*Y$7</f>
        <v>-26803.434538955178</v>
      </c>
      <c r="Z45" s="31">
        <f>(INDEX(Option3!Z$106:Z$117, MATCH($D45, Option3!$G$106:$G$117,0)))*conv_2026*Z$7</f>
        <v>-61341.475611225636</v>
      </c>
      <c r="AA45" s="31">
        <f>(INDEX(Option3!AA$106:AA$117, MATCH($D45, Option3!$G$106:$G$117,0)))*conv_2026*AA$7</f>
        <v>-95879.516683496098</v>
      </c>
      <c r="AB45" s="31">
        <f>(INDEX(Option3!AB$106:AB$117, MATCH($D45, Option3!$G$106:$G$117,0)))*conv_2026*AB$7</f>
        <v>-130417.55775576552</v>
      </c>
      <c r="AC45" s="31">
        <f>(INDEX(Option3!AC$106:AC$117, MATCH($D45, Option3!$G$106:$G$117,0)))*conv_2026*AC$7</f>
        <v>0</v>
      </c>
      <c r="AD45" s="31">
        <f>(INDEX(Option3!AD$106:AD$117, MATCH($D45, Option3!$G$106:$G$117,0)))*conv_2026*AD$7</f>
        <v>0</v>
      </c>
      <c r="AE45" s="31">
        <f>(INDEX(Option3!AE$106:AE$117, MATCH($D45, Option3!$G$106:$G$117,0)))*conv_2026*AE$7</f>
        <v>0</v>
      </c>
      <c r="AF45" s="31">
        <f>(INDEX(Option3!AF$106:AF$117, MATCH($D45, Option3!$G$106:$G$117,0)))*conv_2026*AF$7</f>
        <v>0</v>
      </c>
      <c r="AG45" s="31">
        <f>(INDEX(Option3!AG$106:AG$117, MATCH($D45, Option3!$G$106:$G$117,0)))*conv_2026*AG$7</f>
        <v>0</v>
      </c>
    </row>
    <row r="46" spans="1:35" s="8" customFormat="1" ht="13" x14ac:dyDescent="0.3">
      <c r="A46" s="253" t="s">
        <v>133</v>
      </c>
      <c r="B46" s="253" t="str">
        <f>Option3!A112</f>
        <v>sens3</v>
      </c>
      <c r="C46" s="253" t="str">
        <f>Option3!C112</f>
        <v>Total benefits 10% higher</v>
      </c>
      <c r="D46" s="253" t="str">
        <f t="shared" si="5"/>
        <v>Option 3sens3</v>
      </c>
      <c r="E46" s="254"/>
      <c r="F46" s="31">
        <f t="shared" si="4"/>
        <v>2433235.9394789357</v>
      </c>
      <c r="H46" s="31">
        <f>(INDEX(Option3!H$106:H$117, MATCH($D46, Option3!$G$106:$G$117,0)))*conv_2026*H$7</f>
        <v>0</v>
      </c>
      <c r="I46" s="31">
        <f>(INDEX(Option3!I$106:I$117, MATCH($D46, Option3!$G$106:$G$117,0)))*conv_2026*I$7</f>
        <v>0</v>
      </c>
      <c r="J46" s="31">
        <f>(INDEX(Option3!J$106:J$117, MATCH($D46, Option3!$G$106:$G$117,0)))*conv_2026*J$7</f>
        <v>106077.27292842251</v>
      </c>
      <c r="K46" s="31">
        <f>(INDEX(Option3!K$106:K$117, MATCH($D46, Option3!$G$106:$G$117,0)))*conv_2026*K$7</f>
        <v>212150.21210381476</v>
      </c>
      <c r="L46" s="31">
        <f>(INDEX(Option3!L$106:L$117, MATCH($D46, Option3!$G$106:$G$117,0)))*conv_2026*L$7</f>
        <v>318226.76129548158</v>
      </c>
      <c r="M46" s="31">
        <f>(INDEX(Option3!M$106:M$117, MATCH($D46, Option3!$G$106:$G$117,0)))*conv_2026*M$7</f>
        <v>384375.74008152459</v>
      </c>
      <c r="N46" s="31">
        <f>(INDEX(Option3!N$106:N$117, MATCH($D46, Option3!$G$106:$G$117,0)))*conv_2026*N$7</f>
        <v>358046.29034935613</v>
      </c>
      <c r="O46" s="31">
        <f>(INDEX(Option3!O$106:O$117, MATCH($D46, Option3!$G$106:$G$117,0)))*conv_2026*O$7</f>
        <v>338096.74300056743</v>
      </c>
      <c r="P46" s="31">
        <f>(INDEX(Option3!P$106:P$117, MATCH($D46, Option3!$G$106:$G$117,0)))*conv_2026*P$7</f>
        <v>313193.16565663076</v>
      </c>
      <c r="Q46" s="31">
        <f>(INDEX(Option3!Q$106:Q$117, MATCH($D46, Option3!$G$106:$G$117,0)))*conv_2026*Q$7</f>
        <v>289570.98319212679</v>
      </c>
      <c r="R46" s="31">
        <f>(INDEX(Option3!R$106:R$117, MATCH($D46, Option3!$G$106:$G$117,0)))*conv_2026*R$7</f>
        <v>251579.1380126304</v>
      </c>
      <c r="S46" s="31">
        <f>(INDEX(Option3!S$106:S$117, MATCH($D46, Option3!$G$106:$G$117,0)))*conv_2026*S$7</f>
        <v>213587.2928331329</v>
      </c>
      <c r="T46" s="31">
        <f>(INDEX(Option3!T$106:T$117, MATCH($D46, Option3!$G$106:$G$117,0)))*conv_2026*T$7</f>
        <v>175595.44765363593</v>
      </c>
      <c r="U46" s="31">
        <f>(INDEX(Option3!U$106:U$117, MATCH($D46, Option3!$G$106:$G$117,0)))*conv_2026*U$7</f>
        <v>137603.60247413843</v>
      </c>
      <c r="V46" s="31">
        <f>(INDEX(Option3!V$106:V$117, MATCH($D46, Option3!$G$106:$G$117,0)))*conv_2026*V$7</f>
        <v>99611.757294641488</v>
      </c>
      <c r="W46" s="31">
        <f>(INDEX(Option3!W$106:W$117, MATCH($D46, Option3!$G$106:$G$117,0)))*conv_2026*W$7</f>
        <v>61619.912115144551</v>
      </c>
      <c r="X46" s="31">
        <f>(INDEX(Option3!X$106:X$117, MATCH($D46, Option3!$G$106:$G$117,0)))*conv_2026*X$7</f>
        <v>23628.066935647035</v>
      </c>
      <c r="Y46" s="31">
        <f>(INDEX(Option3!Y$106:Y$117, MATCH($D46, Option3!$G$106:$G$117,0)))*conv_2026*Y$7</f>
        <v>-14363.778243849942</v>
      </c>
      <c r="Z46" s="31">
        <f>(INDEX(Option3!Z$106:Z$117, MATCH($D46, Option3!$G$106:$G$117,0)))*conv_2026*Z$7</f>
        <v>-52355.623423347439</v>
      </c>
      <c r="AA46" s="31">
        <f>(INDEX(Option3!AA$106:AA$117, MATCH($D46, Option3!$G$106:$G$117,0)))*conv_2026*AA$7</f>
        <v>-90347.468602844951</v>
      </c>
      <c r="AB46" s="31">
        <f>(INDEX(Option3!AB$106:AB$117, MATCH($D46, Option3!$G$106:$G$117,0)))*conv_2026*AB$7</f>
        <v>-128339.31378234131</v>
      </c>
      <c r="AC46" s="31">
        <f>(INDEX(Option3!AC$106:AC$117, MATCH($D46, Option3!$G$106:$G$117,0)))*conv_2026*AC$7</f>
        <v>0</v>
      </c>
      <c r="AD46" s="31">
        <f>(INDEX(Option3!AD$106:AD$117, MATCH($D46, Option3!$G$106:$G$117,0)))*conv_2026*AD$7</f>
        <v>0</v>
      </c>
      <c r="AE46" s="31">
        <f>(INDEX(Option3!AE$106:AE$117, MATCH($D46, Option3!$G$106:$G$117,0)))*conv_2026*AE$7</f>
        <v>0</v>
      </c>
      <c r="AF46" s="31">
        <f>(INDEX(Option3!AF$106:AF$117, MATCH($D46, Option3!$G$106:$G$117,0)))*conv_2026*AF$7</f>
        <v>0</v>
      </c>
      <c r="AG46" s="31">
        <f>(INDEX(Option3!AG$106:AG$117, MATCH($D46, Option3!$G$106:$G$117,0)))*conv_2026*AG$7</f>
        <v>0</v>
      </c>
    </row>
    <row r="47" spans="1:35" s="8" customFormat="1" ht="13" x14ac:dyDescent="0.3">
      <c r="A47" s="253" t="s">
        <v>133</v>
      </c>
      <c r="B47" s="253" t="str">
        <f>Option3!A113</f>
        <v>sens4</v>
      </c>
      <c r="C47" s="253" t="str">
        <f>Option3!C113</f>
        <v>Total benefits 10% lower</v>
      </c>
      <c r="D47" s="253" t="str">
        <f t="shared" si="5"/>
        <v>Option 3sens4</v>
      </c>
      <c r="E47" s="254"/>
      <c r="F47" s="31">
        <f t="shared" si="4"/>
        <v>642628.70771759376</v>
      </c>
      <c r="H47" s="31">
        <f>(INDEX(Option3!H$106:H$117, MATCH($D47, Option3!$G$106:$G$117,0)))*conv_2026*H$7</f>
        <v>0</v>
      </c>
      <c r="I47" s="31">
        <f>(INDEX(Option3!I$106:I$117, MATCH($D47, Option3!$G$106:$G$117,0)))*conv_2026*I$7</f>
        <v>0</v>
      </c>
      <c r="J47" s="31">
        <f>(INDEX(Option3!J$106:J$117, MATCH($D47, Option3!$G$106:$G$117,0)))*conv_2026*J$7</f>
        <v>86790.496032345691</v>
      </c>
      <c r="K47" s="31">
        <f>(INDEX(Option3!K$106:K$117, MATCH($D47, Option3!$G$106:$G$117,0)))*conv_2026*K$7</f>
        <v>173577.4462667575</v>
      </c>
      <c r="L47" s="31">
        <f>(INDEX(Option3!L$106:L$117, MATCH($D47, Option3!$G$106:$G$117,0)))*conv_2026*L$7</f>
        <v>260367.35015084856</v>
      </c>
      <c r="M47" s="31">
        <f>(INDEX(Option3!M$106:M$117, MATCH($D47, Option3!$G$106:$G$117,0)))*conv_2026*M$7</f>
        <v>188749.77552037724</v>
      </c>
      <c r="N47" s="31">
        <f>(INDEX(Option3!N$106:N$117, MATCH($D47, Option3!$G$106:$G$117,0)))*conv_2026*N$7</f>
        <v>167207.4984667848</v>
      </c>
      <c r="O47" s="31">
        <f>(INDEX(Option3!O$106:O$117, MATCH($D47, Option3!$G$106:$G$117,0)))*conv_2026*O$7</f>
        <v>150885.14154504859</v>
      </c>
      <c r="P47" s="31">
        <f>(INDEX(Option3!P$106:P$117, MATCH($D47, Option3!$G$106:$G$117,0)))*conv_2026*P$7</f>
        <v>130509.48735455504</v>
      </c>
      <c r="Q47" s="31">
        <f>(INDEX(Option3!Q$106:Q$117, MATCH($D47, Option3!$G$106:$G$117,0)))*conv_2026*Q$7</f>
        <v>111182.24715632446</v>
      </c>
      <c r="R47" s="31">
        <f>(INDEX(Option3!R$106:R$117, MATCH($D47, Option3!$G$106:$G$117,0)))*conv_2026*R$7</f>
        <v>80098.010191281996</v>
      </c>
      <c r="S47" s="31">
        <f>(INDEX(Option3!S$106:S$117, MATCH($D47, Option3!$G$106:$G$117,0)))*conv_2026*S$7</f>
        <v>49013.773226238562</v>
      </c>
      <c r="T47" s="31">
        <f>(INDEX(Option3!T$106:T$117, MATCH($D47, Option3!$G$106:$G$117,0)))*conv_2026*T$7</f>
        <v>17929.536261195604</v>
      </c>
      <c r="U47" s="31">
        <f>(INDEX(Option3!U$106:U$117, MATCH($D47, Option3!$G$106:$G$117,0)))*conv_2026*U$7</f>
        <v>-13154.700703847824</v>
      </c>
      <c r="V47" s="31">
        <f>(INDEX(Option3!V$106:V$117, MATCH($D47, Option3!$G$106:$G$117,0)))*conv_2026*V$7</f>
        <v>-44238.93766889078</v>
      </c>
      <c r="W47" s="31">
        <f>(INDEX(Option3!W$106:W$117, MATCH($D47, Option3!$G$106:$G$117,0)))*conv_2026*W$7</f>
        <v>-75323.174633933741</v>
      </c>
      <c r="X47" s="31">
        <f>(INDEX(Option3!X$106:X$117, MATCH($D47, Option3!$G$106:$G$117,0)))*conv_2026*X$7</f>
        <v>-106407.41159897714</v>
      </c>
      <c r="Y47" s="31">
        <f>(INDEX(Option3!Y$106:Y$117, MATCH($D47, Option3!$G$106:$G$117,0)))*conv_2026*Y$7</f>
        <v>-137491.64856402011</v>
      </c>
      <c r="Z47" s="31">
        <f>(INDEX(Option3!Z$106:Z$117, MATCH($D47, Option3!$G$106:$G$117,0)))*conv_2026*Z$7</f>
        <v>-168575.88552906353</v>
      </c>
      <c r="AA47" s="31">
        <f>(INDEX(Option3!AA$106:AA$117, MATCH($D47, Option3!$G$106:$G$117,0)))*conv_2026*AA$7</f>
        <v>-199660.12249410694</v>
      </c>
      <c r="AB47" s="31">
        <f>(INDEX(Option3!AB$106:AB$117, MATCH($D47, Option3!$G$106:$G$117,0)))*conv_2026*AB$7</f>
        <v>-230744.35945914942</v>
      </c>
      <c r="AC47" s="31">
        <f>(INDEX(Option3!AC$106:AC$117, MATCH($D47, Option3!$G$106:$G$117,0)))*conv_2026*AC$7</f>
        <v>0</v>
      </c>
      <c r="AD47" s="31">
        <f>(INDEX(Option3!AD$106:AD$117, MATCH($D47, Option3!$G$106:$G$117,0)))*conv_2026*AD$7</f>
        <v>0</v>
      </c>
      <c r="AE47" s="31">
        <f>(INDEX(Option3!AE$106:AE$117, MATCH($D47, Option3!$G$106:$G$117,0)))*conv_2026*AE$7</f>
        <v>0</v>
      </c>
      <c r="AF47" s="31">
        <f>(INDEX(Option3!AF$106:AF$117, MATCH($D47, Option3!$G$106:$G$117,0)))*conv_2026*AF$7</f>
        <v>0</v>
      </c>
      <c r="AG47" s="31">
        <f>(INDEX(Option3!AG$106:AG$117, MATCH($D47, Option3!$G$106:$G$117,0)))*conv_2026*AG$7</f>
        <v>0</v>
      </c>
    </row>
    <row r="48" spans="1:35" s="8" customFormat="1" ht="13" x14ac:dyDescent="0.3">
      <c r="A48" s="253" t="s">
        <v>133</v>
      </c>
      <c r="B48" s="253" t="str">
        <f>Option3!A114</f>
        <v>sens5</v>
      </c>
      <c r="C48" s="253" t="str">
        <f>Option3!C114</f>
        <v>Capex 10% higher &amp; Total benefits 10% lower</v>
      </c>
      <c r="D48" s="253" t="str">
        <f t="shared" si="5"/>
        <v>Option 3sens5</v>
      </c>
      <c r="E48" s="254"/>
      <c r="F48" s="31">
        <f t="shared" si="4"/>
        <v>115909.54041450529</v>
      </c>
      <c r="H48" s="31">
        <f>(INDEX(Option3!H$106:H$117, MATCH($D48, Option3!$G$106:$G$117,0)))*conv_2026*H$7</f>
        <v>0</v>
      </c>
      <c r="I48" s="31">
        <f>(INDEX(Option3!I$106:I$117, MATCH($D48, Option3!$G$106:$G$117,0)))*conv_2026*I$7</f>
        <v>0</v>
      </c>
      <c r="J48" s="31">
        <f>(INDEX(Option3!J$106:J$117, MATCH($D48, Option3!$G$106:$G$117,0)))*conv_2026*J$7</f>
        <v>86790.496032345691</v>
      </c>
      <c r="K48" s="31">
        <f>(INDEX(Option3!K$106:K$117, MATCH($D48, Option3!$G$106:$G$117,0)))*conv_2026*K$7</f>
        <v>173577.4462667575</v>
      </c>
      <c r="L48" s="31">
        <f>(INDEX(Option3!L$106:L$117, MATCH($D48, Option3!$G$106:$G$117,0)))*conv_2026*L$7</f>
        <v>260367.35015084856</v>
      </c>
      <c r="M48" s="31">
        <f>(INDEX(Option3!M$106:M$117, MATCH($D48, Option3!$G$106:$G$117,0)))*conv_2026*M$7</f>
        <v>139625.49665539738</v>
      </c>
      <c r="N48" s="31">
        <f>(INDEX(Option3!N$106:N$117, MATCH($D48, Option3!$G$106:$G$117,0)))*conv_2026*N$7</f>
        <v>118083.21960180497</v>
      </c>
      <c r="O48" s="31">
        <f>(INDEX(Option3!O$106:O$117, MATCH($D48, Option3!$G$106:$G$117,0)))*conv_2026*O$7</f>
        <v>101760.86268006876</v>
      </c>
      <c r="P48" s="31">
        <f>(INDEX(Option3!P$106:P$117, MATCH($D48, Option3!$G$106:$G$117,0)))*conv_2026*P$7</f>
        <v>81385.20848957519</v>
      </c>
      <c r="Q48" s="31">
        <f>(INDEX(Option3!Q$106:Q$117, MATCH($D48, Option3!$G$106:$G$117,0)))*conv_2026*Q$7</f>
        <v>62057.968291344616</v>
      </c>
      <c r="R48" s="31">
        <f>(INDEX(Option3!R$106:R$117, MATCH($D48, Option3!$G$106:$G$117,0)))*conv_2026*R$7</f>
        <v>30973.731326302128</v>
      </c>
      <c r="S48" s="31">
        <f>(INDEX(Option3!S$106:S$117, MATCH($D48, Option3!$G$106:$G$117,0)))*conv_2026*S$7</f>
        <v>-110.50563874128243</v>
      </c>
      <c r="T48" s="31">
        <f>(INDEX(Option3!T$106:T$117, MATCH($D48, Option3!$G$106:$G$117,0)))*conv_2026*T$7</f>
        <v>-31194.742603784242</v>
      </c>
      <c r="U48" s="31">
        <f>(INDEX(Option3!U$106:U$117, MATCH($D48, Option3!$G$106:$G$117,0)))*conv_2026*U$7</f>
        <v>-62278.979568827672</v>
      </c>
      <c r="V48" s="31">
        <f>(INDEX(Option3!V$106:V$117, MATCH($D48, Option3!$G$106:$G$117,0)))*conv_2026*V$7</f>
        <v>-93363.216533870625</v>
      </c>
      <c r="W48" s="31">
        <f>(INDEX(Option3!W$106:W$117, MATCH($D48, Option3!$G$106:$G$117,0)))*conv_2026*W$7</f>
        <v>-124447.45349891359</v>
      </c>
      <c r="X48" s="31">
        <f>(INDEX(Option3!X$106:X$117, MATCH($D48, Option3!$G$106:$G$117,0)))*conv_2026*X$7</f>
        <v>-155531.69046395697</v>
      </c>
      <c r="Y48" s="31">
        <f>(INDEX(Option3!Y$106:Y$117, MATCH($D48, Option3!$G$106:$G$117,0)))*conv_2026*Y$7</f>
        <v>-186615.927429</v>
      </c>
      <c r="Z48" s="31">
        <f>(INDEX(Option3!Z$106:Z$117, MATCH($D48, Option3!$G$106:$G$117,0)))*conv_2026*Z$7</f>
        <v>-217700.16439404339</v>
      </c>
      <c r="AA48" s="31">
        <f>(INDEX(Option3!AA$106:AA$117, MATCH($D48, Option3!$G$106:$G$117,0)))*conv_2026*AA$7</f>
        <v>-248784.40135908677</v>
      </c>
      <c r="AB48" s="31">
        <f>(INDEX(Option3!AB$106:AB$117, MATCH($D48, Option3!$G$106:$G$117,0)))*conv_2026*AB$7</f>
        <v>-279868.63832412928</v>
      </c>
      <c r="AC48" s="31">
        <f>(INDEX(Option3!AC$106:AC$117, MATCH($D48, Option3!$G$106:$G$117,0)))*conv_2026*AC$7</f>
        <v>0</v>
      </c>
      <c r="AD48" s="31">
        <f>(INDEX(Option3!AD$106:AD$117, MATCH($D48, Option3!$G$106:$G$117,0)))*conv_2026*AD$7</f>
        <v>0</v>
      </c>
      <c r="AE48" s="31">
        <f>(INDEX(Option3!AE$106:AE$117, MATCH($D48, Option3!$G$106:$G$117,0)))*conv_2026*AE$7</f>
        <v>0</v>
      </c>
      <c r="AF48" s="31">
        <f>(INDEX(Option3!AF$106:AF$117, MATCH($D48, Option3!$G$106:$G$117,0)))*conv_2026*AF$7</f>
        <v>0</v>
      </c>
      <c r="AG48" s="31">
        <f>(INDEX(Option3!AG$106:AG$117, MATCH($D48, Option3!$G$106:$G$117,0)))*conv_2026*AG$7</f>
        <v>0</v>
      </c>
    </row>
    <row r="49" spans="1:35" s="8" customFormat="1" ht="13" x14ac:dyDescent="0.3">
      <c r="A49" s="253" t="s">
        <v>133</v>
      </c>
      <c r="B49" s="253" t="str">
        <f>Option3!A115</f>
        <v>sens</v>
      </c>
      <c r="C49" s="253">
        <f>Option3!C115</f>
        <v>0</v>
      </c>
      <c r="D49" s="253" t="str">
        <f t="shared" si="5"/>
        <v>Option 3sens</v>
      </c>
      <c r="E49" s="254"/>
      <c r="F49" s="31">
        <f t="shared" si="4"/>
        <v>1537932.3235982649</v>
      </c>
      <c r="H49" s="31">
        <f>(INDEX(Option3!H$106:H$117, MATCH($D49, Option3!$G$106:$G$117,0)))*conv_2026*H$7</f>
        <v>0</v>
      </c>
      <c r="I49" s="31">
        <f>(INDEX(Option3!I$106:I$117, MATCH($D49, Option3!$G$106:$G$117,0)))*conv_2026*I$7</f>
        <v>0</v>
      </c>
      <c r="J49" s="31">
        <f>(INDEX(Option3!J$106:J$117, MATCH($D49, Option3!$G$106:$G$117,0)))*conv_2026*J$7</f>
        <v>96433.884480384091</v>
      </c>
      <c r="K49" s="31">
        <f>(INDEX(Option3!K$106:K$117, MATCH($D49, Option3!$G$106:$G$117,0)))*conv_2026*K$7</f>
        <v>192863.82918528613</v>
      </c>
      <c r="L49" s="31">
        <f>(INDEX(Option3!L$106:L$117, MATCH($D49, Option3!$G$106:$G$117,0)))*conv_2026*L$7</f>
        <v>289297.05572316505</v>
      </c>
      <c r="M49" s="31">
        <f>(INDEX(Option3!M$106:M$117, MATCH($D49, Option3!$G$106:$G$117,0)))*conv_2026*M$7</f>
        <v>286562.7578009509</v>
      </c>
      <c r="N49" s="31">
        <f>(INDEX(Option3!N$106:N$117, MATCH($D49, Option3!$G$106:$G$117,0)))*conv_2026*N$7</f>
        <v>262626.89440807048</v>
      </c>
      <c r="O49" s="31">
        <f>(INDEX(Option3!O$106:O$117, MATCH($D49, Option3!$G$106:$G$117,0)))*conv_2026*O$7</f>
        <v>244490.942272808</v>
      </c>
      <c r="P49" s="31">
        <f>(INDEX(Option3!P$106:P$117, MATCH($D49, Option3!$G$106:$G$117,0)))*conv_2026*P$7</f>
        <v>221851.32650559294</v>
      </c>
      <c r="Q49" s="31">
        <f>(INDEX(Option3!Q$106:Q$117, MATCH($D49, Option3!$G$106:$G$117,0)))*conv_2026*Q$7</f>
        <v>200376.61517422562</v>
      </c>
      <c r="R49" s="31">
        <f>(INDEX(Option3!R$106:R$117, MATCH($D49, Option3!$G$106:$G$117,0)))*conv_2026*R$7</f>
        <v>165838.57410195621</v>
      </c>
      <c r="S49" s="31">
        <f>(INDEX(Option3!S$106:S$117, MATCH($D49, Option3!$G$106:$G$117,0)))*conv_2026*S$7</f>
        <v>131300.53302968573</v>
      </c>
      <c r="T49" s="31">
        <f>(INDEX(Option3!T$106:T$117, MATCH($D49, Option3!$G$106:$G$117,0)))*conv_2026*T$7</f>
        <v>96762.491957415768</v>
      </c>
      <c r="U49" s="31">
        <f>(INDEX(Option3!U$106:U$117, MATCH($D49, Option3!$G$106:$G$117,0)))*conv_2026*U$7</f>
        <v>62224.450885145314</v>
      </c>
      <c r="V49" s="31">
        <f>(INDEX(Option3!V$106:V$117, MATCH($D49, Option3!$G$106:$G$117,0)))*conv_2026*V$7</f>
        <v>27686.409812875354</v>
      </c>
      <c r="W49" s="31">
        <f>(INDEX(Option3!W$106:W$117, MATCH($D49, Option3!$G$106:$G$117,0)))*conv_2026*W$7</f>
        <v>-6851.6312593945922</v>
      </c>
      <c r="X49" s="31">
        <f>(INDEX(Option3!X$106:X$117, MATCH($D49, Option3!$G$106:$G$117,0)))*conv_2026*X$7</f>
        <v>-41389.672331665053</v>
      </c>
      <c r="Y49" s="31">
        <f>(INDEX(Option3!Y$106:Y$117, MATCH($D49, Option3!$G$106:$G$117,0)))*conv_2026*Y$7</f>
        <v>-75927.713403935035</v>
      </c>
      <c r="Z49" s="31">
        <f>(INDEX(Option3!Z$106:Z$117, MATCH($D49, Option3!$G$106:$G$117,0)))*conv_2026*Z$7</f>
        <v>-110465.75447620549</v>
      </c>
      <c r="AA49" s="31">
        <f>(INDEX(Option3!AA$106:AA$117, MATCH($D49, Option3!$G$106:$G$117,0)))*conv_2026*AA$7</f>
        <v>-145003.79554847596</v>
      </c>
      <c r="AB49" s="31">
        <f>(INDEX(Option3!AB$106:AB$117, MATCH($D49, Option3!$G$106:$G$117,0)))*conv_2026*AB$7</f>
        <v>-179541.83662074537</v>
      </c>
      <c r="AC49" s="31">
        <f>(INDEX(Option3!AC$106:AC$117, MATCH($D49, Option3!$G$106:$G$117,0)))*conv_2026*AC$7</f>
        <v>0</v>
      </c>
      <c r="AD49" s="31">
        <f>(INDEX(Option3!AD$106:AD$117, MATCH($D49, Option3!$G$106:$G$117,0)))*conv_2026*AD$7</f>
        <v>0</v>
      </c>
      <c r="AE49" s="31">
        <f>(INDEX(Option3!AE$106:AE$117, MATCH($D49, Option3!$G$106:$G$117,0)))*conv_2026*AE$7</f>
        <v>0</v>
      </c>
      <c r="AF49" s="31">
        <f>(INDEX(Option3!AF$106:AF$117, MATCH($D49, Option3!$G$106:$G$117,0)))*conv_2026*AF$7</f>
        <v>0</v>
      </c>
      <c r="AG49" s="31">
        <f>(INDEX(Option3!AG$106:AG$117, MATCH($D49, Option3!$G$106:$G$117,0)))*conv_2026*AG$7</f>
        <v>0</v>
      </c>
    </row>
    <row r="50" spans="1:35" s="8" customFormat="1" ht="13" x14ac:dyDescent="0.3">
      <c r="A50" s="253" t="s">
        <v>133</v>
      </c>
      <c r="B50" s="253" t="str">
        <f>Option3!A116</f>
        <v>sens</v>
      </c>
      <c r="C50" s="253">
        <f>Option3!C116</f>
        <v>0</v>
      </c>
      <c r="D50" s="253" t="str">
        <f t="shared" si="5"/>
        <v>Option 3sens</v>
      </c>
      <c r="E50" s="254"/>
      <c r="F50" s="31">
        <f t="shared" si="4"/>
        <v>1537932.3235982649</v>
      </c>
      <c r="H50" s="31">
        <f>(INDEX(Option3!H$106:H$117, MATCH($D50, Option3!$G$106:$G$117,0)))*conv_2026*H$7</f>
        <v>0</v>
      </c>
      <c r="I50" s="31">
        <f>(INDEX(Option3!I$106:I$117, MATCH($D50, Option3!$G$106:$G$117,0)))*conv_2026*I$7</f>
        <v>0</v>
      </c>
      <c r="J50" s="31">
        <f>(INDEX(Option3!J$106:J$117, MATCH($D50, Option3!$G$106:$G$117,0)))*conv_2026*J$7</f>
        <v>96433.884480384091</v>
      </c>
      <c r="K50" s="31">
        <f>(INDEX(Option3!K$106:K$117, MATCH($D50, Option3!$G$106:$G$117,0)))*conv_2026*K$7</f>
        <v>192863.82918528613</v>
      </c>
      <c r="L50" s="31">
        <f>(INDEX(Option3!L$106:L$117, MATCH($D50, Option3!$G$106:$G$117,0)))*conv_2026*L$7</f>
        <v>289297.05572316505</v>
      </c>
      <c r="M50" s="31">
        <f>(INDEX(Option3!M$106:M$117, MATCH($D50, Option3!$G$106:$G$117,0)))*conv_2026*M$7</f>
        <v>286562.7578009509</v>
      </c>
      <c r="N50" s="31">
        <f>(INDEX(Option3!N$106:N$117, MATCH($D50, Option3!$G$106:$G$117,0)))*conv_2026*N$7</f>
        <v>262626.89440807048</v>
      </c>
      <c r="O50" s="31">
        <f>(INDEX(Option3!O$106:O$117, MATCH($D50, Option3!$G$106:$G$117,0)))*conv_2026*O$7</f>
        <v>244490.942272808</v>
      </c>
      <c r="P50" s="31">
        <f>(INDEX(Option3!P$106:P$117, MATCH($D50, Option3!$G$106:$G$117,0)))*conv_2026*P$7</f>
        <v>221851.32650559294</v>
      </c>
      <c r="Q50" s="31">
        <f>(INDEX(Option3!Q$106:Q$117, MATCH($D50, Option3!$G$106:$G$117,0)))*conv_2026*Q$7</f>
        <v>200376.61517422562</v>
      </c>
      <c r="R50" s="31">
        <f>(INDEX(Option3!R$106:R$117, MATCH($D50, Option3!$G$106:$G$117,0)))*conv_2026*R$7</f>
        <v>165838.57410195621</v>
      </c>
      <c r="S50" s="31">
        <f>(INDEX(Option3!S$106:S$117, MATCH($D50, Option3!$G$106:$G$117,0)))*conv_2026*S$7</f>
        <v>131300.53302968573</v>
      </c>
      <c r="T50" s="31">
        <f>(INDEX(Option3!T$106:T$117, MATCH($D50, Option3!$G$106:$G$117,0)))*conv_2026*T$7</f>
        <v>96762.491957415768</v>
      </c>
      <c r="U50" s="31">
        <f>(INDEX(Option3!U$106:U$117, MATCH($D50, Option3!$G$106:$G$117,0)))*conv_2026*U$7</f>
        <v>62224.450885145314</v>
      </c>
      <c r="V50" s="31">
        <f>(INDEX(Option3!V$106:V$117, MATCH($D50, Option3!$G$106:$G$117,0)))*conv_2026*V$7</f>
        <v>27686.409812875354</v>
      </c>
      <c r="W50" s="31">
        <f>(INDEX(Option3!W$106:W$117, MATCH($D50, Option3!$G$106:$G$117,0)))*conv_2026*W$7</f>
        <v>-6851.6312593945922</v>
      </c>
      <c r="X50" s="31">
        <f>(INDEX(Option3!X$106:X$117, MATCH($D50, Option3!$G$106:$G$117,0)))*conv_2026*X$7</f>
        <v>-41389.672331665053</v>
      </c>
      <c r="Y50" s="31">
        <f>(INDEX(Option3!Y$106:Y$117, MATCH($D50, Option3!$G$106:$G$117,0)))*conv_2026*Y$7</f>
        <v>-75927.713403935035</v>
      </c>
      <c r="Z50" s="31">
        <f>(INDEX(Option3!Z$106:Z$117, MATCH($D50, Option3!$G$106:$G$117,0)))*conv_2026*Z$7</f>
        <v>-110465.75447620549</v>
      </c>
      <c r="AA50" s="31">
        <f>(INDEX(Option3!AA$106:AA$117, MATCH($D50, Option3!$G$106:$G$117,0)))*conv_2026*AA$7</f>
        <v>-145003.79554847596</v>
      </c>
      <c r="AB50" s="31">
        <f>(INDEX(Option3!AB$106:AB$117, MATCH($D50, Option3!$G$106:$G$117,0)))*conv_2026*AB$7</f>
        <v>-179541.83662074537</v>
      </c>
      <c r="AC50" s="31">
        <f>(INDEX(Option3!AC$106:AC$117, MATCH($D50, Option3!$G$106:$G$117,0)))*conv_2026*AC$7</f>
        <v>0</v>
      </c>
      <c r="AD50" s="31">
        <f>(INDEX(Option3!AD$106:AD$117, MATCH($D50, Option3!$G$106:$G$117,0)))*conv_2026*AD$7</f>
        <v>0</v>
      </c>
      <c r="AE50" s="31">
        <f>(INDEX(Option3!AE$106:AE$117, MATCH($D50, Option3!$G$106:$G$117,0)))*conv_2026*AE$7</f>
        <v>0</v>
      </c>
      <c r="AF50" s="31">
        <f>(INDEX(Option3!AF$106:AF$117, MATCH($D50, Option3!$G$106:$G$117,0)))*conv_2026*AF$7</f>
        <v>0</v>
      </c>
      <c r="AG50" s="31">
        <f>(INDEX(Option3!AG$106:AG$117, MATCH($D50, Option3!$G$106:$G$117,0)))*conv_2026*AG$7</f>
        <v>0</v>
      </c>
    </row>
    <row r="51" spans="1:35" s="8" customFormat="1" ht="13" x14ac:dyDescent="0.3">
      <c r="A51" s="253" t="s">
        <v>133</v>
      </c>
      <c r="B51" s="253" t="str">
        <f>Option3!A117</f>
        <v>sens</v>
      </c>
      <c r="C51" s="253">
        <f>Option3!C117</f>
        <v>0</v>
      </c>
      <c r="D51" s="253" t="str">
        <f t="shared" si="5"/>
        <v>Option 3sens</v>
      </c>
      <c r="E51" s="254"/>
      <c r="F51" s="31">
        <f t="shared" si="4"/>
        <v>1537932.3235982649</v>
      </c>
      <c r="H51" s="31">
        <f>(INDEX(Option3!H$106:H$117, MATCH($D51, Option3!$G$106:$G$117,0)))*conv_2026*H$7</f>
        <v>0</v>
      </c>
      <c r="I51" s="31">
        <f>(INDEX(Option3!I$106:I$117, MATCH($D51, Option3!$G$106:$G$117,0)))*conv_2026*I$7</f>
        <v>0</v>
      </c>
      <c r="J51" s="31">
        <f>(INDEX(Option3!J$106:J$117, MATCH($D51, Option3!$G$106:$G$117,0)))*conv_2026*J$7</f>
        <v>96433.884480384091</v>
      </c>
      <c r="K51" s="31">
        <f>(INDEX(Option3!K$106:K$117, MATCH($D51, Option3!$G$106:$G$117,0)))*conv_2026*K$7</f>
        <v>192863.82918528613</v>
      </c>
      <c r="L51" s="31">
        <f>(INDEX(Option3!L$106:L$117, MATCH($D51, Option3!$G$106:$G$117,0)))*conv_2026*L$7</f>
        <v>289297.05572316505</v>
      </c>
      <c r="M51" s="31">
        <f>(INDEX(Option3!M$106:M$117, MATCH($D51, Option3!$G$106:$G$117,0)))*conv_2026*M$7</f>
        <v>286562.7578009509</v>
      </c>
      <c r="N51" s="31">
        <f>(INDEX(Option3!N$106:N$117, MATCH($D51, Option3!$G$106:$G$117,0)))*conv_2026*N$7</f>
        <v>262626.89440807048</v>
      </c>
      <c r="O51" s="31">
        <f>(INDEX(Option3!O$106:O$117, MATCH($D51, Option3!$G$106:$G$117,0)))*conv_2026*O$7</f>
        <v>244490.942272808</v>
      </c>
      <c r="P51" s="31">
        <f>(INDEX(Option3!P$106:P$117, MATCH($D51, Option3!$G$106:$G$117,0)))*conv_2026*P$7</f>
        <v>221851.32650559294</v>
      </c>
      <c r="Q51" s="31">
        <f>(INDEX(Option3!Q$106:Q$117, MATCH($D51, Option3!$G$106:$G$117,0)))*conv_2026*Q$7</f>
        <v>200376.61517422562</v>
      </c>
      <c r="R51" s="31">
        <f>(INDEX(Option3!R$106:R$117, MATCH($D51, Option3!$G$106:$G$117,0)))*conv_2026*R$7</f>
        <v>165838.57410195621</v>
      </c>
      <c r="S51" s="31">
        <f>(INDEX(Option3!S$106:S$117, MATCH($D51, Option3!$G$106:$G$117,0)))*conv_2026*S$7</f>
        <v>131300.53302968573</v>
      </c>
      <c r="T51" s="31">
        <f>(INDEX(Option3!T$106:T$117, MATCH($D51, Option3!$G$106:$G$117,0)))*conv_2026*T$7</f>
        <v>96762.491957415768</v>
      </c>
      <c r="U51" s="31">
        <f>(INDEX(Option3!U$106:U$117, MATCH($D51, Option3!$G$106:$G$117,0)))*conv_2026*U$7</f>
        <v>62224.450885145314</v>
      </c>
      <c r="V51" s="31">
        <f>(INDEX(Option3!V$106:V$117, MATCH($D51, Option3!$G$106:$G$117,0)))*conv_2026*V$7</f>
        <v>27686.409812875354</v>
      </c>
      <c r="W51" s="31">
        <f>(INDEX(Option3!W$106:W$117, MATCH($D51, Option3!$G$106:$G$117,0)))*conv_2026*W$7</f>
        <v>-6851.6312593945922</v>
      </c>
      <c r="X51" s="31">
        <f>(INDEX(Option3!X$106:X$117, MATCH($D51, Option3!$G$106:$G$117,0)))*conv_2026*X$7</f>
        <v>-41389.672331665053</v>
      </c>
      <c r="Y51" s="31">
        <f>(INDEX(Option3!Y$106:Y$117, MATCH($D51, Option3!$G$106:$G$117,0)))*conv_2026*Y$7</f>
        <v>-75927.713403935035</v>
      </c>
      <c r="Z51" s="31">
        <f>(INDEX(Option3!Z$106:Z$117, MATCH($D51, Option3!$G$106:$G$117,0)))*conv_2026*Z$7</f>
        <v>-110465.75447620549</v>
      </c>
      <c r="AA51" s="31">
        <f>(INDEX(Option3!AA$106:AA$117, MATCH($D51, Option3!$G$106:$G$117,0)))*conv_2026*AA$7</f>
        <v>-145003.79554847596</v>
      </c>
      <c r="AB51" s="31">
        <f>(INDEX(Option3!AB$106:AB$117, MATCH($D51, Option3!$G$106:$G$117,0)))*conv_2026*AB$7</f>
        <v>-179541.83662074537</v>
      </c>
      <c r="AC51" s="31">
        <f>(INDEX(Option3!AC$106:AC$117, MATCH($D51, Option3!$G$106:$G$117,0)))*conv_2026*AC$7</f>
        <v>0</v>
      </c>
      <c r="AD51" s="31">
        <f>(INDEX(Option3!AD$106:AD$117, MATCH($D51, Option3!$G$106:$G$117,0)))*conv_2026*AD$7</f>
        <v>0</v>
      </c>
      <c r="AE51" s="31">
        <f>(INDEX(Option3!AE$106:AE$117, MATCH($D51, Option3!$G$106:$G$117,0)))*conv_2026*AE$7</f>
        <v>0</v>
      </c>
      <c r="AF51" s="31">
        <f>(INDEX(Option3!AF$106:AF$117, MATCH($D51, Option3!$G$106:$G$117,0)))*conv_2026*AF$7</f>
        <v>0</v>
      </c>
      <c r="AG51" s="31">
        <f>(INDEX(Option3!AG$106:AG$117, MATCH($D51, Option3!$G$106:$G$117,0)))*conv_2026*AG$7</f>
        <v>0</v>
      </c>
    </row>
    <row r="52" spans="1:35" s="8" customFormat="1" ht="13" x14ac:dyDescent="0.3">
      <c r="A52" s="253"/>
      <c r="B52" s="253"/>
      <c r="C52" s="253"/>
      <c r="D52" s="253"/>
      <c r="E52" s="253"/>
      <c r="F52" s="31"/>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row>
    <row r="53" spans="1:35" s="8" customFormat="1" ht="13" x14ac:dyDescent="0.3">
      <c r="A53" s="253"/>
      <c r="B53" s="253"/>
      <c r="C53" s="253"/>
      <c r="D53" s="253"/>
      <c r="E53" s="253"/>
      <c r="F53" s="31"/>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row>
    <row r="54" spans="1:35" s="8" customFormat="1" ht="13" x14ac:dyDescent="0.3">
      <c r="A54" s="253"/>
      <c r="B54" s="253"/>
      <c r="C54" s="253"/>
      <c r="D54" s="253"/>
      <c r="E54" s="253"/>
      <c r="F54" s="31"/>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row>
    <row r="55" spans="1:35" s="8" customFormat="1" ht="13" x14ac:dyDescent="0.3">
      <c r="A55" s="253"/>
      <c r="B55" s="253"/>
      <c r="C55" s="253"/>
      <c r="D55" s="253"/>
      <c r="E55" s="253"/>
      <c r="F55" s="31"/>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row>
    <row r="56" spans="1:35" s="8" customFormat="1" ht="13" x14ac:dyDescent="0.3">
      <c r="A56" s="253" t="s">
        <v>134</v>
      </c>
      <c r="B56" s="253" t="s">
        <v>120</v>
      </c>
      <c r="C56" s="253" t="s">
        <v>194</v>
      </c>
      <c r="D56" s="253" t="str">
        <f>A56&amp;B56</f>
        <v>Option 4NPV</v>
      </c>
      <c r="E56" s="254"/>
      <c r="F56" s="31">
        <f t="shared" ref="F56:F65" si="6">SUMPRODUCT($H56:$AG56, $H$5:$AG$5)</f>
        <v>17718837.332978185</v>
      </c>
      <c r="G56" s="246"/>
      <c r="H56" s="31">
        <f>(INDEX(Option4!H$106:H$117, MATCH($D56, Option4!$G$106:$G$117,0)))*conv_2026*H$7</f>
        <v>0</v>
      </c>
      <c r="I56" s="31">
        <f>(INDEX(Option4!I$106:I$117, MATCH($D56, Option4!$G$106:$G$117,0)))*conv_2026*I$7</f>
        <v>0</v>
      </c>
      <c r="J56" s="31">
        <f>(INDEX(Option4!J$106:J$117, MATCH($D56, Option4!$G$106:$G$117,0)))*conv_2026*J$7</f>
        <v>1411464.5239473684</v>
      </c>
      <c r="K56" s="31">
        <f>(INDEX(Option4!K$106:K$117, MATCH($D56, Option4!$G$106:$G$117,0)))*conv_2026*K$7</f>
        <v>1308184.238604076</v>
      </c>
      <c r="L56" s="31">
        <f>(INDEX(Option4!L$106:L$117, MATCH($D56, Option4!$G$106:$G$117,0)))*conv_2026*L$7</f>
        <v>1331352.5811798042</v>
      </c>
      <c r="M56" s="31">
        <f>(INDEX(Option4!M$106:M$117, MATCH($D56, Option4!$G$106:$G$117,0)))*conv_2026*M$7</f>
        <v>1354520.7145698213</v>
      </c>
      <c r="N56" s="31">
        <f>(INDEX(Option4!N$106:N$117, MATCH($D56, Option4!$G$106:$G$117,0)))*conv_2026*N$7</f>
        <v>1347280.6731220768</v>
      </c>
      <c r="O56" s="31">
        <f>(INDEX(Option4!O$106:O$117, MATCH($D56, Option4!$G$106:$G$117,0)))*conv_2026*O$7</f>
        <v>1340041.0453130442</v>
      </c>
      <c r="P56" s="31">
        <f>(INDEX(Option4!P$106:P$117, MATCH($D56, Option4!$G$106:$G$117,0)))*conv_2026*P$7</f>
        <v>1332800.9480193409</v>
      </c>
      <c r="Q56" s="31">
        <f>(INDEX(Option4!Q$106:Q$117, MATCH($D56, Option4!$G$106:$G$117,0)))*conv_2026*Q$7</f>
        <v>1325560.8507256373</v>
      </c>
      <c r="R56" s="31">
        <f>(INDEX(Option4!R$106:R$117, MATCH($D56, Option4!$G$106:$G$117,0)))*conv_2026*R$7</f>
        <v>1318320.7534319335</v>
      </c>
      <c r="S56" s="31">
        <f>(INDEX(Option4!S$106:S$117, MATCH($D56, Option4!$G$106:$G$117,0)))*conv_2026*S$7</f>
        <v>1311080.656138229</v>
      </c>
      <c r="T56" s="31">
        <f>(INDEX(Option4!T$106:T$117, MATCH($D56, Option4!$G$106:$G$117,0)))*conv_2026*T$7</f>
        <v>1303840.5588445256</v>
      </c>
      <c r="U56" s="31">
        <f>(INDEX(Option4!U$106:U$117, MATCH($D56, Option4!$G$106:$G$117,0)))*conv_2026*U$7</f>
        <v>1296600.4615508216</v>
      </c>
      <c r="V56" s="31">
        <f>(INDEX(Option4!V$106:V$117, MATCH($D56, Option4!$G$106:$G$117,0)))*conv_2026*V$7</f>
        <v>1289360.364257117</v>
      </c>
      <c r="W56" s="31">
        <f>(INDEX(Option4!W$106:W$117, MATCH($D56, Option4!$G$106:$G$117,0)))*conv_2026*W$7</f>
        <v>1282120.2669634137</v>
      </c>
      <c r="X56" s="31">
        <f>(INDEX(Option4!X$106:X$117, MATCH($D56, Option4!$G$106:$G$117,0)))*conv_2026*X$7</f>
        <v>1274880.1696697096</v>
      </c>
      <c r="Y56" s="31">
        <f>(INDEX(Option4!Y$106:Y$117, MATCH($D56, Option4!$G$106:$G$117,0)))*conv_2026*Y$7</f>
        <v>1267640.0723760058</v>
      </c>
      <c r="Z56" s="31">
        <f>(INDEX(Option4!Z$106:Z$117, MATCH($D56, Option4!$G$106:$G$117,0)))*conv_2026*Z$7</f>
        <v>1260399.9750823018</v>
      </c>
      <c r="AA56" s="31">
        <f>(INDEX(Option4!AA$106:AA$117, MATCH($D56, Option4!$G$106:$G$117,0)))*conv_2026*AA$7</f>
        <v>1253159.877788598</v>
      </c>
      <c r="AB56" s="31">
        <f>(INDEX(Option4!AB$106:AB$117, MATCH($D56, Option4!$G$106:$G$117,0)))*conv_2026*AB$7</f>
        <v>1245919.7804948939</v>
      </c>
      <c r="AC56" s="31">
        <f>(INDEX(Option4!AC$106:AC$117, MATCH($D56, Option4!$G$106:$G$117,0)))*conv_2026*AC$7</f>
        <v>0</v>
      </c>
      <c r="AD56" s="31">
        <f>(INDEX(Option4!AD$106:AD$117, MATCH($D56, Option4!$G$106:$G$117,0)))*conv_2026*AD$7</f>
        <v>0</v>
      </c>
      <c r="AE56" s="31">
        <f>(INDEX(Option4!AE$106:AE$117, MATCH($D56, Option4!$G$106:$G$117,0)))*conv_2026*AE$7</f>
        <v>0</v>
      </c>
      <c r="AF56" s="31">
        <f>(INDEX(Option4!AF$106:AF$117, MATCH($D56, Option4!$G$106:$G$117,0)))*conv_2026*AF$7</f>
        <v>0</v>
      </c>
      <c r="AG56" s="31">
        <f>(INDEX(Option4!AG$106:AG$117, MATCH($D56, Option4!$G$106:$G$117,0)))*conv_2026*AG$7</f>
        <v>0</v>
      </c>
      <c r="AH56" s="7"/>
      <c r="AI56" s="7"/>
    </row>
    <row r="57" spans="1:35" s="8" customFormat="1" ht="13" x14ac:dyDescent="0.3">
      <c r="A57" s="245"/>
      <c r="B57" s="245"/>
      <c r="C57" s="245"/>
      <c r="D57" s="245"/>
      <c r="E57" s="245"/>
      <c r="F57" s="245"/>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7"/>
      <c r="AI57" s="7"/>
    </row>
    <row r="58" spans="1:35" s="8" customFormat="1" ht="13" x14ac:dyDescent="0.3">
      <c r="A58" s="253" t="s">
        <v>134</v>
      </c>
      <c r="B58" s="253" t="str">
        <f>Option4!A110</f>
        <v>sens1</v>
      </c>
      <c r="C58" s="253" t="str">
        <f>Option4!C110</f>
        <v>Capex 10% higher</v>
      </c>
      <c r="D58" s="253" t="str">
        <f t="shared" ref="D58:D65" si="7">A58&amp;B58</f>
        <v>Option 4sens1</v>
      </c>
      <c r="E58" s="254"/>
      <c r="F58" s="31">
        <f t="shared" si="6"/>
        <v>17528474.345291421</v>
      </c>
      <c r="G58" s="246"/>
      <c r="H58" s="31">
        <f>(INDEX(Option4!H$106:H$117, MATCH($D58, Option4!$G$106:$G$117,0)))*conv_2026*H$7</f>
        <v>0</v>
      </c>
      <c r="I58" s="31">
        <f>(INDEX(Option4!I$106:I$117, MATCH($D58, Option4!$G$106:$G$117,0)))*conv_2026*I$7</f>
        <v>0</v>
      </c>
      <c r="J58" s="31">
        <f>(INDEX(Option4!J$106:J$117, MATCH($D58, Option4!$G$106:$G$117,0)))*conv_2026*J$7</f>
        <v>1409092.1442203552</v>
      </c>
      <c r="K58" s="31">
        <f>(INDEX(Option4!K$106:K$117, MATCH($D58, Option4!$G$106:$G$117,0)))*conv_2026*K$7</f>
        <v>1293167.0749320828</v>
      </c>
      <c r="L58" s="31">
        <f>(INDEX(Option4!L$106:L$117, MATCH($D58, Option4!$G$106:$G$117,0)))*conv_2026*L$7</f>
        <v>1316335.4175078108</v>
      </c>
      <c r="M58" s="31">
        <f>(INDEX(Option4!M$106:M$117, MATCH($D58, Option4!$G$106:$G$117,0)))*conv_2026*M$7</f>
        <v>1339503.5508978278</v>
      </c>
      <c r="N58" s="31">
        <f>(INDEX(Option4!N$106:N$117, MATCH($D58, Option4!$G$106:$G$117,0)))*conv_2026*N$7</f>
        <v>1332263.5094500834</v>
      </c>
      <c r="O58" s="31">
        <f>(INDEX(Option4!O$106:O$117, MATCH($D58, Option4!$G$106:$G$117,0)))*conv_2026*O$7</f>
        <v>1325023.881641051</v>
      </c>
      <c r="P58" s="31">
        <f>(INDEX(Option4!P$106:P$117, MATCH($D58, Option4!$G$106:$G$117,0)))*conv_2026*P$7</f>
        <v>1317783.7843473474</v>
      </c>
      <c r="Q58" s="31">
        <f>(INDEX(Option4!Q$106:Q$117, MATCH($D58, Option4!$G$106:$G$117,0)))*conv_2026*Q$7</f>
        <v>1310543.6870536441</v>
      </c>
      <c r="R58" s="31">
        <f>(INDEX(Option4!R$106:R$117, MATCH($D58, Option4!$G$106:$G$117,0)))*conv_2026*R$7</f>
        <v>1303303.58975994</v>
      </c>
      <c r="S58" s="31">
        <f>(INDEX(Option4!S$106:S$117, MATCH($D58, Option4!$G$106:$G$117,0)))*conv_2026*S$7</f>
        <v>1296063.4924662355</v>
      </c>
      <c r="T58" s="31">
        <f>(INDEX(Option4!T$106:T$117, MATCH($D58, Option4!$G$106:$G$117,0)))*conv_2026*T$7</f>
        <v>1288823.3951725322</v>
      </c>
      <c r="U58" s="31">
        <f>(INDEX(Option4!U$106:U$117, MATCH($D58, Option4!$G$106:$G$117,0)))*conv_2026*U$7</f>
        <v>1281583.2978788281</v>
      </c>
      <c r="V58" s="31">
        <f>(INDEX(Option4!V$106:V$117, MATCH($D58, Option4!$G$106:$G$117,0)))*conv_2026*V$7</f>
        <v>1274343.2005851239</v>
      </c>
      <c r="W58" s="31">
        <f>(INDEX(Option4!W$106:W$117, MATCH($D58, Option4!$G$106:$G$117,0)))*conv_2026*W$7</f>
        <v>1267103.1032914203</v>
      </c>
      <c r="X58" s="31">
        <f>(INDEX(Option4!X$106:X$117, MATCH($D58, Option4!$G$106:$G$117,0)))*conv_2026*X$7</f>
        <v>1259863.0059977164</v>
      </c>
      <c r="Y58" s="31">
        <f>(INDEX(Option4!Y$106:Y$117, MATCH($D58, Option4!$G$106:$G$117,0)))*conv_2026*Y$7</f>
        <v>1252622.9087040124</v>
      </c>
      <c r="Z58" s="31">
        <f>(INDEX(Option4!Z$106:Z$117, MATCH($D58, Option4!$G$106:$G$117,0)))*conv_2026*Z$7</f>
        <v>1245382.8114103086</v>
      </c>
      <c r="AA58" s="31">
        <f>(INDEX(Option4!AA$106:AA$117, MATCH($D58, Option4!$G$106:$G$117,0)))*conv_2026*AA$7</f>
        <v>1238142.7141166045</v>
      </c>
      <c r="AB58" s="31">
        <f>(INDEX(Option4!AB$106:AB$117, MATCH($D58, Option4!$G$106:$G$117,0)))*conv_2026*AB$7</f>
        <v>1230902.6168229005</v>
      </c>
      <c r="AC58" s="31">
        <f>(INDEX(Option4!AC$106:AC$117, MATCH($D58, Option4!$G$106:$G$117,0)))*conv_2026*AC$7</f>
        <v>0</v>
      </c>
      <c r="AD58" s="31">
        <f>(INDEX(Option4!AD$106:AD$117, MATCH($D58, Option4!$G$106:$G$117,0)))*conv_2026*AD$7</f>
        <v>0</v>
      </c>
      <c r="AE58" s="31">
        <f>(INDEX(Option4!AE$106:AE$117, MATCH($D58, Option4!$G$106:$G$117,0)))*conv_2026*AE$7</f>
        <v>0</v>
      </c>
      <c r="AF58" s="31">
        <f>(INDEX(Option4!AF$106:AF$117, MATCH($D58, Option4!$G$106:$G$117,0)))*conv_2026*AF$7</f>
        <v>0</v>
      </c>
      <c r="AG58" s="31">
        <f>(INDEX(Option4!AG$106:AG$117, MATCH($D58, Option4!$G$106:$G$117,0)))*conv_2026*AG$7</f>
        <v>0</v>
      </c>
      <c r="AH58" s="7"/>
      <c r="AI58" s="7"/>
    </row>
    <row r="59" spans="1:35" s="8" customFormat="1" ht="13" x14ac:dyDescent="0.3">
      <c r="A59" s="253" t="s">
        <v>134</v>
      </c>
      <c r="B59" s="253" t="str">
        <f>Option4!A111</f>
        <v>sens2</v>
      </c>
      <c r="C59" s="253" t="str">
        <f>Option4!C111</f>
        <v>Capex 10% lower</v>
      </c>
      <c r="D59" s="253" t="str">
        <f t="shared" si="7"/>
        <v>Option 4sens2</v>
      </c>
      <c r="E59" s="254"/>
      <c r="F59" s="31">
        <f t="shared" si="6"/>
        <v>17909200.320664957</v>
      </c>
      <c r="G59" s="253"/>
      <c r="H59" s="31">
        <f>(INDEX(Option4!H$106:H$117, MATCH($D59, Option4!$G$106:$G$117,0)))*conv_2026*H$7</f>
        <v>0</v>
      </c>
      <c r="I59" s="31">
        <f>(INDEX(Option4!I$106:I$117, MATCH($D59, Option4!$G$106:$G$117,0)))*conv_2026*I$7</f>
        <v>0</v>
      </c>
      <c r="J59" s="31">
        <f>(INDEX(Option4!J$106:J$117, MATCH($D59, Option4!$G$106:$G$117,0)))*conv_2026*J$7</f>
        <v>1413836.9036743813</v>
      </c>
      <c r="K59" s="31">
        <f>(INDEX(Option4!K$106:K$117, MATCH($D59, Option4!$G$106:$G$117,0)))*conv_2026*K$7</f>
        <v>1323201.4022760694</v>
      </c>
      <c r="L59" s="31">
        <f>(INDEX(Option4!L$106:L$117, MATCH($D59, Option4!$G$106:$G$117,0)))*conv_2026*L$7</f>
        <v>1346369.7448517976</v>
      </c>
      <c r="M59" s="31">
        <f>(INDEX(Option4!M$106:M$117, MATCH($D59, Option4!$G$106:$G$117,0)))*conv_2026*M$7</f>
        <v>1369537.8782418147</v>
      </c>
      <c r="N59" s="31">
        <f>(INDEX(Option4!N$106:N$117, MATCH($D59, Option4!$G$106:$G$117,0)))*conv_2026*N$7</f>
        <v>1362297.8367940702</v>
      </c>
      <c r="O59" s="31">
        <f>(INDEX(Option4!O$106:O$117, MATCH($D59, Option4!$G$106:$G$117,0)))*conv_2026*O$7</f>
        <v>1355058.2089850376</v>
      </c>
      <c r="P59" s="31">
        <f>(INDEX(Option4!P$106:P$117, MATCH($D59, Option4!$G$106:$G$117,0)))*conv_2026*P$7</f>
        <v>1347818.1116913341</v>
      </c>
      <c r="Q59" s="31">
        <f>(INDEX(Option4!Q$106:Q$117, MATCH($D59, Option4!$G$106:$G$117,0)))*conv_2026*Q$7</f>
        <v>1340578.0143976307</v>
      </c>
      <c r="R59" s="31">
        <f>(INDEX(Option4!R$106:R$117, MATCH($D59, Option4!$G$106:$G$117,0)))*conv_2026*R$7</f>
        <v>1333337.9171039267</v>
      </c>
      <c r="S59" s="31">
        <f>(INDEX(Option4!S$106:S$117, MATCH($D59, Option4!$G$106:$G$117,0)))*conv_2026*S$7</f>
        <v>1326097.8198102224</v>
      </c>
      <c r="T59" s="31">
        <f>(INDEX(Option4!T$106:T$117, MATCH($D59, Option4!$G$106:$G$117,0)))*conv_2026*T$7</f>
        <v>1318857.7225165188</v>
      </c>
      <c r="U59" s="31">
        <f>(INDEX(Option4!U$106:U$117, MATCH($D59, Option4!$G$106:$G$117,0)))*conv_2026*U$7</f>
        <v>1311617.625222815</v>
      </c>
      <c r="V59" s="31">
        <f>(INDEX(Option4!V$106:V$117, MATCH($D59, Option4!$G$106:$G$117,0)))*conv_2026*V$7</f>
        <v>1304377.5279291105</v>
      </c>
      <c r="W59" s="31">
        <f>(INDEX(Option4!W$106:W$117, MATCH($D59, Option4!$G$106:$G$117,0)))*conv_2026*W$7</f>
        <v>1297137.4306354069</v>
      </c>
      <c r="X59" s="31">
        <f>(INDEX(Option4!X$106:X$117, MATCH($D59, Option4!$G$106:$G$117,0)))*conv_2026*X$7</f>
        <v>1289897.3333417031</v>
      </c>
      <c r="Y59" s="31">
        <f>(INDEX(Option4!Y$106:Y$117, MATCH($D59, Option4!$G$106:$G$117,0)))*conv_2026*Y$7</f>
        <v>1282657.236047999</v>
      </c>
      <c r="Z59" s="31">
        <f>(INDEX(Option4!Z$106:Z$117, MATCH($D59, Option4!$G$106:$G$117,0)))*conv_2026*Z$7</f>
        <v>1275417.1387542952</v>
      </c>
      <c r="AA59" s="31">
        <f>(INDEX(Option4!AA$106:AA$117, MATCH($D59, Option4!$G$106:$G$117,0)))*conv_2026*AA$7</f>
        <v>1268177.0414605911</v>
      </c>
      <c r="AB59" s="31">
        <f>(INDEX(Option4!AB$106:AB$117, MATCH($D59, Option4!$G$106:$G$117,0)))*conv_2026*AB$7</f>
        <v>1260936.9441668873</v>
      </c>
      <c r="AC59" s="31">
        <f>(INDEX(Option4!AC$106:AC$117, MATCH($D59, Option4!$G$106:$G$117,0)))*conv_2026*AC$7</f>
        <v>0</v>
      </c>
      <c r="AD59" s="31">
        <f>(INDEX(Option4!AD$106:AD$117, MATCH($D59, Option4!$G$106:$G$117,0)))*conv_2026*AD$7</f>
        <v>0</v>
      </c>
      <c r="AE59" s="31">
        <f>(INDEX(Option4!AE$106:AE$117, MATCH($D59, Option4!$G$106:$G$117,0)))*conv_2026*AE$7</f>
        <v>0</v>
      </c>
      <c r="AF59" s="31">
        <f>(INDEX(Option4!AF$106:AF$117, MATCH($D59, Option4!$G$106:$G$117,0)))*conv_2026*AF$7</f>
        <v>0</v>
      </c>
      <c r="AG59" s="31">
        <f>(INDEX(Option4!AG$106:AG$117, MATCH($D59, Option4!$G$106:$G$117,0)))*conv_2026*AG$7</f>
        <v>0</v>
      </c>
    </row>
    <row r="60" spans="1:35" s="8" customFormat="1" ht="13" x14ac:dyDescent="0.3">
      <c r="A60" s="253" t="s">
        <v>134</v>
      </c>
      <c r="B60" s="253" t="str">
        <f>Option4!A112</f>
        <v>sens3</v>
      </c>
      <c r="C60" s="253" t="str">
        <f>Option4!C112</f>
        <v>Total benefits 10% higher</v>
      </c>
      <c r="D60" s="253" t="str">
        <f t="shared" si="7"/>
        <v>Option 4sens3</v>
      </c>
      <c r="E60" s="254"/>
      <c r="F60" s="31">
        <f t="shared" si="6"/>
        <v>19681084.053962775</v>
      </c>
      <c r="H60" s="31">
        <f>(INDEX(Option4!H$106:H$117, MATCH($D60, Option4!$G$106:$G$117,0)))*conv_2026*H$7</f>
        <v>0</v>
      </c>
      <c r="I60" s="31">
        <f>(INDEX(Option4!I$106:I$117, MATCH($D60, Option4!$G$106:$G$117,0)))*conv_2026*I$7</f>
        <v>0</v>
      </c>
      <c r="J60" s="31">
        <f>(INDEX(Option4!J$106:J$117, MATCH($D60, Option4!$G$106:$G$117,0)))*conv_2026*J$7</f>
        <v>1554983.3560691183</v>
      </c>
      <c r="K60" s="31">
        <f>(INDEX(Option4!K$106:K$117, MATCH($D60, Option4!$G$106:$G$117,0)))*conv_2026*K$7</f>
        <v>1454019.8261364771</v>
      </c>
      <c r="L60" s="31">
        <f>(INDEX(Option4!L$106:L$117, MATCH($D60, Option4!$G$106:$G$117,0)))*conv_2026*L$7</f>
        <v>1479505.0029697779</v>
      </c>
      <c r="M60" s="31">
        <f>(INDEX(Option4!M$106:M$117, MATCH($D60, Option4!$G$106:$G$117,0)))*conv_2026*M$7</f>
        <v>1504989.9496987967</v>
      </c>
      <c r="N60" s="31">
        <f>(INDEX(Option4!N$106:N$117, MATCH($D60, Option4!$G$106:$G$117,0)))*conv_2026*N$7</f>
        <v>1497025.9041062777</v>
      </c>
      <c r="O60" s="31">
        <f>(INDEX(Option4!O$106:O$117, MATCH($D60, Option4!$G$106:$G$117,0)))*conv_2026*O$7</f>
        <v>1489062.3135163421</v>
      </c>
      <c r="P60" s="31">
        <f>(INDEX(Option4!P$106:P$117, MATCH($D60, Option4!$G$106:$G$117,0)))*conv_2026*P$7</f>
        <v>1481098.2064932683</v>
      </c>
      <c r="Q60" s="31">
        <f>(INDEX(Option4!Q$106:Q$117, MATCH($D60, Option4!$G$106:$G$117,0)))*conv_2026*Q$7</f>
        <v>1473134.0994701944</v>
      </c>
      <c r="R60" s="31">
        <f>(INDEX(Option4!R$106:R$117, MATCH($D60, Option4!$G$106:$G$117,0)))*conv_2026*R$7</f>
        <v>1465169.9924471204</v>
      </c>
      <c r="S60" s="31">
        <f>(INDEX(Option4!S$106:S$117, MATCH($D60, Option4!$G$106:$G$117,0)))*conv_2026*S$7</f>
        <v>1457205.8854240454</v>
      </c>
      <c r="T60" s="31">
        <f>(INDEX(Option4!T$106:T$117, MATCH($D60, Option4!$G$106:$G$117,0)))*conv_2026*T$7</f>
        <v>1449241.7784009716</v>
      </c>
      <c r="U60" s="31">
        <f>(INDEX(Option4!U$106:U$117, MATCH($D60, Option4!$G$106:$G$117,0)))*conv_2026*U$7</f>
        <v>1441277.671377897</v>
      </c>
      <c r="V60" s="31">
        <f>(INDEX(Option4!V$106:V$117, MATCH($D60, Option4!$G$106:$G$117,0)))*conv_2026*V$7</f>
        <v>1433313.564354822</v>
      </c>
      <c r="W60" s="31">
        <f>(INDEX(Option4!W$106:W$117, MATCH($D60, Option4!$G$106:$G$117,0)))*conv_2026*W$7</f>
        <v>1425349.4573317484</v>
      </c>
      <c r="X60" s="31">
        <f>(INDEX(Option4!X$106:X$117, MATCH($D60, Option4!$G$106:$G$117,0)))*conv_2026*X$7</f>
        <v>1417385.3503086742</v>
      </c>
      <c r="Y60" s="31">
        <f>(INDEX(Option4!Y$106:Y$117, MATCH($D60, Option4!$G$106:$G$117,0)))*conv_2026*Y$7</f>
        <v>1409421.2432855996</v>
      </c>
      <c r="Z60" s="31">
        <f>(INDEX(Option4!Z$106:Z$117, MATCH($D60, Option4!$G$106:$G$117,0)))*conv_2026*Z$7</f>
        <v>1401457.1362625253</v>
      </c>
      <c r="AA60" s="31">
        <f>(INDEX(Option4!AA$106:AA$117, MATCH($D60, Option4!$G$106:$G$117,0)))*conv_2026*AA$7</f>
        <v>1393493.0292394508</v>
      </c>
      <c r="AB60" s="31">
        <f>(INDEX(Option4!AB$106:AB$117, MATCH($D60, Option4!$G$106:$G$117,0)))*conv_2026*AB$7</f>
        <v>1385528.9222163768</v>
      </c>
      <c r="AC60" s="31">
        <f>(INDEX(Option4!AC$106:AC$117, MATCH($D60, Option4!$G$106:$G$117,0)))*conv_2026*AC$7</f>
        <v>0</v>
      </c>
      <c r="AD60" s="31">
        <f>(INDEX(Option4!AD$106:AD$117, MATCH($D60, Option4!$G$106:$G$117,0)))*conv_2026*AD$7</f>
        <v>0</v>
      </c>
      <c r="AE60" s="31">
        <f>(INDEX(Option4!AE$106:AE$117, MATCH($D60, Option4!$G$106:$G$117,0)))*conv_2026*AE$7</f>
        <v>0</v>
      </c>
      <c r="AF60" s="31">
        <f>(INDEX(Option4!AF$106:AF$117, MATCH($D60, Option4!$G$106:$G$117,0)))*conv_2026*AF$7</f>
        <v>0</v>
      </c>
      <c r="AG60" s="31">
        <f>(INDEX(Option4!AG$106:AG$117, MATCH($D60, Option4!$G$106:$G$117,0)))*conv_2026*AG$7</f>
        <v>0</v>
      </c>
    </row>
    <row r="61" spans="1:35" s="8" customFormat="1" ht="13" x14ac:dyDescent="0.3">
      <c r="A61" s="253" t="s">
        <v>134</v>
      </c>
      <c r="B61" s="253" t="str">
        <f>Option4!A113</f>
        <v>sens4</v>
      </c>
      <c r="C61" s="253" t="str">
        <f>Option4!C113</f>
        <v>Total benefits 10% lower</v>
      </c>
      <c r="D61" s="253" t="str">
        <f t="shared" si="7"/>
        <v>Option 4sens4</v>
      </c>
      <c r="E61" s="254"/>
      <c r="F61" s="31">
        <f t="shared" si="6"/>
        <v>15756590.611993603</v>
      </c>
      <c r="H61" s="31">
        <f>(INDEX(Option4!H$106:H$117, MATCH($D61, Option4!$G$106:$G$117,0)))*conv_2026*H$7</f>
        <v>0</v>
      </c>
      <c r="I61" s="31">
        <f>(INDEX(Option4!I$106:I$117, MATCH($D61, Option4!$G$106:$G$117,0)))*conv_2026*I$7</f>
        <v>0</v>
      </c>
      <c r="J61" s="31">
        <f>(INDEX(Option4!J$106:J$117, MATCH($D61, Option4!$G$106:$G$117,0)))*conv_2026*J$7</f>
        <v>1267945.6918256183</v>
      </c>
      <c r="K61" s="31">
        <f>(INDEX(Option4!K$106:K$117, MATCH($D61, Option4!$G$106:$G$117,0)))*conv_2026*K$7</f>
        <v>1162348.6510716749</v>
      </c>
      <c r="L61" s="31">
        <f>(INDEX(Option4!L$106:L$117, MATCH($D61, Option4!$G$106:$G$117,0)))*conv_2026*L$7</f>
        <v>1183200.1593898304</v>
      </c>
      <c r="M61" s="31">
        <f>(INDEX(Option4!M$106:M$117, MATCH($D61, Option4!$G$106:$G$117,0)))*conv_2026*M$7</f>
        <v>1204051.4794408458</v>
      </c>
      <c r="N61" s="31">
        <f>(INDEX(Option4!N$106:N$117, MATCH($D61, Option4!$G$106:$G$117,0)))*conv_2026*N$7</f>
        <v>1197535.4421378758</v>
      </c>
      <c r="O61" s="31">
        <f>(INDEX(Option4!O$106:O$117, MATCH($D61, Option4!$G$106:$G$117,0)))*conv_2026*O$7</f>
        <v>1191019.7771097464</v>
      </c>
      <c r="P61" s="31">
        <f>(INDEX(Option4!P$106:P$117, MATCH($D61, Option4!$G$106:$G$117,0)))*conv_2026*P$7</f>
        <v>1184503.6895454132</v>
      </c>
      <c r="Q61" s="31">
        <f>(INDEX(Option4!Q$106:Q$117, MATCH($D61, Option4!$G$106:$G$117,0)))*conv_2026*Q$7</f>
        <v>1177987.6019810804</v>
      </c>
      <c r="R61" s="31">
        <f>(INDEX(Option4!R$106:R$117, MATCH($D61, Option4!$G$106:$G$117,0)))*conv_2026*R$7</f>
        <v>1171471.5144167466</v>
      </c>
      <c r="S61" s="31">
        <f>(INDEX(Option4!S$106:S$117, MATCH($D61, Option4!$G$106:$G$117,0)))*conv_2026*S$7</f>
        <v>1164955.4268524128</v>
      </c>
      <c r="T61" s="31">
        <f>(INDEX(Option4!T$106:T$117, MATCH($D61, Option4!$G$106:$G$117,0)))*conv_2026*T$7</f>
        <v>1158439.3392880796</v>
      </c>
      <c r="U61" s="31">
        <f>(INDEX(Option4!U$106:U$117, MATCH($D61, Option4!$G$106:$G$117,0)))*conv_2026*U$7</f>
        <v>1151923.2517237461</v>
      </c>
      <c r="V61" s="31">
        <f>(INDEX(Option4!V$106:V$117, MATCH($D61, Option4!$G$106:$G$117,0)))*conv_2026*V$7</f>
        <v>1145407.164159412</v>
      </c>
      <c r="W61" s="31">
        <f>(INDEX(Option4!W$106:W$117, MATCH($D61, Option4!$G$106:$G$117,0)))*conv_2026*W$7</f>
        <v>1138891.0765950789</v>
      </c>
      <c r="X61" s="31">
        <f>(INDEX(Option4!X$106:X$117, MATCH($D61, Option4!$G$106:$G$117,0)))*conv_2026*X$7</f>
        <v>1132374.9890307453</v>
      </c>
      <c r="Y61" s="31">
        <f>(INDEX(Option4!Y$106:Y$117, MATCH($D61, Option4!$G$106:$G$117,0)))*conv_2026*Y$7</f>
        <v>1125858.9014664118</v>
      </c>
      <c r="Z61" s="31">
        <f>(INDEX(Option4!Z$106:Z$117, MATCH($D61, Option4!$G$106:$G$117,0)))*conv_2026*Z$7</f>
        <v>1119342.8139020782</v>
      </c>
      <c r="AA61" s="31">
        <f>(INDEX(Option4!AA$106:AA$117, MATCH($D61, Option4!$G$106:$G$117,0)))*conv_2026*AA$7</f>
        <v>1112826.7263377446</v>
      </c>
      <c r="AB61" s="31">
        <f>(INDEX(Option4!AB$106:AB$117, MATCH($D61, Option4!$G$106:$G$117,0)))*conv_2026*AB$7</f>
        <v>1106310.638773411</v>
      </c>
      <c r="AC61" s="31">
        <f>(INDEX(Option4!AC$106:AC$117, MATCH($D61, Option4!$G$106:$G$117,0)))*conv_2026*AC$7</f>
        <v>0</v>
      </c>
      <c r="AD61" s="31">
        <f>(INDEX(Option4!AD$106:AD$117, MATCH($D61, Option4!$G$106:$G$117,0)))*conv_2026*AD$7</f>
        <v>0</v>
      </c>
      <c r="AE61" s="31">
        <f>(INDEX(Option4!AE$106:AE$117, MATCH($D61, Option4!$G$106:$G$117,0)))*conv_2026*AE$7</f>
        <v>0</v>
      </c>
      <c r="AF61" s="31">
        <f>(INDEX(Option4!AF$106:AF$117, MATCH($D61, Option4!$G$106:$G$117,0)))*conv_2026*AF$7</f>
        <v>0</v>
      </c>
      <c r="AG61" s="31">
        <f>(INDEX(Option4!AG$106:AG$117, MATCH($D61, Option4!$G$106:$G$117,0)))*conv_2026*AG$7</f>
        <v>0</v>
      </c>
    </row>
    <row r="62" spans="1:35" s="8" customFormat="1" ht="13" x14ac:dyDescent="0.3">
      <c r="A62" s="253" t="s">
        <v>134</v>
      </c>
      <c r="B62" s="253" t="str">
        <f>Option4!A114</f>
        <v>sens5</v>
      </c>
      <c r="C62" s="253" t="str">
        <f>Option4!C114</f>
        <v>Capex 10% higher &amp; Total benefits 10% lower</v>
      </c>
      <c r="D62" s="253" t="str">
        <f t="shared" si="7"/>
        <v>Option 4sens5</v>
      </c>
      <c r="E62" s="254"/>
      <c r="F62" s="31">
        <f t="shared" si="6"/>
        <v>15566227.624306835</v>
      </c>
      <c r="H62" s="31">
        <f>(INDEX(Option4!H$106:H$117, MATCH($D62, Option4!$G$106:$G$117,0)))*conv_2026*H$7</f>
        <v>0</v>
      </c>
      <c r="I62" s="31">
        <f>(INDEX(Option4!I$106:I$117, MATCH($D62, Option4!$G$106:$G$117,0)))*conv_2026*I$7</f>
        <v>0</v>
      </c>
      <c r="J62" s="31">
        <f>(INDEX(Option4!J$106:J$117, MATCH($D62, Option4!$G$106:$G$117,0)))*conv_2026*J$7</f>
        <v>1265573.3120986053</v>
      </c>
      <c r="K62" s="31">
        <f>(INDEX(Option4!K$106:K$117, MATCH($D62, Option4!$G$106:$G$117,0)))*conv_2026*K$7</f>
        <v>1147331.4873996817</v>
      </c>
      <c r="L62" s="31">
        <f>(INDEX(Option4!L$106:L$117, MATCH($D62, Option4!$G$106:$G$117,0)))*conv_2026*L$7</f>
        <v>1168182.9957178368</v>
      </c>
      <c r="M62" s="31">
        <f>(INDEX(Option4!M$106:M$117, MATCH($D62, Option4!$G$106:$G$117,0)))*conv_2026*M$7</f>
        <v>1189034.3157688524</v>
      </c>
      <c r="N62" s="31">
        <f>(INDEX(Option4!N$106:N$117, MATCH($D62, Option4!$G$106:$G$117,0)))*conv_2026*N$7</f>
        <v>1182518.2784658822</v>
      </c>
      <c r="O62" s="31">
        <f>(INDEX(Option4!O$106:O$117, MATCH($D62, Option4!$G$106:$G$117,0)))*conv_2026*O$7</f>
        <v>1176002.6134377529</v>
      </c>
      <c r="P62" s="31">
        <f>(INDEX(Option4!P$106:P$117, MATCH($D62, Option4!$G$106:$G$117,0)))*conv_2026*P$7</f>
        <v>1169486.5258734201</v>
      </c>
      <c r="Q62" s="31">
        <f>(INDEX(Option4!Q$106:Q$117, MATCH($D62, Option4!$G$106:$G$117,0)))*conv_2026*Q$7</f>
        <v>1162970.438309087</v>
      </c>
      <c r="R62" s="31">
        <f>(INDEX(Option4!R$106:R$117, MATCH($D62, Option4!$G$106:$G$117,0)))*conv_2026*R$7</f>
        <v>1156454.3507447534</v>
      </c>
      <c r="S62" s="31">
        <f>(INDEX(Option4!S$106:S$117, MATCH($D62, Option4!$G$106:$G$117,0)))*conv_2026*S$7</f>
        <v>1149938.2631804193</v>
      </c>
      <c r="T62" s="31">
        <f>(INDEX(Option4!T$106:T$117, MATCH($D62, Option4!$G$106:$G$117,0)))*conv_2026*T$7</f>
        <v>1143422.1756160862</v>
      </c>
      <c r="U62" s="31">
        <f>(INDEX(Option4!U$106:U$117, MATCH($D62, Option4!$G$106:$G$117,0)))*conv_2026*U$7</f>
        <v>1136906.0880517527</v>
      </c>
      <c r="V62" s="31">
        <f>(INDEX(Option4!V$106:V$117, MATCH($D62, Option4!$G$106:$G$117,0)))*conv_2026*V$7</f>
        <v>1130390.0004874186</v>
      </c>
      <c r="W62" s="31">
        <f>(INDEX(Option4!W$106:W$117, MATCH($D62, Option4!$G$106:$G$117,0)))*conv_2026*W$7</f>
        <v>1123873.9129230855</v>
      </c>
      <c r="X62" s="31">
        <f>(INDEX(Option4!X$106:X$117, MATCH($D62, Option4!$G$106:$G$117,0)))*conv_2026*X$7</f>
        <v>1117357.8253587519</v>
      </c>
      <c r="Y62" s="31">
        <f>(INDEX(Option4!Y$106:Y$117, MATCH($D62, Option4!$G$106:$G$117,0)))*conv_2026*Y$7</f>
        <v>1110841.7377944184</v>
      </c>
      <c r="Z62" s="31">
        <f>(INDEX(Option4!Z$106:Z$117, MATCH($D62, Option4!$G$106:$G$117,0)))*conv_2026*Z$7</f>
        <v>1104325.6502300848</v>
      </c>
      <c r="AA62" s="31">
        <f>(INDEX(Option4!AA$106:AA$117, MATCH($D62, Option4!$G$106:$G$117,0)))*conv_2026*AA$7</f>
        <v>1097809.5626657512</v>
      </c>
      <c r="AB62" s="31">
        <f>(INDEX(Option4!AB$106:AB$117, MATCH($D62, Option4!$G$106:$G$117,0)))*conv_2026*AB$7</f>
        <v>1091293.4751014176</v>
      </c>
      <c r="AC62" s="31">
        <f>(INDEX(Option4!AC$106:AC$117, MATCH($D62, Option4!$G$106:$G$117,0)))*conv_2026*AC$7</f>
        <v>0</v>
      </c>
      <c r="AD62" s="31">
        <f>(INDEX(Option4!AD$106:AD$117, MATCH($D62, Option4!$G$106:$G$117,0)))*conv_2026*AD$7</f>
        <v>0</v>
      </c>
      <c r="AE62" s="31">
        <f>(INDEX(Option4!AE$106:AE$117, MATCH($D62, Option4!$G$106:$G$117,0)))*conv_2026*AE$7</f>
        <v>0</v>
      </c>
      <c r="AF62" s="31">
        <f>(INDEX(Option4!AF$106:AF$117, MATCH($D62, Option4!$G$106:$G$117,0)))*conv_2026*AF$7</f>
        <v>0</v>
      </c>
      <c r="AG62" s="31">
        <f>(INDEX(Option4!AG$106:AG$117, MATCH($D62, Option4!$G$106:$G$117,0)))*conv_2026*AG$7</f>
        <v>0</v>
      </c>
    </row>
    <row r="63" spans="1:35" s="8" customFormat="1" ht="13" x14ac:dyDescent="0.3">
      <c r="A63" s="253" t="s">
        <v>134</v>
      </c>
      <c r="B63" s="253" t="str">
        <f>Option4!A115</f>
        <v>sens</v>
      </c>
      <c r="C63" s="253">
        <f>Option4!C115</f>
        <v>0</v>
      </c>
      <c r="D63" s="253" t="str">
        <f t="shared" si="7"/>
        <v>Option 4sens</v>
      </c>
      <c r="E63" s="254"/>
      <c r="F63" s="31">
        <f t="shared" si="6"/>
        <v>17718837.332978185</v>
      </c>
      <c r="H63" s="31">
        <f>(INDEX(Option4!H$106:H$117, MATCH($D63, Option4!$G$106:$G$117,0)))*conv_2026*H$7</f>
        <v>0</v>
      </c>
      <c r="I63" s="31">
        <f>(INDEX(Option4!I$106:I$117, MATCH($D63, Option4!$G$106:$G$117,0)))*conv_2026*I$7</f>
        <v>0</v>
      </c>
      <c r="J63" s="31">
        <f>(INDEX(Option4!J$106:J$117, MATCH($D63, Option4!$G$106:$G$117,0)))*conv_2026*J$7</f>
        <v>1411464.5239473684</v>
      </c>
      <c r="K63" s="31">
        <f>(INDEX(Option4!K$106:K$117, MATCH($D63, Option4!$G$106:$G$117,0)))*conv_2026*K$7</f>
        <v>1308184.238604076</v>
      </c>
      <c r="L63" s="31">
        <f>(INDEX(Option4!L$106:L$117, MATCH($D63, Option4!$G$106:$G$117,0)))*conv_2026*L$7</f>
        <v>1331352.5811798042</v>
      </c>
      <c r="M63" s="31">
        <f>(INDEX(Option4!M$106:M$117, MATCH($D63, Option4!$G$106:$G$117,0)))*conv_2026*M$7</f>
        <v>1354520.7145698213</v>
      </c>
      <c r="N63" s="31">
        <f>(INDEX(Option4!N$106:N$117, MATCH($D63, Option4!$G$106:$G$117,0)))*conv_2026*N$7</f>
        <v>1347280.6731220768</v>
      </c>
      <c r="O63" s="31">
        <f>(INDEX(Option4!O$106:O$117, MATCH($D63, Option4!$G$106:$G$117,0)))*conv_2026*O$7</f>
        <v>1340041.0453130442</v>
      </c>
      <c r="P63" s="31">
        <f>(INDEX(Option4!P$106:P$117, MATCH($D63, Option4!$G$106:$G$117,0)))*conv_2026*P$7</f>
        <v>1332800.9480193409</v>
      </c>
      <c r="Q63" s="31">
        <f>(INDEX(Option4!Q$106:Q$117, MATCH($D63, Option4!$G$106:$G$117,0)))*conv_2026*Q$7</f>
        <v>1325560.8507256373</v>
      </c>
      <c r="R63" s="31">
        <f>(INDEX(Option4!R$106:R$117, MATCH($D63, Option4!$G$106:$G$117,0)))*conv_2026*R$7</f>
        <v>1318320.7534319335</v>
      </c>
      <c r="S63" s="31">
        <f>(INDEX(Option4!S$106:S$117, MATCH($D63, Option4!$G$106:$G$117,0)))*conv_2026*S$7</f>
        <v>1311080.656138229</v>
      </c>
      <c r="T63" s="31">
        <f>(INDEX(Option4!T$106:T$117, MATCH($D63, Option4!$G$106:$G$117,0)))*conv_2026*T$7</f>
        <v>1303840.5588445256</v>
      </c>
      <c r="U63" s="31">
        <f>(INDEX(Option4!U$106:U$117, MATCH($D63, Option4!$G$106:$G$117,0)))*conv_2026*U$7</f>
        <v>1296600.4615508216</v>
      </c>
      <c r="V63" s="31">
        <f>(INDEX(Option4!V$106:V$117, MATCH($D63, Option4!$G$106:$G$117,0)))*conv_2026*V$7</f>
        <v>1289360.364257117</v>
      </c>
      <c r="W63" s="31">
        <f>(INDEX(Option4!W$106:W$117, MATCH($D63, Option4!$G$106:$G$117,0)))*conv_2026*W$7</f>
        <v>1282120.2669634137</v>
      </c>
      <c r="X63" s="31">
        <f>(INDEX(Option4!X$106:X$117, MATCH($D63, Option4!$G$106:$G$117,0)))*conv_2026*X$7</f>
        <v>1274880.1696697096</v>
      </c>
      <c r="Y63" s="31">
        <f>(INDEX(Option4!Y$106:Y$117, MATCH($D63, Option4!$G$106:$G$117,0)))*conv_2026*Y$7</f>
        <v>1267640.0723760058</v>
      </c>
      <c r="Z63" s="31">
        <f>(INDEX(Option4!Z$106:Z$117, MATCH($D63, Option4!$G$106:$G$117,0)))*conv_2026*Z$7</f>
        <v>1260399.9750823018</v>
      </c>
      <c r="AA63" s="31">
        <f>(INDEX(Option4!AA$106:AA$117, MATCH($D63, Option4!$G$106:$G$117,0)))*conv_2026*AA$7</f>
        <v>1253159.877788598</v>
      </c>
      <c r="AB63" s="31">
        <f>(INDEX(Option4!AB$106:AB$117, MATCH($D63, Option4!$G$106:$G$117,0)))*conv_2026*AB$7</f>
        <v>1245919.7804948939</v>
      </c>
      <c r="AC63" s="31">
        <f>(INDEX(Option4!AC$106:AC$117, MATCH($D63, Option4!$G$106:$G$117,0)))*conv_2026*AC$7</f>
        <v>0</v>
      </c>
      <c r="AD63" s="31">
        <f>(INDEX(Option4!AD$106:AD$117, MATCH($D63, Option4!$G$106:$G$117,0)))*conv_2026*AD$7</f>
        <v>0</v>
      </c>
      <c r="AE63" s="31">
        <f>(INDEX(Option4!AE$106:AE$117, MATCH($D63, Option4!$G$106:$G$117,0)))*conv_2026*AE$7</f>
        <v>0</v>
      </c>
      <c r="AF63" s="31">
        <f>(INDEX(Option4!AF$106:AF$117, MATCH($D63, Option4!$G$106:$G$117,0)))*conv_2026*AF$7</f>
        <v>0</v>
      </c>
      <c r="AG63" s="31">
        <f>(INDEX(Option4!AG$106:AG$117, MATCH($D63, Option4!$G$106:$G$117,0)))*conv_2026*AG$7</f>
        <v>0</v>
      </c>
    </row>
    <row r="64" spans="1:35" s="8" customFormat="1" ht="13" x14ac:dyDescent="0.3">
      <c r="A64" s="253" t="s">
        <v>134</v>
      </c>
      <c r="B64" s="253" t="str">
        <f>Option4!A116</f>
        <v>sens</v>
      </c>
      <c r="C64" s="253">
        <f>Option4!C116</f>
        <v>0</v>
      </c>
      <c r="D64" s="253" t="str">
        <f t="shared" si="7"/>
        <v>Option 4sens</v>
      </c>
      <c r="E64" s="254"/>
      <c r="F64" s="31">
        <f t="shared" si="6"/>
        <v>17718837.332978185</v>
      </c>
      <c r="H64" s="31">
        <f>(INDEX(Option4!H$106:H$117, MATCH($D64, Option4!$G$106:$G$117,0)))*conv_2026*H$7</f>
        <v>0</v>
      </c>
      <c r="I64" s="31">
        <f>(INDEX(Option4!I$106:I$117, MATCH($D64, Option4!$G$106:$G$117,0)))*conv_2026*I$7</f>
        <v>0</v>
      </c>
      <c r="J64" s="31">
        <f>(INDEX(Option4!J$106:J$117, MATCH($D64, Option4!$G$106:$G$117,0)))*conv_2026*J$7</f>
        <v>1411464.5239473684</v>
      </c>
      <c r="K64" s="31">
        <f>(INDEX(Option4!K$106:K$117, MATCH($D64, Option4!$G$106:$G$117,0)))*conv_2026*K$7</f>
        <v>1308184.238604076</v>
      </c>
      <c r="L64" s="31">
        <f>(INDEX(Option4!L$106:L$117, MATCH($D64, Option4!$G$106:$G$117,0)))*conv_2026*L$7</f>
        <v>1331352.5811798042</v>
      </c>
      <c r="M64" s="31">
        <f>(INDEX(Option4!M$106:M$117, MATCH($D64, Option4!$G$106:$G$117,0)))*conv_2026*M$7</f>
        <v>1354520.7145698213</v>
      </c>
      <c r="N64" s="31">
        <f>(INDEX(Option4!N$106:N$117, MATCH($D64, Option4!$G$106:$G$117,0)))*conv_2026*N$7</f>
        <v>1347280.6731220768</v>
      </c>
      <c r="O64" s="31">
        <f>(INDEX(Option4!O$106:O$117, MATCH($D64, Option4!$G$106:$G$117,0)))*conv_2026*O$7</f>
        <v>1340041.0453130442</v>
      </c>
      <c r="P64" s="31">
        <f>(INDEX(Option4!P$106:P$117, MATCH($D64, Option4!$G$106:$G$117,0)))*conv_2026*P$7</f>
        <v>1332800.9480193409</v>
      </c>
      <c r="Q64" s="31">
        <f>(INDEX(Option4!Q$106:Q$117, MATCH($D64, Option4!$G$106:$G$117,0)))*conv_2026*Q$7</f>
        <v>1325560.8507256373</v>
      </c>
      <c r="R64" s="31">
        <f>(INDEX(Option4!R$106:R$117, MATCH($D64, Option4!$G$106:$G$117,0)))*conv_2026*R$7</f>
        <v>1318320.7534319335</v>
      </c>
      <c r="S64" s="31">
        <f>(INDEX(Option4!S$106:S$117, MATCH($D64, Option4!$G$106:$G$117,0)))*conv_2026*S$7</f>
        <v>1311080.656138229</v>
      </c>
      <c r="T64" s="31">
        <f>(INDEX(Option4!T$106:T$117, MATCH($D64, Option4!$G$106:$G$117,0)))*conv_2026*T$7</f>
        <v>1303840.5588445256</v>
      </c>
      <c r="U64" s="31">
        <f>(INDEX(Option4!U$106:U$117, MATCH($D64, Option4!$G$106:$G$117,0)))*conv_2026*U$7</f>
        <v>1296600.4615508216</v>
      </c>
      <c r="V64" s="31">
        <f>(INDEX(Option4!V$106:V$117, MATCH($D64, Option4!$G$106:$G$117,0)))*conv_2026*V$7</f>
        <v>1289360.364257117</v>
      </c>
      <c r="W64" s="31">
        <f>(INDEX(Option4!W$106:W$117, MATCH($D64, Option4!$G$106:$G$117,0)))*conv_2026*W$7</f>
        <v>1282120.2669634137</v>
      </c>
      <c r="X64" s="31">
        <f>(INDEX(Option4!X$106:X$117, MATCH($D64, Option4!$G$106:$G$117,0)))*conv_2026*X$7</f>
        <v>1274880.1696697096</v>
      </c>
      <c r="Y64" s="31">
        <f>(INDEX(Option4!Y$106:Y$117, MATCH($D64, Option4!$G$106:$G$117,0)))*conv_2026*Y$7</f>
        <v>1267640.0723760058</v>
      </c>
      <c r="Z64" s="31">
        <f>(INDEX(Option4!Z$106:Z$117, MATCH($D64, Option4!$G$106:$G$117,0)))*conv_2026*Z$7</f>
        <v>1260399.9750823018</v>
      </c>
      <c r="AA64" s="31">
        <f>(INDEX(Option4!AA$106:AA$117, MATCH($D64, Option4!$G$106:$G$117,0)))*conv_2026*AA$7</f>
        <v>1253159.877788598</v>
      </c>
      <c r="AB64" s="31">
        <f>(INDEX(Option4!AB$106:AB$117, MATCH($D64, Option4!$G$106:$G$117,0)))*conv_2026*AB$7</f>
        <v>1245919.7804948939</v>
      </c>
      <c r="AC64" s="31">
        <f>(INDEX(Option4!AC$106:AC$117, MATCH($D64, Option4!$G$106:$G$117,0)))*conv_2026*AC$7</f>
        <v>0</v>
      </c>
      <c r="AD64" s="31">
        <f>(INDEX(Option4!AD$106:AD$117, MATCH($D64, Option4!$G$106:$G$117,0)))*conv_2026*AD$7</f>
        <v>0</v>
      </c>
      <c r="AE64" s="31">
        <f>(INDEX(Option4!AE$106:AE$117, MATCH($D64, Option4!$G$106:$G$117,0)))*conv_2026*AE$7</f>
        <v>0</v>
      </c>
      <c r="AF64" s="31">
        <f>(INDEX(Option4!AF$106:AF$117, MATCH($D64, Option4!$G$106:$G$117,0)))*conv_2026*AF$7</f>
        <v>0</v>
      </c>
      <c r="AG64" s="31">
        <f>(INDEX(Option4!AG$106:AG$117, MATCH($D64, Option4!$G$106:$G$117,0)))*conv_2026*AG$7</f>
        <v>0</v>
      </c>
    </row>
    <row r="65" spans="1:35" s="8" customFormat="1" ht="13" x14ac:dyDescent="0.3">
      <c r="A65" s="253" t="s">
        <v>134</v>
      </c>
      <c r="B65" s="253" t="str">
        <f>Option4!A117</f>
        <v>sens</v>
      </c>
      <c r="C65" s="253">
        <f>Option4!C117</f>
        <v>0</v>
      </c>
      <c r="D65" s="253" t="str">
        <f t="shared" si="7"/>
        <v>Option 4sens</v>
      </c>
      <c r="E65" s="254"/>
      <c r="F65" s="31">
        <f t="shared" si="6"/>
        <v>17718837.332978185</v>
      </c>
      <c r="H65" s="31">
        <f>(INDEX(Option4!H$106:H$117, MATCH($D65, Option4!$G$106:$G$117,0)))*conv_2026*H$7</f>
        <v>0</v>
      </c>
      <c r="I65" s="31">
        <f>(INDEX(Option4!I$106:I$117, MATCH($D65, Option4!$G$106:$G$117,0)))*conv_2026*I$7</f>
        <v>0</v>
      </c>
      <c r="J65" s="31">
        <f>(INDEX(Option4!J$106:J$117, MATCH($D65, Option4!$G$106:$G$117,0)))*conv_2026*J$7</f>
        <v>1411464.5239473684</v>
      </c>
      <c r="K65" s="31">
        <f>(INDEX(Option4!K$106:K$117, MATCH($D65, Option4!$G$106:$G$117,0)))*conv_2026*K$7</f>
        <v>1308184.238604076</v>
      </c>
      <c r="L65" s="31">
        <f>(INDEX(Option4!L$106:L$117, MATCH($D65, Option4!$G$106:$G$117,0)))*conv_2026*L$7</f>
        <v>1331352.5811798042</v>
      </c>
      <c r="M65" s="31">
        <f>(INDEX(Option4!M$106:M$117, MATCH($D65, Option4!$G$106:$G$117,0)))*conv_2026*M$7</f>
        <v>1354520.7145698213</v>
      </c>
      <c r="N65" s="31">
        <f>(INDEX(Option4!N$106:N$117, MATCH($D65, Option4!$G$106:$G$117,0)))*conv_2026*N$7</f>
        <v>1347280.6731220768</v>
      </c>
      <c r="O65" s="31">
        <f>(INDEX(Option4!O$106:O$117, MATCH($D65, Option4!$G$106:$G$117,0)))*conv_2026*O$7</f>
        <v>1340041.0453130442</v>
      </c>
      <c r="P65" s="31">
        <f>(INDEX(Option4!P$106:P$117, MATCH($D65, Option4!$G$106:$G$117,0)))*conv_2026*P$7</f>
        <v>1332800.9480193409</v>
      </c>
      <c r="Q65" s="31">
        <f>(INDEX(Option4!Q$106:Q$117, MATCH($D65, Option4!$G$106:$G$117,0)))*conv_2026*Q$7</f>
        <v>1325560.8507256373</v>
      </c>
      <c r="R65" s="31">
        <f>(INDEX(Option4!R$106:R$117, MATCH($D65, Option4!$G$106:$G$117,0)))*conv_2026*R$7</f>
        <v>1318320.7534319335</v>
      </c>
      <c r="S65" s="31">
        <f>(INDEX(Option4!S$106:S$117, MATCH($D65, Option4!$G$106:$G$117,0)))*conv_2026*S$7</f>
        <v>1311080.656138229</v>
      </c>
      <c r="T65" s="31">
        <f>(INDEX(Option4!T$106:T$117, MATCH($D65, Option4!$G$106:$G$117,0)))*conv_2026*T$7</f>
        <v>1303840.5588445256</v>
      </c>
      <c r="U65" s="31">
        <f>(INDEX(Option4!U$106:U$117, MATCH($D65, Option4!$G$106:$G$117,0)))*conv_2026*U$7</f>
        <v>1296600.4615508216</v>
      </c>
      <c r="V65" s="31">
        <f>(INDEX(Option4!V$106:V$117, MATCH($D65, Option4!$G$106:$G$117,0)))*conv_2026*V$7</f>
        <v>1289360.364257117</v>
      </c>
      <c r="W65" s="31">
        <f>(INDEX(Option4!W$106:W$117, MATCH($D65, Option4!$G$106:$G$117,0)))*conv_2026*W$7</f>
        <v>1282120.2669634137</v>
      </c>
      <c r="X65" s="31">
        <f>(INDEX(Option4!X$106:X$117, MATCH($D65, Option4!$G$106:$G$117,0)))*conv_2026*X$7</f>
        <v>1274880.1696697096</v>
      </c>
      <c r="Y65" s="31">
        <f>(INDEX(Option4!Y$106:Y$117, MATCH($D65, Option4!$G$106:$G$117,0)))*conv_2026*Y$7</f>
        <v>1267640.0723760058</v>
      </c>
      <c r="Z65" s="31">
        <f>(INDEX(Option4!Z$106:Z$117, MATCH($D65, Option4!$G$106:$G$117,0)))*conv_2026*Z$7</f>
        <v>1260399.9750823018</v>
      </c>
      <c r="AA65" s="31">
        <f>(INDEX(Option4!AA$106:AA$117, MATCH($D65, Option4!$G$106:$G$117,0)))*conv_2026*AA$7</f>
        <v>1253159.877788598</v>
      </c>
      <c r="AB65" s="31">
        <f>(INDEX(Option4!AB$106:AB$117, MATCH($D65, Option4!$G$106:$G$117,0)))*conv_2026*AB$7</f>
        <v>1245919.7804948939</v>
      </c>
      <c r="AC65" s="31">
        <f>(INDEX(Option4!AC$106:AC$117, MATCH($D65, Option4!$G$106:$G$117,0)))*conv_2026*AC$7</f>
        <v>0</v>
      </c>
      <c r="AD65" s="31">
        <f>(INDEX(Option4!AD$106:AD$117, MATCH($D65, Option4!$G$106:$G$117,0)))*conv_2026*AD$7</f>
        <v>0</v>
      </c>
      <c r="AE65" s="31">
        <f>(INDEX(Option4!AE$106:AE$117, MATCH($D65, Option4!$G$106:$G$117,0)))*conv_2026*AE$7</f>
        <v>0</v>
      </c>
      <c r="AF65" s="31">
        <f>(INDEX(Option4!AF$106:AF$117, MATCH($D65, Option4!$G$106:$G$117,0)))*conv_2026*AF$7</f>
        <v>0</v>
      </c>
      <c r="AG65" s="31">
        <f>(INDEX(Option4!AG$106:AG$117, MATCH($D65, Option4!$G$106:$G$117,0)))*conv_2026*AG$7</f>
        <v>0</v>
      </c>
    </row>
    <row r="66" spans="1:35" s="8" customFormat="1" ht="13" x14ac:dyDescent="0.3">
      <c r="A66" s="253"/>
      <c r="B66" s="253"/>
      <c r="C66" s="253"/>
      <c r="D66" s="253"/>
      <c r="E66" s="253"/>
      <c r="F66" s="31"/>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row>
    <row r="67" spans="1:35" s="8" customFormat="1" ht="13" x14ac:dyDescent="0.3">
      <c r="A67" s="253"/>
      <c r="B67" s="253"/>
      <c r="C67" s="253"/>
      <c r="D67" s="253"/>
      <c r="E67" s="253"/>
      <c r="F67" s="31"/>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row>
    <row r="68" spans="1:35" s="8" customFormat="1" ht="13" x14ac:dyDescent="0.3">
      <c r="A68" s="253"/>
      <c r="B68" s="253"/>
      <c r="C68" s="253"/>
      <c r="D68" s="253"/>
      <c r="E68" s="253"/>
      <c r="F68" s="31"/>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row>
    <row r="69" spans="1:35" s="8" customFormat="1" ht="13" x14ac:dyDescent="0.3">
      <c r="A69" s="253"/>
      <c r="B69" s="253"/>
      <c r="C69" s="253"/>
      <c r="D69" s="253"/>
      <c r="E69" s="253"/>
      <c r="F69" s="31"/>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row>
    <row r="70" spans="1:35" s="8" customFormat="1" ht="13" x14ac:dyDescent="0.3">
      <c r="A70" s="253" t="s">
        <v>160</v>
      </c>
      <c r="B70" s="253" t="s">
        <v>120</v>
      </c>
      <c r="C70" s="253" t="s">
        <v>194</v>
      </c>
      <c r="D70" s="253" t="str">
        <f>A70&amp;B70</f>
        <v>Option 5NPV</v>
      </c>
      <c r="E70" s="254"/>
      <c r="F70" s="31">
        <f t="shared" ref="F70:F79" si="8">SUMPRODUCT($H70:$AG70, $H$5:$AG$5)</f>
        <v>0</v>
      </c>
      <c r="G70" s="246"/>
      <c r="H70" s="31">
        <f>(INDEX(Option5!H$106:H$117, MATCH($D70, Option5!$G$106:$G$117,0)))*conv_2026*H$7</f>
        <v>0</v>
      </c>
      <c r="I70" s="31">
        <f>(INDEX(Option5!I$106:I$117, MATCH($D70, Option5!$G$106:$G$117,0)))*conv_2026*I$7</f>
        <v>0</v>
      </c>
      <c r="J70" s="31">
        <f>(INDEX(Option5!J$106:J$117, MATCH($D70, Option5!$G$106:$G$117,0)))*conv_2026*J$7</f>
        <v>0</v>
      </c>
      <c r="K70" s="31">
        <f>(INDEX(Option5!K$106:K$117, MATCH($D70, Option5!$G$106:$G$117,0)))*conv_2026*K$7</f>
        <v>0</v>
      </c>
      <c r="L70" s="31">
        <f>(INDEX(Option5!L$106:L$117, MATCH($D70, Option5!$G$106:$G$117,0)))*conv_2026*L$7</f>
        <v>0</v>
      </c>
      <c r="M70" s="31">
        <f>(INDEX(Option5!M$106:M$117, MATCH($D70, Option5!$G$106:$G$117,0)))*conv_2026*M$7</f>
        <v>0</v>
      </c>
      <c r="N70" s="31">
        <f>(INDEX(Option5!N$106:N$117, MATCH($D70, Option5!$G$106:$G$117,0)))*conv_2026*N$7</f>
        <v>0</v>
      </c>
      <c r="O70" s="31">
        <f>(INDEX(Option5!O$106:O$117, MATCH($D70, Option5!$G$106:$G$117,0)))*conv_2026*O$7</f>
        <v>0</v>
      </c>
      <c r="P70" s="31">
        <f>(INDEX(Option5!P$106:P$117, MATCH($D70, Option5!$G$106:$G$117,0)))*conv_2026*P$7</f>
        <v>0</v>
      </c>
      <c r="Q70" s="31">
        <f>(INDEX(Option5!Q$106:Q$117, MATCH($D70, Option5!$G$106:$G$117,0)))*conv_2026*Q$7</f>
        <v>0</v>
      </c>
      <c r="R70" s="31">
        <f>(INDEX(Option5!R$106:R$117, MATCH($D70, Option5!$G$106:$G$117,0)))*conv_2026*R$7</f>
        <v>0</v>
      </c>
      <c r="S70" s="31">
        <f>(INDEX(Option5!S$106:S$117, MATCH($D70, Option5!$G$106:$G$117,0)))*conv_2026*S$7</f>
        <v>0</v>
      </c>
      <c r="T70" s="31">
        <f>(INDEX(Option5!T$106:T$117, MATCH($D70, Option5!$G$106:$G$117,0)))*conv_2026*T$7</f>
        <v>0</v>
      </c>
      <c r="U70" s="31">
        <f>(INDEX(Option5!U$106:U$117, MATCH($D70, Option5!$G$106:$G$117,0)))*conv_2026*U$7</f>
        <v>0</v>
      </c>
      <c r="V70" s="31">
        <f>(INDEX(Option5!V$106:V$117, MATCH($D70, Option5!$G$106:$G$117,0)))*conv_2026*V$7</f>
        <v>0</v>
      </c>
      <c r="W70" s="31">
        <f>(INDEX(Option5!W$106:W$117, MATCH($D70, Option5!$G$106:$G$117,0)))*conv_2026*W$7</f>
        <v>0</v>
      </c>
      <c r="X70" s="31">
        <f>(INDEX(Option5!X$106:X$117, MATCH($D70, Option5!$G$106:$G$117,0)))*conv_2026*X$7</f>
        <v>0</v>
      </c>
      <c r="Y70" s="31">
        <f>(INDEX(Option5!Y$106:Y$117, MATCH($D70, Option5!$G$106:$G$117,0)))*conv_2026*Y$7</f>
        <v>0</v>
      </c>
      <c r="Z70" s="31">
        <f>(INDEX(Option5!Z$106:Z$117, MATCH($D70, Option5!$G$106:$G$117,0)))*conv_2026*Z$7</f>
        <v>0</v>
      </c>
      <c r="AA70" s="31">
        <f>(INDEX(Option5!AA$106:AA$117, MATCH($D70, Option5!$G$106:$G$117,0)))*conv_2026*AA$7</f>
        <v>0</v>
      </c>
      <c r="AB70" s="31">
        <f>(INDEX(Option5!AB$106:AB$117, MATCH($D70, Option5!$G$106:$G$117,0)))*conv_2026*AB$7</f>
        <v>0</v>
      </c>
      <c r="AC70" s="31">
        <f>(INDEX(Option5!AC$106:AC$117, MATCH($D70, Option5!$G$106:$G$117,0)))*conv_2026*AC$7</f>
        <v>0</v>
      </c>
      <c r="AD70" s="31">
        <f>(INDEX(Option5!AD$106:AD$117, MATCH($D70, Option5!$G$106:$G$117,0)))*conv_2026*AD$7</f>
        <v>0</v>
      </c>
      <c r="AE70" s="31">
        <f>(INDEX(Option5!AE$106:AE$117, MATCH($D70, Option5!$G$106:$G$117,0)))*conv_2026*AE$7</f>
        <v>0</v>
      </c>
      <c r="AF70" s="31">
        <f>(INDEX(Option5!AF$106:AF$117, MATCH($D70, Option5!$G$106:$G$117,0)))*conv_2026*AF$7</f>
        <v>0</v>
      </c>
      <c r="AG70" s="31">
        <f>(INDEX(Option5!AG$106:AG$117, MATCH($D70, Option5!$G$106:$G$117,0)))*conv_2026*AG$7</f>
        <v>0</v>
      </c>
      <c r="AH70" s="7"/>
      <c r="AI70" s="7"/>
    </row>
    <row r="71" spans="1:35" s="8" customFormat="1" ht="13" x14ac:dyDescent="0.3">
      <c r="A71" s="245"/>
      <c r="B71" s="245"/>
      <c r="C71" s="245"/>
      <c r="D71" s="245"/>
      <c r="E71" s="245"/>
      <c r="F71" s="245"/>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7"/>
      <c r="AI71" s="7"/>
    </row>
    <row r="72" spans="1:35" s="8" customFormat="1" ht="13" x14ac:dyDescent="0.3">
      <c r="A72" s="253" t="s">
        <v>160</v>
      </c>
      <c r="B72" s="253" t="str">
        <f>Option5!A110</f>
        <v>sens1</v>
      </c>
      <c r="C72" s="253" t="str">
        <f>Option5!C110</f>
        <v>Capex 10% higher</v>
      </c>
      <c r="D72" s="253" t="str">
        <f t="shared" ref="D72:D79" si="9">A72&amp;B72</f>
        <v>Option 5sens1</v>
      </c>
      <c r="E72" s="254"/>
      <c r="F72" s="31">
        <f t="shared" si="8"/>
        <v>0</v>
      </c>
      <c r="G72" s="246"/>
      <c r="H72" s="31">
        <f>(INDEX(Option5!H$106:H$117, MATCH($D72, Option5!$G$106:$G$117,0)))*conv_2026*H$7</f>
        <v>0</v>
      </c>
      <c r="I72" s="31">
        <f>(INDEX(Option5!I$106:I$117, MATCH($D72, Option5!$G$106:$G$117,0)))*conv_2026*I$7</f>
        <v>0</v>
      </c>
      <c r="J72" s="31">
        <f>(INDEX(Option5!J$106:J$117, MATCH($D72, Option5!$G$106:$G$117,0)))*conv_2026*J$7</f>
        <v>0</v>
      </c>
      <c r="K72" s="31">
        <f>(INDEX(Option5!K$106:K$117, MATCH($D72, Option5!$G$106:$G$117,0)))*conv_2026*K$7</f>
        <v>0</v>
      </c>
      <c r="L72" s="31">
        <f>(INDEX(Option5!L$106:L$117, MATCH($D72, Option5!$G$106:$G$117,0)))*conv_2026*L$7</f>
        <v>0</v>
      </c>
      <c r="M72" s="31">
        <f>(INDEX(Option5!M$106:M$117, MATCH($D72, Option5!$G$106:$G$117,0)))*conv_2026*M$7</f>
        <v>0</v>
      </c>
      <c r="N72" s="31">
        <f>(INDEX(Option5!N$106:N$117, MATCH($D72, Option5!$G$106:$G$117,0)))*conv_2026*N$7</f>
        <v>0</v>
      </c>
      <c r="O72" s="31">
        <f>(INDEX(Option5!O$106:O$117, MATCH($D72, Option5!$G$106:$G$117,0)))*conv_2026*O$7</f>
        <v>0</v>
      </c>
      <c r="P72" s="31">
        <f>(INDEX(Option5!P$106:P$117, MATCH($D72, Option5!$G$106:$G$117,0)))*conv_2026*P$7</f>
        <v>0</v>
      </c>
      <c r="Q72" s="31">
        <f>(INDEX(Option5!Q$106:Q$117, MATCH($D72, Option5!$G$106:$G$117,0)))*conv_2026*Q$7</f>
        <v>0</v>
      </c>
      <c r="R72" s="31">
        <f>(INDEX(Option5!R$106:R$117, MATCH($D72, Option5!$G$106:$G$117,0)))*conv_2026*R$7</f>
        <v>0</v>
      </c>
      <c r="S72" s="31">
        <f>(INDEX(Option5!S$106:S$117, MATCH($D72, Option5!$G$106:$G$117,0)))*conv_2026*S$7</f>
        <v>0</v>
      </c>
      <c r="T72" s="31">
        <f>(INDEX(Option5!T$106:T$117, MATCH($D72, Option5!$G$106:$G$117,0)))*conv_2026*T$7</f>
        <v>0</v>
      </c>
      <c r="U72" s="31">
        <f>(INDEX(Option5!U$106:U$117, MATCH($D72, Option5!$G$106:$G$117,0)))*conv_2026*U$7</f>
        <v>0</v>
      </c>
      <c r="V72" s="31">
        <f>(INDEX(Option5!V$106:V$117, MATCH($D72, Option5!$G$106:$G$117,0)))*conv_2026*V$7</f>
        <v>0</v>
      </c>
      <c r="W72" s="31">
        <f>(INDEX(Option5!W$106:W$117, MATCH($D72, Option5!$G$106:$G$117,0)))*conv_2026*W$7</f>
        <v>0</v>
      </c>
      <c r="X72" s="31">
        <f>(INDEX(Option5!X$106:X$117, MATCH($D72, Option5!$G$106:$G$117,0)))*conv_2026*X$7</f>
        <v>0</v>
      </c>
      <c r="Y72" s="31">
        <f>(INDEX(Option5!Y$106:Y$117, MATCH($D72, Option5!$G$106:$G$117,0)))*conv_2026*Y$7</f>
        <v>0</v>
      </c>
      <c r="Z72" s="31">
        <f>(INDEX(Option5!Z$106:Z$117, MATCH($D72, Option5!$G$106:$G$117,0)))*conv_2026*Z$7</f>
        <v>0</v>
      </c>
      <c r="AA72" s="31">
        <f>(INDEX(Option5!AA$106:AA$117, MATCH($D72, Option5!$G$106:$G$117,0)))*conv_2026*AA$7</f>
        <v>0</v>
      </c>
      <c r="AB72" s="31">
        <f>(INDEX(Option5!AB$106:AB$117, MATCH($D72, Option5!$G$106:$G$117,0)))*conv_2026*AB$7</f>
        <v>0</v>
      </c>
      <c r="AC72" s="31">
        <f>(INDEX(Option5!AC$106:AC$117, MATCH($D72, Option5!$G$106:$G$117,0)))*conv_2026*AC$7</f>
        <v>0</v>
      </c>
      <c r="AD72" s="31">
        <f>(INDEX(Option5!AD$106:AD$117, MATCH($D72, Option5!$G$106:$G$117,0)))*conv_2026*AD$7</f>
        <v>0</v>
      </c>
      <c r="AE72" s="31">
        <f>(INDEX(Option5!AE$106:AE$117, MATCH($D72, Option5!$G$106:$G$117,0)))*conv_2026*AE$7</f>
        <v>0</v>
      </c>
      <c r="AF72" s="31">
        <f>(INDEX(Option5!AF$106:AF$117, MATCH($D72, Option5!$G$106:$G$117,0)))*conv_2026*AF$7</f>
        <v>0</v>
      </c>
      <c r="AG72" s="31">
        <f>(INDEX(Option5!AG$106:AG$117, MATCH($D72, Option5!$G$106:$G$117,0)))*conv_2026*AG$7</f>
        <v>0</v>
      </c>
      <c r="AH72" s="7"/>
      <c r="AI72" s="7"/>
    </row>
    <row r="73" spans="1:35" s="8" customFormat="1" ht="13" x14ac:dyDescent="0.3">
      <c r="A73" s="253" t="s">
        <v>160</v>
      </c>
      <c r="B73" s="253" t="str">
        <f>Option5!A111</f>
        <v>sens2</v>
      </c>
      <c r="C73" s="253" t="str">
        <f>Option5!C111</f>
        <v>Capex 10% lower</v>
      </c>
      <c r="D73" s="253" t="str">
        <f t="shared" si="9"/>
        <v>Option 5sens2</v>
      </c>
      <c r="E73" s="254"/>
      <c r="F73" s="31">
        <f t="shared" si="8"/>
        <v>0</v>
      </c>
      <c r="G73" s="253"/>
      <c r="H73" s="31">
        <f>(INDEX(Option5!H$106:H$117, MATCH($D73, Option5!$G$106:$G$117,0)))*conv_2026*H$7</f>
        <v>0</v>
      </c>
      <c r="I73" s="31">
        <f>(INDEX(Option5!I$106:I$117, MATCH($D73, Option5!$G$106:$G$117,0)))*conv_2026*I$7</f>
        <v>0</v>
      </c>
      <c r="J73" s="31">
        <f>(INDEX(Option5!J$106:J$117, MATCH($D73, Option5!$G$106:$G$117,0)))*conv_2026*J$7</f>
        <v>0</v>
      </c>
      <c r="K73" s="31">
        <f>(INDEX(Option5!K$106:K$117, MATCH($D73, Option5!$G$106:$G$117,0)))*conv_2026*K$7</f>
        <v>0</v>
      </c>
      <c r="L73" s="31">
        <f>(INDEX(Option5!L$106:L$117, MATCH($D73, Option5!$G$106:$G$117,0)))*conv_2026*L$7</f>
        <v>0</v>
      </c>
      <c r="M73" s="31">
        <f>(INDEX(Option5!M$106:M$117, MATCH($D73, Option5!$G$106:$G$117,0)))*conv_2026*M$7</f>
        <v>0</v>
      </c>
      <c r="N73" s="31">
        <f>(INDEX(Option5!N$106:N$117, MATCH($D73, Option5!$G$106:$G$117,0)))*conv_2026*N$7</f>
        <v>0</v>
      </c>
      <c r="O73" s="31">
        <f>(INDEX(Option5!O$106:O$117, MATCH($D73, Option5!$G$106:$G$117,0)))*conv_2026*O$7</f>
        <v>0</v>
      </c>
      <c r="P73" s="31">
        <f>(INDEX(Option5!P$106:P$117, MATCH($D73, Option5!$G$106:$G$117,0)))*conv_2026*P$7</f>
        <v>0</v>
      </c>
      <c r="Q73" s="31">
        <f>(INDEX(Option5!Q$106:Q$117, MATCH($D73, Option5!$G$106:$G$117,0)))*conv_2026*Q$7</f>
        <v>0</v>
      </c>
      <c r="R73" s="31">
        <f>(INDEX(Option5!R$106:R$117, MATCH($D73, Option5!$G$106:$G$117,0)))*conv_2026*R$7</f>
        <v>0</v>
      </c>
      <c r="S73" s="31">
        <f>(INDEX(Option5!S$106:S$117, MATCH($D73, Option5!$G$106:$G$117,0)))*conv_2026*S$7</f>
        <v>0</v>
      </c>
      <c r="T73" s="31">
        <f>(INDEX(Option5!T$106:T$117, MATCH($D73, Option5!$G$106:$G$117,0)))*conv_2026*T$7</f>
        <v>0</v>
      </c>
      <c r="U73" s="31">
        <f>(INDEX(Option5!U$106:U$117, MATCH($D73, Option5!$G$106:$G$117,0)))*conv_2026*U$7</f>
        <v>0</v>
      </c>
      <c r="V73" s="31">
        <f>(INDEX(Option5!V$106:V$117, MATCH($D73, Option5!$G$106:$G$117,0)))*conv_2026*V$7</f>
        <v>0</v>
      </c>
      <c r="W73" s="31">
        <f>(INDEX(Option5!W$106:W$117, MATCH($D73, Option5!$G$106:$G$117,0)))*conv_2026*W$7</f>
        <v>0</v>
      </c>
      <c r="X73" s="31">
        <f>(INDEX(Option5!X$106:X$117, MATCH($D73, Option5!$G$106:$G$117,0)))*conv_2026*X$7</f>
        <v>0</v>
      </c>
      <c r="Y73" s="31">
        <f>(INDEX(Option5!Y$106:Y$117, MATCH($D73, Option5!$G$106:$G$117,0)))*conv_2026*Y$7</f>
        <v>0</v>
      </c>
      <c r="Z73" s="31">
        <f>(INDEX(Option5!Z$106:Z$117, MATCH($D73, Option5!$G$106:$G$117,0)))*conv_2026*Z$7</f>
        <v>0</v>
      </c>
      <c r="AA73" s="31">
        <f>(INDEX(Option5!AA$106:AA$117, MATCH($D73, Option5!$G$106:$G$117,0)))*conv_2026*AA$7</f>
        <v>0</v>
      </c>
      <c r="AB73" s="31">
        <f>(INDEX(Option5!AB$106:AB$117, MATCH($D73, Option5!$G$106:$G$117,0)))*conv_2026*AB$7</f>
        <v>0</v>
      </c>
      <c r="AC73" s="31">
        <f>(INDEX(Option5!AC$106:AC$117, MATCH($D73, Option5!$G$106:$G$117,0)))*conv_2026*AC$7</f>
        <v>0</v>
      </c>
      <c r="AD73" s="31">
        <f>(INDEX(Option5!AD$106:AD$117, MATCH($D73, Option5!$G$106:$G$117,0)))*conv_2026*AD$7</f>
        <v>0</v>
      </c>
      <c r="AE73" s="31">
        <f>(INDEX(Option5!AE$106:AE$117, MATCH($D73, Option5!$G$106:$G$117,0)))*conv_2026*AE$7</f>
        <v>0</v>
      </c>
      <c r="AF73" s="31">
        <f>(INDEX(Option5!AF$106:AF$117, MATCH($D73, Option5!$G$106:$G$117,0)))*conv_2026*AF$7</f>
        <v>0</v>
      </c>
      <c r="AG73" s="31">
        <f>(INDEX(Option5!AG$106:AG$117, MATCH($D73, Option5!$G$106:$G$117,0)))*conv_2026*AG$7</f>
        <v>0</v>
      </c>
    </row>
    <row r="74" spans="1:35" s="8" customFormat="1" ht="13" x14ac:dyDescent="0.3">
      <c r="A74" s="253" t="s">
        <v>160</v>
      </c>
      <c r="B74" s="253" t="str">
        <f>Option5!A112</f>
        <v>sens3</v>
      </c>
      <c r="C74" s="253" t="str">
        <f>Option5!C112</f>
        <v>Total benefits 10% higher</v>
      </c>
      <c r="D74" s="253" t="str">
        <f t="shared" si="9"/>
        <v>Option 5sens3</v>
      </c>
      <c r="E74" s="254"/>
      <c r="F74" s="31">
        <f t="shared" si="8"/>
        <v>0</v>
      </c>
      <c r="H74" s="31">
        <f>(INDEX(Option5!H$106:H$117, MATCH($D74, Option5!$G$106:$G$117,0)))*conv_2026*H$7</f>
        <v>0</v>
      </c>
      <c r="I74" s="31">
        <f>(INDEX(Option5!I$106:I$117, MATCH($D74, Option5!$G$106:$G$117,0)))*conv_2026*I$7</f>
        <v>0</v>
      </c>
      <c r="J74" s="31">
        <f>(INDEX(Option5!J$106:J$117, MATCH($D74, Option5!$G$106:$G$117,0)))*conv_2026*J$7</f>
        <v>0</v>
      </c>
      <c r="K74" s="31">
        <f>(INDEX(Option5!K$106:K$117, MATCH($D74, Option5!$G$106:$G$117,0)))*conv_2026*K$7</f>
        <v>0</v>
      </c>
      <c r="L74" s="31">
        <f>(INDEX(Option5!L$106:L$117, MATCH($D74, Option5!$G$106:$G$117,0)))*conv_2026*L$7</f>
        <v>0</v>
      </c>
      <c r="M74" s="31">
        <f>(INDEX(Option5!M$106:M$117, MATCH($D74, Option5!$G$106:$G$117,0)))*conv_2026*M$7</f>
        <v>0</v>
      </c>
      <c r="N74" s="31">
        <f>(INDEX(Option5!N$106:N$117, MATCH($D74, Option5!$G$106:$G$117,0)))*conv_2026*N$7</f>
        <v>0</v>
      </c>
      <c r="O74" s="31">
        <f>(INDEX(Option5!O$106:O$117, MATCH($D74, Option5!$G$106:$G$117,0)))*conv_2026*O$7</f>
        <v>0</v>
      </c>
      <c r="P74" s="31">
        <f>(INDEX(Option5!P$106:P$117, MATCH($D74, Option5!$G$106:$G$117,0)))*conv_2026*P$7</f>
        <v>0</v>
      </c>
      <c r="Q74" s="31">
        <f>(INDEX(Option5!Q$106:Q$117, MATCH($D74, Option5!$G$106:$G$117,0)))*conv_2026*Q$7</f>
        <v>0</v>
      </c>
      <c r="R74" s="31">
        <f>(INDEX(Option5!R$106:R$117, MATCH($D74, Option5!$G$106:$G$117,0)))*conv_2026*R$7</f>
        <v>0</v>
      </c>
      <c r="S74" s="31">
        <f>(INDEX(Option5!S$106:S$117, MATCH($D74, Option5!$G$106:$G$117,0)))*conv_2026*S$7</f>
        <v>0</v>
      </c>
      <c r="T74" s="31">
        <f>(INDEX(Option5!T$106:T$117, MATCH($D74, Option5!$G$106:$G$117,0)))*conv_2026*T$7</f>
        <v>0</v>
      </c>
      <c r="U74" s="31">
        <f>(INDEX(Option5!U$106:U$117, MATCH($D74, Option5!$G$106:$G$117,0)))*conv_2026*U$7</f>
        <v>0</v>
      </c>
      <c r="V74" s="31">
        <f>(INDEX(Option5!V$106:V$117, MATCH($D74, Option5!$G$106:$G$117,0)))*conv_2026*V$7</f>
        <v>0</v>
      </c>
      <c r="W74" s="31">
        <f>(INDEX(Option5!W$106:W$117, MATCH($D74, Option5!$G$106:$G$117,0)))*conv_2026*W$7</f>
        <v>0</v>
      </c>
      <c r="X74" s="31">
        <f>(INDEX(Option5!X$106:X$117, MATCH($D74, Option5!$G$106:$G$117,0)))*conv_2026*X$7</f>
        <v>0</v>
      </c>
      <c r="Y74" s="31">
        <f>(INDEX(Option5!Y$106:Y$117, MATCH($D74, Option5!$G$106:$G$117,0)))*conv_2026*Y$7</f>
        <v>0</v>
      </c>
      <c r="Z74" s="31">
        <f>(INDEX(Option5!Z$106:Z$117, MATCH($D74, Option5!$G$106:$G$117,0)))*conv_2026*Z$7</f>
        <v>0</v>
      </c>
      <c r="AA74" s="31">
        <f>(INDEX(Option5!AA$106:AA$117, MATCH($D74, Option5!$G$106:$G$117,0)))*conv_2026*AA$7</f>
        <v>0</v>
      </c>
      <c r="AB74" s="31">
        <f>(INDEX(Option5!AB$106:AB$117, MATCH($D74, Option5!$G$106:$G$117,0)))*conv_2026*AB$7</f>
        <v>0</v>
      </c>
      <c r="AC74" s="31">
        <f>(INDEX(Option5!AC$106:AC$117, MATCH($D74, Option5!$G$106:$G$117,0)))*conv_2026*AC$7</f>
        <v>0</v>
      </c>
      <c r="AD74" s="31">
        <f>(INDEX(Option5!AD$106:AD$117, MATCH($D74, Option5!$G$106:$G$117,0)))*conv_2026*AD$7</f>
        <v>0</v>
      </c>
      <c r="AE74" s="31">
        <f>(INDEX(Option5!AE$106:AE$117, MATCH($D74, Option5!$G$106:$G$117,0)))*conv_2026*AE$7</f>
        <v>0</v>
      </c>
      <c r="AF74" s="31">
        <f>(INDEX(Option5!AF$106:AF$117, MATCH($D74, Option5!$G$106:$G$117,0)))*conv_2026*AF$7</f>
        <v>0</v>
      </c>
      <c r="AG74" s="31">
        <f>(INDEX(Option5!AG$106:AG$117, MATCH($D74, Option5!$G$106:$G$117,0)))*conv_2026*AG$7</f>
        <v>0</v>
      </c>
    </row>
    <row r="75" spans="1:35" s="8" customFormat="1" ht="13" x14ac:dyDescent="0.3">
      <c r="A75" s="253" t="s">
        <v>160</v>
      </c>
      <c r="B75" s="253" t="str">
        <f>Option5!A113</f>
        <v>sens4</v>
      </c>
      <c r="C75" s="253" t="str">
        <f>Option5!C113</f>
        <v>Total benefits 10% lower</v>
      </c>
      <c r="D75" s="253" t="str">
        <f t="shared" si="9"/>
        <v>Option 5sens4</v>
      </c>
      <c r="E75" s="254"/>
      <c r="F75" s="31">
        <f t="shared" si="8"/>
        <v>0</v>
      </c>
      <c r="H75" s="31">
        <f>(INDEX(Option5!H$106:H$117, MATCH($D75, Option5!$G$106:$G$117,0)))*conv_2026*H$7</f>
        <v>0</v>
      </c>
      <c r="I75" s="31">
        <f>(INDEX(Option5!I$106:I$117, MATCH($D75, Option5!$G$106:$G$117,0)))*conv_2026*I$7</f>
        <v>0</v>
      </c>
      <c r="J75" s="31">
        <f>(INDEX(Option5!J$106:J$117, MATCH($D75, Option5!$G$106:$G$117,0)))*conv_2026*J$7</f>
        <v>0</v>
      </c>
      <c r="K75" s="31">
        <f>(INDEX(Option5!K$106:K$117, MATCH($D75, Option5!$G$106:$G$117,0)))*conv_2026*K$7</f>
        <v>0</v>
      </c>
      <c r="L75" s="31">
        <f>(INDEX(Option5!L$106:L$117, MATCH($D75, Option5!$G$106:$G$117,0)))*conv_2026*L$7</f>
        <v>0</v>
      </c>
      <c r="M75" s="31">
        <f>(INDEX(Option5!M$106:M$117, MATCH($D75, Option5!$G$106:$G$117,0)))*conv_2026*M$7</f>
        <v>0</v>
      </c>
      <c r="N75" s="31">
        <f>(INDEX(Option5!N$106:N$117, MATCH($D75, Option5!$G$106:$G$117,0)))*conv_2026*N$7</f>
        <v>0</v>
      </c>
      <c r="O75" s="31">
        <f>(INDEX(Option5!O$106:O$117, MATCH($D75, Option5!$G$106:$G$117,0)))*conv_2026*O$7</f>
        <v>0</v>
      </c>
      <c r="P75" s="31">
        <f>(INDEX(Option5!P$106:P$117, MATCH($D75, Option5!$G$106:$G$117,0)))*conv_2026*P$7</f>
        <v>0</v>
      </c>
      <c r="Q75" s="31">
        <f>(INDEX(Option5!Q$106:Q$117, MATCH($D75, Option5!$G$106:$G$117,0)))*conv_2026*Q$7</f>
        <v>0</v>
      </c>
      <c r="R75" s="31">
        <f>(INDEX(Option5!R$106:R$117, MATCH($D75, Option5!$G$106:$G$117,0)))*conv_2026*R$7</f>
        <v>0</v>
      </c>
      <c r="S75" s="31">
        <f>(INDEX(Option5!S$106:S$117, MATCH($D75, Option5!$G$106:$G$117,0)))*conv_2026*S$7</f>
        <v>0</v>
      </c>
      <c r="T75" s="31">
        <f>(INDEX(Option5!T$106:T$117, MATCH($D75, Option5!$G$106:$G$117,0)))*conv_2026*T$7</f>
        <v>0</v>
      </c>
      <c r="U75" s="31">
        <f>(INDEX(Option5!U$106:U$117, MATCH($D75, Option5!$G$106:$G$117,0)))*conv_2026*U$7</f>
        <v>0</v>
      </c>
      <c r="V75" s="31">
        <f>(INDEX(Option5!V$106:V$117, MATCH($D75, Option5!$G$106:$G$117,0)))*conv_2026*V$7</f>
        <v>0</v>
      </c>
      <c r="W75" s="31">
        <f>(INDEX(Option5!W$106:W$117, MATCH($D75, Option5!$G$106:$G$117,0)))*conv_2026*W$7</f>
        <v>0</v>
      </c>
      <c r="X75" s="31">
        <f>(INDEX(Option5!X$106:X$117, MATCH($D75, Option5!$G$106:$G$117,0)))*conv_2026*X$7</f>
        <v>0</v>
      </c>
      <c r="Y75" s="31">
        <f>(INDEX(Option5!Y$106:Y$117, MATCH($D75, Option5!$G$106:$G$117,0)))*conv_2026*Y$7</f>
        <v>0</v>
      </c>
      <c r="Z75" s="31">
        <f>(INDEX(Option5!Z$106:Z$117, MATCH($D75, Option5!$G$106:$G$117,0)))*conv_2026*Z$7</f>
        <v>0</v>
      </c>
      <c r="AA75" s="31">
        <f>(INDEX(Option5!AA$106:AA$117, MATCH($D75, Option5!$G$106:$G$117,0)))*conv_2026*AA$7</f>
        <v>0</v>
      </c>
      <c r="AB75" s="31">
        <f>(INDEX(Option5!AB$106:AB$117, MATCH($D75, Option5!$G$106:$G$117,0)))*conv_2026*AB$7</f>
        <v>0</v>
      </c>
      <c r="AC75" s="31">
        <f>(INDEX(Option5!AC$106:AC$117, MATCH($D75, Option5!$G$106:$G$117,0)))*conv_2026*AC$7</f>
        <v>0</v>
      </c>
      <c r="AD75" s="31">
        <f>(INDEX(Option5!AD$106:AD$117, MATCH($D75, Option5!$G$106:$G$117,0)))*conv_2026*AD$7</f>
        <v>0</v>
      </c>
      <c r="AE75" s="31">
        <f>(INDEX(Option5!AE$106:AE$117, MATCH($D75, Option5!$G$106:$G$117,0)))*conv_2026*AE$7</f>
        <v>0</v>
      </c>
      <c r="AF75" s="31">
        <f>(INDEX(Option5!AF$106:AF$117, MATCH($D75, Option5!$G$106:$G$117,0)))*conv_2026*AF$7</f>
        <v>0</v>
      </c>
      <c r="AG75" s="31">
        <f>(INDEX(Option5!AG$106:AG$117, MATCH($D75, Option5!$G$106:$G$117,0)))*conv_2026*AG$7</f>
        <v>0</v>
      </c>
    </row>
    <row r="76" spans="1:35" s="8" customFormat="1" ht="13" x14ac:dyDescent="0.3">
      <c r="A76" s="253" t="s">
        <v>160</v>
      </c>
      <c r="B76" s="253" t="str">
        <f>Option5!A114</f>
        <v>sens5</v>
      </c>
      <c r="C76" s="253" t="str">
        <f>Option5!C114</f>
        <v>Capex 10% higher &amp; Total benefits 10% lower</v>
      </c>
      <c r="D76" s="253" t="str">
        <f t="shared" si="9"/>
        <v>Option 5sens5</v>
      </c>
      <c r="E76" s="254"/>
      <c r="F76" s="31">
        <f t="shared" si="8"/>
        <v>0</v>
      </c>
      <c r="H76" s="31">
        <f>(INDEX(Option5!H$106:H$117, MATCH($D76, Option5!$G$106:$G$117,0)))*conv_2026*H$7</f>
        <v>0</v>
      </c>
      <c r="I76" s="31">
        <f>(INDEX(Option5!I$106:I$117, MATCH($D76, Option5!$G$106:$G$117,0)))*conv_2026*I$7</f>
        <v>0</v>
      </c>
      <c r="J76" s="31">
        <f>(INDEX(Option5!J$106:J$117, MATCH($D76, Option5!$G$106:$G$117,0)))*conv_2026*J$7</f>
        <v>0</v>
      </c>
      <c r="K76" s="31">
        <f>(INDEX(Option5!K$106:K$117, MATCH($D76, Option5!$G$106:$G$117,0)))*conv_2026*K$7</f>
        <v>0</v>
      </c>
      <c r="L76" s="31">
        <f>(INDEX(Option5!L$106:L$117, MATCH($D76, Option5!$G$106:$G$117,0)))*conv_2026*L$7</f>
        <v>0</v>
      </c>
      <c r="M76" s="31">
        <f>(INDEX(Option5!M$106:M$117, MATCH($D76, Option5!$G$106:$G$117,0)))*conv_2026*M$7</f>
        <v>0</v>
      </c>
      <c r="N76" s="31">
        <f>(INDEX(Option5!N$106:N$117, MATCH($D76, Option5!$G$106:$G$117,0)))*conv_2026*N$7</f>
        <v>0</v>
      </c>
      <c r="O76" s="31">
        <f>(INDEX(Option5!O$106:O$117, MATCH($D76, Option5!$G$106:$G$117,0)))*conv_2026*O$7</f>
        <v>0</v>
      </c>
      <c r="P76" s="31">
        <f>(INDEX(Option5!P$106:P$117, MATCH($D76, Option5!$G$106:$G$117,0)))*conv_2026*P$7</f>
        <v>0</v>
      </c>
      <c r="Q76" s="31">
        <f>(INDEX(Option5!Q$106:Q$117, MATCH($D76, Option5!$G$106:$G$117,0)))*conv_2026*Q$7</f>
        <v>0</v>
      </c>
      <c r="R76" s="31">
        <f>(INDEX(Option5!R$106:R$117, MATCH($D76, Option5!$G$106:$G$117,0)))*conv_2026*R$7</f>
        <v>0</v>
      </c>
      <c r="S76" s="31">
        <f>(INDEX(Option5!S$106:S$117, MATCH($D76, Option5!$G$106:$G$117,0)))*conv_2026*S$7</f>
        <v>0</v>
      </c>
      <c r="T76" s="31">
        <f>(INDEX(Option5!T$106:T$117, MATCH($D76, Option5!$G$106:$G$117,0)))*conv_2026*T$7</f>
        <v>0</v>
      </c>
      <c r="U76" s="31">
        <f>(INDEX(Option5!U$106:U$117, MATCH($D76, Option5!$G$106:$G$117,0)))*conv_2026*U$7</f>
        <v>0</v>
      </c>
      <c r="V76" s="31">
        <f>(INDEX(Option5!V$106:V$117, MATCH($D76, Option5!$G$106:$G$117,0)))*conv_2026*V$7</f>
        <v>0</v>
      </c>
      <c r="W76" s="31">
        <f>(INDEX(Option5!W$106:W$117, MATCH($D76, Option5!$G$106:$G$117,0)))*conv_2026*W$7</f>
        <v>0</v>
      </c>
      <c r="X76" s="31">
        <f>(INDEX(Option5!X$106:X$117, MATCH($D76, Option5!$G$106:$G$117,0)))*conv_2026*X$7</f>
        <v>0</v>
      </c>
      <c r="Y76" s="31">
        <f>(INDEX(Option5!Y$106:Y$117, MATCH($D76, Option5!$G$106:$G$117,0)))*conv_2026*Y$7</f>
        <v>0</v>
      </c>
      <c r="Z76" s="31">
        <f>(INDEX(Option5!Z$106:Z$117, MATCH($D76, Option5!$G$106:$G$117,0)))*conv_2026*Z$7</f>
        <v>0</v>
      </c>
      <c r="AA76" s="31">
        <f>(INDEX(Option5!AA$106:AA$117, MATCH($D76, Option5!$G$106:$G$117,0)))*conv_2026*AA$7</f>
        <v>0</v>
      </c>
      <c r="AB76" s="31">
        <f>(INDEX(Option5!AB$106:AB$117, MATCH($D76, Option5!$G$106:$G$117,0)))*conv_2026*AB$7</f>
        <v>0</v>
      </c>
      <c r="AC76" s="31">
        <f>(INDEX(Option5!AC$106:AC$117, MATCH($D76, Option5!$G$106:$G$117,0)))*conv_2026*AC$7</f>
        <v>0</v>
      </c>
      <c r="AD76" s="31">
        <f>(INDEX(Option5!AD$106:AD$117, MATCH($D76, Option5!$G$106:$G$117,0)))*conv_2026*AD$7</f>
        <v>0</v>
      </c>
      <c r="AE76" s="31">
        <f>(INDEX(Option5!AE$106:AE$117, MATCH($D76, Option5!$G$106:$G$117,0)))*conv_2026*AE$7</f>
        <v>0</v>
      </c>
      <c r="AF76" s="31">
        <f>(INDEX(Option5!AF$106:AF$117, MATCH($D76, Option5!$G$106:$G$117,0)))*conv_2026*AF$7</f>
        <v>0</v>
      </c>
      <c r="AG76" s="31">
        <f>(INDEX(Option5!AG$106:AG$117, MATCH($D76, Option5!$G$106:$G$117,0)))*conv_2026*AG$7</f>
        <v>0</v>
      </c>
    </row>
    <row r="77" spans="1:35" s="8" customFormat="1" ht="13" x14ac:dyDescent="0.3">
      <c r="A77" s="253" t="s">
        <v>160</v>
      </c>
      <c r="B77" s="253" t="str">
        <f>Option5!A115</f>
        <v>sens</v>
      </c>
      <c r="C77" s="253">
        <f>Option5!C115</f>
        <v>0</v>
      </c>
      <c r="D77" s="253" t="str">
        <f t="shared" si="9"/>
        <v>Option 5sens</v>
      </c>
      <c r="E77" s="254"/>
      <c r="F77" s="31">
        <f t="shared" si="8"/>
        <v>0</v>
      </c>
      <c r="H77" s="31">
        <f>(INDEX(Option5!H$106:H$117, MATCH($D77, Option5!$G$106:$G$117,0)))*conv_2026*H$7</f>
        <v>0</v>
      </c>
      <c r="I77" s="31">
        <f>(INDEX(Option5!I$106:I$117, MATCH($D77, Option5!$G$106:$G$117,0)))*conv_2026*I$7</f>
        <v>0</v>
      </c>
      <c r="J77" s="31">
        <f>(INDEX(Option5!J$106:J$117, MATCH($D77, Option5!$G$106:$G$117,0)))*conv_2026*J$7</f>
        <v>0</v>
      </c>
      <c r="K77" s="31">
        <f>(INDEX(Option5!K$106:K$117, MATCH($D77, Option5!$G$106:$G$117,0)))*conv_2026*K$7</f>
        <v>0</v>
      </c>
      <c r="L77" s="31">
        <f>(INDEX(Option5!L$106:L$117, MATCH($D77, Option5!$G$106:$G$117,0)))*conv_2026*L$7</f>
        <v>0</v>
      </c>
      <c r="M77" s="31">
        <f>(INDEX(Option5!M$106:M$117, MATCH($D77, Option5!$G$106:$G$117,0)))*conv_2026*M$7</f>
        <v>0</v>
      </c>
      <c r="N77" s="31">
        <f>(INDEX(Option5!N$106:N$117, MATCH($D77, Option5!$G$106:$G$117,0)))*conv_2026*N$7</f>
        <v>0</v>
      </c>
      <c r="O77" s="31">
        <f>(INDEX(Option5!O$106:O$117, MATCH($D77, Option5!$G$106:$G$117,0)))*conv_2026*O$7</f>
        <v>0</v>
      </c>
      <c r="P77" s="31">
        <f>(INDEX(Option5!P$106:P$117, MATCH($D77, Option5!$G$106:$G$117,0)))*conv_2026*P$7</f>
        <v>0</v>
      </c>
      <c r="Q77" s="31">
        <f>(INDEX(Option5!Q$106:Q$117, MATCH($D77, Option5!$G$106:$G$117,0)))*conv_2026*Q$7</f>
        <v>0</v>
      </c>
      <c r="R77" s="31">
        <f>(INDEX(Option5!R$106:R$117, MATCH($D77, Option5!$G$106:$G$117,0)))*conv_2026*R$7</f>
        <v>0</v>
      </c>
      <c r="S77" s="31">
        <f>(INDEX(Option5!S$106:S$117, MATCH($D77, Option5!$G$106:$G$117,0)))*conv_2026*S$7</f>
        <v>0</v>
      </c>
      <c r="T77" s="31">
        <f>(INDEX(Option5!T$106:T$117, MATCH($D77, Option5!$G$106:$G$117,0)))*conv_2026*T$7</f>
        <v>0</v>
      </c>
      <c r="U77" s="31">
        <f>(INDEX(Option5!U$106:U$117, MATCH($D77, Option5!$G$106:$G$117,0)))*conv_2026*U$7</f>
        <v>0</v>
      </c>
      <c r="V77" s="31">
        <f>(INDEX(Option5!V$106:V$117, MATCH($D77, Option5!$G$106:$G$117,0)))*conv_2026*V$7</f>
        <v>0</v>
      </c>
      <c r="W77" s="31">
        <f>(INDEX(Option5!W$106:W$117, MATCH($D77, Option5!$G$106:$G$117,0)))*conv_2026*W$7</f>
        <v>0</v>
      </c>
      <c r="X77" s="31">
        <f>(INDEX(Option5!X$106:X$117, MATCH($D77, Option5!$G$106:$G$117,0)))*conv_2026*X$7</f>
        <v>0</v>
      </c>
      <c r="Y77" s="31">
        <f>(INDEX(Option5!Y$106:Y$117, MATCH($D77, Option5!$G$106:$G$117,0)))*conv_2026*Y$7</f>
        <v>0</v>
      </c>
      <c r="Z77" s="31">
        <f>(INDEX(Option5!Z$106:Z$117, MATCH($D77, Option5!$G$106:$G$117,0)))*conv_2026*Z$7</f>
        <v>0</v>
      </c>
      <c r="AA77" s="31">
        <f>(INDEX(Option5!AA$106:AA$117, MATCH($D77, Option5!$G$106:$G$117,0)))*conv_2026*AA$7</f>
        <v>0</v>
      </c>
      <c r="AB77" s="31">
        <f>(INDEX(Option5!AB$106:AB$117, MATCH($D77, Option5!$G$106:$G$117,0)))*conv_2026*AB$7</f>
        <v>0</v>
      </c>
      <c r="AC77" s="31">
        <f>(INDEX(Option5!AC$106:AC$117, MATCH($D77, Option5!$G$106:$G$117,0)))*conv_2026*AC$7</f>
        <v>0</v>
      </c>
      <c r="AD77" s="31">
        <f>(INDEX(Option5!AD$106:AD$117, MATCH($D77, Option5!$G$106:$G$117,0)))*conv_2026*AD$7</f>
        <v>0</v>
      </c>
      <c r="AE77" s="31">
        <f>(INDEX(Option5!AE$106:AE$117, MATCH($D77, Option5!$G$106:$G$117,0)))*conv_2026*AE$7</f>
        <v>0</v>
      </c>
      <c r="AF77" s="31">
        <f>(INDEX(Option5!AF$106:AF$117, MATCH($D77, Option5!$G$106:$G$117,0)))*conv_2026*AF$7</f>
        <v>0</v>
      </c>
      <c r="AG77" s="31">
        <f>(INDEX(Option5!AG$106:AG$117, MATCH($D77, Option5!$G$106:$G$117,0)))*conv_2026*AG$7</f>
        <v>0</v>
      </c>
    </row>
    <row r="78" spans="1:35" s="8" customFormat="1" ht="13" x14ac:dyDescent="0.3">
      <c r="A78" s="253" t="s">
        <v>160</v>
      </c>
      <c r="B78" s="253" t="str">
        <f>Option5!A116</f>
        <v>sens</v>
      </c>
      <c r="C78" s="253">
        <f>Option5!C116</f>
        <v>0</v>
      </c>
      <c r="D78" s="253" t="str">
        <f t="shared" si="9"/>
        <v>Option 5sens</v>
      </c>
      <c r="E78" s="254"/>
      <c r="F78" s="31">
        <f t="shared" si="8"/>
        <v>0</v>
      </c>
      <c r="H78" s="31">
        <f>(INDEX(Option5!H$106:H$117, MATCH($D78, Option5!$G$106:$G$117,0)))*conv_2026*H$7</f>
        <v>0</v>
      </c>
      <c r="I78" s="31">
        <f>(INDEX(Option5!I$106:I$117, MATCH($D78, Option5!$G$106:$G$117,0)))*conv_2026*I$7</f>
        <v>0</v>
      </c>
      <c r="J78" s="31">
        <f>(INDEX(Option5!J$106:J$117, MATCH($D78, Option5!$G$106:$G$117,0)))*conv_2026*J$7</f>
        <v>0</v>
      </c>
      <c r="K78" s="31">
        <f>(INDEX(Option5!K$106:K$117, MATCH($D78, Option5!$G$106:$G$117,0)))*conv_2026*K$7</f>
        <v>0</v>
      </c>
      <c r="L78" s="31">
        <f>(INDEX(Option5!L$106:L$117, MATCH($D78, Option5!$G$106:$G$117,0)))*conv_2026*L$7</f>
        <v>0</v>
      </c>
      <c r="M78" s="31">
        <f>(INDEX(Option5!M$106:M$117, MATCH($D78, Option5!$G$106:$G$117,0)))*conv_2026*M$7</f>
        <v>0</v>
      </c>
      <c r="N78" s="31">
        <f>(INDEX(Option5!N$106:N$117, MATCH($D78, Option5!$G$106:$G$117,0)))*conv_2026*N$7</f>
        <v>0</v>
      </c>
      <c r="O78" s="31">
        <f>(INDEX(Option5!O$106:O$117, MATCH($D78, Option5!$G$106:$G$117,0)))*conv_2026*O$7</f>
        <v>0</v>
      </c>
      <c r="P78" s="31">
        <f>(INDEX(Option5!P$106:P$117, MATCH($D78, Option5!$G$106:$G$117,0)))*conv_2026*P$7</f>
        <v>0</v>
      </c>
      <c r="Q78" s="31">
        <f>(INDEX(Option5!Q$106:Q$117, MATCH($D78, Option5!$G$106:$G$117,0)))*conv_2026*Q$7</f>
        <v>0</v>
      </c>
      <c r="R78" s="31">
        <f>(INDEX(Option5!R$106:R$117, MATCH($D78, Option5!$G$106:$G$117,0)))*conv_2026*R$7</f>
        <v>0</v>
      </c>
      <c r="S78" s="31">
        <f>(INDEX(Option5!S$106:S$117, MATCH($D78, Option5!$G$106:$G$117,0)))*conv_2026*S$7</f>
        <v>0</v>
      </c>
      <c r="T78" s="31">
        <f>(INDEX(Option5!T$106:T$117, MATCH($D78, Option5!$G$106:$G$117,0)))*conv_2026*T$7</f>
        <v>0</v>
      </c>
      <c r="U78" s="31">
        <f>(INDEX(Option5!U$106:U$117, MATCH($D78, Option5!$G$106:$G$117,0)))*conv_2026*U$7</f>
        <v>0</v>
      </c>
      <c r="V78" s="31">
        <f>(INDEX(Option5!V$106:V$117, MATCH($D78, Option5!$G$106:$G$117,0)))*conv_2026*V$7</f>
        <v>0</v>
      </c>
      <c r="W78" s="31">
        <f>(INDEX(Option5!W$106:W$117, MATCH($D78, Option5!$G$106:$G$117,0)))*conv_2026*W$7</f>
        <v>0</v>
      </c>
      <c r="X78" s="31">
        <f>(INDEX(Option5!X$106:X$117, MATCH($D78, Option5!$G$106:$G$117,0)))*conv_2026*X$7</f>
        <v>0</v>
      </c>
      <c r="Y78" s="31">
        <f>(INDEX(Option5!Y$106:Y$117, MATCH($D78, Option5!$G$106:$G$117,0)))*conv_2026*Y$7</f>
        <v>0</v>
      </c>
      <c r="Z78" s="31">
        <f>(INDEX(Option5!Z$106:Z$117, MATCH($D78, Option5!$G$106:$G$117,0)))*conv_2026*Z$7</f>
        <v>0</v>
      </c>
      <c r="AA78" s="31">
        <f>(INDEX(Option5!AA$106:AA$117, MATCH($D78, Option5!$G$106:$G$117,0)))*conv_2026*AA$7</f>
        <v>0</v>
      </c>
      <c r="AB78" s="31">
        <f>(INDEX(Option5!AB$106:AB$117, MATCH($D78, Option5!$G$106:$G$117,0)))*conv_2026*AB$7</f>
        <v>0</v>
      </c>
      <c r="AC78" s="31">
        <f>(INDEX(Option5!AC$106:AC$117, MATCH($D78, Option5!$G$106:$G$117,0)))*conv_2026*AC$7</f>
        <v>0</v>
      </c>
      <c r="AD78" s="31">
        <f>(INDEX(Option5!AD$106:AD$117, MATCH($D78, Option5!$G$106:$G$117,0)))*conv_2026*AD$7</f>
        <v>0</v>
      </c>
      <c r="AE78" s="31">
        <f>(INDEX(Option5!AE$106:AE$117, MATCH($D78, Option5!$G$106:$G$117,0)))*conv_2026*AE$7</f>
        <v>0</v>
      </c>
      <c r="AF78" s="31">
        <f>(INDEX(Option5!AF$106:AF$117, MATCH($D78, Option5!$G$106:$G$117,0)))*conv_2026*AF$7</f>
        <v>0</v>
      </c>
      <c r="AG78" s="31">
        <f>(INDEX(Option5!AG$106:AG$117, MATCH($D78, Option5!$G$106:$G$117,0)))*conv_2026*AG$7</f>
        <v>0</v>
      </c>
    </row>
    <row r="79" spans="1:35" s="8" customFormat="1" ht="13" x14ac:dyDescent="0.3">
      <c r="A79" s="253" t="s">
        <v>160</v>
      </c>
      <c r="B79" s="253" t="str">
        <f>Option5!A117</f>
        <v>sens</v>
      </c>
      <c r="C79" s="253">
        <f>Option5!C117</f>
        <v>0</v>
      </c>
      <c r="D79" s="253" t="str">
        <f t="shared" si="9"/>
        <v>Option 5sens</v>
      </c>
      <c r="E79" s="254"/>
      <c r="F79" s="31">
        <f t="shared" si="8"/>
        <v>0</v>
      </c>
      <c r="H79" s="31">
        <f>(INDEX(Option5!H$106:H$117, MATCH($D79, Option5!$G$106:$G$117,0)))*conv_2026*H$7</f>
        <v>0</v>
      </c>
      <c r="I79" s="31">
        <f>(INDEX(Option5!I$106:I$117, MATCH($D79, Option5!$G$106:$G$117,0)))*conv_2026*I$7</f>
        <v>0</v>
      </c>
      <c r="J79" s="31">
        <f>(INDEX(Option5!J$106:J$117, MATCH($D79, Option5!$G$106:$G$117,0)))*conv_2026*J$7</f>
        <v>0</v>
      </c>
      <c r="K79" s="31">
        <f>(INDEX(Option5!K$106:K$117, MATCH($D79, Option5!$G$106:$G$117,0)))*conv_2026*K$7</f>
        <v>0</v>
      </c>
      <c r="L79" s="31">
        <f>(INDEX(Option5!L$106:L$117, MATCH($D79, Option5!$G$106:$G$117,0)))*conv_2026*L$7</f>
        <v>0</v>
      </c>
      <c r="M79" s="31">
        <f>(INDEX(Option5!M$106:M$117, MATCH($D79, Option5!$G$106:$G$117,0)))*conv_2026*M$7</f>
        <v>0</v>
      </c>
      <c r="N79" s="31">
        <f>(INDEX(Option5!N$106:N$117, MATCH($D79, Option5!$G$106:$G$117,0)))*conv_2026*N$7</f>
        <v>0</v>
      </c>
      <c r="O79" s="31">
        <f>(INDEX(Option5!O$106:O$117, MATCH($D79, Option5!$G$106:$G$117,0)))*conv_2026*O$7</f>
        <v>0</v>
      </c>
      <c r="P79" s="31">
        <f>(INDEX(Option5!P$106:P$117, MATCH($D79, Option5!$G$106:$G$117,0)))*conv_2026*P$7</f>
        <v>0</v>
      </c>
      <c r="Q79" s="31">
        <f>(INDEX(Option5!Q$106:Q$117, MATCH($D79, Option5!$G$106:$G$117,0)))*conv_2026*Q$7</f>
        <v>0</v>
      </c>
      <c r="R79" s="31">
        <f>(INDEX(Option5!R$106:R$117, MATCH($D79, Option5!$G$106:$G$117,0)))*conv_2026*R$7</f>
        <v>0</v>
      </c>
      <c r="S79" s="31">
        <f>(INDEX(Option5!S$106:S$117, MATCH($D79, Option5!$G$106:$G$117,0)))*conv_2026*S$7</f>
        <v>0</v>
      </c>
      <c r="T79" s="31">
        <f>(INDEX(Option5!T$106:T$117, MATCH($D79, Option5!$G$106:$G$117,0)))*conv_2026*T$7</f>
        <v>0</v>
      </c>
      <c r="U79" s="31">
        <f>(INDEX(Option5!U$106:U$117, MATCH($D79, Option5!$G$106:$G$117,0)))*conv_2026*U$7</f>
        <v>0</v>
      </c>
      <c r="V79" s="31">
        <f>(INDEX(Option5!V$106:V$117, MATCH($D79, Option5!$G$106:$G$117,0)))*conv_2026*V$7</f>
        <v>0</v>
      </c>
      <c r="W79" s="31">
        <f>(INDEX(Option5!W$106:W$117, MATCH($D79, Option5!$G$106:$G$117,0)))*conv_2026*W$7</f>
        <v>0</v>
      </c>
      <c r="X79" s="31">
        <f>(INDEX(Option5!X$106:X$117, MATCH($D79, Option5!$G$106:$G$117,0)))*conv_2026*X$7</f>
        <v>0</v>
      </c>
      <c r="Y79" s="31">
        <f>(INDEX(Option5!Y$106:Y$117, MATCH($D79, Option5!$G$106:$G$117,0)))*conv_2026*Y$7</f>
        <v>0</v>
      </c>
      <c r="Z79" s="31">
        <f>(INDEX(Option5!Z$106:Z$117, MATCH($D79, Option5!$G$106:$G$117,0)))*conv_2026*Z$7</f>
        <v>0</v>
      </c>
      <c r="AA79" s="31">
        <f>(INDEX(Option5!AA$106:AA$117, MATCH($D79, Option5!$G$106:$G$117,0)))*conv_2026*AA$7</f>
        <v>0</v>
      </c>
      <c r="AB79" s="31">
        <f>(INDEX(Option5!AB$106:AB$117, MATCH($D79, Option5!$G$106:$G$117,0)))*conv_2026*AB$7</f>
        <v>0</v>
      </c>
      <c r="AC79" s="31">
        <f>(INDEX(Option5!AC$106:AC$117, MATCH($D79, Option5!$G$106:$G$117,0)))*conv_2026*AC$7</f>
        <v>0</v>
      </c>
      <c r="AD79" s="31">
        <f>(INDEX(Option5!AD$106:AD$117, MATCH($D79, Option5!$G$106:$G$117,0)))*conv_2026*AD$7</f>
        <v>0</v>
      </c>
      <c r="AE79" s="31">
        <f>(INDEX(Option5!AE$106:AE$117, MATCH($D79, Option5!$G$106:$G$117,0)))*conv_2026*AE$7</f>
        <v>0</v>
      </c>
      <c r="AF79" s="31">
        <f>(INDEX(Option5!AF$106:AF$117, MATCH($D79, Option5!$G$106:$G$117,0)))*conv_2026*AF$7</f>
        <v>0</v>
      </c>
      <c r="AG79" s="31">
        <f>(INDEX(Option5!AG$106:AG$117, MATCH($D79, Option5!$G$106:$G$117,0)))*conv_2026*AG$7</f>
        <v>0</v>
      </c>
    </row>
    <row r="80" spans="1:35" s="8" customFormat="1" x14ac:dyDescent="0.3">
      <c r="F80" s="249"/>
    </row>
    <row r="81" spans="1:34" s="8" customFormat="1" x14ac:dyDescent="0.3">
      <c r="F81" s="249"/>
    </row>
    <row r="82" spans="1:34" s="8" customFormat="1" x14ac:dyDescent="0.3">
      <c r="F82" s="249"/>
    </row>
    <row r="83" spans="1:34" s="8" customFormat="1" x14ac:dyDescent="0.3">
      <c r="F83" s="249"/>
    </row>
    <row r="84" spans="1:34" s="8" customFormat="1" ht="14.5" x14ac:dyDescent="0.35">
      <c r="A84" s="202" t="s">
        <v>165</v>
      </c>
      <c r="B84" s="54"/>
      <c r="C84" s="19"/>
      <c r="D84" s="19"/>
      <c r="E84" s="83"/>
      <c r="F84" s="19"/>
      <c r="G84" s="223"/>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0"/>
      <c r="AH84" s="10"/>
    </row>
    <row r="85" spans="1:34" s="8" customFormat="1" x14ac:dyDescent="0.3">
      <c r="F85" s="249"/>
    </row>
    <row r="86" spans="1:34" s="8" customFormat="1" x14ac:dyDescent="0.3">
      <c r="F86" s="249"/>
    </row>
    <row r="87" spans="1:34" s="8" customFormat="1" x14ac:dyDescent="0.3">
      <c r="E87" s="249"/>
    </row>
    <row r="88" spans="1:34" s="8" customFormat="1" x14ac:dyDescent="0.3">
      <c r="C88" s="275" t="b" cm="1">
        <f t="array" ref="C88:G88">TRANSPOSE(Data!F9:F13)</f>
        <v>0</v>
      </c>
      <c r="D88" s="275" t="b">
        <v>0</v>
      </c>
      <c r="E88" s="276" t="b">
        <v>0</v>
      </c>
      <c r="F88" s="275" t="b">
        <v>0</v>
      </c>
      <c r="G88" s="275" t="b">
        <v>1</v>
      </c>
      <c r="K88" s="8" t="b">
        <f>AND(_xlfn.ANCHORARRAY(C88))</f>
        <v>0</v>
      </c>
    </row>
    <row r="89" spans="1:34" s="8" customFormat="1" ht="13" x14ac:dyDescent="0.3">
      <c r="A89" s="59"/>
      <c r="B89" s="59"/>
      <c r="C89" s="277" t="str" cm="1">
        <f t="array" ref="C89:G89">TRANSPOSE(options)</f>
        <v>Option 1 (base case)</v>
      </c>
      <c r="D89" s="277" t="str">
        <v>Option 2</v>
      </c>
      <c r="E89" s="277" t="str">
        <v>Option 3</v>
      </c>
      <c r="F89" s="277" t="str">
        <v>Option 4</v>
      </c>
      <c r="G89" s="277" t="str">
        <v>Option 5</v>
      </c>
      <c r="I89" s="277" t="s">
        <v>232</v>
      </c>
      <c r="K89" s="283" t="s">
        <v>233</v>
      </c>
    </row>
    <row r="90" spans="1:34" s="8" customFormat="1" ht="13" x14ac:dyDescent="0.3">
      <c r="A90" s="261" t="s">
        <v>120</v>
      </c>
      <c r="B90" s="261" t="s">
        <v>223</v>
      </c>
      <c r="C90" s="105">
        <f t="shared" ref="C90:G98" si="10">IF(OR($B90=0,C$88),"", INDEX($F$14:$F$81, MATCH(C$89&amp;$A90,$D$14:$D$81,0))/10^6)</f>
        <v>0</v>
      </c>
      <c r="D90" s="105">
        <f t="shared" si="10"/>
        <v>5.618354925430423</v>
      </c>
      <c r="E90" s="105">
        <f t="shared" si="10"/>
        <v>1.5379323235982649</v>
      </c>
      <c r="F90" s="105">
        <f t="shared" si="10"/>
        <v>17.718837332978186</v>
      </c>
      <c r="G90" s="105" t="str">
        <f t="shared" si="10"/>
        <v/>
      </c>
      <c r="H90" s="186"/>
      <c r="I90" s="105">
        <f t="shared" ref="I90:I98" si="11">_xlfn.MAXIFS(C90:G90,_xlfn.ANCHORARRAY( C$88),FALSE)</f>
        <v>17.718837332978186</v>
      </c>
      <c r="K90" s="8" t="str">
        <f t="shared" ref="K90:K98" si="12">IF(OR(B90=0,$K$88),"", INDEX(_xlfn.ANCHORARRAY($C$89), MATCH(I90, $C90:$G90,0)))</f>
        <v>Option 4</v>
      </c>
    </row>
    <row r="91" spans="1:34" s="8" customFormat="1" ht="13" x14ac:dyDescent="0.3">
      <c r="A91" s="261" t="str">
        <f>"sens"&amp;Assumptions!B123</f>
        <v>sens1</v>
      </c>
      <c r="B91" s="261" t="str">
        <f>Assumptions!C123</f>
        <v>Capex 10% higher</v>
      </c>
      <c r="C91" s="105">
        <f t="shared" si="10"/>
        <v>0</v>
      </c>
      <c r="D91" s="105">
        <f t="shared" si="10"/>
        <v>5.3803497677146126</v>
      </c>
      <c r="E91" s="105">
        <f t="shared" si="10"/>
        <v>1.0112131562951767</v>
      </c>
      <c r="F91" s="105">
        <f t="shared" si="10"/>
        <v>17.528474345291421</v>
      </c>
      <c r="G91" s="105" t="str">
        <f t="shared" si="10"/>
        <v/>
      </c>
      <c r="H91" s="186"/>
      <c r="I91" s="105">
        <f t="shared" si="11"/>
        <v>17.528474345291421</v>
      </c>
      <c r="K91" s="8" t="str">
        <f t="shared" si="12"/>
        <v>Option 4</v>
      </c>
    </row>
    <row r="92" spans="1:34" s="8" customFormat="1" ht="13" x14ac:dyDescent="0.3">
      <c r="A92" s="261" t="str">
        <f>"sens"&amp;Assumptions!B124</f>
        <v>sens2</v>
      </c>
      <c r="B92" s="261" t="str">
        <f>Assumptions!C124</f>
        <v>Capex 10% lower</v>
      </c>
      <c r="C92" s="105">
        <f t="shared" si="10"/>
        <v>0</v>
      </c>
      <c r="D92" s="105">
        <f t="shared" si="10"/>
        <v>5.8563600831462352</v>
      </c>
      <c r="E92" s="105">
        <f t="shared" si="10"/>
        <v>2.064651490901352</v>
      </c>
      <c r="F92" s="105">
        <f t="shared" si="10"/>
        <v>17.909200320664958</v>
      </c>
      <c r="G92" s="105" t="str">
        <f t="shared" si="10"/>
        <v/>
      </c>
      <c r="H92" s="186"/>
      <c r="I92" s="105">
        <f t="shared" si="11"/>
        <v>17.909200320664958</v>
      </c>
      <c r="K92" s="8" t="str">
        <f t="shared" si="12"/>
        <v>Option 4</v>
      </c>
    </row>
    <row r="93" spans="1:34" s="8" customFormat="1" ht="13" x14ac:dyDescent="0.3">
      <c r="A93" s="261" t="str">
        <f>"sens"&amp;Assumptions!B125</f>
        <v>sens3</v>
      </c>
      <c r="B93" s="261" t="str">
        <f>Assumptions!C125</f>
        <v>Total benefits 10% higher</v>
      </c>
      <c r="C93" s="105">
        <f t="shared" si="10"/>
        <v>0</v>
      </c>
      <c r="D93" s="105">
        <f t="shared" si="10"/>
        <v>6.5136583384527231</v>
      </c>
      <c r="E93" s="105">
        <f t="shared" si="10"/>
        <v>2.4332359394789358</v>
      </c>
      <c r="F93" s="105">
        <f t="shared" si="10"/>
        <v>19.681084053962774</v>
      </c>
      <c r="G93" s="105" t="str">
        <f t="shared" si="10"/>
        <v/>
      </c>
      <c r="H93" s="186"/>
      <c r="I93" s="105">
        <f t="shared" si="11"/>
        <v>19.681084053962774</v>
      </c>
      <c r="K93" s="8" t="str">
        <f t="shared" si="12"/>
        <v>Option 4</v>
      </c>
    </row>
    <row r="94" spans="1:34" s="8" customFormat="1" ht="13" x14ac:dyDescent="0.3">
      <c r="A94" s="261" t="str">
        <f>"sens"&amp;Assumptions!B126</f>
        <v>sens4</v>
      </c>
      <c r="B94" s="261" t="str">
        <f>Assumptions!C126</f>
        <v>Total benefits 10% lower</v>
      </c>
      <c r="C94" s="105">
        <f t="shared" si="10"/>
        <v>0</v>
      </c>
      <c r="D94" s="105">
        <f t="shared" si="10"/>
        <v>4.723051512408122</v>
      </c>
      <c r="E94" s="105">
        <f t="shared" si="10"/>
        <v>0.64262870771759373</v>
      </c>
      <c r="F94" s="105">
        <f t="shared" si="10"/>
        <v>15.756590611993603</v>
      </c>
      <c r="G94" s="105" t="str">
        <f t="shared" si="10"/>
        <v/>
      </c>
      <c r="H94" s="186"/>
      <c r="I94" s="105">
        <f t="shared" si="11"/>
        <v>15.756590611993603</v>
      </c>
      <c r="K94" s="8" t="str">
        <f t="shared" si="12"/>
        <v>Option 4</v>
      </c>
    </row>
    <row r="95" spans="1:34" s="8" customFormat="1" ht="13" x14ac:dyDescent="0.3">
      <c r="A95" s="261" t="str">
        <f>"sens"&amp;Assumptions!B127</f>
        <v>sens5</v>
      </c>
      <c r="B95" s="261" t="str">
        <f>Assumptions!C127</f>
        <v>Capex 10% higher &amp; Total benefits 10% lower</v>
      </c>
      <c r="C95" s="105">
        <f t="shared" si="10"/>
        <v>0</v>
      </c>
      <c r="D95" s="105">
        <f t="shared" si="10"/>
        <v>4.4850463546923116</v>
      </c>
      <c r="E95" s="105">
        <f t="shared" si="10"/>
        <v>0.11590954041450528</v>
      </c>
      <c r="F95" s="105">
        <f t="shared" si="10"/>
        <v>15.566227624306835</v>
      </c>
      <c r="G95" s="105" t="str">
        <f t="shared" si="10"/>
        <v/>
      </c>
      <c r="H95" s="186"/>
      <c r="I95" s="105">
        <f t="shared" si="11"/>
        <v>15.566227624306835</v>
      </c>
      <c r="K95" s="8" t="str">
        <f t="shared" si="12"/>
        <v>Option 4</v>
      </c>
    </row>
    <row r="96" spans="1:34" s="8" customFormat="1" ht="13" x14ac:dyDescent="0.3">
      <c r="A96" s="261" t="str">
        <f>"sens"&amp;Assumptions!B128</f>
        <v>sens</v>
      </c>
      <c r="B96" s="261">
        <f>Assumptions!C128</f>
        <v>0</v>
      </c>
      <c r="C96" s="105" t="str">
        <f t="shared" si="10"/>
        <v/>
      </c>
      <c r="D96" s="105" t="str">
        <f t="shared" si="10"/>
        <v/>
      </c>
      <c r="E96" s="105" t="str">
        <f t="shared" si="10"/>
        <v/>
      </c>
      <c r="F96" s="105" t="str">
        <f t="shared" si="10"/>
        <v/>
      </c>
      <c r="G96" s="105" t="str">
        <f t="shared" si="10"/>
        <v/>
      </c>
      <c r="H96" s="186"/>
      <c r="I96" s="105">
        <f t="shared" si="11"/>
        <v>0</v>
      </c>
      <c r="K96" s="8" t="str">
        <f t="shared" si="12"/>
        <v/>
      </c>
    </row>
    <row r="97" spans="1:11" ht="13" x14ac:dyDescent="0.3">
      <c r="A97" s="261" t="str">
        <f>"sens"&amp;Assumptions!B129</f>
        <v>sens</v>
      </c>
      <c r="B97" s="261">
        <f>Assumptions!C129</f>
        <v>0</v>
      </c>
      <c r="C97" s="105" t="str">
        <f t="shared" si="10"/>
        <v/>
      </c>
      <c r="D97" s="105" t="str">
        <f t="shared" si="10"/>
        <v/>
      </c>
      <c r="E97" s="105" t="str">
        <f t="shared" si="10"/>
        <v/>
      </c>
      <c r="F97" s="105" t="str">
        <f t="shared" si="10"/>
        <v/>
      </c>
      <c r="G97" s="105" t="str">
        <f t="shared" si="10"/>
        <v/>
      </c>
      <c r="H97" s="282"/>
      <c r="I97" s="105">
        <f t="shared" si="11"/>
        <v>0</v>
      </c>
      <c r="K97" s="8" t="str">
        <f t="shared" si="12"/>
        <v/>
      </c>
    </row>
    <row r="98" spans="1:11" ht="13" x14ac:dyDescent="0.3">
      <c r="A98" s="261" t="str">
        <f>"sens"&amp;Assumptions!B130</f>
        <v>sens</v>
      </c>
      <c r="B98" s="261">
        <f>Assumptions!C130</f>
        <v>0</v>
      </c>
      <c r="C98" s="105" t="str">
        <f t="shared" si="10"/>
        <v/>
      </c>
      <c r="D98" s="105" t="str">
        <f t="shared" si="10"/>
        <v/>
      </c>
      <c r="E98" s="105" t="str">
        <f t="shared" si="10"/>
        <v/>
      </c>
      <c r="F98" s="105" t="str">
        <f t="shared" si="10"/>
        <v/>
      </c>
      <c r="G98" s="105" t="str">
        <f t="shared" si="10"/>
        <v/>
      </c>
      <c r="H98" s="282"/>
      <c r="I98" s="105">
        <f t="shared" si="11"/>
        <v>0</v>
      </c>
      <c r="K98" s="8" t="str">
        <f t="shared" si="12"/>
        <v/>
      </c>
    </row>
    <row r="99" spans="1:11" x14ac:dyDescent="0.3">
      <c r="C99" s="31"/>
      <c r="E99"/>
      <c r="F99" s="10"/>
    </row>
    <row r="100" spans="1:11" x14ac:dyDescent="0.3">
      <c r="E100"/>
      <c r="F100" s="10"/>
    </row>
    <row r="101" spans="1:11" x14ac:dyDescent="0.3">
      <c r="E101"/>
      <c r="F101" s="10"/>
    </row>
    <row r="102" spans="1:11" x14ac:dyDescent="0.3">
      <c r="E102"/>
      <c r="F102" s="10"/>
    </row>
    <row r="103" spans="1:11" x14ac:dyDescent="0.3">
      <c r="E103"/>
      <c r="F103" s="10"/>
    </row>
    <row r="104" spans="1:11" x14ac:dyDescent="0.3">
      <c r="E104"/>
      <c r="F104" s="10"/>
    </row>
    <row r="105" spans="1:11" x14ac:dyDescent="0.3">
      <c r="E105"/>
      <c r="F105" s="10"/>
    </row>
    <row r="106" spans="1:11" x14ac:dyDescent="0.3"/>
    <row r="107" spans="1:11" x14ac:dyDescent="0.3"/>
    <row r="108" spans="1:11" x14ac:dyDescent="0.3"/>
    <row r="109" spans="1:11" x14ac:dyDescent="0.3"/>
    <row r="110" spans="1:11" x14ac:dyDescent="0.3"/>
    <row r="111" spans="1:11" x14ac:dyDescent="0.3"/>
    <row r="112" spans="1:11"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row r="1158" x14ac:dyDescent="0.3"/>
    <row r="1159" x14ac:dyDescent="0.3"/>
    <row r="1160" x14ac:dyDescent="0.3"/>
    <row r="1161" x14ac:dyDescent="0.3"/>
    <row r="1162" x14ac:dyDescent="0.3"/>
    <row r="1163" x14ac:dyDescent="0.3"/>
    <row r="1164" x14ac:dyDescent="0.3"/>
    <row r="1165" x14ac:dyDescent="0.3"/>
    <row r="1166" x14ac:dyDescent="0.3"/>
    <row r="1167" x14ac:dyDescent="0.3"/>
    <row r="1168" x14ac:dyDescent="0.3"/>
    <row r="1169" x14ac:dyDescent="0.3"/>
    <row r="1170" x14ac:dyDescent="0.3"/>
    <row r="1171" x14ac:dyDescent="0.3"/>
    <row r="1172" x14ac:dyDescent="0.3"/>
    <row r="1173" x14ac:dyDescent="0.3"/>
    <row r="1174" x14ac:dyDescent="0.3"/>
    <row r="1175" x14ac:dyDescent="0.3"/>
    <row r="1176" x14ac:dyDescent="0.3"/>
    <row r="1177" x14ac:dyDescent="0.3"/>
    <row r="1178" x14ac:dyDescent="0.3"/>
    <row r="1179" x14ac:dyDescent="0.3"/>
    <row r="1180" x14ac:dyDescent="0.3"/>
    <row r="1181" x14ac:dyDescent="0.3"/>
    <row r="1182" x14ac:dyDescent="0.3"/>
    <row r="1183" x14ac:dyDescent="0.3"/>
    <row r="1184" x14ac:dyDescent="0.3"/>
    <row r="1185" x14ac:dyDescent="0.3"/>
    <row r="1186" x14ac:dyDescent="0.3"/>
    <row r="1187" x14ac:dyDescent="0.3"/>
    <row r="1188" x14ac:dyDescent="0.3"/>
    <row r="1189" x14ac:dyDescent="0.3"/>
    <row r="1190" x14ac:dyDescent="0.3"/>
    <row r="1191" x14ac:dyDescent="0.3"/>
    <row r="1192" x14ac:dyDescent="0.3"/>
    <row r="1193" x14ac:dyDescent="0.3"/>
    <row r="1194" x14ac:dyDescent="0.3"/>
    <row r="1195" x14ac:dyDescent="0.3"/>
    <row r="1196" x14ac:dyDescent="0.3"/>
    <row r="1197" x14ac:dyDescent="0.3"/>
    <row r="1198" x14ac:dyDescent="0.3"/>
    <row r="1199" x14ac:dyDescent="0.3"/>
    <row r="1200" x14ac:dyDescent="0.3"/>
    <row r="1201" x14ac:dyDescent="0.3"/>
    <row r="1202" x14ac:dyDescent="0.3"/>
    <row r="1203" x14ac:dyDescent="0.3"/>
    <row r="1204" x14ac:dyDescent="0.3"/>
    <row r="1205" x14ac:dyDescent="0.3"/>
    <row r="1206" x14ac:dyDescent="0.3"/>
    <row r="1207" x14ac:dyDescent="0.3"/>
    <row r="1208" x14ac:dyDescent="0.3"/>
    <row r="1209" x14ac:dyDescent="0.3"/>
    <row r="1210" x14ac:dyDescent="0.3"/>
    <row r="1211" x14ac:dyDescent="0.3"/>
    <row r="1212" x14ac:dyDescent="0.3"/>
    <row r="1213" x14ac:dyDescent="0.3"/>
    <row r="1214" x14ac:dyDescent="0.3"/>
    <row r="1215" x14ac:dyDescent="0.3"/>
    <row r="1216" x14ac:dyDescent="0.3"/>
    <row r="1217" x14ac:dyDescent="0.3"/>
    <row r="1218" x14ac:dyDescent="0.3"/>
    <row r="1219" x14ac:dyDescent="0.3"/>
    <row r="1220" x14ac:dyDescent="0.3"/>
    <row r="1221" x14ac:dyDescent="0.3"/>
    <row r="1222" x14ac:dyDescent="0.3"/>
    <row r="1223" x14ac:dyDescent="0.3"/>
    <row r="1224" x14ac:dyDescent="0.3"/>
    <row r="1225" x14ac:dyDescent="0.3"/>
    <row r="1226" x14ac:dyDescent="0.3"/>
    <row r="1227" x14ac:dyDescent="0.3"/>
    <row r="1228" x14ac:dyDescent="0.3"/>
    <row r="1229" x14ac:dyDescent="0.3"/>
    <row r="1230" x14ac:dyDescent="0.3"/>
    <row r="1231" x14ac:dyDescent="0.3"/>
    <row r="1232" x14ac:dyDescent="0.3"/>
    <row r="1233" x14ac:dyDescent="0.3"/>
    <row r="1234" x14ac:dyDescent="0.3"/>
    <row r="1235" x14ac:dyDescent="0.3"/>
    <row r="1236" x14ac:dyDescent="0.3"/>
    <row r="1237" x14ac:dyDescent="0.3"/>
    <row r="1238" x14ac:dyDescent="0.3"/>
    <row r="1239" x14ac:dyDescent="0.3"/>
    <row r="1240" x14ac:dyDescent="0.3"/>
    <row r="1241" x14ac:dyDescent="0.3"/>
    <row r="1242" x14ac:dyDescent="0.3"/>
    <row r="1243" x14ac:dyDescent="0.3"/>
    <row r="1244" x14ac:dyDescent="0.3"/>
    <row r="1245" x14ac:dyDescent="0.3"/>
    <row r="1246" x14ac:dyDescent="0.3"/>
    <row r="1247" x14ac:dyDescent="0.3"/>
    <row r="1248" x14ac:dyDescent="0.3"/>
    <row r="1249" x14ac:dyDescent="0.3"/>
    <row r="1250" x14ac:dyDescent="0.3"/>
    <row r="1251" x14ac:dyDescent="0.3"/>
    <row r="1252" x14ac:dyDescent="0.3"/>
    <row r="1253" x14ac:dyDescent="0.3"/>
    <row r="1254" x14ac:dyDescent="0.3"/>
    <row r="1255" x14ac:dyDescent="0.3"/>
    <row r="1256" x14ac:dyDescent="0.3"/>
    <row r="1257" x14ac:dyDescent="0.3"/>
    <row r="1258" x14ac:dyDescent="0.3"/>
    <row r="1259" x14ac:dyDescent="0.3"/>
    <row r="1260" x14ac:dyDescent="0.3"/>
    <row r="1261" x14ac:dyDescent="0.3"/>
    <row r="1262" x14ac:dyDescent="0.3"/>
    <row r="1263" x14ac:dyDescent="0.3"/>
    <row r="1264" x14ac:dyDescent="0.3"/>
    <row r="1265" x14ac:dyDescent="0.3"/>
    <row r="1266" x14ac:dyDescent="0.3"/>
    <row r="1267" x14ac:dyDescent="0.3"/>
    <row r="1268" x14ac:dyDescent="0.3"/>
    <row r="1269" x14ac:dyDescent="0.3"/>
    <row r="1270" x14ac:dyDescent="0.3"/>
    <row r="1271" x14ac:dyDescent="0.3"/>
    <row r="1272" x14ac:dyDescent="0.3"/>
    <row r="1273" x14ac:dyDescent="0.3"/>
    <row r="1274" x14ac:dyDescent="0.3"/>
    <row r="1275" x14ac:dyDescent="0.3"/>
    <row r="1276" x14ac:dyDescent="0.3"/>
    <row r="1277" x14ac:dyDescent="0.3"/>
    <row r="1278" x14ac:dyDescent="0.3"/>
    <row r="1279" x14ac:dyDescent="0.3"/>
    <row r="1280" x14ac:dyDescent="0.3"/>
    <row r="1281" x14ac:dyDescent="0.3"/>
    <row r="1282" x14ac:dyDescent="0.3"/>
    <row r="1283" x14ac:dyDescent="0.3"/>
    <row r="1284" x14ac:dyDescent="0.3"/>
    <row r="1285" x14ac:dyDescent="0.3"/>
    <row r="1286" x14ac:dyDescent="0.3"/>
    <row r="1287" x14ac:dyDescent="0.3"/>
    <row r="1288" x14ac:dyDescent="0.3"/>
    <row r="1289" x14ac:dyDescent="0.3"/>
    <row r="1290" x14ac:dyDescent="0.3"/>
    <row r="1291" x14ac:dyDescent="0.3"/>
    <row r="1292" x14ac:dyDescent="0.3"/>
    <row r="1293" x14ac:dyDescent="0.3"/>
    <row r="1294" x14ac:dyDescent="0.3"/>
    <row r="1295" x14ac:dyDescent="0.3"/>
    <row r="1296" x14ac:dyDescent="0.3"/>
    <row r="1297" x14ac:dyDescent="0.3"/>
    <row r="1298" x14ac:dyDescent="0.3"/>
    <row r="1299" x14ac:dyDescent="0.3"/>
    <row r="1300" x14ac:dyDescent="0.3"/>
    <row r="1301" x14ac:dyDescent="0.3"/>
    <row r="1302" x14ac:dyDescent="0.3"/>
    <row r="1303" x14ac:dyDescent="0.3"/>
    <row r="1304" x14ac:dyDescent="0.3"/>
    <row r="1305" x14ac:dyDescent="0.3"/>
    <row r="1306" x14ac:dyDescent="0.3"/>
    <row r="1307" x14ac:dyDescent="0.3"/>
    <row r="1308" x14ac:dyDescent="0.3"/>
    <row r="1309" x14ac:dyDescent="0.3"/>
    <row r="1310" x14ac:dyDescent="0.3"/>
    <row r="1311" x14ac:dyDescent="0.3"/>
    <row r="1312" x14ac:dyDescent="0.3"/>
    <row r="1313" x14ac:dyDescent="0.3"/>
    <row r="1314" x14ac:dyDescent="0.3"/>
    <row r="1315" x14ac:dyDescent="0.3"/>
    <row r="1316" x14ac:dyDescent="0.3"/>
    <row r="1317" x14ac:dyDescent="0.3"/>
    <row r="1318" x14ac:dyDescent="0.3"/>
    <row r="1319" x14ac:dyDescent="0.3"/>
    <row r="1320" x14ac:dyDescent="0.3"/>
    <row r="1321" x14ac:dyDescent="0.3"/>
    <row r="1322" x14ac:dyDescent="0.3"/>
    <row r="1323" x14ac:dyDescent="0.3"/>
    <row r="1324" x14ac:dyDescent="0.3"/>
    <row r="1325" x14ac:dyDescent="0.3"/>
    <row r="1326" x14ac:dyDescent="0.3"/>
    <row r="1327" x14ac:dyDescent="0.3"/>
    <row r="1328" x14ac:dyDescent="0.3"/>
  </sheetData>
  <pageMargins left="0.25" right="0.25"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5FF4-914C-46BA-8E6D-F680E77DFF2C}">
  <sheetPr codeName="Sheet4">
    <tabColor rgb="FFFFFF00"/>
  </sheetPr>
  <dimension ref="A1:AB40"/>
  <sheetViews>
    <sheetView showGridLines="0" zoomScale="90" zoomScaleNormal="90" workbookViewId="0">
      <pane xSplit="4" ySplit="5" topLeftCell="E6" activePane="bottomRight" state="frozen"/>
      <selection activeCell="F24" sqref="F24"/>
      <selection pane="topRight" activeCell="F24" sqref="F24"/>
      <selection pane="bottomLeft" activeCell="F24" sqref="F24"/>
      <selection pane="bottomRight" activeCell="E6" sqref="E6"/>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14" style="1" customWidth="1"/>
    <col min="8" max="8" width="14.765625" style="1" customWidth="1"/>
    <col min="9" max="9" width="8.61328125" style="1" customWidth="1"/>
    <col min="10" max="10" width="13.3828125" style="1" customWidth="1"/>
    <col min="11" max="28" width="8.61328125" style="1" customWidth="1"/>
    <col min="29" max="16384" width="8" style="1"/>
  </cols>
  <sheetData>
    <row r="1" spans="1:28" ht="18.5" x14ac:dyDescent="0.45">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5" x14ac:dyDescent="0.45">
      <c r="A2" s="56" t="str">
        <f>proj</f>
        <v>BAN003-WND024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5" x14ac:dyDescent="0.45">
      <c r="A3" s="5" t="s">
        <v>248</v>
      </c>
      <c r="B3" s="323"/>
      <c r="C3" s="5"/>
      <c r="D3" s="5"/>
    </row>
    <row r="5" spans="1:28" ht="14.5" x14ac:dyDescent="0.3">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row>
    <row r="6" spans="1:28" x14ac:dyDescent="0.3">
      <c r="C6" s="3"/>
      <c r="D6" s="3"/>
    </row>
    <row r="7" spans="1:28" s="325" customFormat="1" x14ac:dyDescent="0.3">
      <c r="C7" s="326" t="s">
        <v>249</v>
      </c>
    </row>
    <row r="9" spans="1:28" ht="35.25" customHeight="1" x14ac:dyDescent="0.3">
      <c r="E9" s="571" t="s">
        <v>310</v>
      </c>
      <c r="F9" s="572"/>
      <c r="G9" s="572"/>
      <c r="H9" s="572"/>
      <c r="I9" s="572"/>
      <c r="J9" s="572"/>
      <c r="K9" s="572"/>
      <c r="L9" s="572"/>
      <c r="M9" s="572"/>
      <c r="N9" s="572"/>
      <c r="O9" s="572"/>
      <c r="P9" s="572"/>
      <c r="Q9" s="572"/>
      <c r="R9" s="572"/>
    </row>
    <row r="11" spans="1:28" x14ac:dyDescent="0.3">
      <c r="E11" s="516" t="s">
        <v>336</v>
      </c>
    </row>
    <row r="12" spans="1:28" x14ac:dyDescent="0.3">
      <c r="E12" s="516" t="s">
        <v>337</v>
      </c>
    </row>
    <row r="13" spans="1:28" x14ac:dyDescent="0.3">
      <c r="E13" s="516" t="s">
        <v>338</v>
      </c>
    </row>
    <row r="14" spans="1:28" x14ac:dyDescent="0.3">
      <c r="E14" s="516" t="s">
        <v>339</v>
      </c>
    </row>
    <row r="15" spans="1:28" x14ac:dyDescent="0.3">
      <c r="E15" s="516" t="s">
        <v>340</v>
      </c>
    </row>
    <row r="16" spans="1:28" x14ac:dyDescent="0.3">
      <c r="E16" s="516" t="s">
        <v>341</v>
      </c>
    </row>
    <row r="17" spans="3:10" x14ac:dyDescent="0.3">
      <c r="E17" s="516" t="s">
        <v>342</v>
      </c>
    </row>
    <row r="18" spans="3:10" x14ac:dyDescent="0.3">
      <c r="E18" s="516" t="s">
        <v>343</v>
      </c>
    </row>
    <row r="21" spans="3:10" s="325" customFormat="1" x14ac:dyDescent="0.3">
      <c r="C21" s="326" t="s">
        <v>250</v>
      </c>
    </row>
    <row r="23" spans="3:10" ht="13.5" thickBot="1" x14ac:dyDescent="0.35"/>
    <row r="24" spans="3:10" ht="13.5" thickBot="1" x14ac:dyDescent="0.35">
      <c r="E24" s="327"/>
      <c r="F24" s="328" t="s">
        <v>251</v>
      </c>
      <c r="G24" s="328" t="s">
        <v>252</v>
      </c>
      <c r="H24" s="328" t="s">
        <v>253</v>
      </c>
    </row>
    <row r="25" spans="3:10" ht="13.5" thickBot="1" x14ac:dyDescent="0.35">
      <c r="E25" s="329" t="s">
        <v>254</v>
      </c>
      <c r="F25" s="330">
        <v>3</v>
      </c>
      <c r="G25" s="513">
        <v>297000</v>
      </c>
      <c r="H25" s="513">
        <f t="shared" ref="H25:H30" si="0">G25*F25</f>
        <v>891000</v>
      </c>
      <c r="J25" s="512"/>
    </row>
    <row r="26" spans="3:10" ht="13.5" thickBot="1" x14ac:dyDescent="0.35">
      <c r="E26" s="329" t="s">
        <v>255</v>
      </c>
      <c r="F26" s="330">
        <v>0.3</v>
      </c>
      <c r="G26" s="513">
        <v>1870000.0000000002</v>
      </c>
      <c r="H26" s="513">
        <f t="shared" si="0"/>
        <v>561000</v>
      </c>
      <c r="J26" s="512"/>
    </row>
    <row r="27" spans="3:10" ht="13.5" thickBot="1" x14ac:dyDescent="0.35">
      <c r="E27" s="329" t="s">
        <v>256</v>
      </c>
      <c r="F27" s="330">
        <v>5.2</v>
      </c>
      <c r="G27" s="513">
        <v>179300</v>
      </c>
      <c r="H27" s="513">
        <f t="shared" si="0"/>
        <v>932360</v>
      </c>
      <c r="J27" s="512"/>
    </row>
    <row r="28" spans="3:10" ht="13.5" thickBot="1" x14ac:dyDescent="0.35">
      <c r="E28" s="329" t="s">
        <v>257</v>
      </c>
      <c r="F28" s="330"/>
      <c r="G28" s="513">
        <v>93500</v>
      </c>
      <c r="H28" s="513">
        <f t="shared" si="0"/>
        <v>0</v>
      </c>
      <c r="J28" s="512"/>
    </row>
    <row r="29" spans="3:10" ht="13.5" thickBot="1" x14ac:dyDescent="0.35">
      <c r="E29" s="329" t="s">
        <v>258</v>
      </c>
      <c r="F29" s="330">
        <v>3</v>
      </c>
      <c r="G29" s="513">
        <v>132000</v>
      </c>
      <c r="H29" s="513">
        <f t="shared" si="0"/>
        <v>396000</v>
      </c>
      <c r="J29" s="512"/>
    </row>
    <row r="30" spans="3:10" ht="13.5" thickBot="1" x14ac:dyDescent="0.35">
      <c r="E30" s="329" t="s">
        <v>259</v>
      </c>
      <c r="F30" s="330">
        <v>1</v>
      </c>
      <c r="G30" s="513">
        <v>385000</v>
      </c>
      <c r="H30" s="513">
        <f t="shared" si="0"/>
        <v>385000</v>
      </c>
      <c r="J30" s="512"/>
    </row>
    <row r="31" spans="3:10" ht="13.5" thickBot="1" x14ac:dyDescent="0.35">
      <c r="E31" s="331" t="s">
        <v>147</v>
      </c>
      <c r="F31" s="330"/>
      <c r="G31" s="513"/>
      <c r="H31" s="514">
        <f>SUM(H25:H30)</f>
        <v>3165360</v>
      </c>
    </row>
    <row r="37" spans="5:9" x14ac:dyDescent="0.3">
      <c r="E37" s="3" t="s">
        <v>348</v>
      </c>
    </row>
    <row r="39" spans="5:9" x14ac:dyDescent="0.3">
      <c r="E39" s="17" t="s">
        <v>19</v>
      </c>
      <c r="F39" s="17" t="s">
        <v>21</v>
      </c>
      <c r="G39" s="17" t="s">
        <v>20</v>
      </c>
      <c r="H39" s="17" t="s">
        <v>22</v>
      </c>
      <c r="I39" s="17" t="s">
        <v>94</v>
      </c>
    </row>
    <row r="40" spans="5:9" x14ac:dyDescent="0.3">
      <c r="E40" s="32">
        <v>500000</v>
      </c>
      <c r="F40" s="32">
        <v>2665000</v>
      </c>
      <c r="G40" s="32">
        <v>0</v>
      </c>
      <c r="H40" s="32">
        <v>0</v>
      </c>
      <c r="I40" s="32">
        <v>0</v>
      </c>
    </row>
  </sheetData>
  <mergeCells count="1">
    <mergeCell ref="E9:R9"/>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7FF6-2CA4-43EE-BCE6-F75759CF43AF}">
  <sheetPr codeName="Sheet10">
    <tabColor rgb="FFFFFF00"/>
  </sheetPr>
  <dimension ref="A1:AG64"/>
  <sheetViews>
    <sheetView showGridLines="0" zoomScale="90" zoomScaleNormal="90" workbookViewId="0">
      <pane xSplit="4" ySplit="5" topLeftCell="E6" activePane="bottomRight" state="frozen"/>
      <selection activeCell="G39" sqref="G39:G42"/>
      <selection pane="topRight" activeCell="G39" sqref="G39:G42"/>
      <selection pane="bottomLeft" activeCell="G39" sqref="G39:G42"/>
      <selection pane="bottomRight" activeCell="E6" sqref="E6"/>
    </sheetView>
  </sheetViews>
  <sheetFormatPr defaultColWidth="8" defaultRowHeight="13" x14ac:dyDescent="0.3"/>
  <cols>
    <col min="1" max="1" width="2.61328125" style="1" customWidth="1"/>
    <col min="2" max="2" width="5.23046875" style="1" customWidth="1"/>
    <col min="3" max="3" width="39.15234375" style="1" customWidth="1"/>
    <col min="4" max="4" width="13.84375" style="1" customWidth="1"/>
    <col min="5" max="6" width="12.15234375" style="1" customWidth="1"/>
    <col min="7" max="12" width="9.61328125" style="1" customWidth="1"/>
    <col min="13" max="14" width="9.3828125" style="1" customWidth="1"/>
    <col min="15" max="33" width="7.4609375" style="1" customWidth="1"/>
    <col min="34" max="16384" width="8" style="1"/>
  </cols>
  <sheetData>
    <row r="1" spans="1:33" ht="18.5" x14ac:dyDescent="0.45">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18.5" x14ac:dyDescent="0.45">
      <c r="A2" s="56" t="str">
        <f>proj</f>
        <v>BAN003-WND024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18.5" x14ac:dyDescent="0.45">
      <c r="A3" s="5" t="s">
        <v>667</v>
      </c>
      <c r="B3" s="323"/>
      <c r="C3" s="5"/>
      <c r="D3" s="5"/>
    </row>
    <row r="5" spans="1:33" ht="14.5" x14ac:dyDescent="0.3">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row>
    <row r="6" spans="1:33" customFormat="1" ht="13.5" x14ac:dyDescent="0.3">
      <c r="A6" s="1"/>
      <c r="B6" s="1"/>
      <c r="C6" s="3"/>
      <c r="D6" s="3"/>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customFormat="1" ht="13.5"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customFormat="1" ht="13.5" x14ac:dyDescent="0.3">
      <c r="A8" s="325"/>
      <c r="B8" s="325"/>
      <c r="C8" s="326" t="s">
        <v>261</v>
      </c>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row>
    <row r="9" spans="1:33" customFormat="1" ht="13.5" x14ac:dyDescent="0.3">
      <c r="A9" s="332"/>
      <c r="B9" s="332"/>
      <c r="C9" s="333"/>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row>
    <row r="10" spans="1:33" customFormat="1" ht="13.5" x14ac:dyDescent="0.3">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row>
    <row r="11" spans="1:33" s="332" customFormat="1" ht="36" customHeight="1" x14ac:dyDescent="0.3">
      <c r="C11" s="573" t="s">
        <v>262</v>
      </c>
      <c r="D11" s="574"/>
      <c r="E11" s="574"/>
      <c r="F11" s="574"/>
      <c r="G11" s="575"/>
      <c r="H11" s="575"/>
      <c r="I11" s="575"/>
      <c r="J11" s="575"/>
      <c r="K11" s="575"/>
      <c r="L11" s="575"/>
    </row>
    <row r="12" spans="1:33" s="332" customFormat="1" ht="38.25" customHeight="1" x14ac:dyDescent="0.3">
      <c r="C12" s="573" t="s">
        <v>263</v>
      </c>
      <c r="D12" s="574"/>
      <c r="E12" s="574"/>
      <c r="F12" s="574"/>
      <c r="G12" s="575"/>
      <c r="H12" s="575"/>
      <c r="I12" s="575"/>
      <c r="J12" s="575"/>
      <c r="K12" s="575"/>
      <c r="L12" s="575"/>
    </row>
    <row r="13" spans="1:33" s="332" customFormat="1" ht="27.75" customHeight="1" x14ac:dyDescent="0.3">
      <c r="C13" s="573" t="s">
        <v>264</v>
      </c>
      <c r="D13" s="574"/>
      <c r="E13" s="574"/>
      <c r="F13" s="574"/>
      <c r="G13" s="575"/>
      <c r="H13" s="575"/>
      <c r="I13" s="575"/>
      <c r="J13" s="575"/>
      <c r="K13" s="575"/>
      <c r="L13" s="575"/>
    </row>
    <row r="14" spans="1:33" s="332" customFormat="1" x14ac:dyDescent="0.3"/>
    <row r="15" spans="1:33" x14ac:dyDescent="0.3">
      <c r="C15" s="334" t="s">
        <v>265</v>
      </c>
      <c r="D15" s="14" t="s">
        <v>266</v>
      </c>
      <c r="E15" s="14" t="s">
        <v>267</v>
      </c>
      <c r="G15" s="519"/>
    </row>
    <row r="16" spans="1:33" x14ac:dyDescent="0.3">
      <c r="C16" s="335" t="s">
        <v>268</v>
      </c>
      <c r="D16" s="545">
        <v>8</v>
      </c>
      <c r="E16" s="545">
        <v>8</v>
      </c>
      <c r="G16" s="519"/>
    </row>
    <row r="17" spans="3:15" x14ac:dyDescent="0.3">
      <c r="C17" s="335" t="s">
        <v>269</v>
      </c>
      <c r="D17" s="545">
        <v>700</v>
      </c>
      <c r="E17" s="545">
        <v>700</v>
      </c>
      <c r="G17" s="519"/>
    </row>
    <row r="19" spans="3:15" x14ac:dyDescent="0.3">
      <c r="C19" s="519" t="s">
        <v>270</v>
      </c>
      <c r="D19" s="519"/>
      <c r="E19" s="519"/>
      <c r="F19" s="519"/>
      <c r="G19" s="519"/>
      <c r="H19" s="519"/>
      <c r="I19" s="519"/>
      <c r="J19" s="519"/>
      <c r="K19" s="519"/>
      <c r="L19" s="519"/>
    </row>
    <row r="20" spans="3:15" ht="13.5" thickBot="1" x14ac:dyDescent="0.35">
      <c r="C20" s="336"/>
      <c r="D20" s="336"/>
      <c r="E20" s="336"/>
      <c r="F20" s="336"/>
      <c r="G20" s="336"/>
      <c r="H20" s="336"/>
      <c r="I20" s="336"/>
      <c r="J20" s="336"/>
      <c r="K20" s="336"/>
      <c r="L20" s="336"/>
    </row>
    <row r="21" spans="3:15" ht="13.5" thickTop="1" x14ac:dyDescent="0.3">
      <c r="C21" s="337" t="s">
        <v>271</v>
      </c>
      <c r="D21" s="338"/>
      <c r="E21" s="338"/>
      <c r="F21" s="339"/>
      <c r="G21" s="340"/>
      <c r="H21" s="339"/>
      <c r="I21" s="341"/>
      <c r="J21" s="519"/>
      <c r="K21" s="519"/>
      <c r="L21" s="342"/>
      <c r="M21" s="549"/>
      <c r="N21" s="555"/>
    </row>
    <row r="22" spans="3:15" ht="14.5" x14ac:dyDescent="0.35">
      <c r="C22" s="343" t="s">
        <v>272</v>
      </c>
      <c r="D22" s="344" t="s">
        <v>273</v>
      </c>
      <c r="E22" s="344" t="s">
        <v>274</v>
      </c>
      <c r="F22" s="344" t="s">
        <v>275</v>
      </c>
      <c r="G22" s="344" t="s">
        <v>276</v>
      </c>
      <c r="H22" s="344" t="s">
        <v>277</v>
      </c>
      <c r="I22" s="344" t="s">
        <v>278</v>
      </c>
      <c r="J22" s="344" t="s">
        <v>279</v>
      </c>
      <c r="K22" s="344" t="s">
        <v>280</v>
      </c>
      <c r="L22" s="345"/>
      <c r="M22" s="550" t="s">
        <v>281</v>
      </c>
      <c r="N22" s="556"/>
      <c r="O22" s="347"/>
    </row>
    <row r="23" spans="3:15" x14ac:dyDescent="0.3">
      <c r="C23" s="343" t="s">
        <v>282</v>
      </c>
      <c r="D23" s="344" t="s">
        <v>267</v>
      </c>
      <c r="E23" s="348">
        <v>1185</v>
      </c>
      <c r="F23" s="349">
        <v>11.035611814346021</v>
      </c>
      <c r="G23" s="350">
        <v>1754.6577215189818</v>
      </c>
      <c r="H23" s="350">
        <f>E23*F23</f>
        <v>13077.200000000035</v>
      </c>
      <c r="I23" s="350">
        <f>E23*G23</f>
        <v>2079269.3999999934</v>
      </c>
      <c r="J23" s="350">
        <f>I23/H23</f>
        <v>158.99958706756703</v>
      </c>
      <c r="K23" s="351">
        <f>(H23*HLOOKUP(D23,Workings_benefits!$F$45:$H$48,3,FALSE)+(I23*HLOOKUP(D23,Workings_benefits!$F$45:$H$46,2,FALSE)))</f>
        <v>49.576177930258751</v>
      </c>
      <c r="L23" s="352">
        <v>149.60890237709012</v>
      </c>
      <c r="M23" s="551">
        <f>K23+K24</f>
        <v>79.101563657236937</v>
      </c>
      <c r="N23" s="557"/>
    </row>
    <row r="24" spans="3:15" ht="14.5" x14ac:dyDescent="0.35">
      <c r="C24" s="343" t="s">
        <v>344</v>
      </c>
      <c r="D24" s="344" t="s">
        <v>267</v>
      </c>
      <c r="E24" s="348">
        <v>933</v>
      </c>
      <c r="F24" s="349">
        <v>6.2008574490890078</v>
      </c>
      <c r="G24" s="350">
        <v>1497.5112540192924</v>
      </c>
      <c r="H24" s="350">
        <f>E24*F24</f>
        <v>5785.4000000000442</v>
      </c>
      <c r="I24" s="350">
        <f>E24*G24</f>
        <v>1397177.9999999998</v>
      </c>
      <c r="J24" s="350">
        <f>I24/H24</f>
        <v>241.50067411069054</v>
      </c>
      <c r="K24" s="351">
        <f>(H24*HLOOKUP(D24,Workings_benefits!$F$45:$H$48,3,FALSE)+(I24*HLOOKUP(D24,Workings_benefits!$F$45:$H$46,2,FALSE)))</f>
        <v>29.525385726978193</v>
      </c>
      <c r="L24" s="352">
        <v>134.99480961877529</v>
      </c>
      <c r="M24" s="551"/>
      <c r="N24" s="557"/>
      <c r="O24" s="347"/>
    </row>
    <row r="25" spans="3:15" x14ac:dyDescent="0.3">
      <c r="C25" s="354"/>
      <c r="D25" s="519"/>
      <c r="E25" s="519"/>
      <c r="F25" s="519"/>
      <c r="G25" s="519"/>
      <c r="H25" s="519"/>
      <c r="I25" s="519"/>
      <c r="J25" s="519"/>
      <c r="K25" s="519"/>
      <c r="L25" s="342"/>
      <c r="M25" s="552"/>
      <c r="N25" s="483"/>
    </row>
    <row r="26" spans="3:15" x14ac:dyDescent="0.3">
      <c r="C26" s="337" t="s">
        <v>283</v>
      </c>
      <c r="D26" s="338"/>
      <c r="E26" s="338"/>
      <c r="F26" s="339"/>
      <c r="G26" s="340"/>
      <c r="H26" s="339"/>
      <c r="I26" s="341"/>
      <c r="J26" s="519"/>
      <c r="K26" s="519"/>
      <c r="L26" s="342"/>
      <c r="M26" s="552"/>
      <c r="N26" s="483"/>
    </row>
    <row r="27" spans="3:15" x14ac:dyDescent="0.3">
      <c r="C27" s="343" t="s">
        <v>272</v>
      </c>
      <c r="D27" s="344" t="s">
        <v>273</v>
      </c>
      <c r="E27" s="344" t="s">
        <v>274</v>
      </c>
      <c r="F27" s="344" t="s">
        <v>275</v>
      </c>
      <c r="G27" s="344" t="s">
        <v>276</v>
      </c>
      <c r="H27" s="344" t="s">
        <v>277</v>
      </c>
      <c r="I27" s="344" t="s">
        <v>278</v>
      </c>
      <c r="J27" s="344" t="s">
        <v>279</v>
      </c>
      <c r="K27" s="344" t="s">
        <v>280</v>
      </c>
      <c r="L27" s="345"/>
      <c r="M27" s="550"/>
      <c r="N27" s="556"/>
    </row>
    <row r="28" spans="3:15" x14ac:dyDescent="0.3">
      <c r="C28" s="343" t="s">
        <v>282</v>
      </c>
      <c r="D28" s="344" t="s">
        <v>267</v>
      </c>
      <c r="E28" s="355">
        <v>3966</v>
      </c>
      <c r="F28" s="349">
        <v>9.8487644982351075</v>
      </c>
      <c r="G28" s="349">
        <v>1285.2088250126085</v>
      </c>
      <c r="H28" s="350">
        <f>E28*F28</f>
        <v>39060.200000000434</v>
      </c>
      <c r="I28" s="350">
        <f>E28*G28</f>
        <v>5097138.2000000048</v>
      </c>
      <c r="J28" s="350">
        <f>I28/H28</f>
        <v>130.49442143153257</v>
      </c>
      <c r="K28" s="351">
        <f>(H28*HLOOKUP(D28,Workings_benefits!$F$45:$H$48,3,FALSE)+(I28*HLOOKUP(D28,Workings_benefits!$F$45:$H$46,2,FALSE)))</f>
        <v>130.36699293986476</v>
      </c>
      <c r="L28" s="352">
        <v>149.60890237709012</v>
      </c>
      <c r="M28" s="551"/>
      <c r="N28" s="557"/>
    </row>
    <row r="29" spans="3:15" x14ac:dyDescent="0.3">
      <c r="C29" s="343" t="s">
        <v>344</v>
      </c>
      <c r="D29" s="344" t="s">
        <v>267</v>
      </c>
      <c r="E29" s="355">
        <v>2451</v>
      </c>
      <c r="F29" s="349">
        <v>6.4734394124846997</v>
      </c>
      <c r="G29" s="349">
        <v>1652.2369645042841</v>
      </c>
      <c r="H29" s="350">
        <f>E29*F29</f>
        <v>15866.4</v>
      </c>
      <c r="I29" s="350">
        <f>E29*G29</f>
        <v>4049632.8000000003</v>
      </c>
      <c r="J29" s="350">
        <f>I29/H29</f>
        <v>255.23324761760705</v>
      </c>
      <c r="K29" s="351">
        <f>(H29*HLOOKUP(D29,Workings_benefits!$F$45:$H$48,3,FALSE)+(I29*HLOOKUP(D29,Workings_benefits!$F$45:$H$46,2,FALSE)))</f>
        <v>84.439109637665155</v>
      </c>
      <c r="L29" s="352">
        <v>134.99480961877529</v>
      </c>
      <c r="M29" s="551"/>
      <c r="N29" s="557"/>
    </row>
    <row r="30" spans="3:15" x14ac:dyDescent="0.3">
      <c r="C30" s="356"/>
      <c r="D30" s="357"/>
      <c r="E30" s="357"/>
      <c r="F30" s="358"/>
      <c r="G30" s="359"/>
      <c r="H30" s="360"/>
      <c r="I30" s="361"/>
      <c r="J30" s="362"/>
      <c r="K30" s="362"/>
      <c r="L30" s="362"/>
      <c r="M30" s="553"/>
      <c r="N30" s="480"/>
    </row>
    <row r="31" spans="3:15" x14ac:dyDescent="0.3">
      <c r="C31" s="337" t="s">
        <v>352</v>
      </c>
      <c r="D31" s="338"/>
      <c r="E31" s="338"/>
      <c r="F31" s="339"/>
      <c r="G31" s="339"/>
      <c r="H31" s="339"/>
      <c r="I31" s="341"/>
      <c r="J31" s="519"/>
      <c r="K31" s="519"/>
      <c r="L31" s="519"/>
      <c r="M31" s="552"/>
      <c r="N31" s="483"/>
    </row>
    <row r="32" spans="3:15" x14ac:dyDescent="0.3">
      <c r="C32" s="343" t="s">
        <v>272</v>
      </c>
      <c r="D32" s="344" t="s">
        <v>273</v>
      </c>
      <c r="E32" s="344" t="s">
        <v>274</v>
      </c>
      <c r="F32" s="344"/>
      <c r="G32" s="344"/>
      <c r="H32" s="344" t="s">
        <v>277</v>
      </c>
      <c r="I32" s="344" t="s">
        <v>278</v>
      </c>
      <c r="J32" s="344"/>
      <c r="K32" s="344" t="s">
        <v>280</v>
      </c>
      <c r="L32" s="345"/>
      <c r="M32" s="550"/>
      <c r="N32" s="556"/>
    </row>
    <row r="33" spans="3:33" x14ac:dyDescent="0.3">
      <c r="C33" s="343" t="s">
        <v>282</v>
      </c>
      <c r="D33" s="344" t="s">
        <v>267</v>
      </c>
      <c r="E33" s="355">
        <v>736</v>
      </c>
      <c r="F33" s="363"/>
      <c r="G33" s="364"/>
      <c r="H33" s="350">
        <v>1644</v>
      </c>
      <c r="I33" s="350">
        <v>1046169</v>
      </c>
      <c r="J33" s="365"/>
      <c r="K33" s="366">
        <f>(H33*HLOOKUP(D33,Workings_benefits!$F$45:$H$48,3,FALSE)+(I33*HLOOKUP(D33,Workings_benefits!$F$45:$H$46,2,FALSE)))</f>
        <v>18.716303904541256</v>
      </c>
      <c r="L33" s="367"/>
      <c r="M33" s="551"/>
      <c r="N33" s="557"/>
    </row>
    <row r="34" spans="3:33" x14ac:dyDescent="0.3">
      <c r="C34" s="343" t="s">
        <v>344</v>
      </c>
      <c r="D34" s="344" t="s">
        <v>267</v>
      </c>
      <c r="E34" s="355">
        <v>489</v>
      </c>
      <c r="F34" s="368"/>
      <c r="G34" s="369"/>
      <c r="H34" s="350">
        <v>790</v>
      </c>
      <c r="I34" s="350">
        <v>1933374</v>
      </c>
      <c r="J34" s="370"/>
      <c r="K34" s="366">
        <f>(H34*HLOOKUP(D34,Workings_benefits!$F$45:$H$48,3,FALSE)+(I34*HLOOKUP(D34,Workings_benefits!$F$45:$H$46,2,FALSE)))</f>
        <v>31.752042909865811</v>
      </c>
      <c r="L34" s="367"/>
      <c r="M34" s="551"/>
      <c r="N34" s="557"/>
    </row>
    <row r="35" spans="3:33" ht="13.5" thickBot="1" x14ac:dyDescent="0.35">
      <c r="C35" s="371"/>
      <c r="D35" s="336"/>
      <c r="E35" s="336"/>
      <c r="F35" s="336"/>
      <c r="G35" s="336"/>
      <c r="H35" s="336"/>
      <c r="I35" s="336"/>
      <c r="J35" s="336"/>
      <c r="K35" s="336"/>
      <c r="L35" s="336"/>
      <c r="M35" s="554"/>
      <c r="N35" s="558"/>
    </row>
    <row r="36" spans="3:33" ht="13.5" thickTop="1" x14ac:dyDescent="0.3"/>
    <row r="39" spans="3:33" s="325" customFormat="1" x14ac:dyDescent="0.3">
      <c r="C39" s="326" t="s">
        <v>666</v>
      </c>
    </row>
    <row r="40" spans="3:33" s="6" customFormat="1" x14ac:dyDescent="0.3"/>
    <row r="41" spans="3:33" s="6" customFormat="1" x14ac:dyDescent="0.3">
      <c r="I41" s="17" t="s">
        <v>19</v>
      </c>
      <c r="J41" s="17" t="s">
        <v>21</v>
      </c>
      <c r="K41" s="17" t="s">
        <v>20</v>
      </c>
      <c r="L41" s="17" t="s">
        <v>22</v>
      </c>
      <c r="M41" s="17" t="s">
        <v>94</v>
      </c>
      <c r="N41" s="17" t="s">
        <v>95</v>
      </c>
      <c r="O41" s="17" t="s">
        <v>639</v>
      </c>
      <c r="P41" s="17" t="s">
        <v>640</v>
      </c>
      <c r="Q41" s="17" t="s">
        <v>641</v>
      </c>
      <c r="R41" s="17" t="s">
        <v>642</v>
      </c>
      <c r="S41" s="17" t="s">
        <v>643</v>
      </c>
      <c r="T41" s="17" t="s">
        <v>644</v>
      </c>
      <c r="U41" s="17" t="s">
        <v>645</v>
      </c>
      <c r="V41" s="17" t="s">
        <v>646</v>
      </c>
      <c r="W41" s="17" t="s">
        <v>647</v>
      </c>
      <c r="X41" s="17" t="s">
        <v>648</v>
      </c>
      <c r="Y41" s="17" t="s">
        <v>649</v>
      </c>
      <c r="Z41" s="17" t="s">
        <v>650</v>
      </c>
      <c r="AA41" s="17" t="s">
        <v>651</v>
      </c>
      <c r="AB41" s="17" t="s">
        <v>652</v>
      </c>
      <c r="AC41" s="17" t="s">
        <v>653</v>
      </c>
      <c r="AD41" s="17" t="s">
        <v>654</v>
      </c>
      <c r="AE41" s="17" t="s">
        <v>655</v>
      </c>
      <c r="AF41" s="17" t="s">
        <v>656</v>
      </c>
      <c r="AG41" s="17" t="s">
        <v>657</v>
      </c>
    </row>
    <row r="42" spans="3:33" s="6" customFormat="1" x14ac:dyDescent="0.3"/>
    <row r="43" spans="3:33" s="6" customFormat="1" x14ac:dyDescent="0.3">
      <c r="C43" s="543" t="s">
        <v>631</v>
      </c>
      <c r="D43" s="540">
        <v>0</v>
      </c>
      <c r="E43" s="543" t="s">
        <v>359</v>
      </c>
    </row>
    <row r="44" spans="3:33" s="6" customFormat="1" x14ac:dyDescent="0.3">
      <c r="C44" s="543" t="s">
        <v>358</v>
      </c>
      <c r="D44" s="541">
        <v>25.1</v>
      </c>
      <c r="E44" s="520"/>
    </row>
    <row r="45" spans="3:33" s="6" customFormat="1" x14ac:dyDescent="0.3">
      <c r="C45" s="543"/>
      <c r="D45" s="520"/>
      <c r="E45" s="543" t="s">
        <v>359</v>
      </c>
    </row>
    <row r="46" spans="3:33" s="6" customFormat="1" x14ac:dyDescent="0.3">
      <c r="C46" s="543" t="s">
        <v>632</v>
      </c>
      <c r="D46" s="546">
        <f>Microgrid_reliability!X7/60</f>
        <v>28.86</v>
      </c>
      <c r="E46" s="543" t="s">
        <v>634</v>
      </c>
    </row>
    <row r="47" spans="3:33" s="6" customFormat="1" x14ac:dyDescent="0.3">
      <c r="C47" s="543" t="s">
        <v>633</v>
      </c>
      <c r="D47" s="541">
        <v>0.28199999999999997</v>
      </c>
      <c r="E47" s="543" t="s">
        <v>634</v>
      </c>
    </row>
    <row r="48" spans="3:33" s="6" customFormat="1" x14ac:dyDescent="0.3">
      <c r="C48" s="544" t="s">
        <v>635</v>
      </c>
      <c r="D48" s="546">
        <f>D47*(1+D43)</f>
        <v>0.28199999999999997</v>
      </c>
    </row>
    <row r="49" spans="3:33" s="6" customFormat="1" x14ac:dyDescent="0.3"/>
    <row r="50" spans="3:33" s="6" customFormat="1" x14ac:dyDescent="0.3">
      <c r="C50" s="543" t="s">
        <v>636</v>
      </c>
      <c r="D50" s="544"/>
      <c r="I50" s="542">
        <v>1</v>
      </c>
      <c r="J50" s="542">
        <v>1.0244770000000001</v>
      </c>
      <c r="K50" s="542">
        <v>1.048953</v>
      </c>
      <c r="L50" s="542">
        <v>1.0734298330000001</v>
      </c>
      <c r="M50" s="542">
        <v>1.097906445</v>
      </c>
      <c r="N50" s="542">
        <v>1.090257504</v>
      </c>
      <c r="O50" s="542">
        <v>1.0826089999999999</v>
      </c>
      <c r="P50" s="542">
        <v>1.0749599999999999</v>
      </c>
      <c r="Q50" s="542">
        <v>1.0673109999999999</v>
      </c>
      <c r="R50" s="542">
        <v>1.0596620000000001</v>
      </c>
      <c r="S50" s="542">
        <v>1.0520130000000001</v>
      </c>
      <c r="T50" s="542">
        <v>1.0443640000000001</v>
      </c>
      <c r="U50" s="542">
        <v>1.0367150000000001</v>
      </c>
      <c r="V50" s="542">
        <v>1.029066</v>
      </c>
      <c r="W50" s="542">
        <v>1.021417</v>
      </c>
      <c r="X50" s="542">
        <v>1.013768</v>
      </c>
      <c r="Y50" s="542">
        <v>1.006119</v>
      </c>
      <c r="Z50" s="542">
        <v>0.99846999999999997</v>
      </c>
      <c r="AA50" s="542">
        <v>0.99082099999999995</v>
      </c>
      <c r="AB50" s="542">
        <v>0.98317200000000005</v>
      </c>
      <c r="AC50" s="542">
        <v>0.97552300000000003</v>
      </c>
      <c r="AD50" s="542">
        <v>0.96787400000000001</v>
      </c>
      <c r="AE50" s="542">
        <v>0.96022600000000002</v>
      </c>
      <c r="AF50" s="542">
        <v>0.95257700000000001</v>
      </c>
      <c r="AG50" s="542">
        <v>0.94492799999999999</v>
      </c>
    </row>
    <row r="51" spans="3:33" s="6" customFormat="1" x14ac:dyDescent="0.3">
      <c r="C51" s="543" t="s">
        <v>637</v>
      </c>
      <c r="D51" s="544"/>
      <c r="E51" s="544"/>
      <c r="G51" s="544"/>
      <c r="I51" s="542">
        <v>1.5691863914285713E-2</v>
      </c>
      <c r="J51" s="542">
        <v>1.5768361685714286E-2</v>
      </c>
      <c r="K51" s="542">
        <v>1.5844859457142858E-2</v>
      </c>
      <c r="L51" s="542">
        <v>1.592135722857143E-2</v>
      </c>
      <c r="M51" s="542">
        <v>1.5997855000000002E-2</v>
      </c>
      <c r="N51" s="542">
        <v>1.6043472150000002E-2</v>
      </c>
      <c r="O51" s="542">
        <v>1.6089089300000001E-2</v>
      </c>
      <c r="P51" s="542">
        <v>1.6134706450000001E-2</v>
      </c>
      <c r="Q51" s="542">
        <v>1.6180323600000001E-2</v>
      </c>
      <c r="R51" s="542">
        <v>1.6225940750000001E-2</v>
      </c>
      <c r="S51" s="542">
        <v>1.6271557900000001E-2</v>
      </c>
      <c r="T51" s="542">
        <v>1.631717505E-2</v>
      </c>
      <c r="U51" s="542">
        <v>1.63627922E-2</v>
      </c>
      <c r="V51" s="542">
        <v>1.640840935E-2</v>
      </c>
      <c r="W51" s="542">
        <v>1.64540265E-2</v>
      </c>
      <c r="X51" s="542">
        <v>1.649964365E-2</v>
      </c>
      <c r="Y51" s="542">
        <v>1.6545260799999999E-2</v>
      </c>
      <c r="Z51" s="542">
        <v>1.6590877949999999E-2</v>
      </c>
      <c r="AA51" s="542">
        <v>1.6636495099999999E-2</v>
      </c>
      <c r="AB51" s="542">
        <v>1.6682112249999999E-2</v>
      </c>
      <c r="AC51" s="542">
        <v>1.6727729399999999E-2</v>
      </c>
      <c r="AD51" s="542">
        <v>1.6773346549999998E-2</v>
      </c>
      <c r="AE51" s="542">
        <v>1.6818963699999998E-2</v>
      </c>
      <c r="AF51" s="542">
        <v>1.6864580849999998E-2</v>
      </c>
      <c r="AG51" s="542">
        <v>1.6910197999999998E-2</v>
      </c>
    </row>
    <row r="52" spans="3:33" s="6" customFormat="1" x14ac:dyDescent="0.3"/>
    <row r="53" spans="3:33" s="6" customFormat="1" x14ac:dyDescent="0.3">
      <c r="C53" s="6" t="s">
        <v>638</v>
      </c>
      <c r="I53" s="542">
        <v>1.0787442334932287</v>
      </c>
      <c r="J53" s="542">
        <v>1.0974034287038203</v>
      </c>
      <c r="K53" s="542">
        <v>1.1228077368341054</v>
      </c>
      <c r="L53" s="542">
        <v>1.1520402054187227</v>
      </c>
      <c r="M53" s="542">
        <v>1.1692659987822569</v>
      </c>
      <c r="N53" s="542">
        <v>1.1921579153850588</v>
      </c>
      <c r="O53" s="542">
        <v>1.2284110055709163</v>
      </c>
      <c r="P53" s="542">
        <v>1.2549732068667088</v>
      </c>
      <c r="Q53" s="542">
        <v>1.2845667603625472</v>
      </c>
      <c r="R53" s="542">
        <v>1.2845667603625472</v>
      </c>
      <c r="S53" s="542">
        <v>1.2845667603625472</v>
      </c>
      <c r="T53" s="542">
        <v>1.2845667603625472</v>
      </c>
      <c r="U53" s="542">
        <v>1.2845667603625472</v>
      </c>
      <c r="V53" s="542">
        <v>1.2845667603625472</v>
      </c>
      <c r="W53" s="542">
        <v>1.2845667603625472</v>
      </c>
      <c r="X53" s="542">
        <v>1.2845667603625472</v>
      </c>
      <c r="Y53" s="542">
        <v>1.2845667603625472</v>
      </c>
      <c r="Z53" s="542">
        <v>1.2845667603625472</v>
      </c>
      <c r="AA53" s="542">
        <v>1.2845667603625472</v>
      </c>
      <c r="AB53" s="542">
        <v>1.2845667603625472</v>
      </c>
      <c r="AC53" s="542">
        <v>1.2845667603625472</v>
      </c>
      <c r="AD53" s="542">
        <v>1.2845667603625472</v>
      </c>
      <c r="AE53" s="542">
        <v>1.2845667603625472</v>
      </c>
      <c r="AF53" s="542">
        <v>1.2845667603625472</v>
      </c>
      <c r="AG53" s="542">
        <v>1.2845667603625472</v>
      </c>
    </row>
    <row r="54" spans="3:33" s="6" customFormat="1" x14ac:dyDescent="0.3"/>
    <row r="55" spans="3:33" s="6" customFormat="1" x14ac:dyDescent="0.3"/>
    <row r="56" spans="3:33" s="6" customFormat="1" x14ac:dyDescent="0.3"/>
    <row r="57" spans="3:33" s="6" customFormat="1" x14ac:dyDescent="0.3">
      <c r="C57" s="547" t="s">
        <v>149</v>
      </c>
      <c r="D57" s="547"/>
      <c r="E57" s="547" t="s">
        <v>40</v>
      </c>
      <c r="F57" s="547"/>
      <c r="G57" s="547"/>
      <c r="H57" s="547"/>
      <c r="I57" s="548">
        <f>Workings_risks!$M$23</f>
        <v>79.101563657236937</v>
      </c>
      <c r="J57" s="548">
        <f>Workings_risks!$M$23</f>
        <v>79.101563657236937</v>
      </c>
      <c r="K57" s="548">
        <f>Workings_risks!$M$23</f>
        <v>79.101563657236937</v>
      </c>
      <c r="L57" s="548">
        <f>Workings_risks!$M$23</f>
        <v>79.101563657236937</v>
      </c>
      <c r="M57" s="548">
        <f>Workings_risks!$M$23</f>
        <v>79.101563657236937</v>
      </c>
      <c r="N57" s="548">
        <f>Workings_risks!$M$23</f>
        <v>79.101563657236937</v>
      </c>
      <c r="O57" s="548">
        <f>Workings_risks!$M$23</f>
        <v>79.101563657236937</v>
      </c>
      <c r="P57" s="548">
        <f>Workings_risks!$M$23</f>
        <v>79.101563657236937</v>
      </c>
      <c r="Q57" s="548">
        <f>Workings_risks!$M$23</f>
        <v>79.101563657236937</v>
      </c>
      <c r="R57" s="548">
        <f>Workings_risks!$M$23</f>
        <v>79.101563657236937</v>
      </c>
      <c r="S57" s="548">
        <f>Workings_risks!$M$23</f>
        <v>79.101563657236937</v>
      </c>
      <c r="T57" s="548">
        <f>Workings_risks!$M$23</f>
        <v>79.101563657236937</v>
      </c>
      <c r="U57" s="548">
        <f>Workings_risks!$M$23</f>
        <v>79.101563657236937</v>
      </c>
      <c r="V57" s="548">
        <f>Workings_risks!$M$23</f>
        <v>79.101563657236937</v>
      </c>
      <c r="W57" s="548">
        <f>Workings_risks!$M$23</f>
        <v>79.101563657236937</v>
      </c>
      <c r="X57" s="548">
        <f>Workings_risks!$M$23</f>
        <v>79.101563657236937</v>
      </c>
      <c r="Y57" s="548">
        <f>Workings_risks!$M$23</f>
        <v>79.101563657236937</v>
      </c>
      <c r="Z57" s="548">
        <f>Workings_risks!$M$23</f>
        <v>79.101563657236937</v>
      </c>
      <c r="AA57" s="548">
        <f>Workings_risks!$M$23</f>
        <v>79.101563657236937</v>
      </c>
      <c r="AB57" s="548">
        <f>Workings_risks!$M$23</f>
        <v>79.101563657236937</v>
      </c>
      <c r="AC57" s="548">
        <f>Workings_risks!$M$23</f>
        <v>79.101563657236937</v>
      </c>
      <c r="AD57" s="548">
        <f>Workings_risks!$M$23</f>
        <v>79.101563657236937</v>
      </c>
      <c r="AE57" s="548">
        <f>Workings_risks!$M$23</f>
        <v>79.101563657236937</v>
      </c>
      <c r="AF57" s="548">
        <f>Workings_risks!$M$23</f>
        <v>79.101563657236937</v>
      </c>
      <c r="AG57" s="548">
        <f>Workings_risks!$M$23</f>
        <v>79.101563657236937</v>
      </c>
    </row>
    <row r="58" spans="3:33" s="6" customFormat="1" x14ac:dyDescent="0.3"/>
    <row r="59" spans="3:33" s="6" customFormat="1" x14ac:dyDescent="0.3"/>
    <row r="60" spans="3:33" s="6" customFormat="1" x14ac:dyDescent="0.3">
      <c r="C60" s="547" t="s">
        <v>668</v>
      </c>
      <c r="D60" s="547"/>
      <c r="E60" s="547" t="s">
        <v>40</v>
      </c>
      <c r="F60" s="547"/>
      <c r="G60" s="547"/>
      <c r="H60" s="547"/>
      <c r="I60" s="548">
        <f t="shared" ref="I60:AG60" si="0">($D$46*I$50+$D$44*I$51)*$D$48*I$53</f>
        <v>8.8991978042443307</v>
      </c>
      <c r="J60" s="548">
        <f t="shared" si="0"/>
        <v>9.272332679927791</v>
      </c>
      <c r="K60" s="548">
        <f t="shared" si="0"/>
        <v>9.7112517552545157</v>
      </c>
      <c r="L60" s="548">
        <f t="shared" si="0"/>
        <v>10.194201842616083</v>
      </c>
      <c r="M60" s="548">
        <f t="shared" si="0"/>
        <v>10.580184745197105</v>
      </c>
      <c r="N60" s="548">
        <f t="shared" si="0"/>
        <v>10.713495684921261</v>
      </c>
      <c r="O60" s="548">
        <f t="shared" si="0"/>
        <v>10.963220327131452</v>
      </c>
      <c r="P60" s="548">
        <f t="shared" si="0"/>
        <v>11.122561651821032</v>
      </c>
      <c r="Q60" s="548">
        <f t="shared" si="0"/>
        <v>11.305291558626704</v>
      </c>
      <c r="R60" s="548">
        <f t="shared" si="0"/>
        <v>11.225740070536522</v>
      </c>
      <c r="S60" s="548">
        <f t="shared" si="0"/>
        <v>11.14618858244634</v>
      </c>
      <c r="T60" s="548">
        <f t="shared" si="0"/>
        <v>11.066637094356155</v>
      </c>
      <c r="U60" s="548">
        <f t="shared" si="0"/>
        <v>10.987085606265969</v>
      </c>
      <c r="V60" s="548">
        <f t="shared" si="0"/>
        <v>10.907534118175786</v>
      </c>
      <c r="W60" s="548">
        <f t="shared" si="0"/>
        <v>10.827982630085602</v>
      </c>
      <c r="X60" s="548">
        <f t="shared" si="0"/>
        <v>10.748431141995416</v>
      </c>
      <c r="Y60" s="548">
        <f t="shared" si="0"/>
        <v>10.668879653905233</v>
      </c>
      <c r="Z60" s="548">
        <f t="shared" si="0"/>
        <v>10.589328165815045</v>
      </c>
      <c r="AA60" s="548">
        <f t="shared" si="0"/>
        <v>10.509776677724862</v>
      </c>
      <c r="AB60" s="548">
        <f t="shared" si="0"/>
        <v>10.43022518963468</v>
      </c>
      <c r="AC60" s="548">
        <f t="shared" si="0"/>
        <v>10.350673701544494</v>
      </c>
      <c r="AD60" s="548">
        <f t="shared" si="0"/>
        <v>10.27112221345431</v>
      </c>
      <c r="AE60" s="548">
        <f t="shared" si="0"/>
        <v>10.191581179836396</v>
      </c>
      <c r="AF60" s="548">
        <f t="shared" si="0"/>
        <v>10.112029691746212</v>
      </c>
      <c r="AG60" s="548">
        <f t="shared" si="0"/>
        <v>10.032478203656028</v>
      </c>
    </row>
    <row r="61" spans="3:33" s="6" customFormat="1" x14ac:dyDescent="0.3"/>
    <row r="62" spans="3:33" s="6" customFormat="1" x14ac:dyDescent="0.3">
      <c r="I62" s="539"/>
    </row>
    <row r="63" spans="3:33" s="6" customFormat="1" x14ac:dyDescent="0.3"/>
    <row r="64" spans="3:33" s="6" customFormat="1" x14ac:dyDescent="0.3"/>
  </sheetData>
  <mergeCells count="3">
    <mergeCell ref="C11:L11"/>
    <mergeCell ref="C12:L12"/>
    <mergeCell ref="C13:L1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6828-532D-446A-AB34-D0BDA486C01E}">
  <sheetPr codeName="Sheet12">
    <tabColor rgb="FFFFFF00"/>
  </sheetPr>
  <dimension ref="A1:AB101"/>
  <sheetViews>
    <sheetView showGridLines="0" zoomScale="90" zoomScaleNormal="90" workbookViewId="0">
      <pane xSplit="4" ySplit="5" topLeftCell="E6" activePane="bottomRight" state="frozen"/>
      <selection activeCell="G39" sqref="G39:G42"/>
      <selection pane="topRight" activeCell="G39" sqref="G39:G42"/>
      <selection pane="bottomLeft" activeCell="G39" sqref="G39:G42"/>
      <selection pane="bottomRight" activeCell="E6" sqref="E6"/>
    </sheetView>
  </sheetViews>
  <sheetFormatPr defaultColWidth="8" defaultRowHeight="13" x14ac:dyDescent="0.3"/>
  <cols>
    <col min="1" max="1" width="2.61328125" style="1" customWidth="1"/>
    <col min="2" max="2" width="5.23046875" style="1" customWidth="1"/>
    <col min="3" max="3" width="10.61328125" style="1" customWidth="1"/>
    <col min="4" max="4" width="7.61328125" style="1" customWidth="1"/>
    <col min="5" max="5" width="25" style="1" customWidth="1"/>
    <col min="6" max="6" width="15.15234375" style="1" customWidth="1"/>
    <col min="7" max="7" width="18.4609375" style="1" bestFit="1" customWidth="1"/>
    <col min="8" max="8" width="14.765625" style="1" customWidth="1"/>
    <col min="9" max="9" width="13" style="1" bestFit="1" customWidth="1"/>
    <col min="10" max="10" width="17.4609375" style="1" bestFit="1" customWidth="1"/>
    <col min="11" max="11" width="10.4609375" style="1" bestFit="1" customWidth="1"/>
    <col min="12" max="12" width="19.3828125" style="1" bestFit="1" customWidth="1"/>
    <col min="13" max="13" width="9" style="1" customWidth="1"/>
    <col min="14" max="14" width="13.84375" style="1" bestFit="1" customWidth="1"/>
    <col min="15" max="28" width="8.61328125" style="1" customWidth="1"/>
    <col min="29" max="16384" width="8" style="1"/>
  </cols>
  <sheetData>
    <row r="1" spans="1:28" ht="18.5" x14ac:dyDescent="0.45">
      <c r="A1" s="11"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5" x14ac:dyDescent="0.45">
      <c r="A2" s="537" t="str">
        <f>proj</f>
        <v>BAN003-WND024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5" x14ac:dyDescent="0.45">
      <c r="A3" s="5" t="s">
        <v>260</v>
      </c>
      <c r="B3" s="323"/>
      <c r="C3" s="5"/>
      <c r="D3" s="5"/>
    </row>
    <row r="5" spans="1:28" ht="14.5" x14ac:dyDescent="0.3">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row>
    <row r="6" spans="1:28" x14ac:dyDescent="0.3">
      <c r="C6" s="3"/>
      <c r="D6" s="3"/>
    </row>
    <row r="7" spans="1:28" s="325" customFormat="1" x14ac:dyDescent="0.3">
      <c r="C7" s="326" t="s">
        <v>284</v>
      </c>
    </row>
    <row r="8" spans="1:28" s="332" customFormat="1" x14ac:dyDescent="0.3">
      <c r="C8" s="333"/>
    </row>
    <row r="9" spans="1:28" x14ac:dyDescent="0.3">
      <c r="E9" s="372" t="s">
        <v>285</v>
      </c>
      <c r="F9" s="373"/>
      <c r="G9" s="373"/>
      <c r="H9" s="374"/>
    </row>
    <row r="10" spans="1:28" x14ac:dyDescent="0.3">
      <c r="E10" s="375"/>
      <c r="F10" s="376"/>
      <c r="G10" s="376"/>
      <c r="H10" s="377"/>
    </row>
    <row r="11" spans="1:28" x14ac:dyDescent="0.3">
      <c r="E11" s="378"/>
      <c r="F11" s="376" t="s">
        <v>286</v>
      </c>
      <c r="G11" s="376" t="s">
        <v>266</v>
      </c>
      <c r="H11" s="377" t="s">
        <v>267</v>
      </c>
    </row>
    <row r="12" spans="1:28" x14ac:dyDescent="0.3">
      <c r="E12" s="378" t="s">
        <v>287</v>
      </c>
      <c r="F12" s="379">
        <v>41210</v>
      </c>
      <c r="G12" s="379">
        <v>41210</v>
      </c>
      <c r="H12" s="380">
        <v>41210</v>
      </c>
    </row>
    <row r="13" spans="1:28" x14ac:dyDescent="0.3">
      <c r="E13" s="378" t="s">
        <v>288</v>
      </c>
      <c r="F13" s="381">
        <v>2.0905923344947785E-2</v>
      </c>
      <c r="G13" s="381">
        <v>2.0905923344947785E-2</v>
      </c>
      <c r="H13" s="382">
        <v>2.0905923344947785E-2</v>
      </c>
    </row>
    <row r="14" spans="1:28" x14ac:dyDescent="0.3">
      <c r="E14" s="378" t="s">
        <v>289</v>
      </c>
      <c r="F14" s="383">
        <v>1.5</v>
      </c>
      <c r="G14" s="383">
        <v>1.5</v>
      </c>
      <c r="H14" s="384">
        <v>1.5</v>
      </c>
    </row>
    <row r="15" spans="1:28" x14ac:dyDescent="0.3">
      <c r="E15" s="378" t="s">
        <v>290</v>
      </c>
      <c r="F15" s="385">
        <v>4166180.3850682126</v>
      </c>
      <c r="G15" s="385">
        <v>4425570.7123436071</v>
      </c>
      <c r="H15" s="386">
        <v>2740818.2368324664</v>
      </c>
    </row>
    <row r="16" spans="1:28" x14ac:dyDescent="0.3">
      <c r="E16" s="378" t="s">
        <v>291</v>
      </c>
      <c r="F16" s="387">
        <v>650149950.32043111</v>
      </c>
      <c r="G16" s="387">
        <v>650149950.32043111</v>
      </c>
      <c r="H16" s="388">
        <v>650149950.32043111</v>
      </c>
    </row>
    <row r="17" spans="5:12" x14ac:dyDescent="0.3">
      <c r="E17" s="378" t="s">
        <v>269</v>
      </c>
      <c r="F17" s="381">
        <v>69.226869838403246</v>
      </c>
      <c r="G17" s="381">
        <v>104.14162857981962</v>
      </c>
      <c r="H17" s="382">
        <v>240.91593855847913</v>
      </c>
    </row>
    <row r="18" spans="5:12" x14ac:dyDescent="0.3">
      <c r="E18" s="378" t="s">
        <v>268</v>
      </c>
      <c r="F18" s="381">
        <v>0.82319392460420227</v>
      </c>
      <c r="G18" s="381">
        <v>1.1472422278929248</v>
      </c>
      <c r="H18" s="382">
        <v>2.0249150004550946</v>
      </c>
    </row>
    <row r="19" spans="5:12" x14ac:dyDescent="0.3">
      <c r="E19" s="378" t="s">
        <v>292</v>
      </c>
      <c r="F19" s="389">
        <v>1.1995902512760259</v>
      </c>
      <c r="G19" s="389">
        <v>2.5075506205544258</v>
      </c>
      <c r="H19" s="390">
        <v>4.3932740444333884</v>
      </c>
      <c r="J19" s="391"/>
      <c r="K19" s="391"/>
      <c r="L19" s="391"/>
    </row>
    <row r="20" spans="5:12" x14ac:dyDescent="0.3">
      <c r="E20" s="378"/>
      <c r="F20" s="376"/>
      <c r="G20" s="376"/>
      <c r="H20" s="377"/>
    </row>
    <row r="21" spans="5:12" x14ac:dyDescent="0.3">
      <c r="E21" s="378"/>
      <c r="F21" s="376"/>
      <c r="G21" s="376"/>
      <c r="H21" s="377"/>
    </row>
    <row r="22" spans="5:12" x14ac:dyDescent="0.3">
      <c r="E22" s="375" t="s">
        <v>293</v>
      </c>
      <c r="F22" s="376"/>
      <c r="G22" s="376"/>
      <c r="H22" s="377"/>
    </row>
    <row r="23" spans="5:12" x14ac:dyDescent="0.3">
      <c r="E23" s="392" t="s">
        <v>294</v>
      </c>
      <c r="F23" s="393">
        <f>((F12*(1+F13)*(1-(1/(1+F14)))*F15)/F16)/(365.25*24*60)*100</f>
        <v>3.0754693838394902E-2</v>
      </c>
      <c r="G23" s="393">
        <f>((G12*(1+G13)*(1-(1/(1+G14)))*G15)/G16)/(365.25*24*60)*100</f>
        <v>3.2669510135977083E-2</v>
      </c>
      <c r="H23" s="394">
        <f>((H12*(1+H13)*(1-(1/(1+H14)))*H15)/H16)/(365.25*24*60)*100</f>
        <v>2.023268748578003E-2</v>
      </c>
    </row>
    <row r="24" spans="5:12" x14ac:dyDescent="0.3">
      <c r="E24" s="392" t="s">
        <v>295</v>
      </c>
      <c r="F24" s="393">
        <f>(F12*(1+F13)/(1+F14))*F15/F16/(365.25*24*60)*F17/F18*100</f>
        <v>1.7242200358351529</v>
      </c>
      <c r="G24" s="393">
        <f>(G12*(1+G13)/(1+G14))*G15/G16/(365.25*24*60)*G17/G18*100</f>
        <v>1.977063435396905</v>
      </c>
      <c r="H24" s="394">
        <f>(H12*(1+H13)/(1+H14))*H15/H16/(365.25*24*60)*H17/H18*100</f>
        <v>1.6048004958567268</v>
      </c>
    </row>
    <row r="25" spans="5:12" x14ac:dyDescent="0.3">
      <c r="E25" s="392" t="s">
        <v>296</v>
      </c>
      <c r="F25" s="393">
        <f>F24*$E$26</f>
        <v>0.13793760286681223</v>
      </c>
      <c r="G25" s="393">
        <f>G24*$E$26</f>
        <v>0.15816507483175241</v>
      </c>
      <c r="H25" s="394">
        <f>H24*$E$26</f>
        <v>0.12838403966853815</v>
      </c>
    </row>
    <row r="26" spans="5:12" x14ac:dyDescent="0.3">
      <c r="E26" s="395">
        <v>0.08</v>
      </c>
      <c r="F26" s="396"/>
      <c r="G26" s="396"/>
      <c r="H26" s="397"/>
    </row>
    <row r="27" spans="5:12" x14ac:dyDescent="0.3">
      <c r="E27" s="398" t="s">
        <v>297</v>
      </c>
      <c r="F27" s="399"/>
      <c r="G27" s="399"/>
      <c r="H27" s="400"/>
    </row>
    <row r="28" spans="5:12" x14ac:dyDescent="0.3">
      <c r="E28" s="401"/>
      <c r="F28" s="402"/>
      <c r="G28" s="402"/>
      <c r="H28" s="403"/>
    </row>
    <row r="29" spans="5:12" x14ac:dyDescent="0.3">
      <c r="E29" s="401" t="s">
        <v>298</v>
      </c>
      <c r="F29" s="404">
        <v>689.89885299074126</v>
      </c>
      <c r="G29" s="404">
        <v>689.89885299074126</v>
      </c>
      <c r="H29" s="405">
        <v>689.89885299074126</v>
      </c>
    </row>
    <row r="30" spans="5:12" x14ac:dyDescent="0.3">
      <c r="E30" s="401"/>
      <c r="F30" s="402"/>
      <c r="G30" s="402"/>
      <c r="H30" s="403"/>
    </row>
    <row r="31" spans="5:12" x14ac:dyDescent="0.3">
      <c r="E31" s="401" t="s">
        <v>299</v>
      </c>
      <c r="F31" s="402"/>
      <c r="G31" s="402"/>
      <c r="H31" s="403"/>
    </row>
    <row r="32" spans="5:12" x14ac:dyDescent="0.3">
      <c r="E32" s="406" t="s">
        <v>269</v>
      </c>
      <c r="F32" s="407">
        <f>(F23*F$29)*10000</f>
        <v>212176.28003190062</v>
      </c>
      <c r="G32" s="407">
        <f>(G23*G$29)*10000</f>
        <v>225386.57570579986</v>
      </c>
      <c r="H32" s="408">
        <f>(H23*H$29)*10000</f>
        <v>139585.07889359767</v>
      </c>
    </row>
    <row r="33" spans="5:8" x14ac:dyDescent="0.3">
      <c r="E33" s="406" t="s">
        <v>268</v>
      </c>
      <c r="F33" s="407">
        <f t="shared" ref="F33:H34" si="0">(F24*F$29)*10000</f>
        <v>11895374.250263268</v>
      </c>
      <c r="G33" s="407">
        <f t="shared" si="0"/>
        <v>13639737.963702591</v>
      </c>
      <c r="H33" s="408">
        <f t="shared" si="0"/>
        <v>11071500.213705288</v>
      </c>
    </row>
    <row r="34" spans="5:8" x14ac:dyDescent="0.3">
      <c r="E34" s="406" t="s">
        <v>292</v>
      </c>
      <c r="F34" s="407">
        <f t="shared" si="0"/>
        <v>951629.94002106134</v>
      </c>
      <c r="G34" s="407">
        <f t="shared" si="0"/>
        <v>1091179.0370962075</v>
      </c>
      <c r="H34" s="408">
        <f t="shared" si="0"/>
        <v>885720.01709642296</v>
      </c>
    </row>
    <row r="35" spans="5:8" x14ac:dyDescent="0.3">
      <c r="E35" s="409"/>
      <c r="F35" s="402"/>
      <c r="G35" s="402"/>
      <c r="H35" s="403"/>
    </row>
    <row r="36" spans="5:8" x14ac:dyDescent="0.3">
      <c r="E36" s="409" t="s">
        <v>300</v>
      </c>
      <c r="F36" s="410">
        <v>320111</v>
      </c>
      <c r="G36" s="410">
        <v>356763</v>
      </c>
      <c r="H36" s="411">
        <v>212928</v>
      </c>
    </row>
    <row r="37" spans="5:8" x14ac:dyDescent="0.3">
      <c r="E37" s="412"/>
      <c r="F37" s="413"/>
      <c r="G37" s="413"/>
      <c r="H37" s="414"/>
    </row>
    <row r="38" spans="5:8" x14ac:dyDescent="0.3">
      <c r="E38" s="415" t="s">
        <v>301</v>
      </c>
      <c r="F38" s="416"/>
      <c r="G38" s="416"/>
      <c r="H38" s="417"/>
    </row>
    <row r="39" spans="5:8" x14ac:dyDescent="0.3">
      <c r="E39" s="418"/>
      <c r="F39" s="419"/>
      <c r="G39" s="419"/>
      <c r="H39" s="420"/>
    </row>
    <row r="40" spans="5:8" x14ac:dyDescent="0.3">
      <c r="E40" s="421" t="s">
        <v>302</v>
      </c>
      <c r="F40" s="422">
        <f>F32/F$36</f>
        <v>0.66282095907950878</v>
      </c>
      <c r="G40" s="422">
        <f>G32/G$36</f>
        <v>0.6317543458985373</v>
      </c>
      <c r="H40" s="423">
        <f>H32/H$36</f>
        <v>0.65555060346031369</v>
      </c>
    </row>
    <row r="41" spans="5:8" x14ac:dyDescent="0.3">
      <c r="E41" s="421" t="s">
        <v>303</v>
      </c>
      <c r="F41" s="422">
        <f t="shared" ref="F41:H42" si="1">F33/F$36</f>
        <v>37.160154603444646</v>
      </c>
      <c r="G41" s="422">
        <f t="shared" si="1"/>
        <v>38.231929778880072</v>
      </c>
      <c r="H41" s="423">
        <f t="shared" si="1"/>
        <v>51.996450507708182</v>
      </c>
    </row>
    <row r="42" spans="5:8" x14ac:dyDescent="0.3">
      <c r="E42" s="421" t="s">
        <v>304</v>
      </c>
      <c r="F42" s="422">
        <f t="shared" si="1"/>
        <v>2.9728123682755712</v>
      </c>
      <c r="G42" s="422">
        <f t="shared" si="1"/>
        <v>3.0585543823104064</v>
      </c>
      <c r="H42" s="423">
        <f t="shared" si="1"/>
        <v>4.1597160406166545</v>
      </c>
    </row>
    <row r="43" spans="5:8" x14ac:dyDescent="0.3">
      <c r="E43" s="424"/>
      <c r="F43" s="425"/>
      <c r="G43" s="425"/>
      <c r="H43" s="426"/>
    </row>
    <row r="44" spans="5:8" x14ac:dyDescent="0.3">
      <c r="E44" s="427" t="s">
        <v>305</v>
      </c>
      <c r="F44" s="428"/>
      <c r="G44" s="428"/>
      <c r="H44" s="429"/>
    </row>
    <row r="45" spans="5:8" x14ac:dyDescent="0.3">
      <c r="E45" s="430"/>
      <c r="F45" s="431" t="s">
        <v>286</v>
      </c>
      <c r="G45" s="431" t="s">
        <v>266</v>
      </c>
      <c r="H45" s="432" t="s">
        <v>267</v>
      </c>
    </row>
    <row r="46" spans="5:8" x14ac:dyDescent="0.3">
      <c r="E46" s="433" t="s">
        <v>306</v>
      </c>
      <c r="F46" s="434">
        <f>F40/F$12</f>
        <v>1.6083983476814095E-5</v>
      </c>
      <c r="G46" s="434">
        <f>G40/G$12</f>
        <v>1.5330122443546161E-5</v>
      </c>
      <c r="H46" s="435">
        <f>H40/H$12</f>
        <v>1.5907561355503851E-5</v>
      </c>
    </row>
    <row r="47" spans="5:8" x14ac:dyDescent="0.3">
      <c r="E47" s="433" t="s">
        <v>307</v>
      </c>
      <c r="F47" s="434">
        <f t="shared" ref="F47:H48" si="2">F41/F$12</f>
        <v>9.0172663439564782E-4</v>
      </c>
      <c r="G47" s="434">
        <f t="shared" si="2"/>
        <v>9.277342824285385E-4</v>
      </c>
      <c r="H47" s="435">
        <f t="shared" si="2"/>
        <v>1.2617435211770974E-3</v>
      </c>
    </row>
    <row r="48" spans="5:8" x14ac:dyDescent="0.3">
      <c r="E48" s="433" t="s">
        <v>308</v>
      </c>
      <c r="F48" s="434">
        <f t="shared" si="2"/>
        <v>7.2138130751651808E-5</v>
      </c>
      <c r="G48" s="434">
        <f t="shared" si="2"/>
        <v>7.4218742594283103E-5</v>
      </c>
      <c r="H48" s="435">
        <f t="shared" si="2"/>
        <v>1.0093948169416778E-4</v>
      </c>
    </row>
    <row r="49" spans="3:18" x14ac:dyDescent="0.3">
      <c r="E49" s="436"/>
      <c r="F49" s="437"/>
      <c r="G49" s="437"/>
      <c r="H49" s="438"/>
    </row>
    <row r="51" spans="3:18" s="325" customFormat="1" x14ac:dyDescent="0.3">
      <c r="C51" s="326" t="s">
        <v>309</v>
      </c>
    </row>
    <row r="52" spans="3:18" x14ac:dyDescent="0.3">
      <c r="F52" s="439"/>
    </row>
    <row r="53" spans="3:18" ht="32.25" customHeight="1" x14ac:dyDescent="0.3">
      <c r="E53" s="571" t="s">
        <v>310</v>
      </c>
      <c r="F53" s="572"/>
      <c r="G53" s="572"/>
      <c r="H53" s="572"/>
      <c r="I53" s="572"/>
      <c r="J53" s="572"/>
      <c r="K53" s="572"/>
      <c r="L53" s="572"/>
      <c r="M53" s="572"/>
      <c r="N53" s="572"/>
      <c r="O53" s="572"/>
      <c r="P53" s="572"/>
      <c r="Q53" s="572"/>
      <c r="R53" s="572"/>
    </row>
    <row r="54" spans="3:18" ht="13.5" x14ac:dyDescent="0.3">
      <c r="E54" s="517"/>
      <c r="F54" s="518"/>
      <c r="G54" s="518"/>
      <c r="H54" s="518"/>
      <c r="I54" s="518"/>
      <c r="J54" s="518"/>
      <c r="K54" s="518"/>
      <c r="L54" s="518"/>
      <c r="M54" s="518"/>
      <c r="N54" s="518"/>
      <c r="O54" s="518"/>
      <c r="P54" s="518"/>
      <c r="Q54" s="518"/>
      <c r="R54" s="518"/>
    </row>
    <row r="55" spans="3:18" ht="13.5" x14ac:dyDescent="0.3">
      <c r="E55" s="571" t="s">
        <v>311</v>
      </c>
      <c r="F55" s="572"/>
      <c r="G55" s="572"/>
      <c r="H55" s="572"/>
      <c r="I55" s="572"/>
      <c r="J55" s="572"/>
      <c r="K55" s="572"/>
      <c r="L55" s="572"/>
      <c r="M55" s="572"/>
      <c r="N55" s="572"/>
      <c r="O55" s="572"/>
      <c r="P55" s="572"/>
      <c r="Q55" s="572"/>
      <c r="R55" s="572"/>
    </row>
    <row r="56" spans="3:18" ht="13.5" x14ac:dyDescent="0.3">
      <c r="E56" s="517"/>
      <c r="F56" s="518"/>
      <c r="I56" s="518"/>
      <c r="J56" s="518"/>
      <c r="K56" s="518"/>
      <c r="L56" s="518"/>
      <c r="M56" s="518"/>
      <c r="N56" s="518"/>
      <c r="O56" s="518"/>
      <c r="P56" s="518"/>
      <c r="Q56" s="518"/>
      <c r="R56" s="518"/>
    </row>
    <row r="57" spans="3:18" ht="14" thickBot="1" x14ac:dyDescent="0.35">
      <c r="L57" s="518"/>
      <c r="M57" s="518"/>
      <c r="N57" s="518"/>
      <c r="O57" s="518"/>
      <c r="P57" s="518"/>
      <c r="Q57" s="518"/>
      <c r="R57" s="518"/>
    </row>
    <row r="58" spans="3:18" ht="14" thickTop="1" x14ac:dyDescent="0.3">
      <c r="E58" s="581" t="s">
        <v>312</v>
      </c>
      <c r="F58" s="582"/>
      <c r="J58" s="440" t="s">
        <v>282</v>
      </c>
      <c r="K58" s="441"/>
      <c r="L58" s="442" t="s">
        <v>344</v>
      </c>
      <c r="M58" s="443"/>
      <c r="N58" s="518"/>
      <c r="O58" s="518"/>
      <c r="P58" s="518"/>
      <c r="Q58" s="518"/>
      <c r="R58" s="518"/>
    </row>
    <row r="59" spans="3:18" ht="13.5" x14ac:dyDescent="0.3">
      <c r="J59" s="444" t="s">
        <v>269</v>
      </c>
      <c r="K59" s="445" t="s">
        <v>268</v>
      </c>
      <c r="L59" s="446" t="s">
        <v>269</v>
      </c>
      <c r="M59" s="447" t="s">
        <v>268</v>
      </c>
      <c r="N59" s="518"/>
      <c r="O59" s="518"/>
      <c r="P59" s="518"/>
      <c r="Q59" s="518"/>
      <c r="R59" s="518"/>
    </row>
    <row r="60" spans="3:18" ht="43.5" customHeight="1" x14ac:dyDescent="0.3">
      <c r="E60" s="571" t="s">
        <v>345</v>
      </c>
      <c r="F60" s="572"/>
      <c r="G60" s="576"/>
      <c r="H60" s="576"/>
      <c r="I60" s="577"/>
      <c r="J60" s="449">
        <v>0.5</v>
      </c>
      <c r="K60" s="450">
        <v>0.5</v>
      </c>
      <c r="L60" s="451">
        <v>0.5</v>
      </c>
      <c r="M60" s="452">
        <v>0.5</v>
      </c>
      <c r="N60" s="518"/>
      <c r="O60" s="518"/>
      <c r="P60" s="518"/>
      <c r="Q60" s="518"/>
      <c r="R60" s="518"/>
    </row>
    <row r="61" spans="3:18" ht="47.25" customHeight="1" x14ac:dyDescent="0.3">
      <c r="E61" s="571" t="s">
        <v>313</v>
      </c>
      <c r="F61" s="572"/>
      <c r="G61" s="576"/>
      <c r="H61" s="576"/>
      <c r="I61" s="577"/>
      <c r="J61" s="449">
        <v>0.1</v>
      </c>
      <c r="K61" s="450">
        <v>0.1</v>
      </c>
      <c r="L61" s="451">
        <v>0.1</v>
      </c>
      <c r="M61" s="452">
        <v>0.1</v>
      </c>
      <c r="N61" s="519"/>
      <c r="O61" s="518"/>
      <c r="P61" s="518"/>
      <c r="Q61" s="518"/>
      <c r="R61" s="518"/>
    </row>
    <row r="62" spans="3:18" ht="65.25" customHeight="1" x14ac:dyDescent="0.3">
      <c r="E62" s="571" t="s">
        <v>314</v>
      </c>
      <c r="F62" s="572"/>
      <c r="G62" s="576"/>
      <c r="H62" s="576"/>
      <c r="I62" s="577"/>
      <c r="J62" s="449">
        <v>0.05</v>
      </c>
      <c r="K62" s="450">
        <v>0.25</v>
      </c>
      <c r="L62" s="449">
        <v>0.05</v>
      </c>
      <c r="M62" s="452">
        <v>0.25</v>
      </c>
      <c r="N62" s="518"/>
      <c r="O62" s="518"/>
      <c r="P62" s="518"/>
      <c r="Q62" s="518"/>
      <c r="R62" s="518"/>
    </row>
    <row r="63" spans="3:18" ht="51.75" customHeight="1" thickBot="1" x14ac:dyDescent="0.35">
      <c r="E63" s="571" t="s">
        <v>346</v>
      </c>
      <c r="F63" s="572"/>
      <c r="G63" s="576"/>
      <c r="H63" s="576"/>
      <c r="I63" s="577"/>
      <c r="J63" s="453">
        <v>0.4</v>
      </c>
      <c r="K63" s="454">
        <v>0.4</v>
      </c>
      <c r="L63" s="455">
        <v>0.4</v>
      </c>
      <c r="M63" s="456">
        <v>0.4</v>
      </c>
      <c r="N63" s="518"/>
      <c r="O63" s="518"/>
      <c r="P63" s="518"/>
      <c r="Q63" s="518"/>
      <c r="R63" s="518"/>
    </row>
    <row r="64" spans="3:18" ht="14.5" thickTop="1" thickBot="1" x14ac:dyDescent="0.35">
      <c r="E64" s="517"/>
      <c r="F64" s="518"/>
      <c r="G64" s="518"/>
      <c r="H64" s="518"/>
      <c r="I64" s="518"/>
      <c r="J64" s="457">
        <f>(1-J60)*(1-J61)*(1-J62)*(1-J63)</f>
        <v>0.25650000000000001</v>
      </c>
      <c r="K64" s="458">
        <f>(1-K60)*(1-K61)*(1-K62)*(1-K63)</f>
        <v>0.20250000000000001</v>
      </c>
      <c r="L64" s="459">
        <f>(1-L60)*(1-L61)*(1-L62)*(1-L63)</f>
        <v>0.25650000000000001</v>
      </c>
      <c r="M64" s="460">
        <f>(1-M60)*(1-M61)*(1-M62)*(1-M63)</f>
        <v>0.20250000000000001</v>
      </c>
      <c r="N64" s="518"/>
      <c r="O64" s="518"/>
      <c r="P64" s="518"/>
      <c r="Q64" s="518"/>
      <c r="R64" s="518"/>
    </row>
    <row r="65" spans="5:19" ht="14" thickTop="1" thickBot="1" x14ac:dyDescent="0.35">
      <c r="F65" s="439"/>
    </row>
    <row r="66" spans="5:19" ht="13.5" thickTop="1" x14ac:dyDescent="0.3">
      <c r="E66" s="461" t="s">
        <v>315</v>
      </c>
      <c r="F66" s="462"/>
      <c r="G66" s="463"/>
      <c r="H66" s="463"/>
      <c r="I66" s="463"/>
      <c r="J66" s="463"/>
      <c r="K66" s="463"/>
      <c r="L66" s="463"/>
      <c r="M66" s="464"/>
    </row>
    <row r="67" spans="5:19" x14ac:dyDescent="0.3">
      <c r="E67" s="465" t="s">
        <v>272</v>
      </c>
      <c r="F67" s="466" t="s">
        <v>273</v>
      </c>
      <c r="G67" s="466" t="s">
        <v>316</v>
      </c>
      <c r="H67" s="467" t="s">
        <v>317</v>
      </c>
      <c r="I67" s="467" t="s">
        <v>318</v>
      </c>
      <c r="J67" s="466" t="s">
        <v>319</v>
      </c>
      <c r="K67" s="466" t="s">
        <v>320</v>
      </c>
      <c r="L67" s="466" t="s">
        <v>321</v>
      </c>
      <c r="M67" s="346"/>
    </row>
    <row r="68" spans="5:19" x14ac:dyDescent="0.3">
      <c r="E68" s="343" t="s">
        <v>282</v>
      </c>
      <c r="F68" s="344" t="s">
        <v>267</v>
      </c>
      <c r="G68" s="348">
        <v>1185</v>
      </c>
      <c r="H68" s="468">
        <f>K64</f>
        <v>0.20250000000000001</v>
      </c>
      <c r="I68" s="468">
        <f>J64</f>
        <v>0.25650000000000001</v>
      </c>
      <c r="J68" s="469">
        <f>(Workings_risks!F23*H68)*G68</f>
        <v>2648.1330000000071</v>
      </c>
      <c r="K68" s="469">
        <f>Workings_risks!G23*I68*G68</f>
        <v>533332.60109999834</v>
      </c>
      <c r="L68" s="366">
        <f>(J68*HLOOKUP(F68,Workings_benefits!$F$45:$H$48,3,FALSE)+(K68*HLOOKUP(F68,Workings_benefits!$F$45:$H$46,2,FALSE)))</f>
        <v>11.825285730853963</v>
      </c>
      <c r="M68" s="470"/>
    </row>
    <row r="69" spans="5:19" x14ac:dyDescent="0.3">
      <c r="E69" s="343" t="s">
        <v>344</v>
      </c>
      <c r="F69" s="344" t="s">
        <v>267</v>
      </c>
      <c r="G69" s="348">
        <v>933</v>
      </c>
      <c r="H69" s="468">
        <f>M64</f>
        <v>0.20250000000000001</v>
      </c>
      <c r="I69" s="468">
        <f>L64</f>
        <v>0.25650000000000001</v>
      </c>
      <c r="J69" s="469">
        <f>(Workings_risks!F24*H69)*G69</f>
        <v>1171.5435000000089</v>
      </c>
      <c r="K69" s="469">
        <f>Workings_risks!G24*I69*G69</f>
        <v>358376.15700000001</v>
      </c>
      <c r="L69" s="366">
        <f>(J69*HLOOKUP(F69,Workings_benefits!$F$45:$H$48,3,FALSE)+(K69*HLOOKUP(F69,Workings_benefits!$F$45:$H$46,2,FALSE)))</f>
        <v>7.1790781267293333</v>
      </c>
      <c r="M69" s="470"/>
    </row>
    <row r="70" spans="5:19" x14ac:dyDescent="0.3">
      <c r="E70" s="471"/>
      <c r="F70" s="439"/>
      <c r="M70" s="472"/>
    </row>
    <row r="71" spans="5:19" x14ac:dyDescent="0.3">
      <c r="E71" s="473" t="s">
        <v>347</v>
      </c>
      <c r="F71" s="474"/>
      <c r="G71" s="475"/>
      <c r="H71" s="475"/>
      <c r="I71" s="475"/>
      <c r="J71" s="475"/>
      <c r="K71" s="475"/>
      <c r="L71" s="475"/>
      <c r="M71" s="476"/>
    </row>
    <row r="72" spans="5:19" x14ac:dyDescent="0.3">
      <c r="E72" s="465" t="s">
        <v>272</v>
      </c>
      <c r="F72" s="466" t="s">
        <v>273</v>
      </c>
      <c r="G72" s="466" t="s">
        <v>316</v>
      </c>
      <c r="H72" s="467" t="s">
        <v>317</v>
      </c>
      <c r="I72" s="467" t="s">
        <v>318</v>
      </c>
      <c r="J72" s="466" t="s">
        <v>319</v>
      </c>
      <c r="K72" s="466" t="s">
        <v>320</v>
      </c>
      <c r="L72" s="466" t="s">
        <v>321</v>
      </c>
      <c r="M72" s="346"/>
      <c r="N72" s="477"/>
    </row>
    <row r="73" spans="5:19" x14ac:dyDescent="0.3">
      <c r="E73" s="343" t="s">
        <v>282</v>
      </c>
      <c r="F73" s="344" t="s">
        <v>267</v>
      </c>
      <c r="G73" s="348">
        <v>1146</v>
      </c>
      <c r="H73" s="468">
        <f>H68</f>
        <v>0.20250000000000001</v>
      </c>
      <c r="I73" s="468">
        <f>I68</f>
        <v>0.25650000000000001</v>
      </c>
      <c r="J73" s="469">
        <f>(Workings_risks!F28*H73)*G73</f>
        <v>2285.5535332829304</v>
      </c>
      <c r="K73" s="469">
        <f>Workings_risks!G28*I73*G73</f>
        <v>377785.84890363127</v>
      </c>
      <c r="L73" s="366">
        <f>(J73*HLOOKUP(F73,Workings_benefits!$F$45:$H$48,3,FALSE)+(K73*HLOOKUP(F73,Workings_benefits!$F$45:$H$46,2,FALSE)))</f>
        <v>8.8934339335987822</v>
      </c>
      <c r="M73" s="353"/>
      <c r="N73" s="478"/>
    </row>
    <row r="74" spans="5:19" x14ac:dyDescent="0.3">
      <c r="E74" s="343" t="s">
        <v>344</v>
      </c>
      <c r="F74" s="344" t="s">
        <v>267</v>
      </c>
      <c r="G74" s="348">
        <v>850</v>
      </c>
      <c r="H74" s="468">
        <f>H69</f>
        <v>0.20250000000000001</v>
      </c>
      <c r="I74" s="468">
        <f>I69</f>
        <v>0.25650000000000001</v>
      </c>
      <c r="J74" s="469">
        <f>(Workings_risks!F29*H74)*G74</f>
        <v>1114.2407588739291</v>
      </c>
      <c r="K74" s="469">
        <f>Workings_risks!G29*I74*G74</f>
        <v>360228.96418604656</v>
      </c>
      <c r="L74" s="366">
        <f>(J74*HLOOKUP(F74,Workings_benefits!$F$45:$H$48,3,FALSE)+(K74*HLOOKUP(F74,Workings_benefits!$F$45:$H$46,2,FALSE)))</f>
        <v>7.1362504083597678</v>
      </c>
      <c r="M74" s="353"/>
      <c r="N74" s="478"/>
    </row>
    <row r="75" spans="5:19" x14ac:dyDescent="0.3">
      <c r="E75" s="479"/>
      <c r="F75" s="362"/>
      <c r="G75" s="362"/>
      <c r="H75" s="362"/>
      <c r="I75" s="362"/>
      <c r="J75" s="362"/>
      <c r="K75" s="362"/>
      <c r="L75" s="362"/>
      <c r="M75" s="480"/>
      <c r="N75" s="478"/>
    </row>
    <row r="76" spans="5:19" x14ac:dyDescent="0.3">
      <c r="E76" s="473" t="s">
        <v>349</v>
      </c>
      <c r="F76" s="344"/>
      <c r="G76" s="344"/>
      <c r="H76" s="344"/>
      <c r="I76" s="344"/>
      <c r="J76" s="344"/>
      <c r="K76" s="344"/>
      <c r="L76" s="344"/>
      <c r="M76" s="346"/>
      <c r="N76" s="477"/>
    </row>
    <row r="77" spans="5:19" x14ac:dyDescent="0.3">
      <c r="E77" s="465" t="s">
        <v>272</v>
      </c>
      <c r="F77" s="466"/>
      <c r="G77" s="466" t="s">
        <v>316</v>
      </c>
      <c r="H77" s="467" t="s">
        <v>317</v>
      </c>
      <c r="I77" s="467" t="s">
        <v>318</v>
      </c>
      <c r="J77" s="466" t="s">
        <v>319</v>
      </c>
      <c r="K77" s="466" t="s">
        <v>320</v>
      </c>
      <c r="L77" s="466" t="s">
        <v>321</v>
      </c>
      <c r="M77" s="481"/>
      <c r="N77" s="477"/>
    </row>
    <row r="78" spans="5:19" x14ac:dyDescent="0.3">
      <c r="E78" s="343" t="s">
        <v>282</v>
      </c>
      <c r="F78" s="344" t="s">
        <v>267</v>
      </c>
      <c r="G78" s="469">
        <f>G73*(Workings_risks!E33/Workings_risks!E28)</f>
        <v>212.67170953101362</v>
      </c>
      <c r="H78" s="482">
        <f>H73</f>
        <v>0.20250000000000001</v>
      </c>
      <c r="I78" s="482">
        <f>I73</f>
        <v>0.25650000000000001</v>
      </c>
      <c r="J78" s="469">
        <f>(Workings_risks!H33/Workings_risks!E33)*G78*H78</f>
        <v>96.196384266263237</v>
      </c>
      <c r="K78" s="469">
        <f>(Workings_risks!I33/Workings_risks!H33)*I78*G78</f>
        <v>34713.397807215348</v>
      </c>
      <c r="L78" s="366">
        <f>(J78*HLOOKUP(F78,Workings_benefits!$F$45:$H$48,3,FALSE)+(K78*HLOOKUP(F78,Workings_benefits!$F$45:$H$46,2,FALSE)))</f>
        <v>0.67358067008491107</v>
      </c>
      <c r="M78" s="353"/>
      <c r="N78" s="477"/>
    </row>
    <row r="79" spans="5:19" x14ac:dyDescent="0.3">
      <c r="E79" s="343" t="s">
        <v>344</v>
      </c>
      <c r="F79" s="344" t="s">
        <v>267</v>
      </c>
      <c r="G79" s="469">
        <f>G74*(Workings_risks!E34/Workings_risks!E29)</f>
        <v>169.58384332925337</v>
      </c>
      <c r="H79" s="482">
        <f>H74</f>
        <v>0.20250000000000001</v>
      </c>
      <c r="I79" s="482">
        <f>I74</f>
        <v>0.25650000000000001</v>
      </c>
      <c r="J79" s="469">
        <f>(Workings_risks!H34/Workings_risks!E34)*G79*H79</f>
        <v>55.478886168910662</v>
      </c>
      <c r="K79" s="469">
        <f>(Workings_risks!I34/Workings_risks!H34)*I79*G79</f>
        <v>106453.66688107155</v>
      </c>
      <c r="L79" s="366">
        <f>(J79*HLOOKUP(F79,Workings_benefits!$F$45:$H$48,3,FALSE)+(K79*HLOOKUP(F79,Workings_benefits!$F$45:$H$46,2,FALSE)))</f>
        <v>1.7634183626147586</v>
      </c>
      <c r="M79" s="353"/>
      <c r="N79" s="477"/>
      <c r="O79" s="477"/>
      <c r="P79" s="477"/>
      <c r="Q79" s="477"/>
      <c r="R79" s="477"/>
      <c r="S79" s="477"/>
    </row>
    <row r="80" spans="5:19" x14ac:dyDescent="0.3">
      <c r="E80" s="354"/>
      <c r="F80" s="519"/>
      <c r="G80" s="519"/>
      <c r="H80" s="519"/>
      <c r="I80" s="519"/>
      <c r="J80" s="519"/>
      <c r="K80" s="519"/>
      <c r="L80" s="519"/>
      <c r="M80" s="483"/>
      <c r="N80" s="477"/>
      <c r="O80" s="477"/>
      <c r="P80" s="477"/>
      <c r="Q80" s="477"/>
      <c r="R80" s="477"/>
      <c r="S80" s="477"/>
    </row>
    <row r="81" spans="5:13" x14ac:dyDescent="0.3">
      <c r="E81" s="484" t="s">
        <v>315</v>
      </c>
      <c r="F81" s="485"/>
      <c r="G81" s="486"/>
      <c r="H81" s="486"/>
      <c r="I81" s="486"/>
      <c r="J81" s="486"/>
      <c r="K81" s="486"/>
      <c r="L81" s="486"/>
      <c r="M81" s="487"/>
    </row>
    <row r="82" spans="5:13" x14ac:dyDescent="0.3">
      <c r="E82" s="488"/>
      <c r="F82" s="466"/>
      <c r="G82" s="466" t="s">
        <v>316</v>
      </c>
      <c r="H82" s="489"/>
      <c r="I82" s="489"/>
      <c r="J82" s="466" t="s">
        <v>319</v>
      </c>
      <c r="K82" s="466" t="s">
        <v>320</v>
      </c>
      <c r="L82" s="466" t="s">
        <v>321</v>
      </c>
      <c r="M82" s="490"/>
    </row>
    <row r="83" spans="5:13" x14ac:dyDescent="0.3">
      <c r="E83" s="343" t="s">
        <v>353</v>
      </c>
      <c r="F83" s="344" t="s">
        <v>267</v>
      </c>
      <c r="G83" s="491">
        <f>G68+G69</f>
        <v>2118</v>
      </c>
      <c r="H83" s="492"/>
      <c r="I83" s="492"/>
      <c r="J83" s="469">
        <f>J68+J69</f>
        <v>3819.6765000000159</v>
      </c>
      <c r="K83" s="469">
        <f>K68+K69</f>
        <v>891708.75809999835</v>
      </c>
      <c r="L83" s="366">
        <f>(J83*HLOOKUP(F83,Workings_benefits!$F$45:$H$48,3,FALSE)+(K83*HLOOKUP(F83,Workings_benefits!$F$45:$H$46,2,FALSE)))</f>
        <v>19.004363857583296</v>
      </c>
      <c r="M83" s="493"/>
    </row>
    <row r="84" spans="5:13" x14ac:dyDescent="0.3">
      <c r="E84" s="471"/>
      <c r="M84" s="472"/>
    </row>
    <row r="85" spans="5:13" x14ac:dyDescent="0.3">
      <c r="E85" s="494" t="s">
        <v>322</v>
      </c>
      <c r="M85" s="472"/>
    </row>
    <row r="86" spans="5:13" x14ac:dyDescent="0.3">
      <c r="E86" s="488"/>
      <c r="F86" s="466"/>
      <c r="G86" s="466" t="s">
        <v>316</v>
      </c>
      <c r="H86" s="489"/>
      <c r="I86" s="489"/>
      <c r="J86" s="466" t="s">
        <v>319</v>
      </c>
      <c r="K86" s="466" t="s">
        <v>320</v>
      </c>
      <c r="L86" s="466" t="s">
        <v>321</v>
      </c>
      <c r="M86" s="490"/>
    </row>
    <row r="87" spans="5:13" x14ac:dyDescent="0.3">
      <c r="E87" s="343" t="s">
        <v>353</v>
      </c>
      <c r="F87" s="344" t="s">
        <v>267</v>
      </c>
      <c r="G87" s="344">
        <f>G73+G74</f>
        <v>1996</v>
      </c>
      <c r="H87" s="492"/>
      <c r="I87" s="492"/>
      <c r="J87" s="469">
        <f>J73+J74</f>
        <v>3399.7942921568592</v>
      </c>
      <c r="K87" s="469">
        <f>K73+K74</f>
        <v>738014.81308967783</v>
      </c>
      <c r="L87" s="366">
        <f>(J87*HLOOKUP(F87,Workings_benefits!$F$45:$H$48,3,FALSE)+(K87*HLOOKUP(F87,Workings_benefits!$F$45:$H$46,2,FALSE)))</f>
        <v>16.02968434195855</v>
      </c>
      <c r="M87" s="493"/>
    </row>
    <row r="88" spans="5:13" x14ac:dyDescent="0.3">
      <c r="E88" s="479"/>
      <c r="F88" s="362"/>
      <c r="G88" s="362"/>
      <c r="J88" s="519"/>
      <c r="K88" s="519"/>
      <c r="L88" s="519"/>
      <c r="M88" s="472"/>
    </row>
    <row r="89" spans="5:13" x14ac:dyDescent="0.3">
      <c r="E89" s="465" t="s">
        <v>350</v>
      </c>
      <c r="F89" s="362"/>
      <c r="G89" s="362"/>
      <c r="J89" s="519"/>
      <c r="K89" s="519"/>
      <c r="L89" s="519"/>
      <c r="M89" s="472"/>
    </row>
    <row r="90" spans="5:13" x14ac:dyDescent="0.3">
      <c r="E90" s="465"/>
      <c r="F90" s="466"/>
      <c r="G90" s="466" t="s">
        <v>316</v>
      </c>
      <c r="H90" s="489"/>
      <c r="I90" s="489"/>
      <c r="J90" s="466" t="s">
        <v>319</v>
      </c>
      <c r="K90" s="466" t="s">
        <v>320</v>
      </c>
      <c r="L90" s="466" t="s">
        <v>321</v>
      </c>
      <c r="M90" s="490"/>
    </row>
    <row r="91" spans="5:13" x14ac:dyDescent="0.3">
      <c r="E91" s="343" t="s">
        <v>353</v>
      </c>
      <c r="F91" s="344" t="s">
        <v>267</v>
      </c>
      <c r="G91" s="469">
        <f>G78+G79</f>
        <v>382.25555286026702</v>
      </c>
      <c r="H91" s="492"/>
      <c r="I91" s="492"/>
      <c r="J91" s="469">
        <f>J78+J79</f>
        <v>151.6752704351739</v>
      </c>
      <c r="K91" s="469">
        <f>K78+K79</f>
        <v>141167.06468828689</v>
      </c>
      <c r="L91" s="366">
        <f>(J91*HLOOKUP(F91,Workings_benefits!$F$45:$H$48,3,FALSE)+(K91*HLOOKUP(F91,Workings_benefits!$F$45:$H$46,2,FALSE)))</f>
        <v>2.4369990326996698</v>
      </c>
      <c r="M91" s="493"/>
    </row>
    <row r="92" spans="5:13" x14ac:dyDescent="0.3">
      <c r="E92" s="495"/>
      <c r="F92" s="110"/>
      <c r="G92" s="110"/>
      <c r="H92" s="110"/>
      <c r="I92" s="110"/>
      <c r="J92" s="110"/>
      <c r="K92" s="110"/>
      <c r="L92" s="110"/>
      <c r="M92" s="496"/>
    </row>
    <row r="93" spans="5:13" x14ac:dyDescent="0.3">
      <c r="E93" s="471"/>
      <c r="M93" s="472"/>
    </row>
    <row r="94" spans="5:13" ht="13.5" x14ac:dyDescent="0.3">
      <c r="E94" s="471"/>
      <c r="G94" s="578" t="s">
        <v>323</v>
      </c>
      <c r="H94" s="579"/>
      <c r="I94" s="580"/>
      <c r="M94" s="472"/>
    </row>
    <row r="95" spans="5:13" x14ac:dyDescent="0.3">
      <c r="E95" s="471"/>
      <c r="G95" s="497" t="s">
        <v>324</v>
      </c>
      <c r="H95" s="497" t="s">
        <v>351</v>
      </c>
      <c r="I95" s="497" t="s">
        <v>325</v>
      </c>
      <c r="M95" s="472"/>
    </row>
    <row r="96" spans="5:13" ht="13.5" thickBot="1" x14ac:dyDescent="0.35">
      <c r="E96" s="498"/>
      <c r="F96" s="499"/>
      <c r="G96" s="500">
        <f>L87-L91</f>
        <v>13.592685309258879</v>
      </c>
      <c r="H96" s="500">
        <f>L91</f>
        <v>2.4369990326996698</v>
      </c>
      <c r="I96" s="500">
        <f>SUM(L68:L69)</f>
        <v>19.004363857583296</v>
      </c>
      <c r="J96" s="499"/>
      <c r="K96" s="499"/>
      <c r="L96" s="499"/>
      <c r="M96" s="501"/>
    </row>
    <row r="97" spans="5:9" ht="13.5" thickTop="1" x14ac:dyDescent="0.3"/>
    <row r="101" spans="5:9" x14ac:dyDescent="0.3">
      <c r="E101" s="1" t="s">
        <v>358</v>
      </c>
      <c r="G101" s="1">
        <v>25.1</v>
      </c>
      <c r="I101" s="1" t="s">
        <v>359</v>
      </c>
    </row>
  </sheetData>
  <mergeCells count="8">
    <mergeCell ref="E63:I63"/>
    <mergeCell ref="G94:I94"/>
    <mergeCell ref="E53:R53"/>
    <mergeCell ref="E55:R55"/>
    <mergeCell ref="E58:F58"/>
    <mergeCell ref="E60:I60"/>
    <mergeCell ref="E61:I61"/>
    <mergeCell ref="E62:I62"/>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A11E-5DBB-4A87-B4E0-F592CC798569}">
  <sheetPr codeName="Sheet15">
    <tabColor rgb="FFFFFFCC"/>
  </sheetPr>
  <dimension ref="A1:AB63"/>
  <sheetViews>
    <sheetView showGridLines="0" topLeftCell="K1" zoomScale="85" zoomScaleNormal="85" workbookViewId="0">
      <selection activeCell="Y6" sqref="Y6"/>
    </sheetView>
  </sheetViews>
  <sheetFormatPr defaultColWidth="9" defaultRowHeight="13" x14ac:dyDescent="0.3"/>
  <cols>
    <col min="1" max="1" width="10" style="520" bestFit="1" customWidth="1"/>
    <col min="2" max="2" width="15.3828125" style="520" customWidth="1"/>
    <col min="3" max="9" width="9" style="520"/>
    <col min="10" max="10" width="15.4609375" style="520" customWidth="1"/>
    <col min="11" max="11" width="14.84375" style="520" customWidth="1"/>
    <col min="12" max="12" width="9.15234375" style="520" bestFit="1" customWidth="1"/>
    <col min="13" max="19" width="12.23046875" style="520" customWidth="1"/>
    <col min="20" max="22" width="9" style="520"/>
    <col min="23" max="23" width="44.23046875" style="520" bestFit="1" customWidth="1"/>
    <col min="24" max="24" width="9.15234375" style="520" bestFit="1" customWidth="1"/>
    <col min="25" max="16384" width="9" style="520"/>
  </cols>
  <sheetData>
    <row r="1" spans="1:28" s="1" customFormat="1" ht="18.5" x14ac:dyDescent="0.45">
      <c r="A1" s="11"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s="1" customFormat="1" ht="18.5" x14ac:dyDescent="0.45">
      <c r="A2" s="537" t="str">
        <f>proj</f>
        <v>BAN003-WND024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4" spans="1:28" ht="15.5" x14ac:dyDescent="0.35">
      <c r="A4" s="538" t="s">
        <v>665</v>
      </c>
    </row>
    <row r="6" spans="1:28" ht="26" x14ac:dyDescent="0.3">
      <c r="A6" s="529" t="s">
        <v>360</v>
      </c>
      <c r="B6" s="529" t="s">
        <v>361</v>
      </c>
      <c r="C6" s="529" t="s">
        <v>362</v>
      </c>
      <c r="D6" s="529" t="s">
        <v>363</v>
      </c>
      <c r="E6" s="529" t="s">
        <v>364</v>
      </c>
      <c r="F6" s="529" t="s">
        <v>365</v>
      </c>
      <c r="G6" s="529" t="s">
        <v>366</v>
      </c>
      <c r="H6" s="529" t="s">
        <v>367</v>
      </c>
      <c r="I6" s="529" t="s">
        <v>368</v>
      </c>
      <c r="J6" s="529" t="s">
        <v>369</v>
      </c>
      <c r="K6" s="530" t="s">
        <v>370</v>
      </c>
      <c r="L6" s="531" t="s">
        <v>371</v>
      </c>
      <c r="M6" s="531" t="s">
        <v>372</v>
      </c>
      <c r="N6" s="531" t="s">
        <v>373</v>
      </c>
      <c r="O6" s="531" t="s">
        <v>374</v>
      </c>
      <c r="P6" s="531" t="s">
        <v>375</v>
      </c>
      <c r="Q6" s="532" t="s">
        <v>376</v>
      </c>
      <c r="R6" s="532" t="s">
        <v>377</v>
      </c>
      <c r="S6" s="532" t="s">
        <v>378</v>
      </c>
      <c r="W6" s="525" t="s">
        <v>379</v>
      </c>
    </row>
    <row r="7" spans="1:28" x14ac:dyDescent="0.3">
      <c r="A7" s="533">
        <v>33787181</v>
      </c>
      <c r="B7" s="533">
        <v>62032751888</v>
      </c>
      <c r="C7" s="533" t="s">
        <v>380</v>
      </c>
      <c r="D7" s="533" t="s">
        <v>381</v>
      </c>
      <c r="E7" s="533" t="s">
        <v>382</v>
      </c>
      <c r="F7" s="533" t="s">
        <v>383</v>
      </c>
      <c r="G7" s="533" t="s">
        <v>384</v>
      </c>
      <c r="H7" s="533" t="s">
        <v>385</v>
      </c>
      <c r="I7" s="533" t="s">
        <v>386</v>
      </c>
      <c r="J7" s="533" t="s">
        <v>387</v>
      </c>
      <c r="K7" s="534" t="s">
        <v>388</v>
      </c>
      <c r="L7" s="535">
        <v>1</v>
      </c>
      <c r="M7" s="535">
        <v>1</v>
      </c>
      <c r="N7" s="536">
        <v>0</v>
      </c>
      <c r="O7" s="535">
        <v>108</v>
      </c>
      <c r="P7" s="535">
        <v>108</v>
      </c>
      <c r="Q7" s="526" t="s">
        <v>389</v>
      </c>
      <c r="R7" s="526">
        <f t="shared" ref="R7:R63" si="0">YEAR(G7)</f>
        <v>2018</v>
      </c>
      <c r="S7" s="535" t="s">
        <v>230</v>
      </c>
      <c r="W7" s="520" t="s">
        <v>390</v>
      </c>
      <c r="X7" s="23">
        <f>SUM(P15:P63)/5</f>
        <v>1731.6</v>
      </c>
      <c r="Z7" s="522"/>
    </row>
    <row r="8" spans="1:28" x14ac:dyDescent="0.3">
      <c r="A8" s="533">
        <v>33787181</v>
      </c>
      <c r="B8" s="533">
        <v>62032751888</v>
      </c>
      <c r="C8" s="533" t="s">
        <v>391</v>
      </c>
      <c r="D8" s="533" t="s">
        <v>381</v>
      </c>
      <c r="E8" s="533" t="s">
        <v>392</v>
      </c>
      <c r="F8" s="533" t="s">
        <v>383</v>
      </c>
      <c r="G8" s="533" t="s">
        <v>393</v>
      </c>
      <c r="H8" s="533" t="s">
        <v>394</v>
      </c>
      <c r="I8" s="533" t="s">
        <v>395</v>
      </c>
      <c r="J8" s="533" t="s">
        <v>396</v>
      </c>
      <c r="K8" s="534" t="s">
        <v>397</v>
      </c>
      <c r="L8" s="535">
        <v>1</v>
      </c>
      <c r="M8" s="535">
        <v>1</v>
      </c>
      <c r="N8" s="536">
        <v>0</v>
      </c>
      <c r="O8" s="535">
        <v>443</v>
      </c>
      <c r="P8" s="535">
        <v>443</v>
      </c>
      <c r="Q8" s="526" t="s">
        <v>389</v>
      </c>
      <c r="R8" s="526">
        <f t="shared" si="0"/>
        <v>2018</v>
      </c>
      <c r="S8" s="535" t="s">
        <v>230</v>
      </c>
      <c r="Z8" s="522"/>
    </row>
    <row r="9" spans="1:28" x14ac:dyDescent="0.3">
      <c r="A9" s="533">
        <v>33787181</v>
      </c>
      <c r="B9" s="533">
        <v>62032751888</v>
      </c>
      <c r="C9" s="533" t="s">
        <v>398</v>
      </c>
      <c r="D9" s="533" t="s">
        <v>381</v>
      </c>
      <c r="E9" s="533" t="s">
        <v>382</v>
      </c>
      <c r="F9" s="533" t="s">
        <v>383</v>
      </c>
      <c r="G9" s="533" t="s">
        <v>399</v>
      </c>
      <c r="H9" s="533" t="s">
        <v>400</v>
      </c>
      <c r="I9" s="533" t="s">
        <v>386</v>
      </c>
      <c r="J9" s="533" t="s">
        <v>395</v>
      </c>
      <c r="K9" s="534" t="s">
        <v>401</v>
      </c>
      <c r="L9" s="535">
        <v>1</v>
      </c>
      <c r="M9" s="535">
        <v>1</v>
      </c>
      <c r="N9" s="536">
        <v>0</v>
      </c>
      <c r="O9" s="535">
        <v>77</v>
      </c>
      <c r="P9" s="535">
        <v>77</v>
      </c>
      <c r="Q9" s="526" t="s">
        <v>389</v>
      </c>
      <c r="R9" s="526">
        <f t="shared" si="0"/>
        <v>2018</v>
      </c>
      <c r="S9" s="535" t="s">
        <v>230</v>
      </c>
      <c r="Z9" s="522"/>
    </row>
    <row r="10" spans="1:28" x14ac:dyDescent="0.3">
      <c r="A10" s="533">
        <v>33787181</v>
      </c>
      <c r="B10" s="533">
        <v>62032751888</v>
      </c>
      <c r="C10" s="533" t="s">
        <v>398</v>
      </c>
      <c r="D10" s="533" t="s">
        <v>381</v>
      </c>
      <c r="E10" s="533" t="s">
        <v>382</v>
      </c>
      <c r="F10" s="533" t="s">
        <v>383</v>
      </c>
      <c r="G10" s="533" t="s">
        <v>402</v>
      </c>
      <c r="H10" s="533" t="s">
        <v>403</v>
      </c>
      <c r="I10" s="533" t="s">
        <v>386</v>
      </c>
      <c r="J10" s="533" t="s">
        <v>395</v>
      </c>
      <c r="K10" s="534" t="s">
        <v>401</v>
      </c>
      <c r="L10" s="535"/>
      <c r="M10" s="535"/>
      <c r="N10" s="536">
        <v>0</v>
      </c>
      <c r="O10" s="535">
        <v>4</v>
      </c>
      <c r="P10" s="535">
        <v>4</v>
      </c>
      <c r="Q10" s="526" t="s">
        <v>389</v>
      </c>
      <c r="R10" s="526">
        <f t="shared" si="0"/>
        <v>2018</v>
      </c>
      <c r="S10" s="535" t="s">
        <v>230</v>
      </c>
      <c r="Z10" s="522"/>
    </row>
    <row r="11" spans="1:28" x14ac:dyDescent="0.3">
      <c r="A11" s="533">
        <v>33787181</v>
      </c>
      <c r="B11" s="533">
        <v>62032751888</v>
      </c>
      <c r="C11" s="533" t="s">
        <v>398</v>
      </c>
      <c r="D11" s="533" t="s">
        <v>381</v>
      </c>
      <c r="E11" s="533" t="s">
        <v>382</v>
      </c>
      <c r="F11" s="533" t="s">
        <v>383</v>
      </c>
      <c r="G11" s="533" t="s">
        <v>404</v>
      </c>
      <c r="H11" s="533" t="s">
        <v>405</v>
      </c>
      <c r="I11" s="533" t="s">
        <v>386</v>
      </c>
      <c r="J11" s="533" t="s">
        <v>395</v>
      </c>
      <c r="K11" s="534" t="s">
        <v>401</v>
      </c>
      <c r="L11" s="535"/>
      <c r="M11" s="535"/>
      <c r="N11" s="536">
        <v>0</v>
      </c>
      <c r="O11" s="535">
        <v>9</v>
      </c>
      <c r="P11" s="535">
        <v>9</v>
      </c>
      <c r="Q11" s="526" t="s">
        <v>389</v>
      </c>
      <c r="R11" s="526">
        <f t="shared" si="0"/>
        <v>2018</v>
      </c>
      <c r="S11" s="535" t="s">
        <v>230</v>
      </c>
      <c r="W11" s="14"/>
      <c r="Z11" s="522"/>
    </row>
    <row r="12" spans="1:28" x14ac:dyDescent="0.3">
      <c r="A12" s="533">
        <v>33787181</v>
      </c>
      <c r="B12" s="533">
        <v>62032751888</v>
      </c>
      <c r="C12" s="533" t="s">
        <v>406</v>
      </c>
      <c r="D12" s="533" t="s">
        <v>381</v>
      </c>
      <c r="E12" s="533" t="s">
        <v>382</v>
      </c>
      <c r="F12" s="533" t="s">
        <v>383</v>
      </c>
      <c r="G12" s="533" t="s">
        <v>407</v>
      </c>
      <c r="H12" s="533" t="s">
        <v>408</v>
      </c>
      <c r="I12" s="533" t="s">
        <v>409</v>
      </c>
      <c r="J12" s="533" t="s">
        <v>410</v>
      </c>
      <c r="K12" s="534" t="s">
        <v>411</v>
      </c>
      <c r="L12" s="535">
        <v>1</v>
      </c>
      <c r="M12" s="535">
        <v>1</v>
      </c>
      <c r="N12" s="536">
        <v>0</v>
      </c>
      <c r="O12" s="535">
        <v>198</v>
      </c>
      <c r="P12" s="535">
        <v>198</v>
      </c>
      <c r="Q12" s="526" t="s">
        <v>389</v>
      </c>
      <c r="R12" s="526">
        <f t="shared" si="0"/>
        <v>2018</v>
      </c>
      <c r="S12" s="535" t="s">
        <v>412</v>
      </c>
      <c r="W12" s="527" t="s">
        <v>413</v>
      </c>
      <c r="X12" s="344"/>
      <c r="Z12" s="522"/>
    </row>
    <row r="13" spans="1:28" x14ac:dyDescent="0.3">
      <c r="A13" s="533">
        <v>33787181</v>
      </c>
      <c r="B13" s="533">
        <v>62032751888</v>
      </c>
      <c r="C13" s="533" t="s">
        <v>414</v>
      </c>
      <c r="D13" s="533" t="s">
        <v>381</v>
      </c>
      <c r="E13" s="533" t="s">
        <v>382</v>
      </c>
      <c r="F13" s="533" t="s">
        <v>383</v>
      </c>
      <c r="G13" s="533" t="s">
        <v>415</v>
      </c>
      <c r="H13" s="533" t="s">
        <v>416</v>
      </c>
      <c r="I13" s="533" t="s">
        <v>386</v>
      </c>
      <c r="J13" s="533" t="s">
        <v>395</v>
      </c>
      <c r="K13" s="534" t="s">
        <v>417</v>
      </c>
      <c r="L13" s="535">
        <v>1</v>
      </c>
      <c r="M13" s="535">
        <v>1</v>
      </c>
      <c r="N13" s="536">
        <v>0</v>
      </c>
      <c r="O13" s="535">
        <v>70</v>
      </c>
      <c r="P13" s="535">
        <v>70</v>
      </c>
      <c r="Q13" s="526" t="s">
        <v>389</v>
      </c>
      <c r="R13" s="526">
        <f t="shared" si="0"/>
        <v>2018</v>
      </c>
      <c r="S13" s="535" t="s">
        <v>230</v>
      </c>
      <c r="W13" s="344" t="s">
        <v>418</v>
      </c>
      <c r="X13" s="344">
        <f>SUMIF(P15:P63,"&lt;720")/5</f>
        <v>902.6</v>
      </c>
      <c r="Z13" s="522"/>
    </row>
    <row r="14" spans="1:28" x14ac:dyDescent="0.3">
      <c r="A14" s="533">
        <v>33787181</v>
      </c>
      <c r="B14" s="533">
        <v>62032751888</v>
      </c>
      <c r="C14" s="533" t="s">
        <v>419</v>
      </c>
      <c r="D14" s="533" t="s">
        <v>381</v>
      </c>
      <c r="E14" s="533" t="s">
        <v>420</v>
      </c>
      <c r="F14" s="533" t="s">
        <v>383</v>
      </c>
      <c r="G14" s="533" t="s">
        <v>421</v>
      </c>
      <c r="H14" s="533" t="s">
        <v>422</v>
      </c>
      <c r="I14" s="533" t="s">
        <v>423</v>
      </c>
      <c r="J14" s="533" t="s">
        <v>424</v>
      </c>
      <c r="K14" s="534" t="s">
        <v>425</v>
      </c>
      <c r="L14" s="535">
        <v>1</v>
      </c>
      <c r="M14" s="535">
        <v>1</v>
      </c>
      <c r="N14" s="536">
        <v>0</v>
      </c>
      <c r="O14" s="535">
        <v>47</v>
      </c>
      <c r="P14" s="535">
        <v>47</v>
      </c>
      <c r="Q14" s="526" t="s">
        <v>389</v>
      </c>
      <c r="R14" s="526">
        <f t="shared" si="0"/>
        <v>2018</v>
      </c>
      <c r="S14" s="535" t="s">
        <v>230</v>
      </c>
      <c r="W14" s="344" t="s">
        <v>426</v>
      </c>
      <c r="X14" s="344">
        <f>X13-500</f>
        <v>402.6</v>
      </c>
    </row>
    <row r="15" spans="1:28" x14ac:dyDescent="0.3">
      <c r="A15" s="533">
        <v>33787181</v>
      </c>
      <c r="B15" s="533">
        <v>62032751888</v>
      </c>
      <c r="C15" s="533" t="s">
        <v>427</v>
      </c>
      <c r="D15" s="533" t="s">
        <v>381</v>
      </c>
      <c r="E15" s="533" t="s">
        <v>382</v>
      </c>
      <c r="F15" s="533" t="s">
        <v>383</v>
      </c>
      <c r="G15" s="533" t="s">
        <v>428</v>
      </c>
      <c r="H15" s="533" t="s">
        <v>429</v>
      </c>
      <c r="I15" s="533" t="s">
        <v>423</v>
      </c>
      <c r="J15" s="533" t="s">
        <v>424</v>
      </c>
      <c r="K15" s="534" t="s">
        <v>430</v>
      </c>
      <c r="L15" s="535">
        <v>1</v>
      </c>
      <c r="M15" s="535">
        <v>1</v>
      </c>
      <c r="N15" s="536">
        <v>0</v>
      </c>
      <c r="O15" s="535">
        <v>224</v>
      </c>
      <c r="P15" s="535">
        <v>224</v>
      </c>
      <c r="Q15" s="526" t="s">
        <v>389</v>
      </c>
      <c r="R15" s="526">
        <f t="shared" si="0"/>
        <v>2019</v>
      </c>
      <c r="S15" s="535" t="s">
        <v>230</v>
      </c>
      <c r="W15" s="344" t="s">
        <v>431</v>
      </c>
      <c r="X15" s="528">
        <f>X14/60</f>
        <v>6.71</v>
      </c>
    </row>
    <row r="16" spans="1:28" x14ac:dyDescent="0.3">
      <c r="A16" s="533">
        <v>33787181</v>
      </c>
      <c r="B16" s="533">
        <v>62032751888</v>
      </c>
      <c r="C16" s="533" t="s">
        <v>432</v>
      </c>
      <c r="D16" s="533" t="s">
        <v>381</v>
      </c>
      <c r="E16" s="533" t="s">
        <v>382</v>
      </c>
      <c r="F16" s="533" t="s">
        <v>383</v>
      </c>
      <c r="G16" s="533" t="s">
        <v>433</v>
      </c>
      <c r="H16" s="533" t="s">
        <v>434</v>
      </c>
      <c r="I16" s="533" t="s">
        <v>386</v>
      </c>
      <c r="J16" s="533" t="s">
        <v>395</v>
      </c>
      <c r="K16" s="534" t="s">
        <v>435</v>
      </c>
      <c r="L16" s="535">
        <v>1</v>
      </c>
      <c r="M16" s="535">
        <v>1</v>
      </c>
      <c r="N16" s="536">
        <v>0</v>
      </c>
      <c r="O16" s="535">
        <v>35</v>
      </c>
      <c r="P16" s="535">
        <v>35</v>
      </c>
      <c r="Q16" s="526" t="s">
        <v>389</v>
      </c>
      <c r="R16" s="526">
        <f t="shared" si="0"/>
        <v>2019</v>
      </c>
      <c r="S16" s="535" t="s">
        <v>230</v>
      </c>
      <c r="W16" s="344"/>
      <c r="X16" s="344"/>
    </row>
    <row r="17" spans="1:24" x14ac:dyDescent="0.3">
      <c r="A17" s="533">
        <v>33787181</v>
      </c>
      <c r="B17" s="533">
        <v>62032751888</v>
      </c>
      <c r="C17" s="533" t="s">
        <v>436</v>
      </c>
      <c r="D17" s="533" t="s">
        <v>381</v>
      </c>
      <c r="E17" s="533" t="s">
        <v>392</v>
      </c>
      <c r="F17" s="533" t="s">
        <v>383</v>
      </c>
      <c r="G17" s="533" t="s">
        <v>437</v>
      </c>
      <c r="H17" s="533" t="s">
        <v>438</v>
      </c>
      <c r="I17" s="533" t="s">
        <v>386</v>
      </c>
      <c r="J17" s="533" t="s">
        <v>439</v>
      </c>
      <c r="K17" s="534" t="s">
        <v>411</v>
      </c>
      <c r="L17" s="535">
        <v>1</v>
      </c>
      <c r="M17" s="535">
        <v>1</v>
      </c>
      <c r="N17" s="536">
        <v>0</v>
      </c>
      <c r="O17" s="535">
        <v>146</v>
      </c>
      <c r="P17" s="535">
        <v>146</v>
      </c>
      <c r="Q17" s="526" t="s">
        <v>389</v>
      </c>
      <c r="R17" s="526">
        <f t="shared" si="0"/>
        <v>2019</v>
      </c>
      <c r="S17" s="535" t="s">
        <v>230</v>
      </c>
      <c r="W17" s="344"/>
      <c r="X17" s="344"/>
    </row>
    <row r="18" spans="1:24" x14ac:dyDescent="0.3">
      <c r="A18" s="533">
        <v>33787181</v>
      </c>
      <c r="B18" s="533">
        <v>62032751888</v>
      </c>
      <c r="C18" s="533" t="s">
        <v>440</v>
      </c>
      <c r="D18" s="533" t="s">
        <v>381</v>
      </c>
      <c r="E18" s="533" t="s">
        <v>382</v>
      </c>
      <c r="F18" s="533" t="s">
        <v>383</v>
      </c>
      <c r="G18" s="533" t="s">
        <v>441</v>
      </c>
      <c r="H18" s="533" t="s">
        <v>442</v>
      </c>
      <c r="I18" s="533" t="s">
        <v>443</v>
      </c>
      <c r="J18" s="533" t="s">
        <v>444</v>
      </c>
      <c r="K18" s="534" t="s">
        <v>445</v>
      </c>
      <c r="L18" s="535">
        <v>1</v>
      </c>
      <c r="M18" s="535">
        <v>1</v>
      </c>
      <c r="N18" s="536">
        <v>0</v>
      </c>
      <c r="O18" s="535">
        <v>22</v>
      </c>
      <c r="P18" s="535">
        <v>22</v>
      </c>
      <c r="Q18" s="526" t="s">
        <v>389</v>
      </c>
      <c r="R18" s="526">
        <f t="shared" si="0"/>
        <v>2019</v>
      </c>
      <c r="S18" s="535" t="s">
        <v>230</v>
      </c>
      <c r="W18" s="527" t="s">
        <v>446</v>
      </c>
      <c r="X18" s="344"/>
    </row>
    <row r="19" spans="1:24" x14ac:dyDescent="0.3">
      <c r="A19" s="533">
        <v>33787181</v>
      </c>
      <c r="B19" s="533">
        <v>62032751888</v>
      </c>
      <c r="C19" s="533" t="s">
        <v>447</v>
      </c>
      <c r="D19" s="533" t="s">
        <v>381</v>
      </c>
      <c r="E19" s="533" t="s">
        <v>392</v>
      </c>
      <c r="F19" s="533" t="s">
        <v>383</v>
      </c>
      <c r="G19" s="533" t="s">
        <v>448</v>
      </c>
      <c r="H19" s="533" t="s">
        <v>449</v>
      </c>
      <c r="I19" s="533" t="s">
        <v>443</v>
      </c>
      <c r="J19" s="533" t="s">
        <v>450</v>
      </c>
      <c r="K19" s="534" t="s">
        <v>451</v>
      </c>
      <c r="L19" s="535">
        <v>1</v>
      </c>
      <c r="M19" s="535">
        <v>1</v>
      </c>
      <c r="N19" s="536">
        <v>0</v>
      </c>
      <c r="O19" s="535">
        <v>47</v>
      </c>
      <c r="P19" s="535">
        <v>47</v>
      </c>
      <c r="Q19" s="526" t="s">
        <v>389</v>
      </c>
      <c r="R19" s="526">
        <f t="shared" si="0"/>
        <v>2019</v>
      </c>
      <c r="S19" s="535" t="s">
        <v>230</v>
      </c>
      <c r="W19" s="344" t="s">
        <v>452</v>
      </c>
      <c r="X19" s="344">
        <f>SUMIF(P15:P63,"&gt;=720")/5</f>
        <v>829</v>
      </c>
    </row>
    <row r="20" spans="1:24" x14ac:dyDescent="0.3">
      <c r="A20" s="533">
        <v>33787181</v>
      </c>
      <c r="B20" s="533">
        <v>62032751888</v>
      </c>
      <c r="C20" s="533" t="s">
        <v>453</v>
      </c>
      <c r="D20" s="533" t="s">
        <v>381</v>
      </c>
      <c r="E20" s="533" t="s">
        <v>382</v>
      </c>
      <c r="F20" s="533" t="s">
        <v>383</v>
      </c>
      <c r="G20" s="533" t="s">
        <v>454</v>
      </c>
      <c r="H20" s="533" t="s">
        <v>455</v>
      </c>
      <c r="I20" s="533" t="s">
        <v>443</v>
      </c>
      <c r="J20" s="533" t="s">
        <v>456</v>
      </c>
      <c r="K20" s="534" t="s">
        <v>457</v>
      </c>
      <c r="L20" s="535">
        <v>1</v>
      </c>
      <c r="M20" s="535">
        <v>1</v>
      </c>
      <c r="N20" s="536">
        <v>0</v>
      </c>
      <c r="O20" s="535">
        <v>212</v>
      </c>
      <c r="P20" s="535">
        <v>212</v>
      </c>
      <c r="Q20" s="526" t="s">
        <v>389</v>
      </c>
      <c r="R20" s="526">
        <f t="shared" si="0"/>
        <v>2019</v>
      </c>
      <c r="S20" s="535" t="s">
        <v>230</v>
      </c>
      <c r="W20" s="344" t="s">
        <v>458</v>
      </c>
      <c r="X20" s="344">
        <f>(SUMIFS(P15:P63,P15:P63,"&gt;720",P15:P63,"&lt;1440")-COUNTIFS(P15:P63,"&gt;720",P15:P63,"&lt;1440")*720)/5</f>
        <v>0</v>
      </c>
    </row>
    <row r="21" spans="1:24" x14ac:dyDescent="0.3">
      <c r="A21" s="533">
        <v>33787181</v>
      </c>
      <c r="B21" s="533">
        <v>62032751888</v>
      </c>
      <c r="C21" s="533" t="s">
        <v>459</v>
      </c>
      <c r="D21" s="533" t="s">
        <v>381</v>
      </c>
      <c r="E21" s="533" t="s">
        <v>392</v>
      </c>
      <c r="F21" s="533" t="s">
        <v>383</v>
      </c>
      <c r="G21" s="533" t="s">
        <v>460</v>
      </c>
      <c r="H21" s="533" t="s">
        <v>461</v>
      </c>
      <c r="I21" s="533" t="s">
        <v>395</v>
      </c>
      <c r="J21" s="533" t="s">
        <v>462</v>
      </c>
      <c r="K21" s="534" t="s">
        <v>463</v>
      </c>
      <c r="L21" s="535">
        <v>1</v>
      </c>
      <c r="M21" s="535">
        <v>1</v>
      </c>
      <c r="N21" s="536">
        <v>0</v>
      </c>
      <c r="O21" s="535">
        <v>159</v>
      </c>
      <c r="P21" s="535">
        <v>159</v>
      </c>
      <c r="Q21" s="526" t="s">
        <v>376</v>
      </c>
      <c r="R21" s="526">
        <f t="shared" si="0"/>
        <v>2019</v>
      </c>
      <c r="S21" s="535" t="s">
        <v>230</v>
      </c>
      <c r="W21" s="344" t="s">
        <v>464</v>
      </c>
      <c r="X21" s="344">
        <f>(SUMIF(P15:P63,"&gt;1440")-COUNTIF(P15:P63,"&gt;1440")*1440)/5</f>
        <v>541</v>
      </c>
    </row>
    <row r="22" spans="1:24" x14ac:dyDescent="0.3">
      <c r="A22" s="533">
        <v>33787181</v>
      </c>
      <c r="B22" s="533">
        <v>62032751888</v>
      </c>
      <c r="C22" s="533" t="s">
        <v>465</v>
      </c>
      <c r="D22" s="533" t="s">
        <v>381</v>
      </c>
      <c r="E22" s="533" t="s">
        <v>392</v>
      </c>
      <c r="F22" s="533" t="s">
        <v>383</v>
      </c>
      <c r="G22" s="533" t="s">
        <v>466</v>
      </c>
      <c r="H22" s="533" t="s">
        <v>467</v>
      </c>
      <c r="I22" s="533" t="s">
        <v>443</v>
      </c>
      <c r="J22" s="533" t="s">
        <v>456</v>
      </c>
      <c r="K22" s="534" t="s">
        <v>468</v>
      </c>
      <c r="L22" s="535">
        <v>1</v>
      </c>
      <c r="M22" s="535">
        <v>1</v>
      </c>
      <c r="N22" s="536">
        <v>0</v>
      </c>
      <c r="O22" s="535">
        <v>5</v>
      </c>
      <c r="P22" s="535">
        <v>5</v>
      </c>
      <c r="Q22" s="526" t="s">
        <v>389</v>
      </c>
      <c r="R22" s="526">
        <f t="shared" si="0"/>
        <v>2019</v>
      </c>
      <c r="S22" s="535" t="s">
        <v>230</v>
      </c>
      <c r="W22" s="344" t="s">
        <v>469</v>
      </c>
      <c r="X22" s="344">
        <f>(SUMIF(P15:P63,"&gt;4320")-COUNTIF(P15:P63,"&gt;4320")*4320)/5</f>
        <v>0</v>
      </c>
    </row>
    <row r="23" spans="1:24" x14ac:dyDescent="0.3">
      <c r="A23" s="533">
        <v>33787181</v>
      </c>
      <c r="B23" s="533">
        <v>62032751888</v>
      </c>
      <c r="C23" s="533" t="s">
        <v>470</v>
      </c>
      <c r="D23" s="533" t="s">
        <v>381</v>
      </c>
      <c r="E23" s="533" t="s">
        <v>392</v>
      </c>
      <c r="F23" s="533" t="s">
        <v>383</v>
      </c>
      <c r="G23" s="533" t="s">
        <v>471</v>
      </c>
      <c r="H23" s="533" t="s">
        <v>472</v>
      </c>
      <c r="I23" s="533" t="s">
        <v>386</v>
      </c>
      <c r="J23" s="533" t="s">
        <v>473</v>
      </c>
      <c r="K23" s="534" t="s">
        <v>474</v>
      </c>
      <c r="L23" s="535">
        <v>1</v>
      </c>
      <c r="M23" s="535">
        <v>1</v>
      </c>
      <c r="N23" s="536">
        <v>0</v>
      </c>
      <c r="O23" s="535">
        <v>497</v>
      </c>
      <c r="P23" s="535">
        <v>497</v>
      </c>
      <c r="Q23" s="526" t="s">
        <v>389</v>
      </c>
      <c r="R23" s="526">
        <f t="shared" si="0"/>
        <v>2019</v>
      </c>
      <c r="S23" s="535" t="s">
        <v>230</v>
      </c>
      <c r="W23" s="344"/>
      <c r="X23" s="344"/>
    </row>
    <row r="24" spans="1:24" x14ac:dyDescent="0.3">
      <c r="A24" s="533">
        <v>33787181</v>
      </c>
      <c r="B24" s="533">
        <v>62032751888</v>
      </c>
      <c r="C24" s="533" t="s">
        <v>475</v>
      </c>
      <c r="D24" s="533" t="s">
        <v>381</v>
      </c>
      <c r="E24" s="533" t="s">
        <v>476</v>
      </c>
      <c r="F24" s="533" t="s">
        <v>383</v>
      </c>
      <c r="G24" s="533" t="s">
        <v>477</v>
      </c>
      <c r="H24" s="533" t="s">
        <v>478</v>
      </c>
      <c r="I24" s="533" t="s">
        <v>443</v>
      </c>
      <c r="J24" s="533" t="s">
        <v>479</v>
      </c>
      <c r="K24" s="534" t="s">
        <v>480</v>
      </c>
      <c r="L24" s="535">
        <v>1</v>
      </c>
      <c r="M24" s="535">
        <v>1</v>
      </c>
      <c r="N24" s="536">
        <v>0</v>
      </c>
      <c r="O24" s="535">
        <v>80</v>
      </c>
      <c r="P24" s="535">
        <v>80</v>
      </c>
      <c r="Q24" s="526" t="s">
        <v>389</v>
      </c>
      <c r="R24" s="526">
        <f t="shared" si="0"/>
        <v>2019</v>
      </c>
      <c r="S24" s="535" t="s">
        <v>230</v>
      </c>
      <c r="W24" s="344" t="s">
        <v>481</v>
      </c>
      <c r="X24" s="528">
        <f>X20/60</f>
        <v>0</v>
      </c>
    </row>
    <row r="25" spans="1:24" x14ac:dyDescent="0.3">
      <c r="A25" s="533">
        <v>33787181</v>
      </c>
      <c r="B25" s="533">
        <v>62032751888</v>
      </c>
      <c r="C25" s="533" t="s">
        <v>482</v>
      </c>
      <c r="D25" s="533" t="s">
        <v>381</v>
      </c>
      <c r="E25" s="533" t="s">
        <v>382</v>
      </c>
      <c r="F25" s="533" t="s">
        <v>383</v>
      </c>
      <c r="G25" s="533" t="s">
        <v>483</v>
      </c>
      <c r="H25" s="533" t="s">
        <v>484</v>
      </c>
      <c r="I25" s="533" t="s">
        <v>386</v>
      </c>
      <c r="J25" s="533" t="s">
        <v>473</v>
      </c>
      <c r="K25" s="534" t="s">
        <v>485</v>
      </c>
      <c r="L25" s="535">
        <v>1</v>
      </c>
      <c r="M25" s="535">
        <v>1</v>
      </c>
      <c r="N25" s="536">
        <v>0</v>
      </c>
      <c r="O25" s="535">
        <v>207</v>
      </c>
      <c r="P25" s="535">
        <v>207</v>
      </c>
      <c r="Q25" s="526" t="s">
        <v>389</v>
      </c>
      <c r="R25" s="526">
        <f t="shared" si="0"/>
        <v>2019</v>
      </c>
      <c r="S25" s="535" t="s">
        <v>486</v>
      </c>
      <c r="W25" s="344" t="s">
        <v>487</v>
      </c>
      <c r="X25" s="528">
        <f>SUM(X21:X22)/60</f>
        <v>9.0166666666666675</v>
      </c>
    </row>
    <row r="26" spans="1:24" x14ac:dyDescent="0.3">
      <c r="A26" s="533">
        <v>33787181</v>
      </c>
      <c r="B26" s="533">
        <v>62032751888</v>
      </c>
      <c r="C26" s="533" t="s">
        <v>488</v>
      </c>
      <c r="D26" s="533" t="s">
        <v>381</v>
      </c>
      <c r="E26" s="533" t="s">
        <v>382</v>
      </c>
      <c r="F26" s="533" t="s">
        <v>383</v>
      </c>
      <c r="G26" s="533" t="s">
        <v>489</v>
      </c>
      <c r="H26" s="533" t="s">
        <v>490</v>
      </c>
      <c r="I26" s="533" t="s">
        <v>409</v>
      </c>
      <c r="J26" s="533" t="s">
        <v>491</v>
      </c>
      <c r="K26" s="534" t="s">
        <v>492</v>
      </c>
      <c r="L26" s="535">
        <v>1</v>
      </c>
      <c r="M26" s="535">
        <v>1</v>
      </c>
      <c r="N26" s="536">
        <v>0</v>
      </c>
      <c r="O26" s="535">
        <v>18</v>
      </c>
      <c r="P26" s="535">
        <v>18</v>
      </c>
      <c r="Q26" s="526" t="s">
        <v>389</v>
      </c>
      <c r="R26" s="526">
        <f t="shared" si="0"/>
        <v>2020</v>
      </c>
      <c r="S26" s="535" t="s">
        <v>493</v>
      </c>
      <c r="W26" s="344"/>
      <c r="X26" s="344"/>
    </row>
    <row r="27" spans="1:24" x14ac:dyDescent="0.3">
      <c r="A27" s="533">
        <v>33787181</v>
      </c>
      <c r="B27" s="533">
        <v>62032751888</v>
      </c>
      <c r="C27" s="533" t="s">
        <v>494</v>
      </c>
      <c r="D27" s="533" t="s">
        <v>495</v>
      </c>
      <c r="E27" s="533" t="s">
        <v>382</v>
      </c>
      <c r="F27" s="533" t="s">
        <v>383</v>
      </c>
      <c r="G27" s="533" t="s">
        <v>496</v>
      </c>
      <c r="H27" s="533" t="s">
        <v>497</v>
      </c>
      <c r="I27" s="533" t="s">
        <v>386</v>
      </c>
      <c r="J27" s="533" t="s">
        <v>387</v>
      </c>
      <c r="K27" s="534" t="s">
        <v>498</v>
      </c>
      <c r="L27" s="535">
        <v>1</v>
      </c>
      <c r="M27" s="535">
        <v>1</v>
      </c>
      <c r="N27" s="536">
        <v>0</v>
      </c>
      <c r="O27" s="535">
        <v>102</v>
      </c>
      <c r="P27" s="535">
        <v>102</v>
      </c>
      <c r="Q27" s="526" t="s">
        <v>389</v>
      </c>
      <c r="R27" s="526">
        <f t="shared" si="0"/>
        <v>2020</v>
      </c>
      <c r="S27" s="535" t="s">
        <v>493</v>
      </c>
      <c r="W27" s="344" t="s">
        <v>499</v>
      </c>
      <c r="X27" s="528">
        <f>X20/60</f>
        <v>0</v>
      </c>
    </row>
    <row r="28" spans="1:24" x14ac:dyDescent="0.3">
      <c r="A28" s="533">
        <v>33787181</v>
      </c>
      <c r="B28" s="533">
        <v>62032751888</v>
      </c>
      <c r="C28" s="533" t="s">
        <v>494</v>
      </c>
      <c r="D28" s="533" t="s">
        <v>495</v>
      </c>
      <c r="E28" s="533" t="s">
        <v>382</v>
      </c>
      <c r="F28" s="533" t="s">
        <v>383</v>
      </c>
      <c r="G28" s="533" t="s">
        <v>500</v>
      </c>
      <c r="H28" s="533" t="s">
        <v>501</v>
      </c>
      <c r="I28" s="533" t="s">
        <v>386</v>
      </c>
      <c r="J28" s="533" t="s">
        <v>387</v>
      </c>
      <c r="K28" s="534" t="s">
        <v>498</v>
      </c>
      <c r="L28" s="535">
        <v>1</v>
      </c>
      <c r="M28" s="535">
        <v>1</v>
      </c>
      <c r="N28" s="536">
        <v>0</v>
      </c>
      <c r="O28" s="535">
        <v>4</v>
      </c>
      <c r="P28" s="535">
        <v>4</v>
      </c>
      <c r="Q28" s="526" t="s">
        <v>389</v>
      </c>
      <c r="R28" s="526">
        <f t="shared" si="0"/>
        <v>2020</v>
      </c>
      <c r="S28" s="535" t="s">
        <v>493</v>
      </c>
      <c r="W28" s="344" t="s">
        <v>502</v>
      </c>
      <c r="X28" s="528">
        <f>X22/60</f>
        <v>0</v>
      </c>
    </row>
    <row r="29" spans="1:24" x14ac:dyDescent="0.3">
      <c r="A29" s="533">
        <v>33787181</v>
      </c>
      <c r="B29" s="533">
        <v>62032751888</v>
      </c>
      <c r="C29" s="533" t="s">
        <v>503</v>
      </c>
      <c r="D29" s="533" t="s">
        <v>381</v>
      </c>
      <c r="E29" s="533" t="s">
        <v>504</v>
      </c>
      <c r="F29" s="533" t="s">
        <v>383</v>
      </c>
      <c r="G29" s="533" t="s">
        <v>505</v>
      </c>
      <c r="H29" s="533" t="s">
        <v>506</v>
      </c>
      <c r="I29" s="533" t="s">
        <v>395</v>
      </c>
      <c r="J29" s="533" t="s">
        <v>462</v>
      </c>
      <c r="K29" s="534" t="s">
        <v>507</v>
      </c>
      <c r="L29" s="535">
        <v>1</v>
      </c>
      <c r="M29" s="535">
        <v>1</v>
      </c>
      <c r="N29" s="536">
        <v>0</v>
      </c>
      <c r="O29" s="535">
        <v>27</v>
      </c>
      <c r="P29" s="535">
        <v>27</v>
      </c>
      <c r="Q29" s="526" t="s">
        <v>389</v>
      </c>
      <c r="R29" s="526">
        <f t="shared" si="0"/>
        <v>2020</v>
      </c>
      <c r="S29" s="535" t="s">
        <v>508</v>
      </c>
    </row>
    <row r="30" spans="1:24" x14ac:dyDescent="0.3">
      <c r="A30" s="533">
        <v>33787181</v>
      </c>
      <c r="B30" s="533">
        <v>62032751888</v>
      </c>
      <c r="C30" s="533" t="s">
        <v>509</v>
      </c>
      <c r="D30" s="533" t="s">
        <v>381</v>
      </c>
      <c r="E30" s="533" t="s">
        <v>382</v>
      </c>
      <c r="F30" s="533" t="s">
        <v>383</v>
      </c>
      <c r="G30" s="533" t="s">
        <v>510</v>
      </c>
      <c r="H30" s="533" t="s">
        <v>511</v>
      </c>
      <c r="I30" s="533" t="s">
        <v>409</v>
      </c>
      <c r="J30" s="533" t="s">
        <v>410</v>
      </c>
      <c r="K30" s="534" t="s">
        <v>485</v>
      </c>
      <c r="L30" s="535">
        <v>1</v>
      </c>
      <c r="M30" s="535">
        <v>1</v>
      </c>
      <c r="N30" s="536">
        <v>0</v>
      </c>
      <c r="O30" s="535">
        <v>11</v>
      </c>
      <c r="P30" s="535">
        <v>11</v>
      </c>
      <c r="Q30" s="526" t="s">
        <v>389</v>
      </c>
      <c r="R30" s="526">
        <f t="shared" si="0"/>
        <v>2020</v>
      </c>
      <c r="S30" s="535" t="s">
        <v>512</v>
      </c>
    </row>
    <row r="31" spans="1:24" x14ac:dyDescent="0.3">
      <c r="A31" s="533">
        <v>33787181</v>
      </c>
      <c r="B31" s="533">
        <v>62032751888</v>
      </c>
      <c r="C31" s="533" t="s">
        <v>513</v>
      </c>
      <c r="D31" s="533" t="s">
        <v>381</v>
      </c>
      <c r="E31" s="533" t="s">
        <v>382</v>
      </c>
      <c r="F31" s="533" t="s">
        <v>383</v>
      </c>
      <c r="G31" s="533" t="s">
        <v>514</v>
      </c>
      <c r="H31" s="533" t="s">
        <v>515</v>
      </c>
      <c r="I31" s="533" t="s">
        <v>409</v>
      </c>
      <c r="J31" s="533" t="s">
        <v>410</v>
      </c>
      <c r="K31" s="534" t="s">
        <v>516</v>
      </c>
      <c r="L31" s="535">
        <v>1</v>
      </c>
      <c r="M31" s="535">
        <v>1</v>
      </c>
      <c r="N31" s="536">
        <v>0</v>
      </c>
      <c r="O31" s="535">
        <v>19</v>
      </c>
      <c r="P31" s="535">
        <v>19</v>
      </c>
      <c r="Q31" s="526" t="s">
        <v>389</v>
      </c>
      <c r="R31" s="526">
        <f t="shared" si="0"/>
        <v>2020</v>
      </c>
      <c r="S31" s="535" t="s">
        <v>512</v>
      </c>
    </row>
    <row r="32" spans="1:24" x14ac:dyDescent="0.3">
      <c r="A32" s="533">
        <v>33787181</v>
      </c>
      <c r="B32" s="533">
        <v>62032751888</v>
      </c>
      <c r="C32" s="533" t="s">
        <v>517</v>
      </c>
      <c r="D32" s="533" t="s">
        <v>381</v>
      </c>
      <c r="E32" s="533" t="s">
        <v>382</v>
      </c>
      <c r="F32" s="533" t="s">
        <v>383</v>
      </c>
      <c r="G32" s="533" t="s">
        <v>518</v>
      </c>
      <c r="H32" s="533" t="s">
        <v>519</v>
      </c>
      <c r="I32" s="533" t="s">
        <v>520</v>
      </c>
      <c r="J32" s="533" t="s">
        <v>521</v>
      </c>
      <c r="K32" s="534" t="s">
        <v>522</v>
      </c>
      <c r="L32" s="535">
        <v>1</v>
      </c>
      <c r="M32" s="535">
        <v>1</v>
      </c>
      <c r="N32" s="536">
        <v>0</v>
      </c>
      <c r="O32" s="535">
        <v>11</v>
      </c>
      <c r="P32" s="535">
        <v>11</v>
      </c>
      <c r="Q32" s="526" t="s">
        <v>389</v>
      </c>
      <c r="R32" s="526">
        <f t="shared" si="0"/>
        <v>2020</v>
      </c>
      <c r="S32" s="535" t="s">
        <v>230</v>
      </c>
    </row>
    <row r="33" spans="1:19" x14ac:dyDescent="0.3">
      <c r="A33" s="533">
        <v>33787181</v>
      </c>
      <c r="B33" s="533">
        <v>62032751888</v>
      </c>
      <c r="C33" s="533" t="s">
        <v>517</v>
      </c>
      <c r="D33" s="533" t="s">
        <v>381</v>
      </c>
      <c r="E33" s="533" t="s">
        <v>382</v>
      </c>
      <c r="F33" s="533" t="s">
        <v>383</v>
      </c>
      <c r="G33" s="533" t="s">
        <v>523</v>
      </c>
      <c r="H33" s="533" t="s">
        <v>524</v>
      </c>
      <c r="I33" s="533" t="s">
        <v>520</v>
      </c>
      <c r="J33" s="533" t="s">
        <v>521</v>
      </c>
      <c r="K33" s="534" t="s">
        <v>522</v>
      </c>
      <c r="L33" s="535"/>
      <c r="M33" s="535"/>
      <c r="N33" s="536">
        <v>0</v>
      </c>
      <c r="O33" s="535">
        <v>2</v>
      </c>
      <c r="P33" s="535">
        <v>2</v>
      </c>
      <c r="Q33" s="526" t="s">
        <v>389</v>
      </c>
      <c r="R33" s="526">
        <f t="shared" si="0"/>
        <v>2020</v>
      </c>
      <c r="S33" s="535" t="s">
        <v>230</v>
      </c>
    </row>
    <row r="34" spans="1:19" x14ac:dyDescent="0.3">
      <c r="A34" s="533">
        <v>33787181</v>
      </c>
      <c r="B34" s="533">
        <v>62032751888</v>
      </c>
      <c r="C34" s="533" t="s">
        <v>517</v>
      </c>
      <c r="D34" s="533" t="s">
        <v>381</v>
      </c>
      <c r="E34" s="533" t="s">
        <v>382</v>
      </c>
      <c r="F34" s="533" t="s">
        <v>383</v>
      </c>
      <c r="G34" s="533" t="s">
        <v>525</v>
      </c>
      <c r="H34" s="533" t="s">
        <v>526</v>
      </c>
      <c r="I34" s="533" t="s">
        <v>520</v>
      </c>
      <c r="J34" s="533" t="s">
        <v>521</v>
      </c>
      <c r="K34" s="534" t="s">
        <v>522</v>
      </c>
      <c r="L34" s="535"/>
      <c r="M34" s="535"/>
      <c r="N34" s="536">
        <v>0</v>
      </c>
      <c r="O34" s="535">
        <v>10</v>
      </c>
      <c r="P34" s="535">
        <v>10</v>
      </c>
      <c r="Q34" s="526" t="s">
        <v>389</v>
      </c>
      <c r="R34" s="526">
        <f t="shared" si="0"/>
        <v>2020</v>
      </c>
      <c r="S34" s="535" t="s">
        <v>230</v>
      </c>
    </row>
    <row r="35" spans="1:19" x14ac:dyDescent="0.3">
      <c r="A35" s="533">
        <v>33787181</v>
      </c>
      <c r="B35" s="533">
        <v>62032751888</v>
      </c>
      <c r="C35" s="533" t="s">
        <v>527</v>
      </c>
      <c r="D35" s="533" t="s">
        <v>381</v>
      </c>
      <c r="E35" s="533" t="s">
        <v>382</v>
      </c>
      <c r="F35" s="533" t="s">
        <v>383</v>
      </c>
      <c r="G35" s="533" t="s">
        <v>528</v>
      </c>
      <c r="H35" s="533" t="s">
        <v>529</v>
      </c>
      <c r="I35" s="533" t="s">
        <v>409</v>
      </c>
      <c r="J35" s="533" t="s">
        <v>410</v>
      </c>
      <c r="K35" s="534" t="s">
        <v>411</v>
      </c>
      <c r="L35" s="535">
        <v>1</v>
      </c>
      <c r="M35" s="535">
        <v>1</v>
      </c>
      <c r="N35" s="536">
        <v>0</v>
      </c>
      <c r="O35" s="535">
        <v>56</v>
      </c>
      <c r="P35" s="535">
        <v>56</v>
      </c>
      <c r="Q35" s="526" t="s">
        <v>389</v>
      </c>
      <c r="R35" s="526">
        <f t="shared" si="0"/>
        <v>2021</v>
      </c>
      <c r="S35" s="535" t="s">
        <v>530</v>
      </c>
    </row>
    <row r="36" spans="1:19" x14ac:dyDescent="0.3">
      <c r="A36" s="533">
        <v>33787181</v>
      </c>
      <c r="B36" s="533">
        <v>62032751888</v>
      </c>
      <c r="C36" s="533" t="s">
        <v>527</v>
      </c>
      <c r="D36" s="533" t="s">
        <v>381</v>
      </c>
      <c r="E36" s="533" t="s">
        <v>382</v>
      </c>
      <c r="F36" s="533" t="s">
        <v>383</v>
      </c>
      <c r="G36" s="533" t="s">
        <v>531</v>
      </c>
      <c r="H36" s="533" t="s">
        <v>532</v>
      </c>
      <c r="I36" s="533" t="s">
        <v>409</v>
      </c>
      <c r="J36" s="533" t="s">
        <v>410</v>
      </c>
      <c r="K36" s="534" t="s">
        <v>411</v>
      </c>
      <c r="L36" s="535"/>
      <c r="M36" s="535"/>
      <c r="N36" s="536">
        <v>0</v>
      </c>
      <c r="O36" s="535">
        <v>13</v>
      </c>
      <c r="P36" s="535">
        <v>13</v>
      </c>
      <c r="Q36" s="526" t="s">
        <v>389</v>
      </c>
      <c r="R36" s="526">
        <f t="shared" si="0"/>
        <v>2021</v>
      </c>
      <c r="S36" s="535" t="s">
        <v>530</v>
      </c>
    </row>
    <row r="37" spans="1:19" x14ac:dyDescent="0.3">
      <c r="A37" s="533">
        <v>33787181</v>
      </c>
      <c r="B37" s="533">
        <v>62032751888</v>
      </c>
      <c r="C37" s="533" t="s">
        <v>527</v>
      </c>
      <c r="D37" s="533" t="s">
        <v>381</v>
      </c>
      <c r="E37" s="533" t="s">
        <v>382</v>
      </c>
      <c r="F37" s="533" t="s">
        <v>383</v>
      </c>
      <c r="G37" s="533" t="s">
        <v>533</v>
      </c>
      <c r="H37" s="533" t="s">
        <v>534</v>
      </c>
      <c r="I37" s="533" t="s">
        <v>409</v>
      </c>
      <c r="J37" s="533" t="s">
        <v>410</v>
      </c>
      <c r="K37" s="534" t="s">
        <v>411</v>
      </c>
      <c r="L37" s="535">
        <v>1</v>
      </c>
      <c r="M37" s="535">
        <v>1</v>
      </c>
      <c r="N37" s="536">
        <v>0</v>
      </c>
      <c r="O37" s="535">
        <v>17</v>
      </c>
      <c r="P37" s="535">
        <v>17</v>
      </c>
      <c r="Q37" s="526" t="s">
        <v>389</v>
      </c>
      <c r="R37" s="526">
        <f t="shared" si="0"/>
        <v>2021</v>
      </c>
      <c r="S37" s="535" t="s">
        <v>530</v>
      </c>
    </row>
    <row r="38" spans="1:19" x14ac:dyDescent="0.3">
      <c r="A38" s="533">
        <v>33787181</v>
      </c>
      <c r="B38" s="533">
        <v>62032751888</v>
      </c>
      <c r="C38" s="533" t="s">
        <v>535</v>
      </c>
      <c r="D38" s="533" t="s">
        <v>381</v>
      </c>
      <c r="E38" s="533" t="s">
        <v>382</v>
      </c>
      <c r="F38" s="533" t="s">
        <v>383</v>
      </c>
      <c r="G38" s="533" t="s">
        <v>536</v>
      </c>
      <c r="H38" s="533" t="s">
        <v>537</v>
      </c>
      <c r="I38" s="533" t="s">
        <v>395</v>
      </c>
      <c r="J38" s="533" t="s">
        <v>462</v>
      </c>
      <c r="K38" s="534" t="s">
        <v>538</v>
      </c>
      <c r="L38" s="535">
        <v>1</v>
      </c>
      <c r="M38" s="535">
        <v>1</v>
      </c>
      <c r="N38" s="536">
        <v>0</v>
      </c>
      <c r="O38" s="535">
        <v>55</v>
      </c>
      <c r="P38" s="535">
        <v>55</v>
      </c>
      <c r="Q38" s="526" t="s">
        <v>389</v>
      </c>
      <c r="R38" s="526">
        <f t="shared" si="0"/>
        <v>2021</v>
      </c>
      <c r="S38" s="535" t="s">
        <v>539</v>
      </c>
    </row>
    <row r="39" spans="1:19" x14ac:dyDescent="0.3">
      <c r="A39" s="533">
        <v>33787181</v>
      </c>
      <c r="B39" s="533">
        <v>62032751888</v>
      </c>
      <c r="C39" s="533" t="s">
        <v>535</v>
      </c>
      <c r="D39" s="533" t="s">
        <v>381</v>
      </c>
      <c r="E39" s="533" t="s">
        <v>382</v>
      </c>
      <c r="F39" s="533" t="s">
        <v>383</v>
      </c>
      <c r="G39" s="533" t="s">
        <v>540</v>
      </c>
      <c r="H39" s="533" t="s">
        <v>541</v>
      </c>
      <c r="I39" s="533" t="s">
        <v>395</v>
      </c>
      <c r="J39" s="533" t="s">
        <v>462</v>
      </c>
      <c r="K39" s="534" t="s">
        <v>538</v>
      </c>
      <c r="L39" s="535"/>
      <c r="M39" s="535"/>
      <c r="N39" s="536">
        <v>0</v>
      </c>
      <c r="O39" s="535">
        <v>3</v>
      </c>
      <c r="P39" s="535">
        <v>3</v>
      </c>
      <c r="Q39" s="526" t="s">
        <v>389</v>
      </c>
      <c r="R39" s="526">
        <f t="shared" si="0"/>
        <v>2021</v>
      </c>
      <c r="S39" s="535" t="s">
        <v>539</v>
      </c>
    </row>
    <row r="40" spans="1:19" x14ac:dyDescent="0.3">
      <c r="A40" s="533">
        <v>33787181</v>
      </c>
      <c r="B40" s="533">
        <v>62032751888</v>
      </c>
      <c r="C40" s="533" t="s">
        <v>535</v>
      </c>
      <c r="D40" s="533" t="s">
        <v>381</v>
      </c>
      <c r="E40" s="533" t="s">
        <v>382</v>
      </c>
      <c r="F40" s="533" t="s">
        <v>383</v>
      </c>
      <c r="G40" s="533" t="s">
        <v>542</v>
      </c>
      <c r="H40" s="533" t="s">
        <v>543</v>
      </c>
      <c r="I40" s="533" t="s">
        <v>395</v>
      </c>
      <c r="J40" s="533" t="s">
        <v>462</v>
      </c>
      <c r="K40" s="534" t="s">
        <v>538</v>
      </c>
      <c r="L40" s="535"/>
      <c r="M40" s="535"/>
      <c r="N40" s="536">
        <v>0</v>
      </c>
      <c r="O40" s="535">
        <v>4145</v>
      </c>
      <c r="P40" s="535">
        <v>4145</v>
      </c>
      <c r="Q40" s="526" t="s">
        <v>389</v>
      </c>
      <c r="R40" s="526">
        <f t="shared" si="0"/>
        <v>2021</v>
      </c>
      <c r="S40" s="535" t="s">
        <v>539</v>
      </c>
    </row>
    <row r="41" spans="1:19" x14ac:dyDescent="0.3">
      <c r="A41" s="533">
        <v>33787181</v>
      </c>
      <c r="B41" s="533">
        <v>62032751888</v>
      </c>
      <c r="C41" s="533" t="s">
        <v>544</v>
      </c>
      <c r="D41" s="533" t="s">
        <v>381</v>
      </c>
      <c r="E41" s="533" t="s">
        <v>382</v>
      </c>
      <c r="F41" s="533" t="s">
        <v>383</v>
      </c>
      <c r="G41" s="533" t="s">
        <v>545</v>
      </c>
      <c r="H41" s="533" t="s">
        <v>546</v>
      </c>
      <c r="I41" s="533" t="s">
        <v>386</v>
      </c>
      <c r="J41" s="533" t="s">
        <v>439</v>
      </c>
      <c r="K41" s="534" t="s">
        <v>547</v>
      </c>
      <c r="L41" s="535">
        <v>1</v>
      </c>
      <c r="M41" s="535">
        <v>1</v>
      </c>
      <c r="N41" s="536">
        <v>0</v>
      </c>
      <c r="O41" s="535">
        <v>192</v>
      </c>
      <c r="P41" s="535">
        <v>192</v>
      </c>
      <c r="Q41" s="526" t="s">
        <v>389</v>
      </c>
      <c r="R41" s="526">
        <f t="shared" si="0"/>
        <v>2021</v>
      </c>
      <c r="S41" s="535" t="s">
        <v>230</v>
      </c>
    </row>
    <row r="42" spans="1:19" x14ac:dyDescent="0.3">
      <c r="A42" s="533">
        <v>33787181</v>
      </c>
      <c r="B42" s="533">
        <v>62032751888</v>
      </c>
      <c r="C42" s="533" t="s">
        <v>548</v>
      </c>
      <c r="D42" s="533" t="s">
        <v>381</v>
      </c>
      <c r="E42" s="533" t="s">
        <v>382</v>
      </c>
      <c r="F42" s="533" t="s">
        <v>383</v>
      </c>
      <c r="G42" s="533" t="s">
        <v>549</v>
      </c>
      <c r="H42" s="533" t="s">
        <v>550</v>
      </c>
      <c r="I42" s="533" t="s">
        <v>386</v>
      </c>
      <c r="J42" s="533" t="s">
        <v>439</v>
      </c>
      <c r="K42" s="534" t="s">
        <v>485</v>
      </c>
      <c r="L42" s="535">
        <v>1</v>
      </c>
      <c r="M42" s="535">
        <v>1</v>
      </c>
      <c r="N42" s="536">
        <v>0</v>
      </c>
      <c r="O42" s="535">
        <v>580</v>
      </c>
      <c r="P42" s="535">
        <v>580</v>
      </c>
      <c r="Q42" s="526" t="s">
        <v>389</v>
      </c>
      <c r="R42" s="526">
        <f t="shared" si="0"/>
        <v>2021</v>
      </c>
      <c r="S42" s="535" t="s">
        <v>551</v>
      </c>
    </row>
    <row r="43" spans="1:19" x14ac:dyDescent="0.3">
      <c r="A43" s="533">
        <v>33787181</v>
      </c>
      <c r="B43" s="533">
        <v>62032751888</v>
      </c>
      <c r="C43" s="533" t="s">
        <v>552</v>
      </c>
      <c r="D43" s="533" t="s">
        <v>381</v>
      </c>
      <c r="E43" s="533" t="s">
        <v>382</v>
      </c>
      <c r="F43" s="533" t="s">
        <v>383</v>
      </c>
      <c r="G43" s="533" t="s">
        <v>553</v>
      </c>
      <c r="H43" s="533" t="s">
        <v>554</v>
      </c>
      <c r="I43" s="533" t="s">
        <v>386</v>
      </c>
      <c r="J43" s="533" t="s">
        <v>439</v>
      </c>
      <c r="K43" s="534" t="s">
        <v>411</v>
      </c>
      <c r="L43" s="535">
        <v>1</v>
      </c>
      <c r="M43" s="535">
        <v>1</v>
      </c>
      <c r="N43" s="536">
        <v>0</v>
      </c>
      <c r="O43" s="535">
        <v>195</v>
      </c>
      <c r="P43" s="535">
        <v>195</v>
      </c>
      <c r="Q43" s="526" t="s">
        <v>389</v>
      </c>
      <c r="R43" s="526">
        <f t="shared" si="0"/>
        <v>2021</v>
      </c>
      <c r="S43" s="535" t="s">
        <v>230</v>
      </c>
    </row>
    <row r="44" spans="1:19" x14ac:dyDescent="0.3">
      <c r="A44" s="533">
        <v>33787181</v>
      </c>
      <c r="B44" s="533">
        <v>62032751888</v>
      </c>
      <c r="C44" s="533" t="s">
        <v>555</v>
      </c>
      <c r="D44" s="533" t="s">
        <v>381</v>
      </c>
      <c r="E44" s="533" t="s">
        <v>382</v>
      </c>
      <c r="F44" s="533" t="s">
        <v>383</v>
      </c>
      <c r="G44" s="533" t="s">
        <v>556</v>
      </c>
      <c r="H44" s="533" t="s">
        <v>557</v>
      </c>
      <c r="I44" s="533" t="s">
        <v>409</v>
      </c>
      <c r="J44" s="533" t="s">
        <v>410</v>
      </c>
      <c r="K44" s="534" t="s">
        <v>558</v>
      </c>
      <c r="L44" s="535">
        <v>1</v>
      </c>
      <c r="M44" s="535">
        <v>1</v>
      </c>
      <c r="N44" s="536">
        <v>0</v>
      </c>
      <c r="O44" s="535">
        <v>138</v>
      </c>
      <c r="P44" s="535">
        <v>138</v>
      </c>
      <c r="Q44" s="526" t="s">
        <v>389</v>
      </c>
      <c r="R44" s="526">
        <f t="shared" si="0"/>
        <v>2022</v>
      </c>
      <c r="S44" s="535" t="s">
        <v>559</v>
      </c>
    </row>
    <row r="45" spans="1:19" x14ac:dyDescent="0.3">
      <c r="A45" s="533">
        <v>33787181</v>
      </c>
      <c r="B45" s="533">
        <v>62032751888</v>
      </c>
      <c r="C45" s="533" t="s">
        <v>560</v>
      </c>
      <c r="D45" s="533" t="s">
        <v>381</v>
      </c>
      <c r="E45" s="533" t="s">
        <v>382</v>
      </c>
      <c r="F45" s="533" t="s">
        <v>383</v>
      </c>
      <c r="G45" s="533" t="s">
        <v>561</v>
      </c>
      <c r="H45" s="533" t="s">
        <v>562</v>
      </c>
      <c r="I45" s="533" t="s">
        <v>386</v>
      </c>
      <c r="J45" s="533" t="s">
        <v>387</v>
      </c>
      <c r="K45" s="534" t="s">
        <v>563</v>
      </c>
      <c r="L45" s="535">
        <v>1</v>
      </c>
      <c r="M45" s="535">
        <v>1</v>
      </c>
      <c r="N45" s="536">
        <v>0</v>
      </c>
      <c r="O45" s="535">
        <v>201</v>
      </c>
      <c r="P45" s="535">
        <v>201</v>
      </c>
      <c r="Q45" s="526" t="s">
        <v>389</v>
      </c>
      <c r="R45" s="526">
        <f t="shared" si="0"/>
        <v>2022</v>
      </c>
      <c r="S45" s="535" t="s">
        <v>230</v>
      </c>
    </row>
    <row r="46" spans="1:19" x14ac:dyDescent="0.3">
      <c r="A46" s="533">
        <v>33787181</v>
      </c>
      <c r="B46" s="533">
        <v>62032751888</v>
      </c>
      <c r="C46" s="533" t="s">
        <v>564</v>
      </c>
      <c r="D46" s="533" t="s">
        <v>381</v>
      </c>
      <c r="E46" s="533" t="s">
        <v>382</v>
      </c>
      <c r="F46" s="533" t="s">
        <v>383</v>
      </c>
      <c r="G46" s="533" t="s">
        <v>565</v>
      </c>
      <c r="H46" s="533" t="s">
        <v>566</v>
      </c>
      <c r="I46" s="533" t="s">
        <v>386</v>
      </c>
      <c r="J46" s="533" t="s">
        <v>439</v>
      </c>
      <c r="K46" s="534" t="s">
        <v>567</v>
      </c>
      <c r="L46" s="535">
        <v>1</v>
      </c>
      <c r="M46" s="535">
        <v>1</v>
      </c>
      <c r="N46" s="536">
        <v>0</v>
      </c>
      <c r="O46" s="535">
        <v>180</v>
      </c>
      <c r="P46" s="535">
        <v>180</v>
      </c>
      <c r="Q46" s="526" t="s">
        <v>389</v>
      </c>
      <c r="R46" s="526">
        <f t="shared" si="0"/>
        <v>2022</v>
      </c>
      <c r="S46" s="535" t="s">
        <v>568</v>
      </c>
    </row>
    <row r="47" spans="1:19" x14ac:dyDescent="0.3">
      <c r="A47" s="533">
        <v>33787181</v>
      </c>
      <c r="B47" s="533">
        <v>62032751888</v>
      </c>
      <c r="C47" s="533" t="s">
        <v>569</v>
      </c>
      <c r="D47" s="533" t="s">
        <v>381</v>
      </c>
      <c r="E47" s="533" t="s">
        <v>570</v>
      </c>
      <c r="F47" s="533" t="s">
        <v>383</v>
      </c>
      <c r="G47" s="533" t="s">
        <v>571</v>
      </c>
      <c r="H47" s="533" t="s">
        <v>572</v>
      </c>
      <c r="I47" s="533" t="s">
        <v>395</v>
      </c>
      <c r="J47" s="533" t="s">
        <v>462</v>
      </c>
      <c r="K47" s="534" t="s">
        <v>573</v>
      </c>
      <c r="L47" s="535">
        <v>1</v>
      </c>
      <c r="M47" s="535">
        <v>1</v>
      </c>
      <c r="N47" s="536">
        <v>0</v>
      </c>
      <c r="O47" s="535">
        <v>110</v>
      </c>
      <c r="P47" s="535">
        <v>110</v>
      </c>
      <c r="Q47" s="526" t="s">
        <v>376</v>
      </c>
      <c r="R47" s="526">
        <f t="shared" si="0"/>
        <v>2022</v>
      </c>
      <c r="S47" s="535" t="s">
        <v>230</v>
      </c>
    </row>
    <row r="48" spans="1:19" x14ac:dyDescent="0.3">
      <c r="A48" s="533">
        <v>33787181</v>
      </c>
      <c r="B48" s="533">
        <v>62032751888</v>
      </c>
      <c r="C48" s="533" t="s">
        <v>574</v>
      </c>
      <c r="D48" s="533" t="s">
        <v>381</v>
      </c>
      <c r="E48" s="533" t="s">
        <v>382</v>
      </c>
      <c r="F48" s="533" t="s">
        <v>383</v>
      </c>
      <c r="G48" s="533" t="s">
        <v>575</v>
      </c>
      <c r="H48" s="533" t="s">
        <v>576</v>
      </c>
      <c r="I48" s="533" t="s">
        <v>443</v>
      </c>
      <c r="J48" s="533" t="s">
        <v>444</v>
      </c>
      <c r="K48" s="534" t="s">
        <v>577</v>
      </c>
      <c r="L48" s="535">
        <v>1</v>
      </c>
      <c r="M48" s="535">
        <v>1</v>
      </c>
      <c r="N48" s="536">
        <v>0</v>
      </c>
      <c r="O48" s="535">
        <v>98</v>
      </c>
      <c r="P48" s="535">
        <v>98</v>
      </c>
      <c r="Q48" s="526" t="s">
        <v>389</v>
      </c>
      <c r="R48" s="526">
        <f t="shared" si="0"/>
        <v>2022</v>
      </c>
      <c r="S48" s="535" t="s">
        <v>578</v>
      </c>
    </row>
    <row r="49" spans="1:19" x14ac:dyDescent="0.3">
      <c r="A49" s="533">
        <v>33787181</v>
      </c>
      <c r="B49" s="533">
        <v>62032751888</v>
      </c>
      <c r="C49" s="533" t="s">
        <v>579</v>
      </c>
      <c r="D49" s="533" t="s">
        <v>381</v>
      </c>
      <c r="E49" s="533" t="s">
        <v>382</v>
      </c>
      <c r="F49" s="533" t="s">
        <v>383</v>
      </c>
      <c r="G49" s="533" t="s">
        <v>580</v>
      </c>
      <c r="H49" s="533" t="s">
        <v>581</v>
      </c>
      <c r="I49" s="533" t="s">
        <v>443</v>
      </c>
      <c r="J49" s="533" t="s">
        <v>444</v>
      </c>
      <c r="K49" s="534" t="s">
        <v>582</v>
      </c>
      <c r="L49" s="535"/>
      <c r="M49" s="535"/>
      <c r="N49" s="536">
        <v>0</v>
      </c>
      <c r="O49" s="535">
        <v>28</v>
      </c>
      <c r="P49" s="535">
        <v>28</v>
      </c>
      <c r="Q49" s="526" t="s">
        <v>389</v>
      </c>
      <c r="R49" s="526">
        <f t="shared" si="0"/>
        <v>2022</v>
      </c>
      <c r="S49" s="535" t="s">
        <v>578</v>
      </c>
    </row>
    <row r="50" spans="1:19" x14ac:dyDescent="0.3">
      <c r="A50" s="533">
        <v>33787181</v>
      </c>
      <c r="B50" s="533">
        <v>62032751888</v>
      </c>
      <c r="C50" s="533" t="s">
        <v>583</v>
      </c>
      <c r="D50" s="533" t="s">
        <v>381</v>
      </c>
      <c r="E50" s="533" t="s">
        <v>382</v>
      </c>
      <c r="F50" s="533" t="s">
        <v>383</v>
      </c>
      <c r="G50" s="533" t="s">
        <v>584</v>
      </c>
      <c r="H50" s="533" t="s">
        <v>585</v>
      </c>
      <c r="I50" s="533" t="s">
        <v>443</v>
      </c>
      <c r="J50" s="533" t="s">
        <v>444</v>
      </c>
      <c r="K50" s="534" t="s">
        <v>586</v>
      </c>
      <c r="L50" s="535">
        <v>1</v>
      </c>
      <c r="M50" s="535">
        <v>1</v>
      </c>
      <c r="N50" s="536">
        <v>0</v>
      </c>
      <c r="O50" s="535">
        <v>34</v>
      </c>
      <c r="P50" s="535">
        <v>34</v>
      </c>
      <c r="Q50" s="526" t="s">
        <v>389</v>
      </c>
      <c r="R50" s="526">
        <f t="shared" si="0"/>
        <v>2022</v>
      </c>
      <c r="S50" s="535" t="s">
        <v>587</v>
      </c>
    </row>
    <row r="51" spans="1:19" x14ac:dyDescent="0.3">
      <c r="A51" s="533">
        <v>33787181</v>
      </c>
      <c r="B51" s="533">
        <v>62032751888</v>
      </c>
      <c r="C51" s="533" t="s">
        <v>588</v>
      </c>
      <c r="D51" s="533" t="s">
        <v>381</v>
      </c>
      <c r="E51" s="533" t="s">
        <v>382</v>
      </c>
      <c r="F51" s="533" t="s">
        <v>383</v>
      </c>
      <c r="G51" s="533" t="s">
        <v>589</v>
      </c>
      <c r="H51" s="533" t="s">
        <v>590</v>
      </c>
      <c r="I51" s="533" t="s">
        <v>443</v>
      </c>
      <c r="J51" s="533" t="s">
        <v>444</v>
      </c>
      <c r="K51" s="534" t="s">
        <v>591</v>
      </c>
      <c r="L51" s="535">
        <v>1</v>
      </c>
      <c r="M51" s="535">
        <v>1</v>
      </c>
      <c r="N51" s="536">
        <v>0</v>
      </c>
      <c r="O51" s="535">
        <v>16</v>
      </c>
      <c r="P51" s="535">
        <v>16</v>
      </c>
      <c r="Q51" s="526" t="s">
        <v>389</v>
      </c>
      <c r="R51" s="526">
        <f t="shared" si="0"/>
        <v>2022</v>
      </c>
      <c r="S51" s="535" t="s">
        <v>587</v>
      </c>
    </row>
    <row r="52" spans="1:19" x14ac:dyDescent="0.3">
      <c r="A52" s="533">
        <v>33787181</v>
      </c>
      <c r="B52" s="533">
        <v>62032751888</v>
      </c>
      <c r="C52" s="533" t="s">
        <v>592</v>
      </c>
      <c r="D52" s="533" t="s">
        <v>381</v>
      </c>
      <c r="E52" s="533" t="s">
        <v>382</v>
      </c>
      <c r="F52" s="533" t="s">
        <v>383</v>
      </c>
      <c r="G52" s="533" t="s">
        <v>593</v>
      </c>
      <c r="H52" s="533" t="s">
        <v>594</v>
      </c>
      <c r="I52" s="533" t="s">
        <v>443</v>
      </c>
      <c r="J52" s="533" t="s">
        <v>444</v>
      </c>
      <c r="K52" s="534" t="s">
        <v>595</v>
      </c>
      <c r="L52" s="535">
        <v>1</v>
      </c>
      <c r="M52" s="535">
        <v>1</v>
      </c>
      <c r="N52" s="536">
        <v>0</v>
      </c>
      <c r="O52" s="535">
        <v>17</v>
      </c>
      <c r="P52" s="535">
        <v>17</v>
      </c>
      <c r="Q52" s="526" t="s">
        <v>389</v>
      </c>
      <c r="R52" s="526">
        <f t="shared" si="0"/>
        <v>2022</v>
      </c>
      <c r="S52" s="535" t="s">
        <v>587</v>
      </c>
    </row>
    <row r="53" spans="1:19" x14ac:dyDescent="0.3">
      <c r="A53" s="533">
        <v>33787181</v>
      </c>
      <c r="B53" s="533">
        <v>62032751888</v>
      </c>
      <c r="C53" s="533" t="s">
        <v>592</v>
      </c>
      <c r="D53" s="533" t="s">
        <v>381</v>
      </c>
      <c r="E53" s="533" t="s">
        <v>382</v>
      </c>
      <c r="F53" s="533" t="s">
        <v>383</v>
      </c>
      <c r="G53" s="533" t="s">
        <v>596</v>
      </c>
      <c r="H53" s="533" t="s">
        <v>597</v>
      </c>
      <c r="I53" s="533" t="s">
        <v>443</v>
      </c>
      <c r="J53" s="533" t="s">
        <v>444</v>
      </c>
      <c r="K53" s="534" t="s">
        <v>595</v>
      </c>
      <c r="L53" s="535">
        <v>1</v>
      </c>
      <c r="M53" s="535">
        <v>1</v>
      </c>
      <c r="N53" s="536">
        <v>0</v>
      </c>
      <c r="O53" s="535">
        <v>15</v>
      </c>
      <c r="P53" s="535">
        <v>15</v>
      </c>
      <c r="Q53" s="526" t="s">
        <v>389</v>
      </c>
      <c r="R53" s="526">
        <f t="shared" si="0"/>
        <v>2022</v>
      </c>
      <c r="S53" s="535" t="s">
        <v>587</v>
      </c>
    </row>
    <row r="54" spans="1:19" x14ac:dyDescent="0.3">
      <c r="A54" s="533">
        <v>33787181</v>
      </c>
      <c r="B54" s="533">
        <v>62032751888</v>
      </c>
      <c r="C54" s="533" t="s">
        <v>598</v>
      </c>
      <c r="D54" s="533" t="s">
        <v>381</v>
      </c>
      <c r="E54" s="533" t="s">
        <v>382</v>
      </c>
      <c r="F54" s="533" t="s">
        <v>383</v>
      </c>
      <c r="G54" s="533" t="s">
        <v>599</v>
      </c>
      <c r="H54" s="533" t="s">
        <v>600</v>
      </c>
      <c r="I54" s="533" t="s">
        <v>443</v>
      </c>
      <c r="J54" s="533" t="s">
        <v>444</v>
      </c>
      <c r="K54" s="534" t="s">
        <v>601</v>
      </c>
      <c r="L54" s="535">
        <v>1</v>
      </c>
      <c r="M54" s="535">
        <v>1</v>
      </c>
      <c r="N54" s="536">
        <v>0</v>
      </c>
      <c r="O54" s="535">
        <v>18</v>
      </c>
      <c r="P54" s="535">
        <v>18</v>
      </c>
      <c r="Q54" s="526" t="s">
        <v>389</v>
      </c>
      <c r="R54" s="526">
        <f t="shared" si="0"/>
        <v>2022</v>
      </c>
      <c r="S54" s="535" t="s">
        <v>587</v>
      </c>
    </row>
    <row r="55" spans="1:19" x14ac:dyDescent="0.3">
      <c r="A55" s="533">
        <v>33787181</v>
      </c>
      <c r="B55" s="533">
        <v>62032751888</v>
      </c>
      <c r="C55" s="533" t="s">
        <v>602</v>
      </c>
      <c r="D55" s="533" t="s">
        <v>381</v>
      </c>
      <c r="E55" s="533" t="s">
        <v>382</v>
      </c>
      <c r="F55" s="533" t="s">
        <v>383</v>
      </c>
      <c r="G55" s="533" t="s">
        <v>603</v>
      </c>
      <c r="H55" s="533" t="s">
        <v>604</v>
      </c>
      <c r="I55" s="533" t="s">
        <v>443</v>
      </c>
      <c r="J55" s="533" t="s">
        <v>444</v>
      </c>
      <c r="K55" s="534" t="s">
        <v>605</v>
      </c>
      <c r="L55" s="535">
        <v>1</v>
      </c>
      <c r="M55" s="535">
        <v>1</v>
      </c>
      <c r="N55" s="536">
        <v>0</v>
      </c>
      <c r="O55" s="535">
        <v>111</v>
      </c>
      <c r="P55" s="535">
        <v>111</v>
      </c>
      <c r="Q55" s="526" t="s">
        <v>389</v>
      </c>
      <c r="R55" s="526">
        <f t="shared" si="0"/>
        <v>2022</v>
      </c>
      <c r="S55" s="535" t="s">
        <v>587</v>
      </c>
    </row>
    <row r="56" spans="1:19" x14ac:dyDescent="0.3">
      <c r="A56" s="533">
        <v>33787181</v>
      </c>
      <c r="B56" s="533">
        <v>62032751888</v>
      </c>
      <c r="C56" s="533" t="s">
        <v>606</v>
      </c>
      <c r="D56" s="533" t="s">
        <v>381</v>
      </c>
      <c r="E56" s="533" t="s">
        <v>382</v>
      </c>
      <c r="F56" s="533" t="s">
        <v>383</v>
      </c>
      <c r="G56" s="533" t="s">
        <v>607</v>
      </c>
      <c r="H56" s="533" t="s">
        <v>608</v>
      </c>
      <c r="I56" s="533" t="s">
        <v>409</v>
      </c>
      <c r="J56" s="533" t="s">
        <v>410</v>
      </c>
      <c r="K56" s="534" t="s">
        <v>609</v>
      </c>
      <c r="L56" s="535">
        <v>1</v>
      </c>
      <c r="M56" s="535">
        <v>1</v>
      </c>
      <c r="N56" s="536">
        <v>0</v>
      </c>
      <c r="O56" s="535">
        <v>21</v>
      </c>
      <c r="P56" s="535">
        <v>21</v>
      </c>
      <c r="Q56" s="526" t="s">
        <v>389</v>
      </c>
      <c r="R56" s="526">
        <f t="shared" si="0"/>
        <v>2022</v>
      </c>
      <c r="S56" s="535" t="s">
        <v>230</v>
      </c>
    </row>
    <row r="57" spans="1:19" x14ac:dyDescent="0.3">
      <c r="A57" s="533">
        <v>33787181</v>
      </c>
      <c r="B57" s="533">
        <v>62032751888</v>
      </c>
      <c r="C57" s="533" t="s">
        <v>610</v>
      </c>
      <c r="D57" s="533" t="s">
        <v>381</v>
      </c>
      <c r="E57" s="533" t="s">
        <v>392</v>
      </c>
      <c r="F57" s="533" t="s">
        <v>383</v>
      </c>
      <c r="G57" s="533" t="s">
        <v>611</v>
      </c>
      <c r="H57" s="533" t="s">
        <v>612</v>
      </c>
      <c r="I57" s="533" t="s">
        <v>395</v>
      </c>
      <c r="J57" s="533" t="s">
        <v>396</v>
      </c>
      <c r="K57" s="534" t="s">
        <v>613</v>
      </c>
      <c r="L57" s="535">
        <v>1</v>
      </c>
      <c r="M57" s="535">
        <v>1</v>
      </c>
      <c r="N57" s="536">
        <v>0</v>
      </c>
      <c r="O57" s="535">
        <v>28</v>
      </c>
      <c r="P57" s="535">
        <v>28</v>
      </c>
      <c r="Q57" s="526" t="s">
        <v>376</v>
      </c>
      <c r="R57" s="526">
        <f t="shared" si="0"/>
        <v>2022</v>
      </c>
      <c r="S57" s="535" t="s">
        <v>230</v>
      </c>
    </row>
    <row r="58" spans="1:19" x14ac:dyDescent="0.3">
      <c r="A58" s="533">
        <v>33787181</v>
      </c>
      <c r="B58" s="533">
        <v>62032751888</v>
      </c>
      <c r="C58" s="533" t="s">
        <v>610</v>
      </c>
      <c r="D58" s="533" t="s">
        <v>381</v>
      </c>
      <c r="E58" s="533" t="s">
        <v>392</v>
      </c>
      <c r="F58" s="533" t="s">
        <v>383</v>
      </c>
      <c r="G58" s="533" t="s">
        <v>612</v>
      </c>
      <c r="H58" s="533" t="s">
        <v>614</v>
      </c>
      <c r="I58" s="533" t="s">
        <v>395</v>
      </c>
      <c r="J58" s="533" t="s">
        <v>396</v>
      </c>
      <c r="K58" s="534" t="s">
        <v>613</v>
      </c>
      <c r="L58" s="535">
        <v>1</v>
      </c>
      <c r="M58" s="535">
        <v>1</v>
      </c>
      <c r="N58" s="536">
        <v>0</v>
      </c>
      <c r="O58" s="535">
        <v>217</v>
      </c>
      <c r="P58" s="535">
        <v>217</v>
      </c>
      <c r="Q58" s="526" t="s">
        <v>376</v>
      </c>
      <c r="R58" s="526">
        <f t="shared" si="0"/>
        <v>2022</v>
      </c>
      <c r="S58" s="535" t="s">
        <v>230</v>
      </c>
    </row>
    <row r="59" spans="1:19" x14ac:dyDescent="0.3">
      <c r="A59" s="533">
        <v>33787181</v>
      </c>
      <c r="B59" s="533">
        <v>62032751888</v>
      </c>
      <c r="C59" s="533" t="s">
        <v>615</v>
      </c>
      <c r="D59" s="533" t="s">
        <v>495</v>
      </c>
      <c r="E59" s="533" t="s">
        <v>382</v>
      </c>
      <c r="F59" s="533" t="s">
        <v>383</v>
      </c>
      <c r="G59" s="533" t="s">
        <v>616</v>
      </c>
      <c r="H59" s="533" t="s">
        <v>617</v>
      </c>
      <c r="I59" s="533" t="s">
        <v>386</v>
      </c>
      <c r="J59" s="533" t="s">
        <v>439</v>
      </c>
      <c r="K59" s="534" t="s">
        <v>618</v>
      </c>
      <c r="L59" s="535">
        <v>1</v>
      </c>
      <c r="M59" s="535">
        <v>1</v>
      </c>
      <c r="N59" s="536">
        <v>0</v>
      </c>
      <c r="O59" s="535">
        <v>96</v>
      </c>
      <c r="P59" s="535">
        <v>96</v>
      </c>
      <c r="Q59" s="526" t="s">
        <v>389</v>
      </c>
      <c r="R59" s="526">
        <f t="shared" si="0"/>
        <v>2022</v>
      </c>
      <c r="S59" s="535" t="s">
        <v>230</v>
      </c>
    </row>
    <row r="60" spans="1:19" x14ac:dyDescent="0.3">
      <c r="A60" s="533">
        <v>33787181</v>
      </c>
      <c r="B60" s="533">
        <v>62032751888</v>
      </c>
      <c r="C60" s="533" t="s">
        <v>619</v>
      </c>
      <c r="D60" s="533" t="s">
        <v>381</v>
      </c>
      <c r="E60" s="533" t="s">
        <v>382</v>
      </c>
      <c r="F60" s="533" t="s">
        <v>383</v>
      </c>
      <c r="G60" s="533" t="s">
        <v>620</v>
      </c>
      <c r="H60" s="533" t="s">
        <v>621</v>
      </c>
      <c r="I60" s="533" t="s">
        <v>395</v>
      </c>
      <c r="J60" s="533" t="s">
        <v>462</v>
      </c>
      <c r="K60" s="534" t="s">
        <v>622</v>
      </c>
      <c r="L60" s="535">
        <v>1</v>
      </c>
      <c r="M60" s="535">
        <v>1</v>
      </c>
      <c r="N60" s="536">
        <v>0</v>
      </c>
      <c r="O60" s="535">
        <v>25</v>
      </c>
      <c r="P60" s="535">
        <v>25</v>
      </c>
      <c r="Q60" s="526" t="s">
        <v>376</v>
      </c>
      <c r="R60" s="526">
        <f t="shared" si="0"/>
        <v>2023</v>
      </c>
      <c r="S60" s="535" t="s">
        <v>230</v>
      </c>
    </row>
    <row r="61" spans="1:19" x14ac:dyDescent="0.3">
      <c r="A61" s="533">
        <v>33787181</v>
      </c>
      <c r="B61" s="533">
        <v>62032751888</v>
      </c>
      <c r="C61" s="533" t="s">
        <v>619</v>
      </c>
      <c r="D61" s="533" t="s">
        <v>381</v>
      </c>
      <c r="E61" s="533" t="s">
        <v>382</v>
      </c>
      <c r="F61" s="533" t="s">
        <v>383</v>
      </c>
      <c r="G61" s="533" t="s">
        <v>623</v>
      </c>
      <c r="H61" s="533" t="s">
        <v>624</v>
      </c>
      <c r="I61" s="533" t="s">
        <v>395</v>
      </c>
      <c r="J61" s="533" t="s">
        <v>462</v>
      </c>
      <c r="K61" s="534" t="s">
        <v>622</v>
      </c>
      <c r="L61" s="535">
        <v>1</v>
      </c>
      <c r="M61" s="535">
        <v>1</v>
      </c>
      <c r="N61" s="536">
        <v>0</v>
      </c>
      <c r="O61" s="535">
        <v>109</v>
      </c>
      <c r="P61" s="535">
        <v>109</v>
      </c>
      <c r="Q61" s="526" t="s">
        <v>376</v>
      </c>
      <c r="R61" s="526">
        <f t="shared" si="0"/>
        <v>2023</v>
      </c>
      <c r="S61" s="535" t="s">
        <v>230</v>
      </c>
    </row>
    <row r="62" spans="1:19" x14ac:dyDescent="0.3">
      <c r="A62" s="533">
        <v>33787181</v>
      </c>
      <c r="B62" s="533">
        <v>62032751888</v>
      </c>
      <c r="C62" s="533" t="s">
        <v>619</v>
      </c>
      <c r="D62" s="533" t="s">
        <v>381</v>
      </c>
      <c r="E62" s="533" t="s">
        <v>382</v>
      </c>
      <c r="F62" s="533" t="s">
        <v>383</v>
      </c>
      <c r="G62" s="533" t="s">
        <v>625</v>
      </c>
      <c r="H62" s="533" t="s">
        <v>626</v>
      </c>
      <c r="I62" s="533" t="s">
        <v>395</v>
      </c>
      <c r="J62" s="533" t="s">
        <v>462</v>
      </c>
      <c r="K62" s="534" t="s">
        <v>622</v>
      </c>
      <c r="L62" s="535">
        <v>1</v>
      </c>
      <c r="M62" s="535">
        <v>1</v>
      </c>
      <c r="N62" s="536">
        <v>0</v>
      </c>
      <c r="O62" s="535">
        <v>16</v>
      </c>
      <c r="P62" s="535">
        <v>16</v>
      </c>
      <c r="Q62" s="526" t="s">
        <v>376</v>
      </c>
      <c r="R62" s="526">
        <f t="shared" si="0"/>
        <v>2023</v>
      </c>
      <c r="S62" s="535" t="s">
        <v>230</v>
      </c>
    </row>
    <row r="63" spans="1:19" x14ac:dyDescent="0.3">
      <c r="A63" s="533">
        <v>33787181</v>
      </c>
      <c r="B63" s="533">
        <v>62032751888</v>
      </c>
      <c r="C63" s="533" t="s">
        <v>627</v>
      </c>
      <c r="D63" s="533" t="s">
        <v>381</v>
      </c>
      <c r="E63" s="533" t="s">
        <v>392</v>
      </c>
      <c r="F63" s="533" t="s">
        <v>383</v>
      </c>
      <c r="G63" s="533" t="s">
        <v>628</v>
      </c>
      <c r="H63" s="533" t="s">
        <v>629</v>
      </c>
      <c r="I63" s="533" t="s">
        <v>386</v>
      </c>
      <c r="J63" s="533" t="s">
        <v>395</v>
      </c>
      <c r="K63" s="534" t="s">
        <v>411</v>
      </c>
      <c r="L63" s="535">
        <v>1</v>
      </c>
      <c r="M63" s="535">
        <v>1</v>
      </c>
      <c r="N63" s="536">
        <v>0</v>
      </c>
      <c r="O63" s="535">
        <v>86</v>
      </c>
      <c r="P63" s="535">
        <v>86</v>
      </c>
      <c r="Q63" s="526" t="s">
        <v>389</v>
      </c>
      <c r="R63" s="526">
        <f t="shared" si="0"/>
        <v>2023</v>
      </c>
      <c r="S63" s="535" t="s">
        <v>630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76"/>
  <sheetViews>
    <sheetView showGridLines="0" zoomScale="85" zoomScaleNormal="85" workbookViewId="0"/>
  </sheetViews>
  <sheetFormatPr defaultRowHeight="13.5" x14ac:dyDescent="0.3"/>
  <cols>
    <col min="2" max="2" width="21.3828125" customWidth="1"/>
    <col min="3" max="3" width="20.4609375" customWidth="1"/>
    <col min="4" max="4" width="14.4609375" style="49" customWidth="1"/>
    <col min="5" max="5" width="14.4609375" customWidth="1"/>
    <col min="8" max="11" width="14.3828125" customWidth="1"/>
    <col min="12" max="12" width="15.765625" customWidth="1"/>
    <col min="13" max="18" width="14.3828125" customWidth="1"/>
  </cols>
  <sheetData>
    <row r="1" spans="1:23" ht="18.5" x14ac:dyDescent="0.45">
      <c r="A1" s="15" t="str">
        <f>bus</f>
        <v>Powercor</v>
      </c>
      <c r="B1" s="15"/>
      <c r="C1" s="15"/>
      <c r="D1" s="48"/>
      <c r="E1" s="15"/>
      <c r="F1" s="15"/>
      <c r="G1" s="15"/>
      <c r="H1" s="15"/>
      <c r="I1" s="15"/>
      <c r="J1" s="15"/>
      <c r="K1" s="15"/>
      <c r="L1" s="15"/>
      <c r="M1" s="15"/>
      <c r="N1" s="15"/>
      <c r="O1" s="15"/>
      <c r="P1" s="15"/>
      <c r="Q1" s="15"/>
      <c r="R1" s="15"/>
    </row>
    <row r="2" spans="1:23" ht="18.5" x14ac:dyDescent="0.45">
      <c r="A2" s="56" t="str">
        <f>proj</f>
        <v>BAN003-WND024 Tie upgrade</v>
      </c>
      <c r="B2" s="15"/>
      <c r="C2" s="15"/>
      <c r="D2" s="48"/>
      <c r="E2" s="15"/>
      <c r="F2" s="15"/>
      <c r="G2" s="15"/>
      <c r="H2" s="15"/>
      <c r="I2" s="15"/>
      <c r="J2" s="15"/>
      <c r="K2" s="15"/>
      <c r="L2" s="15"/>
      <c r="M2" s="15"/>
      <c r="N2" s="15"/>
      <c r="O2" s="15"/>
      <c r="P2" s="15"/>
      <c r="Q2" s="15"/>
      <c r="R2" s="15"/>
    </row>
    <row r="3" spans="1:23" ht="15.5" x14ac:dyDescent="0.35">
      <c r="A3" s="5"/>
      <c r="Q3" s="448"/>
      <c r="R3" s="448"/>
    </row>
    <row r="4" spans="1:23" s="1" customFormat="1" ht="14.5" x14ac:dyDescent="0.3">
      <c r="A4" s="18" t="s">
        <v>207</v>
      </c>
      <c r="B4" s="18"/>
      <c r="C4" s="16"/>
      <c r="D4" s="16"/>
      <c r="E4" s="16"/>
      <c r="F4" s="16"/>
      <c r="G4" s="16"/>
      <c r="H4" s="16"/>
      <c r="I4" s="16"/>
      <c r="J4" s="16"/>
      <c r="K4" s="16"/>
      <c r="L4" s="16"/>
      <c r="M4" s="17"/>
      <c r="N4" s="17"/>
      <c r="O4" s="17"/>
      <c r="P4" s="17"/>
      <c r="Q4" s="17"/>
      <c r="R4" s="17"/>
    </row>
    <row r="5" spans="1:23" s="1" customFormat="1" ht="13" x14ac:dyDescent="0.3"/>
    <row r="6" spans="1:23" s="1" customFormat="1" ht="13" x14ac:dyDescent="0.3">
      <c r="B6" s="77" t="s">
        <v>129</v>
      </c>
      <c r="C6" s="77"/>
      <c r="D6" s="50"/>
      <c r="E6" s="30"/>
      <c r="F6" s="46"/>
      <c r="G6" s="30"/>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2" customFormat="1" x14ac:dyDescent="0.3">
      <c r="D7" s="51"/>
      <c r="N7" s="1"/>
      <c r="O7"/>
      <c r="P7"/>
      <c r="Q7"/>
      <c r="R7"/>
      <c r="S7"/>
      <c r="T7"/>
      <c r="U7"/>
      <c r="V7"/>
      <c r="W7"/>
    </row>
    <row r="8" spans="1:23" s="22" customFormat="1" x14ac:dyDescent="0.3">
      <c r="B8" s="22" t="s">
        <v>35</v>
      </c>
      <c r="D8" s="51"/>
      <c r="H8" s="40">
        <v>0</v>
      </c>
      <c r="I8" s="40">
        <v>8.6058519793459354E-3</v>
      </c>
      <c r="J8" s="40">
        <v>3.4982935153583528E-2</v>
      </c>
      <c r="K8" s="40">
        <v>7.8318219291014124E-2</v>
      </c>
      <c r="L8" s="40">
        <v>4.0519877675840865E-2</v>
      </c>
      <c r="M8" s="40">
        <v>0.03</v>
      </c>
      <c r="N8" s="1"/>
      <c r="O8"/>
      <c r="P8"/>
      <c r="Q8"/>
      <c r="R8"/>
      <c r="S8"/>
      <c r="T8"/>
      <c r="U8"/>
      <c r="V8"/>
      <c r="W8"/>
    </row>
    <row r="9" spans="1:23" s="1" customFormat="1" x14ac:dyDescent="0.3">
      <c r="D9" s="12"/>
      <c r="O9"/>
      <c r="P9"/>
      <c r="Q9"/>
      <c r="R9"/>
      <c r="S9"/>
      <c r="T9"/>
      <c r="U9"/>
      <c r="V9"/>
      <c r="W9"/>
    </row>
    <row r="10" spans="1:23" s="1" customFormat="1" x14ac:dyDescent="0.3">
      <c r="D10" s="12"/>
      <c r="K10" s="64"/>
      <c r="L10" s="64"/>
      <c r="M10" s="64"/>
      <c r="O10"/>
      <c r="P10"/>
      <c r="Q10"/>
      <c r="R10"/>
      <c r="S10"/>
      <c r="T10"/>
      <c r="U10"/>
      <c r="V10"/>
      <c r="W10"/>
    </row>
    <row r="11" spans="1:23" s="1" customFormat="1" x14ac:dyDescent="0.3">
      <c r="A11"/>
      <c r="B11" s="22" t="s">
        <v>75</v>
      </c>
      <c r="C11"/>
      <c r="D11"/>
      <c r="E11"/>
      <c r="F11"/>
      <c r="G11"/>
      <c r="H11" s="78">
        <f>H6</f>
        <v>44377</v>
      </c>
      <c r="I11" s="78">
        <f>EOMONTH(H11,6)</f>
        <v>44561</v>
      </c>
      <c r="J11" s="78">
        <f>EOMONTH(I11,6)</f>
        <v>44742</v>
      </c>
      <c r="K11" s="78">
        <f t="shared" ref="K11:Q11" si="0">EOMONTH(J11,6)</f>
        <v>44926</v>
      </c>
      <c r="L11" s="78">
        <f t="shared" si="0"/>
        <v>45107</v>
      </c>
      <c r="M11" s="78">
        <f t="shared" si="0"/>
        <v>45291</v>
      </c>
      <c r="N11" s="78">
        <f t="shared" si="0"/>
        <v>45473</v>
      </c>
      <c r="O11" s="78">
        <f t="shared" si="0"/>
        <v>45657</v>
      </c>
      <c r="P11" s="78">
        <f t="shared" si="0"/>
        <v>45838</v>
      </c>
      <c r="Q11" s="78">
        <f t="shared" si="0"/>
        <v>46022</v>
      </c>
      <c r="R11" s="78">
        <f>EOMONTH(Q11,6)</f>
        <v>46203</v>
      </c>
      <c r="S11"/>
      <c r="T11"/>
      <c r="U11"/>
      <c r="V11"/>
      <c r="W11"/>
    </row>
    <row r="12" spans="1:23" s="1" customFormat="1" x14ac:dyDescent="0.3">
      <c r="A12"/>
      <c r="B12" s="22" t="s">
        <v>76</v>
      </c>
      <c r="C12"/>
      <c r="D12"/>
      <c r="E12"/>
      <c r="F12"/>
      <c r="G12"/>
      <c r="H12" s="76">
        <f t="shared" ref="H12:R12" si="1">IF(MONTH(H11)=12, EOMONTH(H11,6), H11)</f>
        <v>44377</v>
      </c>
      <c r="I12" s="76">
        <f t="shared" si="1"/>
        <v>44742</v>
      </c>
      <c r="J12" s="76">
        <f t="shared" si="1"/>
        <v>44742</v>
      </c>
      <c r="K12" s="76">
        <f t="shared" si="1"/>
        <v>45107</v>
      </c>
      <c r="L12" s="76">
        <f t="shared" si="1"/>
        <v>45107</v>
      </c>
      <c r="M12" s="76">
        <f t="shared" si="1"/>
        <v>45473</v>
      </c>
      <c r="N12" s="76">
        <f t="shared" si="1"/>
        <v>45473</v>
      </c>
      <c r="O12" s="76">
        <f t="shared" si="1"/>
        <v>45838</v>
      </c>
      <c r="P12" s="76">
        <f t="shared" si="1"/>
        <v>45838</v>
      </c>
      <c r="Q12" s="76">
        <f t="shared" si="1"/>
        <v>46203</v>
      </c>
      <c r="R12" s="76">
        <f t="shared" si="1"/>
        <v>46203</v>
      </c>
      <c r="S12"/>
      <c r="T12"/>
      <c r="U12"/>
      <c r="V12"/>
      <c r="W12"/>
    </row>
    <row r="13" spans="1:23" s="1" customFormat="1" x14ac:dyDescent="0.3">
      <c r="A13"/>
      <c r="B13" s="22" t="s">
        <v>35</v>
      </c>
      <c r="C13"/>
      <c r="D13"/>
      <c r="E13"/>
      <c r="F13"/>
      <c r="G13"/>
      <c r="H13" s="79">
        <f t="shared" ref="H13:R13" si="2">IF(output_dollars&lt;H12,0,INDEX($H$8:$M$8,MATCH(H12,CY_years,0)))</f>
        <v>0</v>
      </c>
      <c r="I13" s="79">
        <f t="shared" si="2"/>
        <v>8.6058519793459354E-3</v>
      </c>
      <c r="J13" s="79">
        <f t="shared" si="2"/>
        <v>8.6058519793459354E-3</v>
      </c>
      <c r="K13" s="79">
        <f t="shared" si="2"/>
        <v>3.4982935153583528E-2</v>
      </c>
      <c r="L13" s="79">
        <f t="shared" si="2"/>
        <v>3.4982935153583528E-2</v>
      </c>
      <c r="M13" s="79">
        <f t="shared" si="2"/>
        <v>7.8318219291014124E-2</v>
      </c>
      <c r="N13" s="79">
        <f t="shared" si="2"/>
        <v>7.8318219291014124E-2</v>
      </c>
      <c r="O13" s="79">
        <f t="shared" si="2"/>
        <v>4.0519877675840865E-2</v>
      </c>
      <c r="P13" s="79">
        <f t="shared" si="2"/>
        <v>4.0519877675840865E-2</v>
      </c>
      <c r="Q13" s="79">
        <f t="shared" si="2"/>
        <v>0.03</v>
      </c>
      <c r="R13" s="79">
        <f t="shared" si="2"/>
        <v>0.03</v>
      </c>
      <c r="S13"/>
      <c r="T13"/>
      <c r="U13"/>
      <c r="V13"/>
      <c r="W13"/>
    </row>
    <row r="14" spans="1:23" s="1" customFormat="1" x14ac:dyDescent="0.3">
      <c r="A14"/>
      <c r="B14"/>
      <c r="C14"/>
      <c r="D14"/>
      <c r="E14"/>
      <c r="F14"/>
      <c r="G14"/>
      <c r="S14"/>
      <c r="T14"/>
      <c r="U14"/>
      <c r="V14"/>
      <c r="W14"/>
    </row>
    <row r="15" spans="1:23" s="22" customFormat="1" x14ac:dyDescent="0.3">
      <c r="A15"/>
      <c r="B15" s="22" t="s">
        <v>77</v>
      </c>
      <c r="C15"/>
      <c r="D15"/>
      <c r="E15"/>
      <c r="F15"/>
      <c r="G15"/>
      <c r="H15" s="42">
        <v>1</v>
      </c>
      <c r="I15" s="41">
        <f t="shared" ref="I15:R15" si="3">H15*(1+I$13)^0.5</f>
        <v>1.0042937080253693</v>
      </c>
      <c r="J15" s="41">
        <f t="shared" si="3"/>
        <v>1.0086058519793457</v>
      </c>
      <c r="K15" s="41">
        <f t="shared" si="3"/>
        <v>1.0260961975293987</v>
      </c>
      <c r="L15" s="41">
        <f t="shared" si="3"/>
        <v>1.0438898450946641</v>
      </c>
      <c r="M15" s="41">
        <f t="shared" si="3"/>
        <v>1.0839971599793141</v>
      </c>
      <c r="N15" s="41">
        <f t="shared" si="3"/>
        <v>1.1256454388984505</v>
      </c>
      <c r="O15" s="41">
        <f t="shared" si="3"/>
        <v>1.1482244927118261</v>
      </c>
      <c r="P15" s="41">
        <f t="shared" si="3"/>
        <v>1.1712564543889838</v>
      </c>
      <c r="Q15" s="41">
        <f t="shared" si="3"/>
        <v>1.1886954750508179</v>
      </c>
      <c r="R15" s="41">
        <f t="shared" si="3"/>
        <v>1.2063941480206535</v>
      </c>
      <c r="S15"/>
      <c r="T15"/>
      <c r="U15"/>
      <c r="V15"/>
      <c r="W15"/>
    </row>
    <row r="16" spans="1:23" s="22" customFormat="1" x14ac:dyDescent="0.3">
      <c r="A16"/>
      <c r="B16" s="80" t="s">
        <v>192</v>
      </c>
      <c r="C16" s="67">
        <f>input_dollars</f>
        <v>45291</v>
      </c>
      <c r="D16" s="41">
        <f>INDEX(hy_escalation, MATCH(C16,hy_dates,0))</f>
        <v>1.0839971599793141</v>
      </c>
      <c r="E16"/>
      <c r="F16"/>
      <c r="G16"/>
      <c r="H16" s="41"/>
      <c r="I16" s="41"/>
      <c r="J16" s="41"/>
      <c r="K16" s="41"/>
      <c r="L16" s="41"/>
      <c r="M16" s="41"/>
      <c r="N16" s="41"/>
      <c r="O16" s="41"/>
      <c r="P16" s="41"/>
      <c r="Q16" s="41"/>
      <c r="R16" s="41"/>
      <c r="S16"/>
      <c r="T16"/>
      <c r="U16"/>
      <c r="V16"/>
      <c r="W16"/>
    </row>
    <row r="17" spans="1:34" s="22" customFormat="1" x14ac:dyDescent="0.3">
      <c r="A17"/>
      <c r="B17" s="80" t="s">
        <v>193</v>
      </c>
      <c r="C17" s="67">
        <f>output_dollars</f>
        <v>46203</v>
      </c>
      <c r="D17" s="41">
        <f>INDEX(hy_escalation, MATCH(C17,hy_dates,0))</f>
        <v>1.2063941480206535</v>
      </c>
      <c r="E17"/>
      <c r="F17"/>
      <c r="G17"/>
      <c r="H17" s="41"/>
      <c r="I17" s="41"/>
      <c r="J17" s="41"/>
      <c r="K17" s="41"/>
      <c r="L17" s="41"/>
      <c r="M17" s="41"/>
      <c r="N17" s="41"/>
      <c r="O17" s="41"/>
      <c r="P17" s="41"/>
      <c r="Q17" s="41"/>
      <c r="R17" s="41"/>
      <c r="S17"/>
      <c r="T17"/>
      <c r="U17"/>
      <c r="V17"/>
      <c r="W17"/>
    </row>
    <row r="18" spans="1:34" s="1" customFormat="1" x14ac:dyDescent="0.3">
      <c r="A18"/>
      <c r="B18"/>
      <c r="C18"/>
      <c r="D18"/>
      <c r="E18"/>
      <c r="F18"/>
      <c r="G18"/>
      <c r="H18"/>
      <c r="I18"/>
      <c r="J18"/>
      <c r="K18"/>
      <c r="L18"/>
      <c r="M18"/>
      <c r="N18"/>
      <c r="O18"/>
      <c r="P18"/>
      <c r="Q18"/>
      <c r="R18"/>
      <c r="S18"/>
      <c r="T18"/>
      <c r="U18"/>
      <c r="V18"/>
      <c r="W18"/>
    </row>
    <row r="19" spans="1:34" x14ac:dyDescent="0.3">
      <c r="B19" s="81" t="s">
        <v>78</v>
      </c>
      <c r="D19" s="41">
        <f>D17/D16</f>
        <v>1.1129126464165968</v>
      </c>
      <c r="L19" s="292"/>
    </row>
    <row r="20" spans="1:34" x14ac:dyDescent="0.3">
      <c r="B20" s="81"/>
      <c r="D20" s="41"/>
    </row>
    <row r="21" spans="1:34" x14ac:dyDescent="0.3">
      <c r="B21" s="80" t="s">
        <v>216</v>
      </c>
      <c r="C21" s="67">
        <f>vcr_date</f>
        <v>45291</v>
      </c>
      <c r="D21" s="41">
        <f>INDEX(hy_escalation, MATCH(C21,hy_dates,0))</f>
        <v>1.0839971599793141</v>
      </c>
    </row>
    <row r="22" spans="1:34" x14ac:dyDescent="0.3">
      <c r="B22" s="80" t="s">
        <v>217</v>
      </c>
      <c r="C22" s="67">
        <f>input_dollars</f>
        <v>45291</v>
      </c>
      <c r="D22" s="41">
        <f>INDEX(hy_escalation, MATCH(C22,hy_dates,0))</f>
        <v>1.0839971599793141</v>
      </c>
    </row>
    <row r="23" spans="1:34" x14ac:dyDescent="0.3">
      <c r="B23" s="81" t="s">
        <v>218</v>
      </c>
      <c r="D23" s="41">
        <f>D22/D21</f>
        <v>1</v>
      </c>
    </row>
    <row r="25" spans="1:34" x14ac:dyDescent="0.3">
      <c r="B25" s="81" t="s">
        <v>242</v>
      </c>
      <c r="C25" s="8" t="str">
        <f>start</f>
        <v>2026-27</v>
      </c>
    </row>
    <row r="27" spans="1:34" x14ac:dyDescent="0.3">
      <c r="Q27" s="448"/>
      <c r="R27" s="448"/>
    </row>
    <row r="28" spans="1:34" s="1" customFormat="1" ht="14.5" x14ac:dyDescent="0.3">
      <c r="A28" s="18" t="s">
        <v>214</v>
      </c>
      <c r="B28" s="18"/>
      <c r="C28" s="16"/>
      <c r="D28" s="16"/>
      <c r="E28" s="16"/>
      <c r="F28" s="16"/>
      <c r="G28" s="16"/>
      <c r="H28" s="16"/>
      <c r="I28" s="16"/>
      <c r="J28" s="16"/>
      <c r="K28" s="16"/>
      <c r="L28" s="16"/>
      <c r="M28" s="17"/>
      <c r="N28" s="17"/>
      <c r="O28" s="17"/>
      <c r="P28" s="17"/>
      <c r="Q28" s="17"/>
      <c r="R28" s="17"/>
    </row>
    <row r="29" spans="1:34" x14ac:dyDescent="0.3">
      <c r="Q29" s="448"/>
      <c r="R29" s="448"/>
    </row>
    <row r="30" spans="1:34" x14ac:dyDescent="0.3">
      <c r="Q30" s="448"/>
      <c r="R30" s="448"/>
    </row>
    <row r="31" spans="1:34" x14ac:dyDescent="0.3">
      <c r="B31" s="192" t="s">
        <v>1</v>
      </c>
      <c r="C31" s="193" t="s">
        <v>199</v>
      </c>
      <c r="D31" s="194" t="s">
        <v>206</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3">
      <c r="B32" s="135" t="s">
        <v>132</v>
      </c>
      <c r="C32" s="191">
        <f>Option2!$G$92</f>
        <v>4</v>
      </c>
      <c r="D32" s="10" t="b">
        <f>NOT(Data!C10)</f>
        <v>1</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3">
      <c r="B33" s="135" t="s">
        <v>133</v>
      </c>
      <c r="C33" s="191">
        <f>Option3!$G$92</f>
        <v>4</v>
      </c>
      <c r="D33" s="10" t="b">
        <f>NOT(Data!C11)</f>
        <v>1</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x14ac:dyDescent="0.3">
      <c r="B34" s="135" t="s">
        <v>134</v>
      </c>
      <c r="C34" s="191">
        <f>Option4!$G$92</f>
        <v>1</v>
      </c>
      <c r="D34" s="10" t="b">
        <f>NOT(Data!C12)</f>
        <v>1</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x14ac:dyDescent="0.3">
      <c r="B35" s="135" t="s">
        <v>160</v>
      </c>
      <c r="C35" s="191" t="str">
        <f>Option5!$G$92</f>
        <v>Not used</v>
      </c>
      <c r="D35" s="10" t="b">
        <f>NOT(Data!C13)</f>
        <v>0</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3">
      <c r="B36" s="10"/>
      <c r="C36" s="8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x14ac:dyDescent="0.3">
      <c r="B37" s="10"/>
      <c r="C37" s="8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3">
      <c r="B38" s="195" t="s">
        <v>199</v>
      </c>
      <c r="C38" s="195" cm="1">
        <f t="array" ref="C38">IF(OR(NOT(Data!$C$10:$C$13)), _xlfn.MINIFS($C$32:$C$35,$D$32:$D$35,TRUE), 0)</f>
        <v>1</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3">
      <c r="B39" s="10"/>
      <c r="C39" s="8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3">
      <c r="A40" s="10"/>
      <c r="B40" s="10"/>
      <c r="C40" s="8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3">
      <c r="D41"/>
      <c r="Q41" s="448"/>
      <c r="R41" s="448"/>
    </row>
    <row r="42" spans="1:34" x14ac:dyDescent="0.3">
      <c r="D42"/>
      <c r="Q42" s="448"/>
      <c r="R42" s="448"/>
    </row>
    <row r="43" spans="1:34" x14ac:dyDescent="0.3">
      <c r="D43"/>
      <c r="Q43" s="448"/>
      <c r="R43" s="448"/>
    </row>
    <row r="44" spans="1:34" x14ac:dyDescent="0.3">
      <c r="D44"/>
      <c r="Q44" s="448"/>
      <c r="R44" s="448"/>
    </row>
    <row r="45" spans="1:34" x14ac:dyDescent="0.3">
      <c r="D45"/>
      <c r="Q45" s="448"/>
      <c r="R45" s="448"/>
    </row>
    <row r="46" spans="1:34" s="1" customFormat="1" ht="14.5" x14ac:dyDescent="0.3">
      <c r="A46" s="18" t="s">
        <v>669</v>
      </c>
      <c r="B46" s="18"/>
      <c r="C46" s="16"/>
      <c r="D46" s="16"/>
      <c r="E46" s="16"/>
      <c r="F46" s="16"/>
      <c r="G46" s="16"/>
      <c r="H46" s="16"/>
      <c r="I46" s="16"/>
      <c r="J46" s="16"/>
      <c r="K46" s="16"/>
      <c r="L46" s="16"/>
      <c r="M46" s="17"/>
      <c r="N46" s="17"/>
      <c r="O46" s="17"/>
      <c r="P46" s="17"/>
      <c r="Q46" s="17"/>
      <c r="R46" s="17"/>
    </row>
    <row r="47" spans="1:34" x14ac:dyDescent="0.3">
      <c r="Q47" s="448"/>
      <c r="R47" s="448"/>
    </row>
    <row r="48" spans="1:34" x14ac:dyDescent="0.3">
      <c r="Q48" s="448"/>
      <c r="R48" s="448"/>
    </row>
    <row r="49" spans="2:18" x14ac:dyDescent="0.3">
      <c r="B49" t="s">
        <v>149</v>
      </c>
      <c r="C49" t="b">
        <f>AND(SUM('Option1 (base case)'!$I14:$AG14)&lt;&gt;0, 'Option1 (base case)'!E14=0)</f>
        <v>0</v>
      </c>
      <c r="D49" s="49" t="b">
        <f>OR(C49:C51)</f>
        <v>0</v>
      </c>
      <c r="Q49" s="448"/>
      <c r="R49" s="448"/>
    </row>
    <row r="50" spans="2:18" x14ac:dyDescent="0.3">
      <c r="C50" t="b">
        <f>AND(SUM('Option1 (base case)'!$I15:$AG15)&lt;&gt;0, 'Option1 (base case)'!E15=0)</f>
        <v>0</v>
      </c>
      <c r="Q50" s="448"/>
      <c r="R50" s="448"/>
    </row>
    <row r="51" spans="2:18" x14ac:dyDescent="0.3">
      <c r="C51" t="b">
        <f>AND(SUM('Option1 (base case)'!$I16:$AG16)&lt;&gt;0, 'Option1 (base case)'!E16=0)</f>
        <v>0</v>
      </c>
      <c r="Q51" s="448"/>
      <c r="R51" s="448"/>
    </row>
    <row r="52" spans="2:18" x14ac:dyDescent="0.3">
      <c r="Q52" s="448"/>
      <c r="R52" s="448"/>
    </row>
    <row r="53" spans="2:18" x14ac:dyDescent="0.3">
      <c r="B53" t="s">
        <v>132</v>
      </c>
      <c r="C53" t="b">
        <f>AND(SUM(Option2!$I14:$AG14)&lt;&gt;0, Option2!E14=0)</f>
        <v>0</v>
      </c>
      <c r="D53" s="49" t="b">
        <f>OR(C53:C55)</f>
        <v>0</v>
      </c>
      <c r="Q53" s="448"/>
      <c r="R53" s="448"/>
    </row>
    <row r="54" spans="2:18" x14ac:dyDescent="0.3">
      <c r="C54" t="b">
        <f>AND(SUM(Option2!$I15:$AG15)&lt;&gt;0, Option2!E15=0)</f>
        <v>0</v>
      </c>
      <c r="Q54" s="448"/>
      <c r="R54" s="448"/>
    </row>
    <row r="55" spans="2:18" x14ac:dyDescent="0.3">
      <c r="C55" t="b">
        <f>AND(SUM(Option2!$I16:$AG16)&lt;&gt;0, Option2!E16=0)</f>
        <v>0</v>
      </c>
      <c r="Q55" s="448"/>
      <c r="R55" s="448"/>
    </row>
    <row r="56" spans="2:18" x14ac:dyDescent="0.3">
      <c r="Q56" s="448"/>
      <c r="R56" s="448"/>
    </row>
    <row r="57" spans="2:18" x14ac:dyDescent="0.3">
      <c r="B57" t="s">
        <v>133</v>
      </c>
      <c r="C57" t="b">
        <f>AND(SUM(Option3!$I14:$AG14)&lt;&gt;0, Option3!E14=0)</f>
        <v>0</v>
      </c>
      <c r="D57" s="49" t="b">
        <f>OR(C57:C59)</f>
        <v>0</v>
      </c>
      <c r="Q57" s="448"/>
      <c r="R57" s="448"/>
    </row>
    <row r="58" spans="2:18" x14ac:dyDescent="0.3">
      <c r="C58" t="b">
        <f>AND(SUM(Option3!$I15:$AG15)&lt;&gt;0, Option3!E15=0)</f>
        <v>0</v>
      </c>
      <c r="Q58" s="448"/>
      <c r="R58" s="448"/>
    </row>
    <row r="59" spans="2:18" x14ac:dyDescent="0.3">
      <c r="C59" t="b">
        <f>AND(SUM(Option3!$I16:$AG16)&lt;&gt;0, Option3!E16=0)</f>
        <v>0</v>
      </c>
      <c r="Q59" s="448"/>
      <c r="R59" s="448"/>
    </row>
    <row r="60" spans="2:18" x14ac:dyDescent="0.3">
      <c r="Q60" s="448"/>
      <c r="R60" s="448"/>
    </row>
    <row r="61" spans="2:18" x14ac:dyDescent="0.3">
      <c r="B61" t="s">
        <v>134</v>
      </c>
      <c r="C61" t="b">
        <f>AND(SUM(Option4!$I14:$AG14)&lt;&gt;0, Option4!E14=0)</f>
        <v>0</v>
      </c>
      <c r="D61" s="49" t="b">
        <f>OR(C61:C63)</f>
        <v>0</v>
      </c>
      <c r="Q61" s="448"/>
      <c r="R61" s="448"/>
    </row>
    <row r="62" spans="2:18" x14ac:dyDescent="0.3">
      <c r="C62" t="b">
        <f>AND(SUM(Option4!$I15:$AG15)&lt;&gt;0, Option4!E15=0)</f>
        <v>0</v>
      </c>
      <c r="Q62" s="448"/>
      <c r="R62" s="448"/>
    </row>
    <row r="63" spans="2:18" x14ac:dyDescent="0.3">
      <c r="C63" t="b">
        <f>AND(SUM(Option4!$I16:$AG16)&lt;&gt;0, Option4!E16=0)</f>
        <v>0</v>
      </c>
      <c r="Q63" s="448"/>
      <c r="R63" s="448"/>
    </row>
    <row r="64" spans="2:18" x14ac:dyDescent="0.3">
      <c r="Q64" s="448"/>
      <c r="R64" s="448"/>
    </row>
    <row r="65" spans="1:18" x14ac:dyDescent="0.3">
      <c r="B65" t="s">
        <v>160</v>
      </c>
      <c r="C65" t="b">
        <f>AND(SUM(Option5!$I14:$AG14)&lt;&gt;0, Option5!E14=0)</f>
        <v>0</v>
      </c>
      <c r="D65" s="49" t="b">
        <f>OR(C65:C67)</f>
        <v>0</v>
      </c>
      <c r="Q65" s="448"/>
      <c r="R65" s="448"/>
    </row>
    <row r="66" spans="1:18" x14ac:dyDescent="0.3">
      <c r="C66" t="b">
        <f>AND(SUM(Option5!$I15:$AG15)&lt;&gt;0, Option5!E15=0)</f>
        <v>0</v>
      </c>
      <c r="Q66" s="448"/>
      <c r="R66" s="448"/>
    </row>
    <row r="67" spans="1:18" x14ac:dyDescent="0.3">
      <c r="C67" t="b">
        <f>AND(SUM(Option5!$I16:$AG16)&lt;&gt;0, Option5!E16=0)</f>
        <v>0</v>
      </c>
      <c r="Q67" s="448"/>
      <c r="R67" s="448"/>
    </row>
    <row r="68" spans="1:18" x14ac:dyDescent="0.3">
      <c r="Q68" s="448"/>
      <c r="R68" s="448"/>
    </row>
    <row r="70" spans="1:18" x14ac:dyDescent="0.3">
      <c r="A70" t="s">
        <v>170</v>
      </c>
      <c r="B70" s="239" t="s">
        <v>215</v>
      </c>
    </row>
    <row r="74" spans="1:18" x14ac:dyDescent="0.3">
      <c r="B74" s="238" t="str">
        <f>IF(AND(SUM(E73:AC73)&lt;&gt;0, A74=0), "!", "")</f>
        <v/>
      </c>
    </row>
    <row r="76" spans="1:18" x14ac:dyDescent="0.3">
      <c r="B76" t="s">
        <v>213</v>
      </c>
    </row>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323"/>
  <sheetViews>
    <sheetView showGridLines="0" zoomScale="80" zoomScaleNormal="80" workbookViewId="0"/>
  </sheetViews>
  <sheetFormatPr defaultColWidth="9" defaultRowHeight="13" x14ac:dyDescent="0.3"/>
  <cols>
    <col min="1" max="1" width="5.3828125" style="8" customWidth="1"/>
    <col min="2" max="2" width="24.4609375" style="8" customWidth="1"/>
    <col min="3" max="3" width="9" style="8"/>
    <col min="4" max="4" width="9.84375" style="8" bestFit="1" customWidth="1"/>
    <col min="5" max="5" width="10.84375" style="8" customWidth="1"/>
    <col min="6" max="14" width="9" style="8"/>
    <col min="15" max="15" width="30.15234375" style="8" customWidth="1"/>
    <col min="16" max="16" width="43.23046875" style="8" customWidth="1"/>
    <col min="17" max="20" width="9" style="8"/>
    <col min="21" max="21" width="11.3828125" style="8" bestFit="1" customWidth="1"/>
    <col min="22" max="26" width="9" style="8"/>
    <col min="27" max="27" width="19.15234375" style="8" customWidth="1"/>
    <col min="28" max="16384" width="9" style="8"/>
  </cols>
  <sheetData>
    <row r="1" spans="1:27" ht="18.5" x14ac:dyDescent="0.45">
      <c r="A1" s="15" t="str">
        <f>bus</f>
        <v>Powercor</v>
      </c>
      <c r="B1" s="15"/>
      <c r="C1" s="15"/>
      <c r="D1" s="15"/>
      <c r="E1" s="15"/>
      <c r="F1" s="15"/>
      <c r="G1" s="15"/>
      <c r="H1" s="15"/>
      <c r="I1" s="15"/>
      <c r="J1" s="15"/>
      <c r="K1" s="48"/>
      <c r="L1" s="48"/>
      <c r="M1" s="48"/>
      <c r="N1" s="15"/>
      <c r="O1" s="15"/>
      <c r="P1" s="15"/>
      <c r="Q1" s="15"/>
      <c r="R1" s="15"/>
      <c r="S1" s="15"/>
      <c r="T1"/>
      <c r="U1" s="146"/>
      <c r="V1"/>
      <c r="W1"/>
    </row>
    <row r="2" spans="1:27" ht="18.5" x14ac:dyDescent="0.45">
      <c r="A2" s="56" t="str">
        <f>proj</f>
        <v>BAN003-WND024 Tie upgrade</v>
      </c>
      <c r="B2" s="56"/>
      <c r="C2" s="56"/>
      <c r="D2" s="56"/>
      <c r="E2" s="56"/>
      <c r="F2" s="56"/>
      <c r="G2" s="15"/>
      <c r="H2" s="15"/>
      <c r="I2" s="15"/>
      <c r="J2" s="15"/>
      <c r="K2" s="48"/>
      <c r="L2" s="48"/>
      <c r="M2" s="48"/>
      <c r="N2" s="15"/>
      <c r="O2" s="15"/>
      <c r="P2" s="15"/>
      <c r="Q2" s="15"/>
      <c r="R2" s="15"/>
      <c r="S2" s="15"/>
      <c r="T2"/>
      <c r="U2"/>
      <c r="V2"/>
      <c r="W2"/>
    </row>
    <row r="3" spans="1:27" ht="15.5" x14ac:dyDescent="0.35">
      <c r="A3" s="5"/>
      <c r="B3" s="5"/>
      <c r="C3" s="5"/>
      <c r="D3" s="5"/>
      <c r="E3" s="5"/>
      <c r="F3" s="5"/>
      <c r="T3"/>
      <c r="U3"/>
      <c r="V3"/>
      <c r="W3"/>
    </row>
    <row r="4" spans="1:27" ht="13.5" x14ac:dyDescent="0.3">
      <c r="T4"/>
      <c r="U4"/>
      <c r="V4"/>
    </row>
    <row r="5" spans="1:27" ht="14.5" x14ac:dyDescent="0.35">
      <c r="A5" s="19" t="s">
        <v>52</v>
      </c>
      <c r="B5" s="19"/>
      <c r="C5" s="19"/>
      <c r="D5" s="19"/>
      <c r="E5" s="19"/>
      <c r="F5" s="20"/>
      <c r="G5" s="19"/>
      <c r="H5" s="19"/>
      <c r="I5" s="19"/>
      <c r="J5" s="20"/>
      <c r="K5" s="20"/>
      <c r="L5" s="20"/>
      <c r="M5" s="20"/>
      <c r="N5" s="20"/>
      <c r="O5" s="20"/>
      <c r="P5" s="20"/>
      <c r="Q5" s="20"/>
      <c r="R5" s="20"/>
      <c r="S5" s="20"/>
      <c r="T5"/>
      <c r="U5"/>
      <c r="V5"/>
    </row>
    <row r="6" spans="1:27" ht="13.5" x14ac:dyDescent="0.3">
      <c r="T6"/>
      <c r="U6"/>
      <c r="V6"/>
    </row>
    <row r="7" spans="1:27" ht="13.5" x14ac:dyDescent="0.3">
      <c r="A7" s="14" t="s">
        <v>81</v>
      </c>
      <c r="T7"/>
      <c r="U7"/>
      <c r="V7"/>
    </row>
    <row r="8" spans="1:27" ht="13.5" x14ac:dyDescent="0.3">
      <c r="A8" s="59"/>
      <c r="B8" s="59"/>
      <c r="C8" s="53" t="s">
        <v>84</v>
      </c>
      <c r="D8" s="53" t="s">
        <v>205</v>
      </c>
      <c r="F8" s="8" t="s">
        <v>231</v>
      </c>
      <c r="T8"/>
      <c r="U8"/>
      <c r="V8"/>
    </row>
    <row r="9" spans="1:27" ht="13.5" x14ac:dyDescent="0.3">
      <c r="A9" s="27" t="s">
        <v>150</v>
      </c>
      <c r="B9" s="86" t="s">
        <v>149</v>
      </c>
      <c r="C9" s="87" t="b">
        <v>0</v>
      </c>
      <c r="D9" s="8" t="str">
        <f>IF(C9, $C$8, "")</f>
        <v/>
      </c>
      <c r="E9" s="8" t="str">
        <f>B9&amp;": "&amp;Assumptions!E14</f>
        <v>Option 1 (base case): No change to existing practices</v>
      </c>
      <c r="F9" s="8" t="b">
        <f>compliance</f>
        <v>0</v>
      </c>
      <c r="T9"/>
      <c r="U9"/>
      <c r="V9"/>
      <c r="W9"/>
    </row>
    <row r="10" spans="1:27" ht="13.5" x14ac:dyDescent="0.3">
      <c r="A10" s="27" t="s">
        <v>151</v>
      </c>
      <c r="B10" s="86" t="s">
        <v>132</v>
      </c>
      <c r="C10" s="87" t="b">
        <f>SUM(Option2!I$17:AB$17, Option2!I$19:AB$19)=0</f>
        <v>0</v>
      </c>
      <c r="D10" s="8" t="str">
        <f>IF(C10, $C$8, "")</f>
        <v/>
      </c>
      <c r="F10" s="8" t="b">
        <f>C10</f>
        <v>0</v>
      </c>
      <c r="T10"/>
      <c r="U10"/>
      <c r="V10"/>
      <c r="W10"/>
      <c r="Z10"/>
      <c r="AA10"/>
    </row>
    <row r="11" spans="1:27" ht="13.5" x14ac:dyDescent="0.3">
      <c r="A11" s="27" t="s">
        <v>152</v>
      </c>
      <c r="B11" s="86" t="s">
        <v>133</v>
      </c>
      <c r="C11" s="87" t="b">
        <f>SUM(Option3!I$17:AB$17, Option3!I$19:AB$19)=0</f>
        <v>0</v>
      </c>
      <c r="D11" s="8" t="str">
        <f>IF(C11, $C$8, "")</f>
        <v/>
      </c>
      <c r="F11" s="8" t="b">
        <f>C11</f>
        <v>0</v>
      </c>
      <c r="T11"/>
      <c r="U11"/>
      <c r="V11"/>
      <c r="W11"/>
      <c r="Z11"/>
      <c r="AA11"/>
    </row>
    <row r="12" spans="1:27" ht="13.5" x14ac:dyDescent="0.3">
      <c r="A12" s="27" t="s">
        <v>153</v>
      </c>
      <c r="B12" s="86" t="s">
        <v>134</v>
      </c>
      <c r="C12" s="87" t="b">
        <f>SUM(Option4!I$17:AB$17, Option4!I$19:AB$19)=0</f>
        <v>0</v>
      </c>
      <c r="D12" s="8" t="str">
        <f>IF(C12, $C$8, "")</f>
        <v/>
      </c>
      <c r="F12" s="8" t="b">
        <f>C12</f>
        <v>0</v>
      </c>
      <c r="T12"/>
      <c r="U12"/>
      <c r="V12"/>
      <c r="W12"/>
      <c r="Z12"/>
      <c r="AA12"/>
    </row>
    <row r="13" spans="1:27" ht="13.5" x14ac:dyDescent="0.3">
      <c r="A13" s="27" t="s">
        <v>161</v>
      </c>
      <c r="B13" s="86" t="s">
        <v>160</v>
      </c>
      <c r="C13" s="87" t="b">
        <f>SUM(Option5!I$17:AB$17, Option5!I$19:AB$19)=0</f>
        <v>1</v>
      </c>
      <c r="D13" s="8" t="str">
        <f>IF(C13, $C$8, "")</f>
        <v>Not used</v>
      </c>
      <c r="F13" s="8" t="b">
        <f>C13</f>
        <v>1</v>
      </c>
      <c r="T13"/>
      <c r="U13"/>
      <c r="V13"/>
      <c r="W13"/>
      <c r="Z13"/>
      <c r="AA13"/>
    </row>
    <row r="14" spans="1:27" ht="13.5" x14ac:dyDescent="0.3">
      <c r="T14"/>
      <c r="U14"/>
      <c r="V14"/>
      <c r="W14"/>
      <c r="Z14"/>
      <c r="AA14"/>
    </row>
    <row r="15" spans="1:27" ht="13.5" x14ac:dyDescent="0.3">
      <c r="T15"/>
      <c r="U15"/>
      <c r="V15"/>
      <c r="W15"/>
      <c r="Z15"/>
      <c r="AA15"/>
    </row>
    <row r="16" spans="1:27" ht="13.5" x14ac:dyDescent="0.3">
      <c r="A16" s="8" t="s">
        <v>227</v>
      </c>
      <c r="D16" s="23" t="s">
        <v>229</v>
      </c>
      <c r="E16" s="8" t="b">
        <f>Assumptions!E20=Data!D16</f>
        <v>0</v>
      </c>
      <c r="T16"/>
      <c r="U16"/>
      <c r="V16"/>
      <c r="W16"/>
      <c r="Z16"/>
      <c r="AA16"/>
    </row>
    <row r="17" spans="1:27" ht="13.5" x14ac:dyDescent="0.3">
      <c r="T17"/>
      <c r="U17"/>
      <c r="V17"/>
      <c r="W17"/>
      <c r="Z17"/>
      <c r="AA17"/>
    </row>
    <row r="18" spans="1:27" ht="13.5" x14ac:dyDescent="0.3">
      <c r="T18"/>
      <c r="U18"/>
      <c r="V18"/>
      <c r="W18"/>
      <c r="Z18"/>
      <c r="AA18"/>
    </row>
    <row r="19" spans="1:27" ht="13.5" x14ac:dyDescent="0.3">
      <c r="B19" s="86" t="s">
        <v>59</v>
      </c>
      <c r="C19" s="87"/>
      <c r="T19"/>
      <c r="U19"/>
      <c r="V19"/>
      <c r="W19"/>
      <c r="Z19"/>
      <c r="AA19"/>
    </row>
    <row r="20" spans="1:27" ht="13.5" x14ac:dyDescent="0.3">
      <c r="B20" s="86" t="s">
        <v>96</v>
      </c>
      <c r="C20" s="87"/>
      <c r="T20"/>
      <c r="U20"/>
      <c r="V20"/>
      <c r="W20"/>
      <c r="Z20"/>
      <c r="AA20"/>
    </row>
    <row r="21" spans="1:27" ht="13.5" x14ac:dyDescent="0.3">
      <c r="B21" s="86" t="s">
        <v>97</v>
      </c>
      <c r="T21"/>
      <c r="U21"/>
      <c r="V21"/>
      <c r="W21"/>
      <c r="Z21"/>
      <c r="AA21"/>
    </row>
    <row r="22" spans="1:27" ht="13.5" x14ac:dyDescent="0.3">
      <c r="T22"/>
      <c r="U22"/>
      <c r="V22"/>
      <c r="W22"/>
      <c r="Z22"/>
      <c r="AA22"/>
    </row>
    <row r="23" spans="1:27" ht="13.5" x14ac:dyDescent="0.3">
      <c r="T23"/>
      <c r="U23"/>
      <c r="V23"/>
      <c r="W23"/>
    </row>
    <row r="24" spans="1:27" ht="13.5" x14ac:dyDescent="0.3">
      <c r="A24" s="8" t="s">
        <v>225</v>
      </c>
      <c r="B24" s="102"/>
      <c r="T24"/>
      <c r="U24"/>
      <c r="V24"/>
      <c r="W24"/>
    </row>
    <row r="25" spans="1:27" ht="13.5" x14ac:dyDescent="0.3">
      <c r="B25" s="23" t="s">
        <v>58</v>
      </c>
      <c r="T25"/>
      <c r="U25"/>
      <c r="V25"/>
      <c r="W25"/>
    </row>
    <row r="26" spans="1:27" ht="13.5" x14ac:dyDescent="0.3">
      <c r="T26"/>
      <c r="U26"/>
      <c r="V26"/>
      <c r="W26"/>
    </row>
    <row r="27" spans="1:27" ht="13.5" x14ac:dyDescent="0.3">
      <c r="T27"/>
      <c r="U27"/>
      <c r="V27"/>
      <c r="W27"/>
    </row>
    <row r="28" spans="1:27" ht="13.5" x14ac:dyDescent="0.3">
      <c r="A28" s="14" t="s">
        <v>86</v>
      </c>
      <c r="T28"/>
      <c r="U28"/>
      <c r="V28"/>
      <c r="W28"/>
    </row>
    <row r="29" spans="1:27" ht="13.5" x14ac:dyDescent="0.3">
      <c r="A29" s="14"/>
      <c r="B29" s="53"/>
      <c r="C29" s="53" t="s">
        <v>88</v>
      </c>
      <c r="T29"/>
      <c r="U29"/>
      <c r="V29"/>
      <c r="W29"/>
    </row>
    <row r="30" spans="1:27" ht="13.5" x14ac:dyDescent="0.3">
      <c r="B30" s="23" t="s">
        <v>30</v>
      </c>
      <c r="C30" s="23">
        <v>-1</v>
      </c>
      <c r="T30"/>
      <c r="U30"/>
      <c r="V30"/>
      <c r="W30"/>
    </row>
    <row r="31" spans="1:27" ht="13.5" x14ac:dyDescent="0.3">
      <c r="B31" s="23" t="s">
        <v>92</v>
      </c>
      <c r="C31" s="23">
        <v>-1</v>
      </c>
      <c r="T31"/>
      <c r="U31"/>
      <c r="V31"/>
      <c r="W31"/>
      <c r="AA31" s="66"/>
    </row>
    <row r="32" spans="1:27" ht="13.5" x14ac:dyDescent="0.3">
      <c r="B32" s="23" t="s">
        <v>31</v>
      </c>
      <c r="C32" s="23">
        <v>-1</v>
      </c>
      <c r="T32"/>
      <c r="U32"/>
      <c r="V32"/>
      <c r="W32"/>
      <c r="AA32" s="66"/>
    </row>
    <row r="33" spans="1:23" ht="13.5" x14ac:dyDescent="0.3">
      <c r="B33" s="23" t="s">
        <v>144</v>
      </c>
      <c r="C33" s="23">
        <v>1</v>
      </c>
      <c r="T33"/>
      <c r="U33"/>
      <c r="V33"/>
      <c r="W33"/>
    </row>
    <row r="34" spans="1:23" ht="13.5" x14ac:dyDescent="0.3">
      <c r="B34" s="23" t="s">
        <v>123</v>
      </c>
      <c r="C34" s="23">
        <v>1</v>
      </c>
      <c r="T34"/>
      <c r="U34"/>
      <c r="V34"/>
      <c r="W34"/>
    </row>
    <row r="35" spans="1:23" ht="13.5" x14ac:dyDescent="0.3">
      <c r="B35" s="23" t="s">
        <v>194</v>
      </c>
      <c r="C35" s="23">
        <v>1</v>
      </c>
      <c r="T35"/>
      <c r="U35"/>
      <c r="V35"/>
      <c r="W35"/>
    </row>
    <row r="36" spans="1:23" ht="13.5" x14ac:dyDescent="0.3">
      <c r="B36" s="23" t="s">
        <v>178</v>
      </c>
      <c r="C36" s="23">
        <v>1</v>
      </c>
      <c r="T36"/>
      <c r="U36"/>
      <c r="V36"/>
      <c r="W36"/>
    </row>
    <row r="37" spans="1:23" ht="13.5" x14ac:dyDescent="0.3">
      <c r="T37"/>
      <c r="U37"/>
      <c r="V37"/>
      <c r="W37"/>
    </row>
    <row r="38" spans="1:23" ht="13.5" x14ac:dyDescent="0.3">
      <c r="T38"/>
      <c r="U38"/>
      <c r="V38"/>
      <c r="W38"/>
    </row>
    <row r="39" spans="1:23" ht="13.5" x14ac:dyDescent="0.3">
      <c r="T39"/>
      <c r="U39"/>
      <c r="V39"/>
      <c r="W39"/>
    </row>
    <row r="40" spans="1:23" ht="13.5" x14ac:dyDescent="0.3">
      <c r="T40"/>
      <c r="U40"/>
      <c r="V40"/>
      <c r="W40"/>
    </row>
    <row r="41" spans="1:23" ht="13.5" x14ac:dyDescent="0.3">
      <c r="A41" s="14" t="s">
        <v>55</v>
      </c>
      <c r="T41"/>
      <c r="U41"/>
      <c r="V41"/>
      <c r="W41"/>
    </row>
    <row r="42" spans="1:23" ht="13.5" x14ac:dyDescent="0.3">
      <c r="A42" s="59"/>
      <c r="B42" s="59"/>
      <c r="C42" s="53" t="s">
        <v>88</v>
      </c>
      <c r="D42" s="53" t="s">
        <v>82</v>
      </c>
      <c r="E42" s="53" t="s">
        <v>25</v>
      </c>
      <c r="F42" s="8" t="s">
        <v>111</v>
      </c>
      <c r="T42"/>
      <c r="U42"/>
      <c r="V42"/>
      <c r="W42"/>
    </row>
    <row r="43" spans="1:23" ht="13.5" x14ac:dyDescent="0.3">
      <c r="A43" s="27">
        <v>1</v>
      </c>
      <c r="B43" s="27" t="s">
        <v>107</v>
      </c>
      <c r="C43" s="27" t="s">
        <v>23</v>
      </c>
      <c r="D43" s="27" t="b">
        <v>0</v>
      </c>
      <c r="E43" s="23" t="s">
        <v>40</v>
      </c>
      <c r="F43" s="27" t="b">
        <v>0</v>
      </c>
      <c r="T43"/>
      <c r="U43"/>
      <c r="V43"/>
      <c r="W43"/>
    </row>
    <row r="44" spans="1:23" ht="13.5" x14ac:dyDescent="0.3">
      <c r="A44" s="27">
        <f>A43+1</f>
        <v>2</v>
      </c>
      <c r="B44" s="27" t="s">
        <v>98</v>
      </c>
      <c r="C44" s="27" t="s">
        <v>98</v>
      </c>
      <c r="D44" s="27" t="b">
        <v>0</v>
      </c>
      <c r="E44" s="23" t="s">
        <v>105</v>
      </c>
      <c r="F44" s="27" t="b">
        <v>1</v>
      </c>
      <c r="T44"/>
      <c r="U44"/>
      <c r="V44"/>
      <c r="W44"/>
    </row>
    <row r="45" spans="1:23" ht="13.5" x14ac:dyDescent="0.3">
      <c r="A45" s="27">
        <f t="shared" ref="A45:A55" si="0">A44+1</f>
        <v>3</v>
      </c>
      <c r="B45" s="27" t="s">
        <v>109</v>
      </c>
      <c r="C45" s="27" t="s">
        <v>108</v>
      </c>
      <c r="D45" s="27" t="b">
        <v>0</v>
      </c>
      <c r="E45" s="23" t="s">
        <v>105</v>
      </c>
      <c r="F45" s="27" t="b">
        <v>1</v>
      </c>
      <c r="T45"/>
      <c r="U45"/>
      <c r="V45"/>
      <c r="W45"/>
    </row>
    <row r="46" spans="1:23" ht="13.5" x14ac:dyDescent="0.3">
      <c r="A46" s="27">
        <f t="shared" si="0"/>
        <v>4</v>
      </c>
      <c r="B46" s="27" t="s">
        <v>106</v>
      </c>
      <c r="C46" s="27" t="s">
        <v>110</v>
      </c>
      <c r="D46" s="27" t="b">
        <v>0</v>
      </c>
      <c r="E46" s="23" t="s">
        <v>105</v>
      </c>
      <c r="F46" s="27" t="b">
        <v>1</v>
      </c>
      <c r="T46"/>
      <c r="U46"/>
      <c r="V46"/>
      <c r="W46"/>
    </row>
    <row r="47" spans="1:23" ht="14" x14ac:dyDescent="0.35">
      <c r="A47" s="27">
        <f t="shared" si="0"/>
        <v>5</v>
      </c>
      <c r="B47" s="27" t="s">
        <v>60</v>
      </c>
      <c r="C47" s="27" t="s">
        <v>61</v>
      </c>
      <c r="D47" s="27" t="b">
        <v>1</v>
      </c>
      <c r="E47" s="23" t="s">
        <v>40</v>
      </c>
      <c r="F47" s="27" t="b">
        <v>0</v>
      </c>
      <c r="T47"/>
      <c r="U47"/>
      <c r="V47"/>
      <c r="W47"/>
    </row>
    <row r="48" spans="1:23" ht="13.5" x14ac:dyDescent="0.3">
      <c r="A48" s="27">
        <f t="shared" si="0"/>
        <v>6</v>
      </c>
      <c r="B48" s="27" t="s">
        <v>14</v>
      </c>
      <c r="C48" s="27" t="s">
        <v>18</v>
      </c>
      <c r="D48" s="27" t="b">
        <v>1</v>
      </c>
      <c r="E48" s="23" t="s">
        <v>40</v>
      </c>
      <c r="F48" s="27" t="b">
        <v>0</v>
      </c>
      <c r="T48"/>
      <c r="U48"/>
      <c r="V48"/>
      <c r="W48"/>
    </row>
    <row r="49" spans="1:23" ht="13.5" x14ac:dyDescent="0.3">
      <c r="A49" s="27">
        <f t="shared" si="0"/>
        <v>7</v>
      </c>
      <c r="B49" s="27" t="s">
        <v>4</v>
      </c>
      <c r="C49" s="27" t="s">
        <v>18</v>
      </c>
      <c r="D49" s="27" t="b">
        <v>1</v>
      </c>
      <c r="E49" s="23" t="s">
        <v>40</v>
      </c>
      <c r="F49" s="27" t="b">
        <v>0</v>
      </c>
      <c r="T49"/>
      <c r="U49"/>
      <c r="V49"/>
      <c r="W49"/>
    </row>
    <row r="50" spans="1:23" ht="13.5" x14ac:dyDescent="0.3">
      <c r="A50" s="27">
        <f t="shared" si="0"/>
        <v>8</v>
      </c>
      <c r="B50" s="27" t="s">
        <v>5</v>
      </c>
      <c r="C50" s="27" t="s">
        <v>18</v>
      </c>
      <c r="D50" s="27" t="b">
        <v>1</v>
      </c>
      <c r="E50" s="23" t="s">
        <v>40</v>
      </c>
      <c r="F50" s="27" t="b">
        <v>0</v>
      </c>
      <c r="T50"/>
      <c r="U50"/>
      <c r="V50"/>
      <c r="W50"/>
    </row>
    <row r="51" spans="1:23" ht="13.5" x14ac:dyDescent="0.3">
      <c r="A51" s="27">
        <f t="shared" si="0"/>
        <v>9</v>
      </c>
      <c r="B51" s="27" t="s">
        <v>15</v>
      </c>
      <c r="C51" s="27" t="s">
        <v>18</v>
      </c>
      <c r="D51" s="27" t="b">
        <v>1</v>
      </c>
      <c r="E51" s="23" t="s">
        <v>48</v>
      </c>
      <c r="F51" s="27" t="b">
        <v>0</v>
      </c>
      <c r="T51"/>
      <c r="U51"/>
      <c r="V51"/>
      <c r="W51"/>
    </row>
    <row r="52" spans="1:23" ht="13.5" x14ac:dyDescent="0.3">
      <c r="A52" s="27">
        <f t="shared" si="0"/>
        <v>10</v>
      </c>
      <c r="B52" s="27" t="s">
        <v>9</v>
      </c>
      <c r="C52" s="27" t="s">
        <v>18</v>
      </c>
      <c r="D52" s="27" t="b">
        <v>1</v>
      </c>
      <c r="E52" s="23" t="s">
        <v>83</v>
      </c>
      <c r="F52" s="27" t="b">
        <v>0</v>
      </c>
      <c r="T52"/>
      <c r="U52"/>
      <c r="V52"/>
      <c r="W52"/>
    </row>
    <row r="53" spans="1:23" ht="13.5" x14ac:dyDescent="0.3">
      <c r="A53" s="27">
        <f t="shared" si="0"/>
        <v>11</v>
      </c>
      <c r="B53" s="27" t="s">
        <v>10</v>
      </c>
      <c r="C53" s="27" t="s">
        <v>18</v>
      </c>
      <c r="D53" s="27" t="b">
        <v>1</v>
      </c>
      <c r="E53" s="23" t="s">
        <v>83</v>
      </c>
      <c r="F53" s="27" t="b">
        <v>0</v>
      </c>
      <c r="T53"/>
      <c r="U53"/>
      <c r="V53"/>
      <c r="W53"/>
    </row>
    <row r="54" spans="1:23" ht="13.5" x14ac:dyDescent="0.3">
      <c r="A54" s="27">
        <f t="shared" si="0"/>
        <v>12</v>
      </c>
      <c r="B54" s="27" t="s">
        <v>6</v>
      </c>
      <c r="C54" s="27" t="s">
        <v>18</v>
      </c>
      <c r="D54" s="27" t="b">
        <v>1</v>
      </c>
      <c r="E54" s="23" t="s">
        <v>48</v>
      </c>
      <c r="F54" s="27" t="b">
        <v>0</v>
      </c>
      <c r="O54"/>
      <c r="P54"/>
      <c r="Q54"/>
      <c r="R54"/>
      <c r="S54"/>
      <c r="T54"/>
      <c r="U54"/>
      <c r="V54"/>
      <c r="W54"/>
    </row>
    <row r="55" spans="1:23" ht="13.5" x14ac:dyDescent="0.3">
      <c r="A55" s="27">
        <f t="shared" si="0"/>
        <v>13</v>
      </c>
      <c r="B55" s="27" t="s">
        <v>7</v>
      </c>
      <c r="C55" s="27" t="s">
        <v>18</v>
      </c>
      <c r="D55" s="27" t="b">
        <v>1</v>
      </c>
      <c r="E55" s="23" t="s">
        <v>48</v>
      </c>
      <c r="F55" s="27" t="b">
        <v>0</v>
      </c>
      <c r="O55"/>
      <c r="P55"/>
      <c r="Q55"/>
      <c r="R55"/>
      <c r="S55"/>
      <c r="T55"/>
      <c r="U55"/>
      <c r="V55"/>
      <c r="W55"/>
    </row>
    <row r="56" spans="1:23" ht="13.5" x14ac:dyDescent="0.3">
      <c r="O56"/>
      <c r="P56"/>
      <c r="Q56"/>
      <c r="R56"/>
      <c r="S56"/>
      <c r="T56"/>
      <c r="U56"/>
      <c r="V56"/>
      <c r="W56"/>
    </row>
    <row r="57" spans="1:23" ht="13.5" x14ac:dyDescent="0.3">
      <c r="O57"/>
      <c r="P57"/>
      <c r="Q57"/>
      <c r="R57"/>
      <c r="S57"/>
      <c r="T57"/>
      <c r="U57"/>
      <c r="V57"/>
      <c r="W57"/>
    </row>
    <row r="58" spans="1:23" ht="13.5" x14ac:dyDescent="0.3">
      <c r="A58" s="14" t="s">
        <v>85</v>
      </c>
      <c r="F58"/>
      <c r="O58"/>
      <c r="P58"/>
      <c r="Q58"/>
      <c r="R58"/>
      <c r="S58"/>
      <c r="T58"/>
      <c r="U58"/>
      <c r="V58"/>
      <c r="W58"/>
    </row>
    <row r="59" spans="1:23" ht="13.5" x14ac:dyDescent="0.3">
      <c r="A59" s="53"/>
      <c r="B59" s="53"/>
      <c r="C59" s="88"/>
      <c r="D59" s="53" t="s">
        <v>3</v>
      </c>
      <c r="F59"/>
      <c r="H59"/>
      <c r="I59"/>
      <c r="J59"/>
      <c r="O59"/>
      <c r="P59"/>
      <c r="Q59"/>
      <c r="R59"/>
      <c r="S59"/>
      <c r="T59"/>
      <c r="U59"/>
      <c r="V59"/>
      <c r="W59"/>
    </row>
    <row r="60" spans="1:23" ht="13.5" x14ac:dyDescent="0.3">
      <c r="B60" s="27" t="s">
        <v>14</v>
      </c>
      <c r="C60" s="27" t="s">
        <v>54</v>
      </c>
      <c r="D60" s="96">
        <v>67500</v>
      </c>
      <c r="F60"/>
      <c r="H60"/>
      <c r="I60"/>
      <c r="J60"/>
      <c r="O60"/>
      <c r="P60"/>
      <c r="Q60"/>
      <c r="R60"/>
      <c r="S60"/>
      <c r="T60"/>
      <c r="U60"/>
      <c r="V60"/>
      <c r="W60"/>
    </row>
    <row r="61" spans="1:23" ht="13.5" x14ac:dyDescent="0.3">
      <c r="B61" s="27" t="s">
        <v>4</v>
      </c>
      <c r="C61" s="27" t="s">
        <v>54</v>
      </c>
      <c r="D61" s="96">
        <f>Assumptions!G43*1.5</f>
        <v>67129.990571056944</v>
      </c>
      <c r="F61"/>
      <c r="H61"/>
      <c r="I61"/>
      <c r="J61"/>
      <c r="O61"/>
      <c r="P61"/>
      <c r="Q61"/>
      <c r="R61"/>
      <c r="S61"/>
      <c r="T61"/>
      <c r="U61"/>
      <c r="V61"/>
      <c r="W61"/>
    </row>
    <row r="62" spans="1:23" ht="13.5" x14ac:dyDescent="0.3">
      <c r="B62" s="27" t="s">
        <v>5</v>
      </c>
      <c r="C62" s="27" t="s">
        <v>54</v>
      </c>
      <c r="D62" s="96">
        <v>10</v>
      </c>
      <c r="F62"/>
      <c r="H62"/>
      <c r="I62"/>
      <c r="J62"/>
      <c r="O62"/>
      <c r="P62"/>
      <c r="Q62"/>
      <c r="R62"/>
      <c r="S62"/>
      <c r="T62"/>
      <c r="U62"/>
      <c r="V62"/>
      <c r="W62"/>
    </row>
    <row r="63" spans="1:23" ht="13.5" x14ac:dyDescent="0.3">
      <c r="B63" s="27" t="s">
        <v>332</v>
      </c>
      <c r="C63" s="27" t="s">
        <v>34</v>
      </c>
      <c r="D63" s="96">
        <v>51130</v>
      </c>
      <c r="F63"/>
      <c r="H63"/>
      <c r="I63"/>
      <c r="J63"/>
      <c r="O63"/>
      <c r="P63"/>
      <c r="Q63"/>
      <c r="R63"/>
      <c r="S63"/>
      <c r="T63"/>
      <c r="U63"/>
      <c r="V63"/>
      <c r="W63"/>
    </row>
    <row r="64" spans="1:23" ht="13.5" x14ac:dyDescent="0.3">
      <c r="B64" s="27" t="s">
        <v>9</v>
      </c>
      <c r="C64" s="27" t="s">
        <v>33</v>
      </c>
      <c r="D64" s="96">
        <v>0.73</v>
      </c>
      <c r="F64"/>
      <c r="H64"/>
      <c r="I64"/>
      <c r="J64"/>
      <c r="O64"/>
      <c r="P64"/>
      <c r="Q64"/>
      <c r="R64"/>
      <c r="S64"/>
      <c r="T64"/>
      <c r="U64"/>
      <c r="V64"/>
      <c r="W64"/>
    </row>
    <row r="65" spans="1:23" ht="13.5" x14ac:dyDescent="0.3">
      <c r="B65" s="27" t="s">
        <v>10</v>
      </c>
      <c r="C65" s="27" t="s">
        <v>33</v>
      </c>
      <c r="D65" s="96">
        <v>4.45</v>
      </c>
      <c r="F65"/>
      <c r="H65"/>
      <c r="I65"/>
      <c r="J65"/>
      <c r="O65"/>
      <c r="P65"/>
      <c r="Q65"/>
      <c r="R65"/>
      <c r="S65"/>
      <c r="T65"/>
      <c r="U65"/>
      <c r="V65"/>
      <c r="W65"/>
    </row>
    <row r="66" spans="1:23" ht="13.5" x14ac:dyDescent="0.3">
      <c r="B66" s="27" t="s">
        <v>6</v>
      </c>
      <c r="C66" s="27" t="s">
        <v>34</v>
      </c>
      <c r="D66" s="96">
        <v>0.28000000000000003</v>
      </c>
      <c r="F66"/>
      <c r="H66"/>
      <c r="I66"/>
      <c r="J66"/>
      <c r="O66"/>
      <c r="P66"/>
      <c r="Q66"/>
      <c r="R66"/>
      <c r="S66"/>
      <c r="T66"/>
      <c r="U66"/>
      <c r="V66"/>
      <c r="W66"/>
    </row>
    <row r="67" spans="1:23" ht="13.5" x14ac:dyDescent="0.3">
      <c r="B67" s="27" t="s">
        <v>7</v>
      </c>
      <c r="C67" s="27" t="s">
        <v>34</v>
      </c>
      <c r="D67" s="96">
        <v>0.17</v>
      </c>
      <c r="F67"/>
      <c r="H67"/>
      <c r="I67"/>
      <c r="J67"/>
      <c r="O67"/>
      <c r="P67"/>
      <c r="Q67"/>
      <c r="R67"/>
      <c r="S67"/>
      <c r="T67"/>
      <c r="U67"/>
      <c r="V67"/>
      <c r="W67"/>
    </row>
    <row r="68" spans="1:23" ht="13.5" x14ac:dyDescent="0.3">
      <c r="F68"/>
      <c r="H68"/>
      <c r="I68"/>
      <c r="J68"/>
      <c r="O68"/>
      <c r="P68"/>
      <c r="Q68"/>
      <c r="R68"/>
      <c r="S68"/>
      <c r="T68"/>
      <c r="U68"/>
      <c r="V68"/>
      <c r="W68"/>
    </row>
    <row r="69" spans="1:23" ht="13.5" x14ac:dyDescent="0.3">
      <c r="A69" s="8" t="s">
        <v>166</v>
      </c>
      <c r="O69"/>
      <c r="P69"/>
      <c r="Q69"/>
      <c r="R69"/>
      <c r="S69"/>
      <c r="T69"/>
      <c r="U69"/>
      <c r="V69"/>
      <c r="W69"/>
    </row>
    <row r="70" spans="1:23" ht="13.5" x14ac:dyDescent="0.3">
      <c r="B70" s="8" t="s">
        <v>167</v>
      </c>
      <c r="C70" s="95">
        <v>1000</v>
      </c>
      <c r="O70"/>
      <c r="P70"/>
      <c r="Q70"/>
      <c r="R70"/>
      <c r="S70"/>
      <c r="T70"/>
      <c r="U70"/>
      <c r="V70"/>
      <c r="W70"/>
    </row>
    <row r="71" spans="1:23" ht="13.5" x14ac:dyDescent="0.3">
      <c r="B71" s="8" t="s">
        <v>168</v>
      </c>
      <c r="C71" s="95">
        <v>1000000</v>
      </c>
      <c r="O71"/>
      <c r="P71"/>
      <c r="Q71"/>
      <c r="R71"/>
      <c r="S71"/>
      <c r="T71"/>
      <c r="U71"/>
      <c r="V71"/>
      <c r="W71"/>
    </row>
    <row r="72" spans="1:23" ht="13.5" x14ac:dyDescent="0.3">
      <c r="O72"/>
      <c r="P72"/>
      <c r="Q72"/>
      <c r="R72"/>
      <c r="S72"/>
      <c r="T72"/>
      <c r="U72"/>
      <c r="V72"/>
      <c r="W72"/>
    </row>
    <row r="73" spans="1:23" ht="13.5" x14ac:dyDescent="0.3">
      <c r="O73"/>
      <c r="P73"/>
      <c r="Q73"/>
      <c r="R73"/>
      <c r="S73"/>
      <c r="T73"/>
      <c r="U73"/>
      <c r="V73"/>
      <c r="W73"/>
    </row>
    <row r="74" spans="1:23" ht="13.5" x14ac:dyDescent="0.3">
      <c r="A74" s="8" t="s">
        <v>170</v>
      </c>
      <c r="O74"/>
      <c r="P74"/>
      <c r="Q74"/>
      <c r="R74"/>
      <c r="S74"/>
      <c r="T74"/>
      <c r="U74"/>
      <c r="V74"/>
      <c r="W74"/>
    </row>
    <row r="75" spans="1:23" ht="13.5" x14ac:dyDescent="0.3">
      <c r="B75" s="8" t="s">
        <v>170</v>
      </c>
      <c r="C75" s="153" t="s">
        <v>169</v>
      </c>
      <c r="O75"/>
      <c r="P75"/>
      <c r="Q75"/>
      <c r="R75"/>
      <c r="S75"/>
      <c r="T75"/>
      <c r="U75"/>
      <c r="V75"/>
      <c r="W75"/>
    </row>
    <row r="76" spans="1:23" ht="13.5" x14ac:dyDescent="0.3">
      <c r="O76"/>
      <c r="P76"/>
      <c r="Q76"/>
      <c r="R76"/>
      <c r="S76"/>
      <c r="T76"/>
      <c r="U76"/>
      <c r="V76"/>
      <c r="W76"/>
    </row>
    <row r="77" spans="1:23" ht="13.5" x14ac:dyDescent="0.3">
      <c r="O77"/>
      <c r="P77"/>
      <c r="Q77"/>
      <c r="R77"/>
      <c r="S77"/>
      <c r="T77"/>
      <c r="U77"/>
      <c r="V77"/>
      <c r="W77"/>
    </row>
    <row r="78" spans="1:23" ht="13.5" x14ac:dyDescent="0.3">
      <c r="A78" s="8" t="s">
        <v>197</v>
      </c>
      <c r="C78" s="8" t="s">
        <v>198</v>
      </c>
      <c r="O78"/>
      <c r="P78"/>
      <c r="Q78"/>
      <c r="R78"/>
      <c r="S78"/>
      <c r="T78"/>
      <c r="U78"/>
      <c r="V78"/>
      <c r="W78"/>
    </row>
    <row r="79" spans="1:23" ht="13.5" x14ac:dyDescent="0.3">
      <c r="O79"/>
      <c r="P79"/>
      <c r="Q79"/>
      <c r="R79"/>
      <c r="S79"/>
      <c r="T79"/>
      <c r="U79"/>
      <c r="V79"/>
      <c r="W79"/>
    </row>
    <row r="80" spans="1:23" ht="13.5" x14ac:dyDescent="0.3">
      <c r="O80"/>
      <c r="P80"/>
      <c r="Q80"/>
      <c r="R80"/>
      <c r="S80"/>
      <c r="T80"/>
      <c r="U80"/>
      <c r="V80"/>
      <c r="W80"/>
    </row>
    <row r="81" spans="1:23" ht="13.5" x14ac:dyDescent="0.3">
      <c r="O81"/>
      <c r="P81"/>
      <c r="Q81"/>
      <c r="R81"/>
      <c r="S81"/>
      <c r="T81"/>
      <c r="U81"/>
      <c r="V81"/>
      <c r="W81"/>
    </row>
    <row r="82" spans="1:23" ht="13.5" x14ac:dyDescent="0.3">
      <c r="A82" s="1"/>
      <c r="B82" s="1"/>
      <c r="C82" s="1"/>
      <c r="D82" s="1"/>
      <c r="E82" s="1"/>
      <c r="F82" s="1"/>
      <c r="K82" s="1"/>
      <c r="L82" s="1"/>
      <c r="M82" s="1"/>
      <c r="N82" s="1"/>
      <c r="O82"/>
      <c r="P82"/>
      <c r="Q82"/>
      <c r="R82"/>
      <c r="S82"/>
      <c r="T82"/>
      <c r="U82"/>
      <c r="V82"/>
      <c r="W82"/>
    </row>
    <row r="83" spans="1:23" ht="13.5" x14ac:dyDescent="0.3">
      <c r="A83" s="14" t="s">
        <v>99</v>
      </c>
      <c r="B83" s="14"/>
      <c r="K83" s="1"/>
      <c r="L83" s="1"/>
      <c r="M83" s="1"/>
      <c r="N83" s="1"/>
      <c r="O83"/>
      <c r="P83"/>
      <c r="Q83"/>
      <c r="R83"/>
      <c r="S83"/>
      <c r="T83"/>
      <c r="U83"/>
      <c r="V83"/>
      <c r="W83"/>
    </row>
    <row r="84" spans="1:23" ht="13.5" x14ac:dyDescent="0.3">
      <c r="A84" s="14"/>
      <c r="B84" s="63" t="s">
        <v>50</v>
      </c>
      <c r="F84" s="155">
        <v>0</v>
      </c>
      <c r="K84" s="1"/>
      <c r="L84" s="1"/>
      <c r="M84" s="1"/>
      <c r="N84" s="1"/>
      <c r="O84"/>
      <c r="P84"/>
      <c r="Q84"/>
      <c r="R84"/>
      <c r="S84"/>
      <c r="T84"/>
      <c r="U84"/>
      <c r="V84"/>
      <c r="W84"/>
    </row>
    <row r="85" spans="1:23" ht="13.5" x14ac:dyDescent="0.3">
      <c r="A85" s="1"/>
      <c r="B85" s="8" t="s">
        <v>100</v>
      </c>
      <c r="F85" s="155">
        <v>1</v>
      </c>
      <c r="K85" s="1"/>
      <c r="L85" s="1"/>
      <c r="M85" s="1"/>
      <c r="N85" s="1"/>
      <c r="O85"/>
      <c r="P85"/>
      <c r="Q85"/>
      <c r="R85"/>
      <c r="S85"/>
      <c r="T85"/>
      <c r="U85"/>
      <c r="V85"/>
      <c r="W85"/>
    </row>
    <row r="86" spans="1:23" ht="13.5" x14ac:dyDescent="0.3">
      <c r="A86" s="1"/>
      <c r="B86" s="8" t="s">
        <v>101</v>
      </c>
      <c r="F86" s="155">
        <v>1</v>
      </c>
      <c r="K86" s="1"/>
      <c r="L86" s="1"/>
      <c r="M86" s="1"/>
      <c r="N86" s="1"/>
      <c r="O86"/>
      <c r="P86"/>
      <c r="Q86"/>
      <c r="R86"/>
      <c r="S86"/>
      <c r="T86"/>
      <c r="U86"/>
      <c r="V86"/>
      <c r="W86"/>
    </row>
    <row r="87" spans="1:23" ht="13.5" x14ac:dyDescent="0.3">
      <c r="A87" s="1"/>
      <c r="B87" s="8" t="s">
        <v>102</v>
      </c>
      <c r="F87" s="155">
        <v>1</v>
      </c>
      <c r="K87" s="1"/>
      <c r="L87" s="1"/>
      <c r="M87" s="1"/>
      <c r="N87" s="1"/>
      <c r="O87"/>
      <c r="P87"/>
      <c r="Q87"/>
      <c r="R87"/>
      <c r="S87"/>
      <c r="T87"/>
      <c r="U87"/>
      <c r="V87"/>
      <c r="W87"/>
    </row>
    <row r="88" spans="1:23" ht="13.5" x14ac:dyDescent="0.3">
      <c r="A88" s="1"/>
      <c r="B88" s="8" t="s">
        <v>103</v>
      </c>
      <c r="F88" s="155">
        <v>1</v>
      </c>
      <c r="K88" s="1"/>
      <c r="L88" s="1"/>
      <c r="M88" s="1"/>
      <c r="N88" s="1"/>
      <c r="O88"/>
      <c r="P88"/>
      <c r="Q88"/>
      <c r="R88"/>
      <c r="S88"/>
      <c r="T88"/>
      <c r="U88"/>
      <c r="V88"/>
      <c r="W88"/>
    </row>
    <row r="89" spans="1:23" ht="13.5" x14ac:dyDescent="0.3">
      <c r="A89" s="1"/>
      <c r="B89" s="8" t="s">
        <v>112</v>
      </c>
      <c r="F89" s="155">
        <v>3</v>
      </c>
      <c r="K89" s="1"/>
      <c r="L89" s="1"/>
      <c r="M89" s="1"/>
      <c r="N89" s="1"/>
      <c r="O89"/>
      <c r="P89"/>
      <c r="Q89"/>
      <c r="R89"/>
      <c r="S89"/>
      <c r="T89"/>
      <c r="U89"/>
      <c r="V89"/>
      <c r="W89"/>
    </row>
    <row r="90" spans="1:23" x14ac:dyDescent="0.3">
      <c r="A90" s="1"/>
      <c r="B90" s="8" t="s">
        <v>104</v>
      </c>
      <c r="F90" s="155">
        <v>3</v>
      </c>
      <c r="K90" s="1"/>
      <c r="L90" s="1"/>
      <c r="M90" s="1"/>
      <c r="N90" s="1"/>
      <c r="O90" s="1"/>
    </row>
    <row r="91" spans="1:23" x14ac:dyDescent="0.3">
      <c r="A91" s="1"/>
      <c r="B91" s="8" t="s">
        <v>113</v>
      </c>
      <c r="F91" s="155">
        <v>6</v>
      </c>
      <c r="K91" s="1"/>
      <c r="L91" s="1"/>
      <c r="M91" s="1"/>
      <c r="N91" s="1"/>
      <c r="O91" s="1"/>
    </row>
    <row r="92" spans="1:23" x14ac:dyDescent="0.3">
      <c r="A92" s="1"/>
      <c r="B92" s="8" t="s">
        <v>184</v>
      </c>
      <c r="F92" s="155">
        <v>6</v>
      </c>
      <c r="K92" s="1"/>
      <c r="L92" s="1"/>
      <c r="M92" s="1"/>
      <c r="N92" s="1"/>
      <c r="O92" s="1"/>
    </row>
    <row r="93" spans="1:23" x14ac:dyDescent="0.3">
      <c r="A93" s="1"/>
      <c r="B93" s="8" t="s">
        <v>185</v>
      </c>
      <c r="F93" s="155">
        <v>10</v>
      </c>
      <c r="K93" s="1"/>
      <c r="L93" s="1"/>
      <c r="M93" s="1"/>
      <c r="N93" s="1"/>
      <c r="O93" s="1"/>
    </row>
    <row r="94" spans="1:23" x14ac:dyDescent="0.3">
      <c r="A94" s="1"/>
      <c r="B94" s="1"/>
      <c r="C94" s="1"/>
      <c r="D94" s="1"/>
      <c r="E94" s="1"/>
      <c r="F94" s="1"/>
      <c r="K94" s="1"/>
      <c r="L94" s="1"/>
      <c r="M94" s="1"/>
      <c r="N94" s="1"/>
      <c r="O94" s="1"/>
    </row>
    <row r="95" spans="1:23" x14ac:dyDescent="0.3">
      <c r="A95" s="1"/>
      <c r="B95" s="1"/>
      <c r="C95" s="1"/>
      <c r="D95" s="1"/>
      <c r="E95" s="1"/>
      <c r="F95" s="1"/>
      <c r="K95" s="1"/>
      <c r="L95" s="1"/>
      <c r="M95" s="1"/>
      <c r="N95" s="1"/>
      <c r="O95" s="1"/>
    </row>
    <row r="96" spans="1:23" x14ac:dyDescent="0.3">
      <c r="A96" s="1"/>
      <c r="B96" s="1"/>
      <c r="C96" s="1"/>
      <c r="D96" s="1"/>
      <c r="E96" s="1"/>
      <c r="F96" s="1"/>
      <c r="K96" s="1"/>
      <c r="L96" s="1"/>
      <c r="M96" s="1"/>
      <c r="N96" s="1"/>
      <c r="O96" s="1"/>
    </row>
    <row r="97" spans="1:25" x14ac:dyDescent="0.3">
      <c r="A97" s="1"/>
      <c r="B97" s="145" t="s">
        <v>163</v>
      </c>
      <c r="C97" s="1"/>
      <c r="D97" s="1"/>
      <c r="E97" s="1"/>
      <c r="F97" s="1"/>
      <c r="K97" s="1"/>
      <c r="L97" s="1"/>
      <c r="M97" s="1"/>
      <c r="N97" s="1"/>
      <c r="O97" s="1"/>
    </row>
    <row r="98" spans="1:25" x14ac:dyDescent="0.3">
      <c r="A98" s="1"/>
      <c r="B98" s="145" t="s">
        <v>125</v>
      </c>
      <c r="C98" s="1"/>
      <c r="D98" s="1"/>
      <c r="E98" s="1"/>
      <c r="F98" s="1"/>
      <c r="K98" s="1"/>
      <c r="L98" s="1"/>
      <c r="M98" s="1"/>
      <c r="N98" s="1"/>
      <c r="O98" s="1"/>
    </row>
    <row r="99" spans="1:25" x14ac:dyDescent="0.3">
      <c r="A99" s="1"/>
      <c r="B99" s="145" t="s">
        <v>126</v>
      </c>
      <c r="C99" s="1"/>
      <c r="D99" s="1"/>
      <c r="E99" s="1"/>
      <c r="F99" s="1"/>
      <c r="K99" s="1"/>
      <c r="L99" s="1"/>
      <c r="M99" s="1"/>
      <c r="N99" s="1"/>
      <c r="O99" s="1"/>
    </row>
    <row r="100" spans="1:25" x14ac:dyDescent="0.3">
      <c r="A100" s="1"/>
      <c r="B100" s="1"/>
      <c r="C100" s="1"/>
      <c r="D100" s="1"/>
      <c r="E100" s="1"/>
      <c r="F100" s="1"/>
      <c r="K100" s="1"/>
      <c r="L100" s="1"/>
      <c r="M100" s="1"/>
      <c r="N100" s="1"/>
      <c r="O100" s="1"/>
    </row>
    <row r="101" spans="1:25" x14ac:dyDescent="0.3">
      <c r="A101" s="1"/>
      <c r="B101" s="1"/>
      <c r="C101" s="1"/>
      <c r="D101" s="1"/>
      <c r="E101" s="1"/>
      <c r="F101" s="1"/>
      <c r="K101" s="1"/>
      <c r="L101" s="1"/>
      <c r="M101" s="1"/>
      <c r="N101" s="1"/>
      <c r="O101" s="1"/>
    </row>
    <row r="102" spans="1:25" ht="13.5" x14ac:dyDescent="0.3">
      <c r="T102"/>
      <c r="U102"/>
      <c r="V102"/>
      <c r="W102"/>
    </row>
    <row r="103" spans="1:25" ht="13.5" x14ac:dyDescent="0.3">
      <c r="T103"/>
      <c r="U103"/>
      <c r="V103"/>
      <c r="W103"/>
    </row>
    <row r="104" spans="1:25" ht="14.5" x14ac:dyDescent="0.35">
      <c r="A104" s="19" t="s">
        <v>87</v>
      </c>
      <c r="B104" s="19"/>
      <c r="C104" s="19"/>
      <c r="D104" s="19"/>
      <c r="E104" s="19"/>
      <c r="F104" s="20"/>
      <c r="G104" s="19"/>
      <c r="H104" s="19"/>
      <c r="I104" s="19"/>
      <c r="J104" s="20"/>
      <c r="K104" s="20"/>
      <c r="L104" s="20"/>
      <c r="M104" s="20"/>
      <c r="N104" s="20"/>
      <c r="O104" s="20"/>
      <c r="P104" s="20"/>
      <c r="Q104" s="20"/>
      <c r="R104" s="20"/>
      <c r="S104" s="20"/>
      <c r="T104" s="20"/>
      <c r="U104" s="20"/>
      <c r="V104" s="20"/>
      <c r="W104" s="20"/>
    </row>
    <row r="105" spans="1:25" ht="13.5" x14ac:dyDescent="0.3">
      <c r="U105"/>
      <c r="V105"/>
      <c r="W105"/>
      <c r="X105"/>
      <c r="Y105"/>
    </row>
    <row r="106" spans="1:25" ht="13.5" x14ac:dyDescent="0.3">
      <c r="B106" s="8" t="s">
        <v>41</v>
      </c>
      <c r="F106" s="8" t="s">
        <v>49</v>
      </c>
      <c r="H106" s="8" t="s">
        <v>53</v>
      </c>
      <c r="J106" s="8" t="s">
        <v>26</v>
      </c>
      <c r="N106" s="8" t="s">
        <v>90</v>
      </c>
      <c r="P106" s="8" t="s">
        <v>166</v>
      </c>
      <c r="R106" s="8" t="s">
        <v>27</v>
      </c>
      <c r="T106" s="8" t="s">
        <v>228</v>
      </c>
      <c r="U106"/>
      <c r="V106" s="8" t="s">
        <v>239</v>
      </c>
      <c r="W106"/>
      <c r="Y106"/>
    </row>
    <row r="107" spans="1:25" ht="13.5" x14ac:dyDescent="0.3">
      <c r="B107" s="25" t="s">
        <v>42</v>
      </c>
      <c r="C107" s="130" t="s">
        <v>137</v>
      </c>
      <c r="D107" s="130" t="s">
        <v>234</v>
      </c>
      <c r="F107" s="63" t="s">
        <v>50</v>
      </c>
      <c r="H107" s="25" t="b">
        <v>0</v>
      </c>
      <c r="J107" s="25" t="s">
        <v>45</v>
      </c>
      <c r="K107" s="44">
        <v>6</v>
      </c>
      <c r="L107" s="44" t="s">
        <v>37</v>
      </c>
      <c r="N107" s="44" t="s">
        <v>84</v>
      </c>
      <c r="Q107" s="24"/>
      <c r="R107" s="23">
        <v>2026</v>
      </c>
      <c r="T107" s="23" t="s">
        <v>230</v>
      </c>
      <c r="U107"/>
      <c r="V107" s="23" t="s">
        <v>19</v>
      </c>
      <c r="W107"/>
    </row>
    <row r="108" spans="1:25" ht="13.5" x14ac:dyDescent="0.3">
      <c r="B108" s="25" t="s">
        <v>3</v>
      </c>
      <c r="C108" s="130" t="s">
        <v>138</v>
      </c>
      <c r="D108" s="130" t="s">
        <v>235</v>
      </c>
      <c r="F108" s="25" t="s">
        <v>17</v>
      </c>
      <c r="H108" s="25" t="b">
        <v>1</v>
      </c>
      <c r="J108" s="25" t="s">
        <v>36</v>
      </c>
      <c r="K108" s="44">
        <v>12</v>
      </c>
      <c r="L108" s="44" t="s">
        <v>38</v>
      </c>
      <c r="Q108" s="24"/>
      <c r="R108" s="23">
        <f t="shared" ref="R108:R113" si="1">R107-1</f>
        <v>2025</v>
      </c>
      <c r="T108" s="23" t="s">
        <v>229</v>
      </c>
      <c r="U108"/>
      <c r="V108" s="23" t="s">
        <v>47</v>
      </c>
      <c r="W108"/>
    </row>
    <row r="109" spans="1:25" ht="13.5" x14ac:dyDescent="0.3">
      <c r="B109" s="25" t="s">
        <v>43</v>
      </c>
      <c r="C109" s="130" t="s">
        <v>140</v>
      </c>
      <c r="D109" s="130" t="s">
        <v>236</v>
      </c>
      <c r="F109" s="25" t="s">
        <v>2</v>
      </c>
      <c r="J109" s="21"/>
      <c r="K109" s="21"/>
      <c r="L109" s="24"/>
      <c r="Q109" s="24"/>
      <c r="R109" s="23">
        <f t="shared" si="1"/>
        <v>2024</v>
      </c>
      <c r="T109" s="23" t="s">
        <v>97</v>
      </c>
      <c r="U109"/>
      <c r="V109" s="23" t="s">
        <v>240</v>
      </c>
      <c r="W109"/>
      <c r="X109"/>
      <c r="Y109"/>
    </row>
    <row r="110" spans="1:25" ht="13.5" x14ac:dyDescent="0.3">
      <c r="C110" s="126"/>
      <c r="D110" s="126"/>
      <c r="F110" s="25"/>
      <c r="J110" s="21"/>
      <c r="K110" s="21"/>
      <c r="Q110" s="24"/>
      <c r="R110" s="23">
        <f t="shared" si="1"/>
        <v>2023</v>
      </c>
      <c r="U110"/>
      <c r="V110" s="23"/>
      <c r="W110"/>
      <c r="X110"/>
      <c r="Y110"/>
    </row>
    <row r="111" spans="1:25" ht="13.5" x14ac:dyDescent="0.3">
      <c r="C111" s="126"/>
      <c r="D111" s="126"/>
      <c r="J111" s="21"/>
      <c r="K111" s="21"/>
      <c r="R111" s="23">
        <f t="shared" si="1"/>
        <v>2022</v>
      </c>
      <c r="U111"/>
      <c r="W111"/>
      <c r="X111"/>
      <c r="Y111"/>
    </row>
    <row r="112" spans="1:25" ht="13.5" x14ac:dyDescent="0.3">
      <c r="J112" s="21"/>
      <c r="K112" s="21"/>
      <c r="R112" s="23">
        <f t="shared" si="1"/>
        <v>2021</v>
      </c>
      <c r="U112"/>
      <c r="W112"/>
      <c r="X112"/>
      <c r="Y112"/>
    </row>
    <row r="113" spans="18:25" ht="13.5" x14ac:dyDescent="0.3">
      <c r="R113" s="23">
        <f t="shared" si="1"/>
        <v>2020</v>
      </c>
      <c r="U113"/>
      <c r="V113" s="250"/>
      <c r="W113"/>
      <c r="X113"/>
      <c r="Y113"/>
    </row>
    <row r="114" spans="18:25" ht="13.5" x14ac:dyDescent="0.3">
      <c r="R114" s="23"/>
      <c r="U114"/>
      <c r="V114" s="250"/>
      <c r="W114"/>
      <c r="X114"/>
      <c r="Y114"/>
    </row>
    <row r="115" spans="18:25" ht="13.5" x14ac:dyDescent="0.3">
      <c r="U115"/>
      <c r="V115" s="250"/>
      <c r="W115"/>
      <c r="X115"/>
      <c r="Y115"/>
    </row>
    <row r="116" spans="18:25" ht="13.5" x14ac:dyDescent="0.3">
      <c r="U116"/>
      <c r="V116" s="251"/>
      <c r="W116"/>
      <c r="X116"/>
      <c r="Y116"/>
    </row>
    <row r="117" spans="18:25" ht="13.5" x14ac:dyDescent="0.3">
      <c r="U117"/>
      <c r="V117"/>
      <c r="W117"/>
      <c r="X117"/>
      <c r="Y117"/>
    </row>
    <row r="118" spans="18:25" ht="13.5" x14ac:dyDescent="0.3">
      <c r="U118"/>
      <c r="V118"/>
      <c r="W118"/>
      <c r="X118"/>
    </row>
    <row r="119" spans="18:25" ht="13.5" x14ac:dyDescent="0.3">
      <c r="U119"/>
      <c r="V119"/>
      <c r="W119"/>
      <c r="X119"/>
    </row>
    <row r="120" spans="18:25" ht="13.5" x14ac:dyDescent="0.3">
      <c r="V120"/>
      <c r="W120"/>
      <c r="X120"/>
    </row>
    <row r="121" spans="18:25" ht="13.5" x14ac:dyDescent="0.3">
      <c r="U121"/>
      <c r="V121"/>
      <c r="W121"/>
      <c r="X121"/>
    </row>
    <row r="122" spans="18:25" ht="13.5" x14ac:dyDescent="0.3">
      <c r="U122"/>
      <c r="V122"/>
      <c r="W122"/>
      <c r="X122"/>
    </row>
    <row r="123" spans="18:25" ht="13.5" x14ac:dyDescent="0.3">
      <c r="U123"/>
      <c r="V123"/>
      <c r="W123"/>
      <c r="X123"/>
    </row>
    <row r="124" spans="18:25" ht="13.5" x14ac:dyDescent="0.3">
      <c r="U124"/>
      <c r="V124"/>
      <c r="W124"/>
      <c r="X124"/>
    </row>
    <row r="125" spans="18:25" ht="13.5" x14ac:dyDescent="0.3">
      <c r="U125"/>
      <c r="V125"/>
      <c r="W125"/>
      <c r="X125"/>
    </row>
    <row r="126" spans="18:25" ht="13.5" x14ac:dyDescent="0.3">
      <c r="U126"/>
      <c r="V126"/>
      <c r="W126"/>
      <c r="X126"/>
    </row>
    <row r="127" spans="18:25" ht="13.5" x14ac:dyDescent="0.3">
      <c r="T127"/>
      <c r="U127"/>
      <c r="V127"/>
      <c r="W127"/>
    </row>
    <row r="128" spans="18:25" ht="13.5" x14ac:dyDescent="0.3">
      <c r="T128"/>
      <c r="U128"/>
      <c r="V128"/>
      <c r="W128"/>
    </row>
    <row r="129" spans="20:23" ht="13.5" x14ac:dyDescent="0.3">
      <c r="T129"/>
      <c r="U129"/>
      <c r="V129"/>
      <c r="W129"/>
    </row>
    <row r="130" spans="20:23" ht="13.5" x14ac:dyDescent="0.3">
      <c r="T130"/>
      <c r="U130"/>
      <c r="V130"/>
      <c r="W130"/>
    </row>
    <row r="131" spans="20:23" ht="13.5" x14ac:dyDescent="0.3">
      <c r="T131"/>
      <c r="U131"/>
      <c r="V131"/>
      <c r="W131"/>
    </row>
    <row r="132" spans="20:23" ht="13.5" x14ac:dyDescent="0.3">
      <c r="T132"/>
      <c r="U132"/>
      <c r="V132"/>
      <c r="W132"/>
    </row>
    <row r="133" spans="20:23" ht="13.5" x14ac:dyDescent="0.3">
      <c r="T133"/>
      <c r="U133"/>
      <c r="V133"/>
      <c r="W133"/>
    </row>
    <row r="134" spans="20:23" ht="13.5" x14ac:dyDescent="0.3">
      <c r="T134"/>
      <c r="U134"/>
      <c r="V134"/>
      <c r="W134"/>
    </row>
    <row r="135" spans="20:23" ht="13.5" x14ac:dyDescent="0.3">
      <c r="T135"/>
      <c r="U135"/>
      <c r="V135"/>
      <c r="W135"/>
    </row>
    <row r="136" spans="20:23" ht="13.5" x14ac:dyDescent="0.3">
      <c r="T136"/>
      <c r="U136"/>
      <c r="V136"/>
      <c r="W136"/>
    </row>
    <row r="137" spans="20:23" ht="13.5" x14ac:dyDescent="0.3">
      <c r="T137"/>
      <c r="U137"/>
      <c r="V137"/>
      <c r="W137"/>
    </row>
    <row r="138" spans="20:23" ht="13.5" x14ac:dyDescent="0.3">
      <c r="T138"/>
      <c r="U138"/>
      <c r="V138"/>
      <c r="W138"/>
    </row>
    <row r="139" spans="20:23" ht="13.5" x14ac:dyDescent="0.3">
      <c r="T139"/>
      <c r="U139"/>
      <c r="V139"/>
      <c r="W139"/>
    </row>
    <row r="140" spans="20:23" ht="13.5" x14ac:dyDescent="0.3">
      <c r="T140"/>
      <c r="U140"/>
      <c r="V140"/>
      <c r="W140"/>
    </row>
    <row r="141" spans="20:23" ht="13.5" x14ac:dyDescent="0.3">
      <c r="T141"/>
      <c r="U141"/>
      <c r="V141"/>
      <c r="W141"/>
    </row>
    <row r="142" spans="20:23" ht="13.5" x14ac:dyDescent="0.3">
      <c r="T142"/>
      <c r="U142"/>
      <c r="V142"/>
      <c r="W142"/>
    </row>
    <row r="143" spans="20:23" ht="13.5" x14ac:dyDescent="0.3">
      <c r="T143"/>
      <c r="U143"/>
      <c r="V143"/>
      <c r="W143"/>
    </row>
    <row r="144" spans="20:23" ht="13.5" x14ac:dyDescent="0.3">
      <c r="T144"/>
      <c r="U144"/>
      <c r="V144"/>
      <c r="W144"/>
    </row>
    <row r="145" spans="20:23" ht="13.5" x14ac:dyDescent="0.3">
      <c r="T145"/>
      <c r="U145"/>
      <c r="V145"/>
      <c r="W145"/>
    </row>
    <row r="146" spans="20:23" ht="13.5" x14ac:dyDescent="0.3">
      <c r="T146"/>
      <c r="U146"/>
      <c r="V146"/>
      <c r="W146"/>
    </row>
    <row r="147" spans="20:23" ht="13.5" x14ac:dyDescent="0.3">
      <c r="T147"/>
      <c r="U147"/>
      <c r="V147"/>
      <c r="W147"/>
    </row>
    <row r="148" spans="20:23" ht="13.5" x14ac:dyDescent="0.3">
      <c r="T148"/>
      <c r="U148"/>
      <c r="V148"/>
      <c r="W148"/>
    </row>
    <row r="149" spans="20:23" ht="13.5" x14ac:dyDescent="0.3">
      <c r="T149"/>
      <c r="U149"/>
      <c r="V149"/>
      <c r="W149"/>
    </row>
    <row r="150" spans="20:23" ht="13.5" x14ac:dyDescent="0.3">
      <c r="T150"/>
      <c r="U150"/>
      <c r="V150"/>
      <c r="W150"/>
    </row>
    <row r="151" spans="20:23" ht="13.5" x14ac:dyDescent="0.3">
      <c r="T151"/>
      <c r="U151"/>
      <c r="V151"/>
      <c r="W151"/>
    </row>
    <row r="152" spans="20:23" ht="13.5" x14ac:dyDescent="0.3">
      <c r="T152"/>
      <c r="U152"/>
      <c r="V152"/>
      <c r="W152"/>
    </row>
    <row r="153" spans="20:23" ht="13.5" x14ac:dyDescent="0.3">
      <c r="T153"/>
      <c r="U153"/>
      <c r="V153"/>
      <c r="W153"/>
    </row>
    <row r="154" spans="20:23" ht="13.5" x14ac:dyDescent="0.3">
      <c r="T154"/>
      <c r="U154"/>
      <c r="V154"/>
      <c r="W154"/>
    </row>
    <row r="155" spans="20:23" ht="13.5" x14ac:dyDescent="0.3">
      <c r="T155"/>
      <c r="U155"/>
      <c r="V155"/>
      <c r="W155"/>
    </row>
    <row r="156" spans="20:23" ht="13.5" x14ac:dyDescent="0.3">
      <c r="T156"/>
      <c r="U156"/>
      <c r="V156"/>
      <c r="W156"/>
    </row>
    <row r="157" spans="20:23" ht="13.5" x14ac:dyDescent="0.3">
      <c r="T157"/>
      <c r="U157"/>
      <c r="V157"/>
      <c r="W157"/>
    </row>
    <row r="158" spans="20:23" ht="13.5" x14ac:dyDescent="0.3">
      <c r="T158"/>
      <c r="U158"/>
      <c r="V158"/>
      <c r="W158"/>
    </row>
    <row r="159" spans="20:23" ht="13.5" x14ac:dyDescent="0.3">
      <c r="T159"/>
      <c r="U159"/>
      <c r="V159"/>
      <c r="W159"/>
    </row>
    <row r="160" spans="20:23" ht="13.5" x14ac:dyDescent="0.3">
      <c r="T160"/>
      <c r="U160"/>
      <c r="V160"/>
      <c r="W160"/>
    </row>
    <row r="161" spans="20:23" ht="13.5" x14ac:dyDescent="0.3">
      <c r="T161"/>
      <c r="U161"/>
      <c r="V161"/>
      <c r="W161"/>
    </row>
    <row r="162" spans="20:23" ht="13.5" x14ac:dyDescent="0.3">
      <c r="T162"/>
      <c r="U162"/>
      <c r="V162"/>
      <c r="W162"/>
    </row>
    <row r="163" spans="20:23" ht="13.5" x14ac:dyDescent="0.3">
      <c r="T163"/>
      <c r="U163"/>
      <c r="V163"/>
      <c r="W163"/>
    </row>
    <row r="164" spans="20:23" ht="13.5" x14ac:dyDescent="0.3">
      <c r="T164"/>
      <c r="U164"/>
      <c r="V164"/>
      <c r="W164"/>
    </row>
    <row r="165" spans="20:23" ht="13.5" x14ac:dyDescent="0.3">
      <c r="T165"/>
      <c r="U165"/>
      <c r="V165"/>
      <c r="W165"/>
    </row>
    <row r="166" spans="20:23" ht="13.5" x14ac:dyDescent="0.3">
      <c r="T166"/>
      <c r="U166"/>
      <c r="V166"/>
      <c r="W166"/>
    </row>
    <row r="167" spans="20:23" ht="13.5" x14ac:dyDescent="0.3">
      <c r="T167"/>
      <c r="U167"/>
      <c r="V167"/>
      <c r="W167"/>
    </row>
    <row r="168" spans="20:23" ht="13.5" x14ac:dyDescent="0.3">
      <c r="T168"/>
      <c r="U168"/>
      <c r="V168"/>
      <c r="W168"/>
    </row>
    <row r="169" spans="20:23" ht="13.5" x14ac:dyDescent="0.3">
      <c r="T169"/>
      <c r="U169"/>
      <c r="V169"/>
      <c r="W169"/>
    </row>
    <row r="170" spans="20:23" ht="13.5" x14ac:dyDescent="0.3">
      <c r="T170"/>
      <c r="U170"/>
      <c r="V170"/>
      <c r="W170"/>
    </row>
    <row r="171" spans="20:23" ht="13.5" x14ac:dyDescent="0.3">
      <c r="T171"/>
      <c r="U171"/>
      <c r="V171"/>
      <c r="W171"/>
    </row>
    <row r="172" spans="20:23" ht="13.5" x14ac:dyDescent="0.3">
      <c r="T172"/>
      <c r="U172"/>
      <c r="V172"/>
      <c r="W172"/>
    </row>
    <row r="173" spans="20:23" ht="13.5" x14ac:dyDescent="0.3">
      <c r="T173"/>
      <c r="U173"/>
      <c r="V173"/>
      <c r="W173"/>
    </row>
    <row r="174" spans="20:23" ht="13.5" x14ac:dyDescent="0.3">
      <c r="T174"/>
      <c r="U174"/>
      <c r="V174"/>
      <c r="W174"/>
    </row>
    <row r="175" spans="20:23" ht="13.5" x14ac:dyDescent="0.3">
      <c r="T175"/>
      <c r="U175"/>
      <c r="V175"/>
      <c r="W175"/>
    </row>
    <row r="176" spans="20:23" ht="13.5" x14ac:dyDescent="0.3">
      <c r="T176"/>
      <c r="U176"/>
      <c r="V176"/>
      <c r="W176"/>
    </row>
    <row r="177" spans="20:23" ht="13.5" x14ac:dyDescent="0.3">
      <c r="T177"/>
      <c r="U177"/>
      <c r="V177"/>
      <c r="W177"/>
    </row>
    <row r="178" spans="20:23" ht="13.5" x14ac:dyDescent="0.3">
      <c r="T178"/>
      <c r="U178"/>
      <c r="V178"/>
      <c r="W178"/>
    </row>
    <row r="179" spans="20:23" ht="13.5" x14ac:dyDescent="0.3">
      <c r="T179"/>
      <c r="U179"/>
      <c r="V179"/>
      <c r="W179"/>
    </row>
    <row r="180" spans="20:23" ht="13.5" x14ac:dyDescent="0.3">
      <c r="T180"/>
      <c r="U180"/>
      <c r="V180"/>
      <c r="W180"/>
    </row>
    <row r="181" spans="20:23" ht="13.5" x14ac:dyDescent="0.3">
      <c r="T181"/>
      <c r="U181"/>
      <c r="V181"/>
      <c r="W181"/>
    </row>
    <row r="182" spans="20:23" ht="13.5" x14ac:dyDescent="0.3">
      <c r="T182"/>
      <c r="U182"/>
      <c r="V182"/>
      <c r="W182"/>
    </row>
    <row r="183" spans="20:23" ht="13.5" x14ac:dyDescent="0.3">
      <c r="T183"/>
      <c r="U183"/>
      <c r="V183"/>
      <c r="W183"/>
    </row>
    <row r="184" spans="20:23" ht="13.5" x14ac:dyDescent="0.3">
      <c r="T184"/>
      <c r="U184"/>
      <c r="V184"/>
      <c r="W184"/>
    </row>
    <row r="185" spans="20:23" ht="13.5" x14ac:dyDescent="0.3">
      <c r="T185"/>
      <c r="U185"/>
      <c r="V185"/>
      <c r="W185"/>
    </row>
    <row r="186" spans="20:23" ht="13.5" x14ac:dyDescent="0.3">
      <c r="T186"/>
      <c r="U186"/>
      <c r="V186"/>
      <c r="W186"/>
    </row>
    <row r="187" spans="20:23" ht="13.5" x14ac:dyDescent="0.3">
      <c r="T187"/>
      <c r="U187"/>
      <c r="V187"/>
      <c r="W187"/>
    </row>
    <row r="188" spans="20:23" ht="13.5" x14ac:dyDescent="0.3">
      <c r="T188"/>
      <c r="U188"/>
      <c r="V188"/>
      <c r="W188"/>
    </row>
    <row r="189" spans="20:23" ht="13.5" x14ac:dyDescent="0.3">
      <c r="T189"/>
      <c r="U189"/>
      <c r="V189"/>
      <c r="W189"/>
    </row>
    <row r="190" spans="20:23" ht="13.5" x14ac:dyDescent="0.3">
      <c r="T190"/>
      <c r="U190"/>
      <c r="V190"/>
      <c r="W190"/>
    </row>
    <row r="191" spans="20:23" ht="13.5" x14ac:dyDescent="0.3">
      <c r="T191"/>
      <c r="U191"/>
      <c r="V191"/>
      <c r="W191"/>
    </row>
    <row r="192" spans="20:23" ht="13.5" x14ac:dyDescent="0.3">
      <c r="T192"/>
      <c r="U192"/>
      <c r="V192"/>
      <c r="W192"/>
    </row>
    <row r="193" spans="20:23" ht="13.5" x14ac:dyDescent="0.3">
      <c r="T193"/>
      <c r="U193"/>
      <c r="V193"/>
      <c r="W193"/>
    </row>
    <row r="194" spans="20:23" ht="13.5" x14ac:dyDescent="0.3">
      <c r="T194"/>
      <c r="U194"/>
      <c r="V194"/>
      <c r="W194"/>
    </row>
    <row r="195" spans="20:23" ht="13.5" x14ac:dyDescent="0.3">
      <c r="T195"/>
      <c r="U195"/>
      <c r="V195"/>
      <c r="W195"/>
    </row>
    <row r="196" spans="20:23" ht="13.5" x14ac:dyDescent="0.3">
      <c r="T196"/>
      <c r="U196"/>
      <c r="V196"/>
      <c r="W196"/>
    </row>
    <row r="197" spans="20:23" ht="13.5" x14ac:dyDescent="0.3">
      <c r="T197"/>
      <c r="U197"/>
      <c r="V197"/>
      <c r="W197"/>
    </row>
    <row r="198" spans="20:23" ht="13.5" x14ac:dyDescent="0.3">
      <c r="T198"/>
      <c r="U198"/>
      <c r="V198"/>
      <c r="W198"/>
    </row>
    <row r="199" spans="20:23" ht="13.5" x14ac:dyDescent="0.3">
      <c r="T199"/>
      <c r="U199"/>
      <c r="V199"/>
      <c r="W199"/>
    </row>
    <row r="200" spans="20:23" ht="13.5" x14ac:dyDescent="0.3">
      <c r="T200"/>
      <c r="U200"/>
      <c r="V200"/>
      <c r="W200"/>
    </row>
    <row r="201" spans="20:23" ht="13.5" x14ac:dyDescent="0.3">
      <c r="T201"/>
      <c r="U201"/>
      <c r="V201"/>
      <c r="W201"/>
    </row>
    <row r="202" spans="20:23" ht="13.5" x14ac:dyDescent="0.3">
      <c r="T202"/>
      <c r="U202"/>
      <c r="V202"/>
      <c r="W202"/>
    </row>
    <row r="203" spans="20:23" ht="13.5" x14ac:dyDescent="0.3">
      <c r="T203"/>
      <c r="U203"/>
      <c r="V203"/>
      <c r="W203"/>
    </row>
    <row r="204" spans="20:23" ht="13.5" x14ac:dyDescent="0.3">
      <c r="T204"/>
      <c r="U204"/>
      <c r="V204"/>
      <c r="W204"/>
    </row>
    <row r="205" spans="20:23" ht="13.5" x14ac:dyDescent="0.3">
      <c r="T205"/>
      <c r="U205"/>
      <c r="V205"/>
      <c r="W205"/>
    </row>
    <row r="206" spans="20:23" ht="13.5" x14ac:dyDescent="0.3">
      <c r="T206"/>
      <c r="U206"/>
      <c r="V206"/>
      <c r="W206"/>
    </row>
    <row r="207" spans="20:23" ht="13.5" x14ac:dyDescent="0.3">
      <c r="T207"/>
      <c r="U207"/>
      <c r="V207"/>
      <c r="W207"/>
    </row>
    <row r="208" spans="20:23" ht="13.5" x14ac:dyDescent="0.3">
      <c r="T208"/>
      <c r="U208"/>
      <c r="V208"/>
      <c r="W208"/>
    </row>
    <row r="209" spans="20:23" ht="13.5" x14ac:dyDescent="0.3">
      <c r="T209"/>
      <c r="U209"/>
      <c r="V209"/>
      <c r="W209"/>
    </row>
    <row r="210" spans="20:23" ht="13.5" x14ac:dyDescent="0.3">
      <c r="T210"/>
      <c r="U210"/>
      <c r="V210"/>
      <c r="W210"/>
    </row>
    <row r="211" spans="20:23" ht="13.5" x14ac:dyDescent="0.3">
      <c r="T211"/>
      <c r="U211"/>
      <c r="V211"/>
      <c r="W211"/>
    </row>
    <row r="212" spans="20:23" ht="13.5" x14ac:dyDescent="0.3">
      <c r="T212"/>
      <c r="U212"/>
      <c r="V212"/>
      <c r="W212"/>
    </row>
    <row r="213" spans="20:23" ht="13.5" x14ac:dyDescent="0.3">
      <c r="T213"/>
      <c r="U213"/>
      <c r="V213"/>
      <c r="W213"/>
    </row>
    <row r="214" spans="20:23" ht="13.5" x14ac:dyDescent="0.3">
      <c r="T214"/>
      <c r="U214"/>
      <c r="V214"/>
      <c r="W214"/>
    </row>
    <row r="215" spans="20:23" ht="13.5" x14ac:dyDescent="0.3">
      <c r="T215"/>
      <c r="U215"/>
      <c r="V215"/>
      <c r="W215"/>
    </row>
    <row r="216" spans="20:23" ht="13.5" x14ac:dyDescent="0.3">
      <c r="T216"/>
      <c r="U216"/>
      <c r="V216"/>
      <c r="W216"/>
    </row>
    <row r="217" spans="20:23" ht="13.5" x14ac:dyDescent="0.3">
      <c r="T217"/>
      <c r="U217"/>
      <c r="V217"/>
      <c r="W217"/>
    </row>
    <row r="218" spans="20:23" ht="13.5" x14ac:dyDescent="0.3">
      <c r="T218"/>
      <c r="U218"/>
      <c r="V218"/>
      <c r="W218"/>
    </row>
    <row r="219" spans="20:23" ht="13.5" x14ac:dyDescent="0.3">
      <c r="T219"/>
      <c r="U219"/>
      <c r="V219"/>
      <c r="W219"/>
    </row>
    <row r="220" spans="20:23" ht="13.5" x14ac:dyDescent="0.3">
      <c r="T220"/>
      <c r="U220"/>
      <c r="V220"/>
      <c r="W220"/>
    </row>
    <row r="221" spans="20:23" ht="13.5" x14ac:dyDescent="0.3">
      <c r="T221"/>
      <c r="U221"/>
      <c r="V221"/>
      <c r="W221"/>
    </row>
    <row r="222" spans="20:23" ht="13.5" x14ac:dyDescent="0.3">
      <c r="T222"/>
      <c r="U222"/>
      <c r="V222"/>
      <c r="W222"/>
    </row>
    <row r="223" spans="20:23" ht="13.5" x14ac:dyDescent="0.3">
      <c r="T223"/>
      <c r="U223"/>
      <c r="V223"/>
      <c r="W223"/>
    </row>
    <row r="224" spans="20:23" ht="13.5" x14ac:dyDescent="0.3">
      <c r="T224"/>
      <c r="U224"/>
      <c r="V224"/>
      <c r="W224"/>
    </row>
    <row r="225" spans="20:23" ht="13.5" x14ac:dyDescent="0.3">
      <c r="T225"/>
      <c r="U225"/>
      <c r="V225"/>
      <c r="W225"/>
    </row>
    <row r="226" spans="20:23" ht="13.5" x14ac:dyDescent="0.3">
      <c r="T226"/>
      <c r="U226"/>
      <c r="V226"/>
      <c r="W226"/>
    </row>
    <row r="227" spans="20:23" ht="13.5" x14ac:dyDescent="0.3">
      <c r="T227"/>
      <c r="U227"/>
      <c r="V227"/>
      <c r="W227"/>
    </row>
    <row r="228" spans="20:23" ht="13.5" x14ac:dyDescent="0.3">
      <c r="T228"/>
      <c r="U228"/>
      <c r="V228"/>
      <c r="W228"/>
    </row>
    <row r="229" spans="20:23" ht="13.5" x14ac:dyDescent="0.3">
      <c r="T229"/>
      <c r="U229"/>
      <c r="V229"/>
      <c r="W229"/>
    </row>
    <row r="230" spans="20:23" ht="13.5" x14ac:dyDescent="0.3">
      <c r="T230"/>
      <c r="U230"/>
      <c r="V230"/>
      <c r="W230"/>
    </row>
    <row r="231" spans="20:23" ht="13.5" x14ac:dyDescent="0.3">
      <c r="T231"/>
      <c r="U231"/>
      <c r="V231"/>
      <c r="W231"/>
    </row>
    <row r="232" spans="20:23" ht="13.5" x14ac:dyDescent="0.3">
      <c r="T232"/>
      <c r="U232"/>
      <c r="V232"/>
      <c r="W232"/>
    </row>
    <row r="233" spans="20:23" ht="13.5" x14ac:dyDescent="0.3">
      <c r="T233"/>
      <c r="U233"/>
      <c r="V233"/>
      <c r="W233"/>
    </row>
    <row r="234" spans="20:23" ht="13.5" x14ac:dyDescent="0.3">
      <c r="T234"/>
      <c r="U234"/>
      <c r="V234"/>
      <c r="W234"/>
    </row>
    <row r="235" spans="20:23" ht="13.5" x14ac:dyDescent="0.3">
      <c r="T235"/>
      <c r="U235"/>
      <c r="V235"/>
      <c r="W235"/>
    </row>
    <row r="236" spans="20:23" ht="13.5" x14ac:dyDescent="0.3">
      <c r="T236"/>
      <c r="U236"/>
      <c r="V236"/>
      <c r="W236"/>
    </row>
    <row r="237" spans="20:23" ht="13.5" x14ac:dyDescent="0.3">
      <c r="T237"/>
      <c r="U237"/>
      <c r="V237"/>
      <c r="W237"/>
    </row>
    <row r="238" spans="20:23" ht="13.5" x14ac:dyDescent="0.3">
      <c r="T238"/>
      <c r="U238"/>
      <c r="V238"/>
      <c r="W238"/>
    </row>
    <row r="239" spans="20:23" ht="13.5" x14ac:dyDescent="0.3">
      <c r="T239"/>
      <c r="U239"/>
      <c r="V239"/>
      <c r="W239"/>
    </row>
    <row r="240" spans="20:23" ht="13.5" x14ac:dyDescent="0.3">
      <c r="T240"/>
      <c r="U240"/>
      <c r="V240"/>
      <c r="W240"/>
    </row>
    <row r="241" spans="20:23" ht="13.5" x14ac:dyDescent="0.3">
      <c r="T241"/>
      <c r="U241"/>
      <c r="V241"/>
      <c r="W241"/>
    </row>
    <row r="242" spans="20:23" ht="13.5" x14ac:dyDescent="0.3">
      <c r="T242"/>
      <c r="U242"/>
      <c r="V242"/>
      <c r="W242"/>
    </row>
    <row r="243" spans="20:23" ht="13.5" x14ac:dyDescent="0.3">
      <c r="T243"/>
      <c r="U243"/>
      <c r="V243"/>
      <c r="W243"/>
    </row>
    <row r="244" spans="20:23" ht="13.5" x14ac:dyDescent="0.3">
      <c r="T244"/>
      <c r="U244"/>
      <c r="V244"/>
      <c r="W244"/>
    </row>
    <row r="245" spans="20:23" ht="13.5" x14ac:dyDescent="0.3">
      <c r="T245"/>
      <c r="U245"/>
      <c r="V245"/>
      <c r="W245"/>
    </row>
    <row r="246" spans="20:23" ht="13.5" x14ac:dyDescent="0.3">
      <c r="T246"/>
      <c r="U246"/>
      <c r="V246"/>
      <c r="W246"/>
    </row>
    <row r="247" spans="20:23" ht="13.5" x14ac:dyDescent="0.3">
      <c r="T247"/>
      <c r="U247"/>
      <c r="V247"/>
      <c r="W247"/>
    </row>
    <row r="248" spans="20:23" ht="13.5" x14ac:dyDescent="0.3">
      <c r="T248"/>
      <c r="U248"/>
      <c r="V248"/>
      <c r="W248"/>
    </row>
    <row r="249" spans="20:23" ht="13.5" x14ac:dyDescent="0.3">
      <c r="T249"/>
      <c r="U249"/>
      <c r="V249"/>
      <c r="W249"/>
    </row>
    <row r="250" spans="20:23" ht="13.5" x14ac:dyDescent="0.3">
      <c r="T250"/>
      <c r="U250"/>
      <c r="V250"/>
      <c r="W250"/>
    </row>
    <row r="251" spans="20:23" ht="13.5" x14ac:dyDescent="0.3">
      <c r="T251"/>
      <c r="U251"/>
      <c r="V251"/>
      <c r="W251"/>
    </row>
    <row r="252" spans="20:23" ht="13.5" x14ac:dyDescent="0.3">
      <c r="T252"/>
      <c r="U252"/>
      <c r="V252"/>
      <c r="W252"/>
    </row>
    <row r="253" spans="20:23" ht="13.5" x14ac:dyDescent="0.3">
      <c r="T253"/>
      <c r="U253"/>
      <c r="V253"/>
      <c r="W253"/>
    </row>
    <row r="254" spans="20:23" ht="13.5" x14ac:dyDescent="0.3">
      <c r="T254"/>
      <c r="U254"/>
      <c r="V254"/>
      <c r="W254"/>
    </row>
    <row r="255" spans="20:23" ht="13.5" x14ac:dyDescent="0.3">
      <c r="T255"/>
      <c r="U255"/>
      <c r="V255"/>
      <c r="W255"/>
    </row>
    <row r="256" spans="20:23" ht="13.5" x14ac:dyDescent="0.3">
      <c r="T256"/>
      <c r="U256"/>
      <c r="V256"/>
      <c r="W256"/>
    </row>
    <row r="257" spans="20:23" ht="13.5" x14ac:dyDescent="0.3">
      <c r="T257"/>
      <c r="U257"/>
      <c r="V257"/>
      <c r="W257"/>
    </row>
    <row r="258" spans="20:23" ht="13.5" x14ac:dyDescent="0.3">
      <c r="T258"/>
      <c r="U258"/>
      <c r="V258"/>
      <c r="W258"/>
    </row>
    <row r="259" spans="20:23" ht="13.5" x14ac:dyDescent="0.3">
      <c r="T259"/>
      <c r="U259"/>
      <c r="V259"/>
      <c r="W259"/>
    </row>
    <row r="260" spans="20:23" ht="13.5" x14ac:dyDescent="0.3">
      <c r="T260"/>
      <c r="U260"/>
      <c r="V260"/>
      <c r="W260"/>
    </row>
    <row r="261" spans="20:23" ht="13.5" x14ac:dyDescent="0.3">
      <c r="T261"/>
      <c r="U261"/>
      <c r="V261"/>
      <c r="W261"/>
    </row>
    <row r="262" spans="20:23" ht="13.5" x14ac:dyDescent="0.3">
      <c r="T262"/>
      <c r="U262"/>
      <c r="V262"/>
      <c r="W262"/>
    </row>
    <row r="263" spans="20:23" ht="13.5" x14ac:dyDescent="0.3">
      <c r="T263"/>
      <c r="U263"/>
      <c r="V263"/>
    </row>
    <row r="264" spans="20:23" ht="13.5" x14ac:dyDescent="0.3">
      <c r="T264"/>
      <c r="U264"/>
      <c r="V264"/>
    </row>
    <row r="265" spans="20:23" ht="13.5" x14ac:dyDescent="0.3">
      <c r="T265"/>
      <c r="U265"/>
      <c r="V265"/>
    </row>
    <row r="266" spans="20:23" ht="13.5" x14ac:dyDescent="0.3">
      <c r="T266"/>
      <c r="U266"/>
      <c r="V266"/>
    </row>
    <row r="267" spans="20:23" ht="13.5" x14ac:dyDescent="0.3">
      <c r="T267"/>
      <c r="U267"/>
      <c r="V267"/>
    </row>
    <row r="268" spans="20:23" ht="13.5" x14ac:dyDescent="0.3">
      <c r="T268"/>
      <c r="U268"/>
      <c r="V268"/>
    </row>
    <row r="269" spans="20:23" ht="13.5" x14ac:dyDescent="0.3">
      <c r="T269"/>
      <c r="U269"/>
      <c r="V269"/>
    </row>
    <row r="270" spans="20:23" ht="13.5" x14ac:dyDescent="0.3">
      <c r="T270"/>
      <c r="U270"/>
      <c r="V270"/>
    </row>
    <row r="271" spans="20:23" ht="13.5" x14ac:dyDescent="0.3">
      <c r="T271"/>
      <c r="U271"/>
      <c r="V271"/>
    </row>
    <row r="272" spans="20:23" ht="13.5" x14ac:dyDescent="0.3">
      <c r="T272"/>
      <c r="U272"/>
      <c r="V272"/>
    </row>
    <row r="273" spans="20:22" ht="13.5" x14ac:dyDescent="0.3">
      <c r="T273"/>
      <c r="U273"/>
      <c r="V273"/>
    </row>
    <row r="274" spans="20:22" ht="13.5" x14ac:dyDescent="0.3">
      <c r="T274"/>
      <c r="U274"/>
      <c r="V274"/>
    </row>
    <row r="275" spans="20:22" ht="13.5" x14ac:dyDescent="0.3">
      <c r="T275"/>
      <c r="U275"/>
      <c r="V275"/>
    </row>
    <row r="276" spans="20:22" ht="13.5" x14ac:dyDescent="0.3">
      <c r="T276"/>
      <c r="U276"/>
      <c r="V276"/>
    </row>
    <row r="277" spans="20:22" ht="13.5" x14ac:dyDescent="0.3">
      <c r="T277"/>
      <c r="U277"/>
      <c r="V277"/>
    </row>
    <row r="278" spans="20:22" ht="13.5" x14ac:dyDescent="0.3">
      <c r="T278"/>
      <c r="U278"/>
      <c r="V278"/>
    </row>
    <row r="279" spans="20:22" ht="13.5" x14ac:dyDescent="0.3">
      <c r="T279"/>
      <c r="U279"/>
      <c r="V279"/>
    </row>
    <row r="280" spans="20:22" ht="13.5" x14ac:dyDescent="0.3">
      <c r="T280"/>
      <c r="U280"/>
      <c r="V280"/>
    </row>
    <row r="281" spans="20:22" ht="13.5" x14ac:dyDescent="0.3">
      <c r="T281"/>
      <c r="U281"/>
      <c r="V281"/>
    </row>
    <row r="282" spans="20:22" ht="13.5" x14ac:dyDescent="0.3">
      <c r="T282"/>
      <c r="U282"/>
      <c r="V282"/>
    </row>
    <row r="283" spans="20:22" ht="13.5" x14ac:dyDescent="0.3">
      <c r="T283"/>
      <c r="U283"/>
      <c r="V283"/>
    </row>
    <row r="284" spans="20:22" ht="13.5" x14ac:dyDescent="0.3">
      <c r="T284"/>
      <c r="U284"/>
      <c r="V284"/>
    </row>
    <row r="285" spans="20:22" ht="13.5" x14ac:dyDescent="0.3">
      <c r="T285"/>
      <c r="U285"/>
      <c r="V285"/>
    </row>
    <row r="286" spans="20:22" ht="13.5" x14ac:dyDescent="0.3">
      <c r="T286"/>
      <c r="U286"/>
      <c r="V286"/>
    </row>
    <row r="287" spans="20:22" ht="13.5" x14ac:dyDescent="0.3">
      <c r="T287"/>
      <c r="U287"/>
      <c r="V287"/>
    </row>
    <row r="288" spans="20:22" ht="13.5" x14ac:dyDescent="0.3">
      <c r="T288"/>
      <c r="U288"/>
      <c r="V288"/>
    </row>
    <row r="289" spans="20:22" ht="13.5" x14ac:dyDescent="0.3">
      <c r="T289"/>
      <c r="U289"/>
      <c r="V289"/>
    </row>
    <row r="290" spans="20:22" ht="13.5" x14ac:dyDescent="0.3">
      <c r="T290"/>
      <c r="U290"/>
      <c r="V290"/>
    </row>
    <row r="291" spans="20:22" ht="13.5" x14ac:dyDescent="0.3">
      <c r="T291"/>
      <c r="U291"/>
      <c r="V291"/>
    </row>
    <row r="292" spans="20:22" ht="13.5" x14ac:dyDescent="0.3">
      <c r="T292"/>
      <c r="U292"/>
      <c r="V292"/>
    </row>
    <row r="293" spans="20:22" ht="13.5" x14ac:dyDescent="0.3">
      <c r="T293"/>
      <c r="U293"/>
      <c r="V293"/>
    </row>
    <row r="294" spans="20:22" ht="13.5" x14ac:dyDescent="0.3">
      <c r="T294"/>
      <c r="U294"/>
      <c r="V294"/>
    </row>
    <row r="295" spans="20:22" ht="13.5" x14ac:dyDescent="0.3">
      <c r="T295"/>
      <c r="U295"/>
      <c r="V295"/>
    </row>
    <row r="296" spans="20:22" ht="13.5" x14ac:dyDescent="0.3">
      <c r="T296"/>
      <c r="U296"/>
      <c r="V296"/>
    </row>
    <row r="297" spans="20:22" ht="13.5" x14ac:dyDescent="0.3">
      <c r="T297"/>
      <c r="U297"/>
      <c r="V297"/>
    </row>
    <row r="298" spans="20:22" ht="13.5" x14ac:dyDescent="0.3">
      <c r="T298"/>
      <c r="U298"/>
      <c r="V298"/>
    </row>
    <row r="299" spans="20:22" ht="13.5" x14ac:dyDescent="0.3">
      <c r="T299"/>
      <c r="U299"/>
      <c r="V299"/>
    </row>
    <row r="300" spans="20:22" ht="13.5" x14ac:dyDescent="0.3">
      <c r="T300"/>
      <c r="U300"/>
      <c r="V300"/>
    </row>
    <row r="301" spans="20:22" ht="13.5" x14ac:dyDescent="0.3">
      <c r="T301"/>
      <c r="U301"/>
      <c r="V301"/>
    </row>
    <row r="302" spans="20:22" ht="13.5" x14ac:dyDescent="0.3">
      <c r="T302"/>
      <c r="U302"/>
      <c r="V302"/>
    </row>
    <row r="303" spans="20:22" ht="13.5" x14ac:dyDescent="0.3">
      <c r="T303"/>
      <c r="U303"/>
      <c r="V303"/>
    </row>
    <row r="304" spans="20:22" ht="13.5" x14ac:dyDescent="0.3">
      <c r="T304"/>
      <c r="U304"/>
      <c r="V304"/>
    </row>
    <row r="305" spans="20:22" ht="13.5" x14ac:dyDescent="0.3">
      <c r="T305"/>
      <c r="U305"/>
      <c r="V305"/>
    </row>
    <row r="306" spans="20:22" ht="13.5" x14ac:dyDescent="0.3">
      <c r="T306"/>
      <c r="U306"/>
      <c r="V306"/>
    </row>
    <row r="307" spans="20:22" ht="13.5" x14ac:dyDescent="0.3">
      <c r="T307"/>
      <c r="U307"/>
      <c r="V307"/>
    </row>
    <row r="308" spans="20:22" ht="13.5" x14ac:dyDescent="0.3">
      <c r="T308"/>
      <c r="U308"/>
      <c r="V308"/>
    </row>
    <row r="309" spans="20:22" ht="13.5" x14ac:dyDescent="0.3">
      <c r="T309"/>
      <c r="U309"/>
      <c r="V309"/>
    </row>
    <row r="310" spans="20:22" ht="13.5" x14ac:dyDescent="0.3">
      <c r="T310"/>
      <c r="U310"/>
      <c r="V310"/>
    </row>
    <row r="311" spans="20:22" ht="13.5" x14ac:dyDescent="0.3">
      <c r="T311"/>
      <c r="U311"/>
      <c r="V311"/>
    </row>
    <row r="312" spans="20:22" ht="13.5" x14ac:dyDescent="0.3">
      <c r="T312"/>
      <c r="U312"/>
      <c r="V312"/>
    </row>
    <row r="313" spans="20:22" ht="13.5" x14ac:dyDescent="0.3">
      <c r="T313"/>
      <c r="U313"/>
      <c r="V313"/>
    </row>
    <row r="314" spans="20:22" ht="13.5" x14ac:dyDescent="0.3">
      <c r="T314"/>
      <c r="U314"/>
      <c r="V314"/>
    </row>
    <row r="315" spans="20:22" ht="13.5" x14ac:dyDescent="0.3">
      <c r="T315"/>
      <c r="U315"/>
    </row>
    <row r="316" spans="20:22" ht="13.5" x14ac:dyDescent="0.3">
      <c r="T316"/>
      <c r="U316"/>
    </row>
    <row r="317" spans="20:22" ht="13.5" x14ac:dyDescent="0.3">
      <c r="T317"/>
      <c r="U317"/>
    </row>
    <row r="318" spans="20:22" ht="13.5" x14ac:dyDescent="0.3">
      <c r="T318"/>
      <c r="U318"/>
    </row>
    <row r="319" spans="20:22" ht="13.5" x14ac:dyDescent="0.3">
      <c r="T319"/>
      <c r="U319"/>
    </row>
    <row r="320" spans="20:22" ht="13.5" x14ac:dyDescent="0.3">
      <c r="T320"/>
    </row>
    <row r="321" spans="20:20" ht="13.5" x14ac:dyDescent="0.3">
      <c r="T321"/>
    </row>
    <row r="322" spans="20:20" ht="13.5" x14ac:dyDescent="0.3">
      <c r="T322"/>
    </row>
    <row r="323" spans="20:20" ht="13.5" x14ac:dyDescent="0.3">
      <c r="T323"/>
    </row>
  </sheetData>
  <phoneticPr fontId="80"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Cover</vt:lpstr>
      <vt:lpstr>Summary</vt:lpstr>
      <vt:lpstr>Assumptions</vt:lpstr>
      <vt:lpstr>Option1 (base case)</vt:lpstr>
      <vt:lpstr>Option2</vt:lpstr>
      <vt:lpstr>Option3</vt:lpstr>
      <vt:lpstr>Option4</vt:lpstr>
      <vt:lpstr>Option5</vt:lpstr>
      <vt:lpstr>Consol</vt:lpstr>
      <vt:lpstr>Sensitivity_calcs</vt:lpstr>
      <vt:lpstr>Workings_costs</vt:lpstr>
      <vt:lpstr>Workings_risks</vt:lpstr>
      <vt:lpstr>Workings_benefits</vt:lpstr>
      <vt:lpstr>Microgrid_reliability</vt:lpstr>
      <vt:lpstr>Misc_calcs</vt:lpstr>
      <vt:lpstr>Data</vt:lpstr>
      <vt:lpstr>bus</vt:lpstr>
      <vt:lpstr>bushfire_outage_duration</vt:lpstr>
      <vt:lpstr>compliance</vt:lpstr>
      <vt:lpstr>conv_2026</vt:lpstr>
      <vt:lpstr>custval_date</vt:lpstr>
      <vt:lpstr>CY_years</vt:lpstr>
      <vt:lpstr>first_year</vt:lpstr>
      <vt:lpstr>hy_dates</vt:lpstr>
      <vt:lpstr>hy_escalation</vt:lpstr>
      <vt:lpstr>input_dollars</vt:lpstr>
      <vt:lpstr>mill_conv</vt:lpstr>
      <vt:lpstr>options</vt:lpstr>
      <vt:lpstr>output_dollars</vt:lpstr>
      <vt:lpstr>preferred</vt:lpstr>
      <vt:lpstr>Assumptions!Print_Area</vt:lpstr>
      <vt:lpstr>proj</vt:lpstr>
      <vt:lpstr>real_disc</vt:lpstr>
      <vt:lpstr>sheets</vt:lpstr>
      <vt:lpstr>start</vt:lpstr>
      <vt:lpstr>start_year</vt:lpstr>
      <vt:lpstr>thous_conv</vt:lpstr>
      <vt:lpstr>vcr_date</vt:lpstr>
      <vt:lpstr>vcr_esc</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2024-12-11T01:31:08Z</dcterms:created>
  <dcterms:modified xsi:type="dcterms:W3CDTF">2025-01-30T00:25:02Z</dcterms:modified>
</cp:coreProperties>
</file>