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317F469A-7BAC-495B-AAD9-C90E3D879B3B}" xr6:coauthVersionLast="47" xr6:coauthVersionMax="47" xr10:uidLastSave="{00000000-0000-0000-0000-000000000000}"/>
  <bookViews>
    <workbookView xWindow="2295" yWindow="2295" windowWidth="17250" windowHeight="13095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costs" sheetId="87" r:id="rId11"/>
    <sheet name="Workings_risks" sheetId="88" r:id="rId12"/>
    <sheet name="Tx risks" sheetId="89" r:id="rId13"/>
    <sheet name="Misc_calcs" sheetId="62" r:id="rId14"/>
    <sheet name="Data" sheetId="47" r:id="rId15"/>
  </sheets>
  <definedNames>
    <definedName name="AssetType">'Tx risks'!$C$9</definedName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IS_ADDITIONAL">'Tx risks'!$C$31</definedName>
    <definedName name="ISBUNDED">'Tx risks'!$C$26</definedName>
    <definedName name="ISMOREMAINT">'Tx risks'!$C$24</definedName>
    <definedName name="ISONLINEMONITOR">'Tx risks'!$C$22</definedName>
    <definedName name="ISREFURB">'Tx risks'!$C$27</definedName>
    <definedName name="ISREPLACE">'Tx risks'!$C$28</definedName>
    <definedName name="ISREPLACETWO">'Tx risks'!$C$29</definedName>
    <definedName name="ISSEPARATED">'Tx risks'!$C$23</definedName>
    <definedName name="ISSPAREREADY">'Tx risks'!$C$21</definedName>
    <definedName name="ISSTAGGEREDMAINT">'Tx risks'!$C$25</definedName>
    <definedName name="list">list_start:OFFSET(list_start, 0,0,count, 1)</definedName>
    <definedName name="mill_conv">Data!$C$71</definedName>
    <definedName name="NN_LOAD_TRANSFER">'Tx risks'!$C$33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  <definedName name="ZSS">'Tx risks'!$C$8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88" l="1"/>
  <c r="B19" i="88"/>
  <c r="C33" i="72"/>
  <c r="C32" i="72"/>
  <c r="C31" i="72"/>
  <c r="C30" i="72"/>
  <c r="C31" i="81"/>
  <c r="C32" i="81"/>
  <c r="C33" i="81"/>
  <c r="C30" i="81"/>
  <c r="A2" i="89"/>
  <c r="A1" i="89"/>
  <c r="B30" i="87"/>
  <c r="B16" i="87"/>
  <c r="O28" i="72"/>
  <c r="R28" i="72"/>
  <c r="S28" i="72"/>
  <c r="T28" i="72"/>
  <c r="U28" i="72"/>
  <c r="V28" i="72"/>
  <c r="W28" i="72"/>
  <c r="AC28" i="72"/>
  <c r="L30" i="72"/>
  <c r="O30" i="72"/>
  <c r="P30" i="72"/>
  <c r="Q30" i="72"/>
  <c r="R30" i="72"/>
  <c r="S30" i="72"/>
  <c r="Y30" i="72"/>
  <c r="AD30" i="72"/>
  <c r="AE30" i="72"/>
  <c r="AF30" i="72"/>
  <c r="L31" i="72"/>
  <c r="M31" i="72"/>
  <c r="N31" i="72"/>
  <c r="O31" i="72"/>
  <c r="U31" i="72"/>
  <c r="W31" i="72"/>
  <c r="AC31" i="72"/>
  <c r="AD31" i="72"/>
  <c r="AE31" i="72"/>
  <c r="AF31" i="72"/>
  <c r="AG31" i="72"/>
  <c r="J32" i="72"/>
  <c r="K32" i="72"/>
  <c r="S32" i="72"/>
  <c r="T32" i="72"/>
  <c r="Z32" i="72"/>
  <c r="AC32" i="72"/>
  <c r="AD32" i="72"/>
  <c r="AE32" i="72"/>
  <c r="M33" i="72"/>
  <c r="O33" i="72"/>
  <c r="P33" i="72"/>
  <c r="Q33" i="72"/>
  <c r="W33" i="72"/>
  <c r="Z33" i="72"/>
  <c r="AA33" i="72"/>
  <c r="AC33" i="72"/>
  <c r="AG33" i="72"/>
  <c r="I33" i="72"/>
  <c r="I30" i="72"/>
  <c r="J14" i="72"/>
  <c r="K14" i="72"/>
  <c r="L14" i="72"/>
  <c r="M14" i="72"/>
  <c r="N14" i="72"/>
  <c r="O14" i="72"/>
  <c r="P14" i="72"/>
  <c r="Q14" i="72"/>
  <c r="R14" i="72"/>
  <c r="S14" i="72"/>
  <c r="T14" i="72"/>
  <c r="U14" i="72"/>
  <c r="V14" i="72"/>
  <c r="W14" i="72"/>
  <c r="X14" i="72"/>
  <c r="Y14" i="72"/>
  <c r="Z14" i="72"/>
  <c r="AA14" i="72"/>
  <c r="AB14" i="72"/>
  <c r="AC14" i="72"/>
  <c r="AD14" i="72"/>
  <c r="AE14" i="72"/>
  <c r="AF14" i="72"/>
  <c r="AG14" i="72"/>
  <c r="I14" i="72"/>
  <c r="L33" i="81"/>
  <c r="R33" i="81"/>
  <c r="U33" i="81"/>
  <c r="V33" i="81"/>
  <c r="W33" i="81"/>
  <c r="X33" i="81"/>
  <c r="Y33" i="81"/>
  <c r="Z33" i="81"/>
  <c r="AA33" i="81"/>
  <c r="AB33" i="81"/>
  <c r="AC33" i="81"/>
  <c r="AD33" i="81"/>
  <c r="AE33" i="81"/>
  <c r="AF33" i="81"/>
  <c r="M30" i="81"/>
  <c r="Q30" i="81"/>
  <c r="R30" i="81"/>
  <c r="S30" i="81"/>
  <c r="V30" i="81"/>
  <c r="W30" i="81"/>
  <c r="X30" i="81"/>
  <c r="Y30" i="81"/>
  <c r="Z30" i="81"/>
  <c r="AA30" i="81"/>
  <c r="AG30" i="81"/>
  <c r="J31" i="81"/>
  <c r="K31" i="81"/>
  <c r="M31" i="81"/>
  <c r="N31" i="81"/>
  <c r="O31" i="81"/>
  <c r="T31" i="81"/>
  <c r="U31" i="81"/>
  <c r="V31" i="81"/>
  <c r="AB31" i="81"/>
  <c r="AE31" i="81"/>
  <c r="AG31" i="81"/>
  <c r="J32" i="81"/>
  <c r="K32" i="81"/>
  <c r="L32" i="81"/>
  <c r="M32" i="81"/>
  <c r="N32" i="81"/>
  <c r="O32" i="81"/>
  <c r="Q32" i="81"/>
  <c r="W32" i="81"/>
  <c r="Z32" i="81"/>
  <c r="AA32" i="81"/>
  <c r="AC32" i="81"/>
  <c r="AD32" i="81"/>
  <c r="AE32" i="81"/>
  <c r="AF32" i="81"/>
  <c r="AG32" i="81"/>
  <c r="I33" i="81"/>
  <c r="I32" i="81"/>
  <c r="I31" i="81"/>
  <c r="J28" i="81"/>
  <c r="K28" i="81"/>
  <c r="R28" i="81"/>
  <c r="U28" i="81"/>
  <c r="V28" i="81"/>
  <c r="W28" i="81"/>
  <c r="X28" i="81"/>
  <c r="Y28" i="81"/>
  <c r="Z28" i="81"/>
  <c r="AA28" i="81"/>
  <c r="AB28" i="81"/>
  <c r="AC28" i="81"/>
  <c r="AD28" i="81"/>
  <c r="AE28" i="81"/>
  <c r="AF28" i="81"/>
  <c r="J14" i="81"/>
  <c r="K14" i="81"/>
  <c r="L14" i="81"/>
  <c r="M14" i="81"/>
  <c r="N14" i="81"/>
  <c r="O14" i="81"/>
  <c r="P14" i="81"/>
  <c r="Q14" i="81"/>
  <c r="R14" i="81"/>
  <c r="S14" i="81"/>
  <c r="T14" i="81"/>
  <c r="U14" i="81"/>
  <c r="V14" i="81"/>
  <c r="W14" i="81"/>
  <c r="X14" i="81"/>
  <c r="Y14" i="81"/>
  <c r="Z14" i="81"/>
  <c r="AA14" i="81"/>
  <c r="AB14" i="81"/>
  <c r="AC14" i="81"/>
  <c r="AD14" i="81"/>
  <c r="AE14" i="81"/>
  <c r="AF14" i="81"/>
  <c r="AG14" i="81"/>
  <c r="I14" i="81"/>
  <c r="K30" i="68"/>
  <c r="L30" i="68"/>
  <c r="R30" i="68"/>
  <c r="U30" i="68"/>
  <c r="V30" i="68"/>
  <c r="W30" i="68"/>
  <c r="AB30" i="68"/>
  <c r="AC30" i="68"/>
  <c r="AE30" i="68"/>
  <c r="AF30" i="68"/>
  <c r="M31" i="68"/>
  <c r="P31" i="68"/>
  <c r="Q31" i="68"/>
  <c r="R31" i="68"/>
  <c r="S31" i="68"/>
  <c r="X31" i="68"/>
  <c r="Y31" i="68"/>
  <c r="AA31" i="68"/>
  <c r="AF31" i="68"/>
  <c r="AG31" i="68"/>
  <c r="J32" i="68"/>
  <c r="K32" i="68"/>
  <c r="L32" i="68"/>
  <c r="M32" i="68"/>
  <c r="N32" i="68"/>
  <c r="T32" i="68"/>
  <c r="U32" i="68"/>
  <c r="AB32" i="68"/>
  <c r="AD32" i="68"/>
  <c r="AE32" i="68"/>
  <c r="AF32" i="68"/>
  <c r="AG32" i="68"/>
  <c r="J33" i="68"/>
  <c r="K33" i="68"/>
  <c r="Q33" i="68"/>
  <c r="W33" i="68"/>
  <c r="Z33" i="68"/>
  <c r="AA33" i="68"/>
  <c r="AB33" i="68"/>
  <c r="AC33" i="68"/>
  <c r="AD33" i="68"/>
  <c r="AE33" i="68"/>
  <c r="C31" i="68"/>
  <c r="C32" i="68"/>
  <c r="C33" i="68"/>
  <c r="C30" i="68"/>
  <c r="I32" i="68"/>
  <c r="I33" i="68"/>
  <c r="M28" i="68"/>
  <c r="N28" i="68"/>
  <c r="O28" i="68"/>
  <c r="P28" i="68"/>
  <c r="Q28" i="68"/>
  <c r="W28" i="68"/>
  <c r="Y28" i="68"/>
  <c r="AA28" i="68"/>
  <c r="AB28" i="68"/>
  <c r="AC28" i="68"/>
  <c r="AD28" i="68"/>
  <c r="AE28" i="68"/>
  <c r="I28" i="68"/>
  <c r="AC39" i="88"/>
  <c r="AB39" i="88"/>
  <c r="AF33" i="72" s="1"/>
  <c r="AA39" i="88"/>
  <c r="AE33" i="72" s="1"/>
  <c r="Z39" i="88"/>
  <c r="AD33" i="72" s="1"/>
  <c r="Y39" i="88"/>
  <c r="X39" i="88"/>
  <c r="AB33" i="72" s="1"/>
  <c r="W39" i="88"/>
  <c r="V39" i="88"/>
  <c r="U39" i="88"/>
  <c r="Y33" i="72" s="1"/>
  <c r="T39" i="88"/>
  <c r="X33" i="72" s="1"/>
  <c r="S39" i="88"/>
  <c r="R39" i="88"/>
  <c r="V33" i="72" s="1"/>
  <c r="Q39" i="88"/>
  <c r="U33" i="72" s="1"/>
  <c r="P39" i="88"/>
  <c r="T33" i="72" s="1"/>
  <c r="O39" i="88"/>
  <c r="S33" i="72" s="1"/>
  <c r="N39" i="88"/>
  <c r="R33" i="72" s="1"/>
  <c r="M39" i="88"/>
  <c r="L39" i="88"/>
  <c r="K39" i="88"/>
  <c r="J39" i="88"/>
  <c r="N33" i="72" s="1"/>
  <c r="I39" i="88"/>
  <c r="H39" i="88"/>
  <c r="L33" i="72" s="1"/>
  <c r="G39" i="88"/>
  <c r="K33" i="72" s="1"/>
  <c r="AC38" i="88"/>
  <c r="AG32" i="72" s="1"/>
  <c r="AB38" i="88"/>
  <c r="AF32" i="72" s="1"/>
  <c r="AA38" i="88"/>
  <c r="Z38" i="88"/>
  <c r="Y38" i="88"/>
  <c r="X38" i="88"/>
  <c r="AB32" i="72" s="1"/>
  <c r="W38" i="88"/>
  <c r="AA32" i="72" s="1"/>
  <c r="V38" i="88"/>
  <c r="U38" i="88"/>
  <c r="Y32" i="72" s="1"/>
  <c r="T38" i="88"/>
  <c r="X32" i="72" s="1"/>
  <c r="S38" i="88"/>
  <c r="W32" i="72" s="1"/>
  <c r="R38" i="88"/>
  <c r="V32" i="72" s="1"/>
  <c r="Q38" i="88"/>
  <c r="U32" i="72" s="1"/>
  <c r="P38" i="88"/>
  <c r="O38" i="88"/>
  <c r="N38" i="88"/>
  <c r="R32" i="72" s="1"/>
  <c r="M38" i="88"/>
  <c r="Q32" i="72" s="1"/>
  <c r="L38" i="88"/>
  <c r="P32" i="72" s="1"/>
  <c r="K38" i="88"/>
  <c r="O32" i="72" s="1"/>
  <c r="J38" i="88"/>
  <c r="N32" i="72" s="1"/>
  <c r="I38" i="88"/>
  <c r="M32" i="72" s="1"/>
  <c r="H38" i="88"/>
  <c r="L32" i="72" s="1"/>
  <c r="G38" i="88"/>
  <c r="AC37" i="88"/>
  <c r="AB37" i="88"/>
  <c r="AA37" i="88"/>
  <c r="Z37" i="88"/>
  <c r="Y37" i="88"/>
  <c r="X37" i="88"/>
  <c r="AB31" i="72" s="1"/>
  <c r="W37" i="88"/>
  <c r="AA31" i="72" s="1"/>
  <c r="V37" i="88"/>
  <c r="Z31" i="72" s="1"/>
  <c r="U37" i="88"/>
  <c r="Y31" i="72" s="1"/>
  <c r="T37" i="88"/>
  <c r="X31" i="72" s="1"/>
  <c r="S37" i="88"/>
  <c r="R37" i="88"/>
  <c r="V31" i="72" s="1"/>
  <c r="Q37" i="88"/>
  <c r="P37" i="88"/>
  <c r="T31" i="72" s="1"/>
  <c r="O37" i="88"/>
  <c r="S31" i="72" s="1"/>
  <c r="N37" i="88"/>
  <c r="R31" i="72" s="1"/>
  <c r="M37" i="88"/>
  <c r="Q31" i="72" s="1"/>
  <c r="L37" i="88"/>
  <c r="P31" i="72" s="1"/>
  <c r="K37" i="88"/>
  <c r="J37" i="88"/>
  <c r="I37" i="88"/>
  <c r="H37" i="88"/>
  <c r="G37" i="88"/>
  <c r="K31" i="72" s="1"/>
  <c r="AC36" i="88"/>
  <c r="AG30" i="72" s="1"/>
  <c r="AB36" i="88"/>
  <c r="AA36" i="88"/>
  <c r="Z36" i="88"/>
  <c r="Y36" i="88"/>
  <c r="AC30" i="72" s="1"/>
  <c r="X36" i="88"/>
  <c r="AB30" i="72" s="1"/>
  <c r="W36" i="88"/>
  <c r="AA30" i="72" s="1"/>
  <c r="V36" i="88"/>
  <c r="Z30" i="72" s="1"/>
  <c r="U36" i="88"/>
  <c r="T36" i="88"/>
  <c r="X30" i="72" s="1"/>
  <c r="S36" i="88"/>
  <c r="W30" i="72" s="1"/>
  <c r="R36" i="88"/>
  <c r="V30" i="72" s="1"/>
  <c r="Q36" i="88"/>
  <c r="U30" i="72" s="1"/>
  <c r="P36" i="88"/>
  <c r="T30" i="72" s="1"/>
  <c r="O36" i="88"/>
  <c r="N36" i="88"/>
  <c r="M36" i="88"/>
  <c r="L36" i="88"/>
  <c r="K36" i="88"/>
  <c r="J36" i="88"/>
  <c r="I36" i="88"/>
  <c r="M30" i="72" s="1"/>
  <c r="H36" i="88"/>
  <c r="G36" i="88"/>
  <c r="K30" i="72" s="1"/>
  <c r="AC35" i="88"/>
  <c r="AC40" i="88" s="1"/>
  <c r="AB35" i="88"/>
  <c r="AF28" i="72" s="1"/>
  <c r="AA35" i="88"/>
  <c r="AA40" i="88" s="1"/>
  <c r="Z35" i="88"/>
  <c r="Y35" i="88"/>
  <c r="X35" i="88"/>
  <c r="W35" i="88"/>
  <c r="V35" i="88"/>
  <c r="U35" i="88"/>
  <c r="T35" i="88"/>
  <c r="S35" i="88"/>
  <c r="R35" i="88"/>
  <c r="Q35" i="88"/>
  <c r="P35" i="88"/>
  <c r="O35" i="88"/>
  <c r="N35" i="88"/>
  <c r="M35" i="88"/>
  <c r="Q28" i="72" s="1"/>
  <c r="L35" i="88"/>
  <c r="L40" i="88" s="1"/>
  <c r="K35" i="88"/>
  <c r="J35" i="88"/>
  <c r="N28" i="72" s="1"/>
  <c r="I35" i="88"/>
  <c r="I40" i="88" s="1"/>
  <c r="H35" i="88"/>
  <c r="L28" i="72" s="1"/>
  <c r="G35" i="88"/>
  <c r="G40" i="88" s="1"/>
  <c r="AC27" i="88"/>
  <c r="AG33" i="81" s="1"/>
  <c r="AB27" i="88"/>
  <c r="AA27" i="88"/>
  <c r="Z27" i="88"/>
  <c r="Y27" i="88"/>
  <c r="X27" i="88"/>
  <c r="W27" i="88"/>
  <c r="V27" i="88"/>
  <c r="U27" i="88"/>
  <c r="T27" i="88"/>
  <c r="S27" i="88"/>
  <c r="R27" i="88"/>
  <c r="Q27" i="88"/>
  <c r="P27" i="88"/>
  <c r="T33" i="81" s="1"/>
  <c r="O27" i="88"/>
  <c r="S33" i="81" s="1"/>
  <c r="N27" i="88"/>
  <c r="M27" i="88"/>
  <c r="Q33" i="81" s="1"/>
  <c r="L27" i="88"/>
  <c r="P33" i="81" s="1"/>
  <c r="K27" i="88"/>
  <c r="O33" i="81" s="1"/>
  <c r="J27" i="88"/>
  <c r="N33" i="81" s="1"/>
  <c r="I27" i="88"/>
  <c r="M33" i="81" s="1"/>
  <c r="H27" i="88"/>
  <c r="G27" i="88"/>
  <c r="K33" i="81" s="1"/>
  <c r="F27" i="88"/>
  <c r="J33" i="81" s="1"/>
  <c r="E27" i="88"/>
  <c r="AC26" i="88"/>
  <c r="AB26" i="88"/>
  <c r="AA26" i="88"/>
  <c r="Z26" i="88"/>
  <c r="Y26" i="88"/>
  <c r="X26" i="88"/>
  <c r="AB32" i="81" s="1"/>
  <c r="W26" i="88"/>
  <c r="V26" i="88"/>
  <c r="U26" i="88"/>
  <c r="Y32" i="81" s="1"/>
  <c r="T26" i="88"/>
  <c r="X32" i="81" s="1"/>
  <c r="S26" i="88"/>
  <c r="R26" i="88"/>
  <c r="V32" i="81" s="1"/>
  <c r="Q26" i="88"/>
  <c r="U32" i="81" s="1"/>
  <c r="P26" i="88"/>
  <c r="T32" i="81" s="1"/>
  <c r="O26" i="88"/>
  <c r="S32" i="81" s="1"/>
  <c r="N26" i="88"/>
  <c r="R32" i="81" s="1"/>
  <c r="M26" i="88"/>
  <c r="L26" i="88"/>
  <c r="P32" i="81" s="1"/>
  <c r="K26" i="88"/>
  <c r="J26" i="88"/>
  <c r="I26" i="88"/>
  <c r="H26" i="88"/>
  <c r="G26" i="88"/>
  <c r="F26" i="88"/>
  <c r="E26" i="88"/>
  <c r="AC25" i="88"/>
  <c r="AB25" i="88"/>
  <c r="AF31" i="81" s="1"/>
  <c r="AA25" i="88"/>
  <c r="Z25" i="88"/>
  <c r="AD31" i="81" s="1"/>
  <c r="Y25" i="88"/>
  <c r="AC31" i="81" s="1"/>
  <c r="X25" i="88"/>
  <c r="W25" i="88"/>
  <c r="AA31" i="81" s="1"/>
  <c r="V25" i="88"/>
  <c r="Z31" i="81" s="1"/>
  <c r="U25" i="88"/>
  <c r="Y31" i="81" s="1"/>
  <c r="T25" i="88"/>
  <c r="X31" i="81" s="1"/>
  <c r="S25" i="88"/>
  <c r="W31" i="81" s="1"/>
  <c r="R25" i="88"/>
  <c r="Q25" i="88"/>
  <c r="P25" i="88"/>
  <c r="O25" i="88"/>
  <c r="S31" i="81" s="1"/>
  <c r="N25" i="88"/>
  <c r="R31" i="81" s="1"/>
  <c r="M25" i="88"/>
  <c r="Q31" i="81" s="1"/>
  <c r="L25" i="88"/>
  <c r="P31" i="81" s="1"/>
  <c r="K25" i="88"/>
  <c r="J25" i="88"/>
  <c r="I25" i="88"/>
  <c r="H25" i="88"/>
  <c r="L31" i="81" s="1"/>
  <c r="G25" i="88"/>
  <c r="F25" i="88"/>
  <c r="E25" i="88"/>
  <c r="AC24" i="88"/>
  <c r="AB24" i="88"/>
  <c r="AF30" i="81" s="1"/>
  <c r="AA24" i="88"/>
  <c r="AE30" i="81" s="1"/>
  <c r="Z24" i="88"/>
  <c r="AD30" i="81" s="1"/>
  <c r="Y24" i="88"/>
  <c r="AC30" i="81" s="1"/>
  <c r="X24" i="88"/>
  <c r="X28" i="88" s="1"/>
  <c r="W24" i="88"/>
  <c r="V24" i="88"/>
  <c r="U24" i="88"/>
  <c r="T24" i="88"/>
  <c r="S24" i="88"/>
  <c r="R24" i="88"/>
  <c r="Q24" i="88"/>
  <c r="U30" i="81" s="1"/>
  <c r="P24" i="88"/>
  <c r="T30" i="81" s="1"/>
  <c r="O24" i="88"/>
  <c r="N24" i="88"/>
  <c r="M24" i="88"/>
  <c r="L24" i="88"/>
  <c r="P30" i="81" s="1"/>
  <c r="K24" i="88"/>
  <c r="O30" i="81" s="1"/>
  <c r="J24" i="88"/>
  <c r="N30" i="81" s="1"/>
  <c r="I24" i="88"/>
  <c r="H24" i="88"/>
  <c r="L30" i="81" s="1"/>
  <c r="G24" i="88"/>
  <c r="K30" i="81" s="1"/>
  <c r="F24" i="88"/>
  <c r="J30" i="81" s="1"/>
  <c r="E24" i="88"/>
  <c r="I30" i="81" s="1"/>
  <c r="AC23" i="88"/>
  <c r="AC28" i="88" s="1"/>
  <c r="AB23" i="88"/>
  <c r="AA23" i="88"/>
  <c r="Z23" i="88"/>
  <c r="Y23" i="88"/>
  <c r="X23" i="88"/>
  <c r="W23" i="88"/>
  <c r="V23" i="88"/>
  <c r="U23" i="88"/>
  <c r="T23" i="88"/>
  <c r="S23" i="88"/>
  <c r="R23" i="88"/>
  <c r="Q23" i="88"/>
  <c r="P23" i="88"/>
  <c r="O23" i="88"/>
  <c r="N23" i="88"/>
  <c r="M23" i="88"/>
  <c r="L23" i="88"/>
  <c r="K23" i="88"/>
  <c r="J23" i="88"/>
  <c r="I23" i="88"/>
  <c r="I28" i="88" s="1"/>
  <c r="H23" i="88"/>
  <c r="G23" i="88"/>
  <c r="F23" i="88"/>
  <c r="E23" i="88"/>
  <c r="AC15" i="88"/>
  <c r="AG33" i="68" s="1"/>
  <c r="AB15" i="88"/>
  <c r="AF33" i="68" s="1"/>
  <c r="AA15" i="88"/>
  <c r="Z15" i="88"/>
  <c r="Y15" i="88"/>
  <c r="X15" i="88"/>
  <c r="W15" i="88"/>
  <c r="V15" i="88"/>
  <c r="U15" i="88"/>
  <c r="Y33" i="68" s="1"/>
  <c r="T15" i="88"/>
  <c r="X33" i="68" s="1"/>
  <c r="S15" i="88"/>
  <c r="R15" i="88"/>
  <c r="V33" i="68" s="1"/>
  <c r="Q15" i="88"/>
  <c r="U33" i="68" s="1"/>
  <c r="P15" i="88"/>
  <c r="T33" i="68" s="1"/>
  <c r="O15" i="88"/>
  <c r="S33" i="68" s="1"/>
  <c r="N15" i="88"/>
  <c r="R33" i="68" s="1"/>
  <c r="M15" i="88"/>
  <c r="L15" i="88"/>
  <c r="P33" i="68" s="1"/>
  <c r="K15" i="88"/>
  <c r="O33" i="68" s="1"/>
  <c r="J15" i="88"/>
  <c r="N33" i="68" s="1"/>
  <c r="I15" i="88"/>
  <c r="M33" i="68" s="1"/>
  <c r="H15" i="88"/>
  <c r="L33" i="68" s="1"/>
  <c r="G15" i="88"/>
  <c r="F15" i="88"/>
  <c r="F39" i="88" s="1"/>
  <c r="J33" i="72" s="1"/>
  <c r="E15" i="88"/>
  <c r="E39" i="88" s="1"/>
  <c r="AC14" i="88"/>
  <c r="AB14" i="88"/>
  <c r="AA14" i="88"/>
  <c r="Z14" i="88"/>
  <c r="Y14" i="88"/>
  <c r="AC32" i="68" s="1"/>
  <c r="X14" i="88"/>
  <c r="W14" i="88"/>
  <c r="AA32" i="68" s="1"/>
  <c r="V14" i="88"/>
  <c r="Z32" i="68" s="1"/>
  <c r="U14" i="88"/>
  <c r="Y32" i="68" s="1"/>
  <c r="T14" i="88"/>
  <c r="X32" i="68" s="1"/>
  <c r="S14" i="88"/>
  <c r="W32" i="68" s="1"/>
  <c r="R14" i="88"/>
  <c r="V32" i="68" s="1"/>
  <c r="Q14" i="88"/>
  <c r="P14" i="88"/>
  <c r="O14" i="88"/>
  <c r="S32" i="68" s="1"/>
  <c r="N14" i="88"/>
  <c r="R32" i="68" s="1"/>
  <c r="M14" i="88"/>
  <c r="Q32" i="68" s="1"/>
  <c r="L14" i="88"/>
  <c r="P32" i="68" s="1"/>
  <c r="K14" i="88"/>
  <c r="O32" i="68" s="1"/>
  <c r="J14" i="88"/>
  <c r="I14" i="88"/>
  <c r="H14" i="88"/>
  <c r="G14" i="88"/>
  <c r="F14" i="88"/>
  <c r="F38" i="88" s="1"/>
  <c r="E14" i="88"/>
  <c r="E38" i="88" s="1"/>
  <c r="I32" i="72" s="1"/>
  <c r="AC13" i="88"/>
  <c r="AB13" i="88"/>
  <c r="AA13" i="88"/>
  <c r="AE31" i="68" s="1"/>
  <c r="Z13" i="88"/>
  <c r="AD31" i="68" s="1"/>
  <c r="Y13" i="88"/>
  <c r="AC31" i="68" s="1"/>
  <c r="X13" i="88"/>
  <c r="AB31" i="68" s="1"/>
  <c r="W13" i="88"/>
  <c r="V13" i="88"/>
  <c r="Z31" i="68" s="1"/>
  <c r="U13" i="88"/>
  <c r="T13" i="88"/>
  <c r="S13" i="88"/>
  <c r="W31" i="68" s="1"/>
  <c r="R13" i="88"/>
  <c r="V31" i="68" s="1"/>
  <c r="Q13" i="88"/>
  <c r="U31" i="68" s="1"/>
  <c r="P13" i="88"/>
  <c r="T31" i="68" s="1"/>
  <c r="O13" i="88"/>
  <c r="N13" i="88"/>
  <c r="M13" i="88"/>
  <c r="L13" i="88"/>
  <c r="K13" i="88"/>
  <c r="O31" i="68" s="1"/>
  <c r="J13" i="88"/>
  <c r="N31" i="68" s="1"/>
  <c r="I13" i="88"/>
  <c r="H13" i="88"/>
  <c r="L31" i="68" s="1"/>
  <c r="G13" i="88"/>
  <c r="K31" i="68" s="1"/>
  <c r="F13" i="88"/>
  <c r="F37" i="88" s="1"/>
  <c r="J31" i="72" s="1"/>
  <c r="E13" i="88"/>
  <c r="AC12" i="88"/>
  <c r="AG30" i="68" s="1"/>
  <c r="AB12" i="88"/>
  <c r="AA12" i="88"/>
  <c r="Z12" i="88"/>
  <c r="AD30" i="68" s="1"/>
  <c r="Y12" i="88"/>
  <c r="X12" i="88"/>
  <c r="W12" i="88"/>
  <c r="AA30" i="68" s="1"/>
  <c r="V12" i="88"/>
  <c r="Z30" i="68" s="1"/>
  <c r="U12" i="88"/>
  <c r="Y30" i="68" s="1"/>
  <c r="T12" i="88"/>
  <c r="X30" i="68" s="1"/>
  <c r="S12" i="88"/>
  <c r="R12" i="88"/>
  <c r="Q12" i="88"/>
  <c r="P12" i="88"/>
  <c r="T30" i="68" s="1"/>
  <c r="O12" i="88"/>
  <c r="S30" i="68" s="1"/>
  <c r="N12" i="88"/>
  <c r="M12" i="88"/>
  <c r="M16" i="88" s="1"/>
  <c r="L12" i="88"/>
  <c r="L16" i="88" s="1"/>
  <c r="K12" i="88"/>
  <c r="K16" i="88" s="1"/>
  <c r="J12" i="88"/>
  <c r="J16" i="88" s="1"/>
  <c r="I12" i="88"/>
  <c r="M30" i="68" s="1"/>
  <c r="H12" i="88"/>
  <c r="G12" i="88"/>
  <c r="F12" i="88"/>
  <c r="E12" i="88"/>
  <c r="E36" i="88" s="1"/>
  <c r="AC11" i="88"/>
  <c r="AB11" i="88"/>
  <c r="AF28" i="68" s="1"/>
  <c r="AA11" i="88"/>
  <c r="Z11" i="88"/>
  <c r="Y11" i="88"/>
  <c r="X11" i="88"/>
  <c r="W11" i="88"/>
  <c r="V11" i="88"/>
  <c r="Z28" i="68" s="1"/>
  <c r="U11" i="88"/>
  <c r="T11" i="88"/>
  <c r="S11" i="88"/>
  <c r="R11" i="88"/>
  <c r="Q11" i="88"/>
  <c r="P11" i="88"/>
  <c r="O11" i="88"/>
  <c r="O16" i="88" s="1"/>
  <c r="N11" i="88"/>
  <c r="R28" i="68" s="1"/>
  <c r="M11" i="88"/>
  <c r="L11" i="88"/>
  <c r="K11" i="88"/>
  <c r="J11" i="88"/>
  <c r="I11" i="88"/>
  <c r="H11" i="88"/>
  <c r="L28" i="68" s="1"/>
  <c r="G11" i="88"/>
  <c r="K28" i="68" s="1"/>
  <c r="F11" i="88"/>
  <c r="E11" i="88"/>
  <c r="A2" i="88"/>
  <c r="A1" i="88"/>
  <c r="AC35" i="87"/>
  <c r="AB35" i="87"/>
  <c r="AA35" i="87"/>
  <c r="Z35" i="87"/>
  <c r="Y35" i="87"/>
  <c r="X35" i="87"/>
  <c r="W35" i="87"/>
  <c r="V35" i="87"/>
  <c r="U35" i="87"/>
  <c r="T35" i="87"/>
  <c r="S35" i="87"/>
  <c r="R35" i="87"/>
  <c r="Q35" i="87"/>
  <c r="P35" i="87"/>
  <c r="O35" i="87"/>
  <c r="N35" i="87"/>
  <c r="M35" i="87"/>
  <c r="L35" i="87"/>
  <c r="K35" i="87"/>
  <c r="J35" i="87"/>
  <c r="I35" i="87"/>
  <c r="H35" i="87"/>
  <c r="G35" i="87"/>
  <c r="E35" i="87"/>
  <c r="F35" i="87"/>
  <c r="AC26" i="87"/>
  <c r="AB26" i="87"/>
  <c r="AA26" i="87"/>
  <c r="Z26" i="87"/>
  <c r="Y26" i="87"/>
  <c r="X26" i="87"/>
  <c r="W26" i="87"/>
  <c r="V26" i="87"/>
  <c r="U26" i="87"/>
  <c r="T26" i="87"/>
  <c r="S26" i="87"/>
  <c r="R26" i="87"/>
  <c r="Q26" i="87"/>
  <c r="P26" i="87"/>
  <c r="O26" i="87"/>
  <c r="N26" i="87"/>
  <c r="M26" i="87"/>
  <c r="L26" i="87"/>
  <c r="K26" i="87"/>
  <c r="J26" i="87"/>
  <c r="I26" i="87"/>
  <c r="H26" i="87"/>
  <c r="G26" i="87"/>
  <c r="F26" i="87"/>
  <c r="E26" i="87"/>
  <c r="AC21" i="87"/>
  <c r="AB21" i="87"/>
  <c r="AA21" i="87"/>
  <c r="Z21" i="87"/>
  <c r="Y21" i="87"/>
  <c r="X21" i="87"/>
  <c r="W21" i="87"/>
  <c r="V21" i="87"/>
  <c r="U21" i="87"/>
  <c r="T21" i="87"/>
  <c r="S21" i="87"/>
  <c r="R21" i="87"/>
  <c r="Q21" i="87"/>
  <c r="P21" i="87"/>
  <c r="O21" i="87"/>
  <c r="N21" i="87"/>
  <c r="M21" i="87"/>
  <c r="L21" i="87"/>
  <c r="K21" i="87"/>
  <c r="J21" i="87"/>
  <c r="I21" i="87"/>
  <c r="H21" i="87"/>
  <c r="E21" i="87"/>
  <c r="G21" i="87"/>
  <c r="F21" i="87"/>
  <c r="AC13" i="87"/>
  <c r="AB13" i="87"/>
  <c r="AA13" i="87"/>
  <c r="Z13" i="87"/>
  <c r="Y13" i="87"/>
  <c r="X13" i="87"/>
  <c r="W13" i="87"/>
  <c r="V13" i="87"/>
  <c r="U13" i="87"/>
  <c r="T13" i="87"/>
  <c r="S13" i="87"/>
  <c r="R13" i="87"/>
  <c r="Q13" i="87"/>
  <c r="P13" i="87"/>
  <c r="O13" i="87"/>
  <c r="N13" i="87"/>
  <c r="M13" i="87"/>
  <c r="L13" i="87"/>
  <c r="K13" i="87"/>
  <c r="J13" i="87"/>
  <c r="I13" i="87"/>
  <c r="H13" i="87"/>
  <c r="G13" i="87"/>
  <c r="F13" i="87"/>
  <c r="E13" i="87"/>
  <c r="A2" i="87"/>
  <c r="A1" i="87"/>
  <c r="A40" i="86"/>
  <c r="Z40" i="88" l="1"/>
  <c r="AD28" i="72"/>
  <c r="E37" i="88"/>
  <c r="I31" i="72" s="1"/>
  <c r="I31" i="68"/>
  <c r="J28" i="88"/>
  <c r="N28" i="81"/>
  <c r="R16" i="88"/>
  <c r="V28" i="68"/>
  <c r="M28" i="88"/>
  <c r="Q28" i="81"/>
  <c r="T16" i="88"/>
  <c r="O28" i="88"/>
  <c r="U16" i="88"/>
  <c r="P28" i="88"/>
  <c r="T28" i="81"/>
  <c r="J40" i="88"/>
  <c r="S28" i="68"/>
  <c r="P28" i="72"/>
  <c r="M28" i="72"/>
  <c r="F16" i="88"/>
  <c r="Z16" i="88"/>
  <c r="S40" i="88"/>
  <c r="R28" i="88"/>
  <c r="T40" i="88"/>
  <c r="X28" i="72"/>
  <c r="I16" i="88"/>
  <c r="AC16" i="88"/>
  <c r="U40" i="88"/>
  <c r="Y28" i="72"/>
  <c r="Y28" i="88"/>
  <c r="T28" i="88"/>
  <c r="S28" i="81"/>
  <c r="P16" i="88"/>
  <c r="T28" i="68"/>
  <c r="K28" i="88"/>
  <c r="O28" i="81"/>
  <c r="Q16" i="88"/>
  <c r="U28" i="68"/>
  <c r="L28" i="88"/>
  <c r="P28" i="81"/>
  <c r="AG28" i="81"/>
  <c r="X28" i="68"/>
  <c r="AB30" i="81"/>
  <c r="Q30" i="68"/>
  <c r="R40" i="88"/>
  <c r="P30" i="68"/>
  <c r="N30" i="72"/>
  <c r="G16" i="88"/>
  <c r="AA16" i="88"/>
  <c r="O30" i="68"/>
  <c r="K28" i="72"/>
  <c r="N30" i="68"/>
  <c r="E28" i="88"/>
  <c r="I28" i="81"/>
  <c r="V40" i="88"/>
  <c r="Z28" i="72"/>
  <c r="F36" i="88"/>
  <c r="J30" i="72" s="1"/>
  <c r="J30" i="68"/>
  <c r="F28" i="88"/>
  <c r="Z28" i="88"/>
  <c r="U28" i="88"/>
  <c r="W40" i="88"/>
  <c r="AA28" i="72"/>
  <c r="J28" i="68"/>
  <c r="AG28" i="72"/>
  <c r="G28" i="88"/>
  <c r="AA28" i="88"/>
  <c r="V28" i="88"/>
  <c r="X40" i="88"/>
  <c r="AB28" i="72"/>
  <c r="AG28" i="68"/>
  <c r="I30" i="68"/>
  <c r="M28" i="81"/>
  <c r="H16" i="88"/>
  <c r="AB16" i="88"/>
  <c r="H28" i="88"/>
  <c r="AB28" i="88"/>
  <c r="W28" i="88"/>
  <c r="Y40" i="88"/>
  <c r="J31" i="68"/>
  <c r="L28" i="81"/>
  <c r="AE28" i="72"/>
  <c r="S16" i="88"/>
  <c r="N16" i="88"/>
  <c r="N28" i="88"/>
  <c r="H40" i="88"/>
  <c r="AB40" i="88"/>
  <c r="V16" i="88"/>
  <c r="Q28" i="88"/>
  <c r="K40" i="88"/>
  <c r="W16" i="88"/>
  <c r="O40" i="88"/>
  <c r="X16" i="88"/>
  <c r="S28" i="88"/>
  <c r="P40" i="88"/>
  <c r="M40" i="88"/>
  <c r="E16" i="88"/>
  <c r="Y16" i="88"/>
  <c r="Q40" i="88"/>
  <c r="N40" i="88"/>
  <c r="F35" i="88"/>
  <c r="E35" i="88"/>
  <c r="E40" i="88" l="1"/>
  <c r="I28" i="72"/>
  <c r="F40" i="88"/>
  <c r="J28" i="72"/>
  <c r="I9" i="68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7" i="82"/>
  <c r="K77" i="82"/>
  <c r="L77" i="82"/>
  <c r="M77" i="82"/>
  <c r="N77" i="82"/>
  <c r="O77" i="82"/>
  <c r="P77" i="82"/>
  <c r="Q77" i="82"/>
  <c r="R77" i="82"/>
  <c r="S77" i="82"/>
  <c r="T77" i="82"/>
  <c r="U77" i="82"/>
  <c r="V77" i="82"/>
  <c r="W77" i="82"/>
  <c r="X77" i="82"/>
  <c r="Y77" i="82"/>
  <c r="Z77" i="82"/>
  <c r="AA77" i="82"/>
  <c r="AB77" i="82"/>
  <c r="AC77" i="82"/>
  <c r="AD77" i="82"/>
  <c r="AE77" i="82"/>
  <c r="AF77" i="82"/>
  <c r="AG77" i="82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7" i="73"/>
  <c r="K77" i="73"/>
  <c r="L77" i="73"/>
  <c r="M77" i="73"/>
  <c r="N77" i="73"/>
  <c r="O77" i="73"/>
  <c r="P77" i="73"/>
  <c r="Q77" i="73"/>
  <c r="R77" i="73"/>
  <c r="S77" i="73"/>
  <c r="T77" i="73"/>
  <c r="U77" i="73"/>
  <c r="V77" i="73"/>
  <c r="W77" i="73"/>
  <c r="X77" i="73"/>
  <c r="Y77" i="73"/>
  <c r="Z77" i="73"/>
  <c r="AA77" i="73"/>
  <c r="AB77" i="73"/>
  <c r="AC77" i="73"/>
  <c r="AD77" i="73"/>
  <c r="AE77" i="73"/>
  <c r="AF77" i="73"/>
  <c r="AG77" i="73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66" i="33" l="1"/>
  <c r="E16" i="47"/>
  <c r="F9" i="47" s="1"/>
  <c r="C22" i="85" l="1"/>
  <c r="C20" i="85"/>
  <c r="C18" i="85"/>
  <c r="C16" i="85"/>
  <c r="D76" i="33"/>
  <c r="C67" i="33"/>
  <c r="C89" i="85" a="1"/>
  <c r="C89" i="85" s="1"/>
  <c r="F66" i="33" s="1"/>
  <c r="C72" i="33"/>
  <c r="C74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74" i="33"/>
  <c r="D75" i="33"/>
  <c r="H66" i="33"/>
  <c r="I66" i="33"/>
  <c r="J66" i="33"/>
  <c r="G66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68" i="33"/>
  <c r="C70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73" i="33"/>
  <c r="A6" i="85"/>
  <c r="A2" i="85"/>
  <c r="A1" i="85"/>
  <c r="C71" i="33" l="1"/>
  <c r="C69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74" i="33" s="1"/>
  <c r="F96" i="85"/>
  <c r="F93" i="85"/>
  <c r="F91" i="85"/>
  <c r="F90" i="85"/>
  <c r="G93" i="85"/>
  <c r="G94" i="85"/>
  <c r="G92" i="85"/>
  <c r="D98" i="85"/>
  <c r="G90" i="85"/>
  <c r="F98" i="85"/>
  <c r="I75" i="33" s="1"/>
  <c r="F95" i="85"/>
  <c r="F92" i="85"/>
  <c r="E98" i="85"/>
  <c r="D96" i="85"/>
  <c r="F94" i="85"/>
  <c r="E97" i="85"/>
  <c r="G98" i="85"/>
  <c r="J75" i="33" s="1"/>
  <c r="G96" i="85"/>
  <c r="E96" i="85"/>
  <c r="G91" i="85"/>
  <c r="G97" i="85"/>
  <c r="J74" i="33" s="1"/>
  <c r="G95" i="85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74" i="33" s="1"/>
  <c r="C98" i="85"/>
  <c r="F75" i="33" s="1"/>
  <c r="C97" i="85"/>
  <c r="F74" i="33" s="1"/>
  <c r="C96" i="85"/>
  <c r="F73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80" i="82" s="1"/>
  <c r="K82" i="82" s="1"/>
  <c r="K107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J82" i="73" l="1"/>
  <c r="J107" i="73" s="1"/>
  <c r="J82" i="81"/>
  <c r="J107" i="81" s="1"/>
  <c r="L74" i="82" a="1"/>
  <c r="L74" i="82" s="1"/>
  <c r="L72" i="82" a="1"/>
  <c r="L72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M73" i="82" a="1"/>
  <c r="M73" i="82" s="1"/>
  <c r="M72" i="73" a="1"/>
  <c r="M72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P74" i="82" a="1"/>
  <c r="P74" i="82" s="1"/>
  <c r="P73" i="82" a="1"/>
  <c r="P73" i="82" s="1"/>
  <c r="P72" i="82" a="1"/>
  <c r="P72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Q74" i="73" a="1"/>
  <c r="Q74" i="73" s="1"/>
  <c r="Q73" i="73" a="1"/>
  <c r="Q73" i="73" s="1"/>
  <c r="Q73" i="82" a="1"/>
  <c r="Q73" i="82" s="1"/>
  <c r="Q72" i="82" a="1"/>
  <c r="Q72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R73" i="82" a="1"/>
  <c r="R73" i="82" s="1"/>
  <c r="R74" i="82" a="1"/>
  <c r="R74" i="82" s="1"/>
  <c r="R72" i="73" a="1"/>
  <c r="R72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V73" i="82" a="1"/>
  <c r="V73" i="82" s="1"/>
  <c r="V74" i="82" a="1"/>
  <c r="V74" i="82" s="1"/>
  <c r="V73" i="73" a="1"/>
  <c r="V73" i="73" s="1"/>
  <c r="V72" i="73" a="1"/>
  <c r="V72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X73" i="82" a="1"/>
  <c r="X73" i="82" s="1"/>
  <c r="X74" i="73" a="1"/>
  <c r="X74" i="73" s="1"/>
  <c r="X73" i="73" a="1"/>
  <c r="X73" i="73" s="1"/>
  <c r="X72" i="73" a="1"/>
  <c r="X72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Z73" i="82" a="1"/>
  <c r="Z73" i="82" s="1"/>
  <c r="Z74" i="82" a="1"/>
  <c r="Z74" i="82" s="1"/>
  <c r="Z74" i="73" a="1"/>
  <c r="Z74" i="73" s="1"/>
  <c r="Z72" i="73" a="1"/>
  <c r="Z72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80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2" i="82" a="1"/>
  <c r="AC72" i="82" s="1"/>
  <c r="AC80" i="82" s="1"/>
  <c r="AC82" i="82" s="1"/>
  <c r="AC107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7" i="75" l="1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80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E80" i="68" l="1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AD82" i="73"/>
  <c r="AD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D80" i="82" s="1"/>
  <c r="AD82" i="82" s="1"/>
  <c r="AD107" i="82" s="1"/>
  <c r="AE74" i="82" a="1"/>
  <c r="AE74" i="82" s="1"/>
  <c r="AE72" i="82" a="1"/>
  <c r="AE72" i="82" s="1"/>
  <c r="AE80" i="82" s="1"/>
  <c r="AE82" i="82" s="1"/>
  <c r="AE107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80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K9" i="85" l="1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80" i="82" s="1"/>
  <c r="AF82" i="82" s="1"/>
  <c r="AF107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F80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L9" i="85" l="1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G80" i="73" s="1"/>
  <c r="AF80" i="81"/>
  <c r="K88" i="75"/>
  <c r="K97" i="75" s="1"/>
  <c r="L9" i="75"/>
  <c r="L5" i="75" s="1"/>
  <c r="L9" i="82"/>
  <c r="L9" i="81"/>
  <c r="M9" i="68"/>
  <c r="L9" i="73"/>
  <c r="L9" i="72"/>
  <c r="M9" i="85" l="1"/>
  <c r="AG82" i="73"/>
  <c r="AG107" i="73" s="1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99" i="75"/>
  <c r="J99" i="75"/>
  <c r="AD99" i="75"/>
  <c r="K99" i="75"/>
  <c r="L99" i="75"/>
  <c r="I99" i="75"/>
  <c r="N99" i="75"/>
  <c r="M99" i="75"/>
  <c r="P99" i="75"/>
  <c r="Q99" i="75"/>
  <c r="R99" i="75"/>
  <c r="V99" i="75"/>
  <c r="S99" i="75"/>
  <c r="X99" i="75"/>
  <c r="AB99" i="75"/>
  <c r="Y99" i="75"/>
  <c r="T99" i="75"/>
  <c r="U99" i="75"/>
  <c r="Z99" i="75"/>
  <c r="AA99" i="75"/>
  <c r="O99" i="75"/>
  <c r="W99" i="75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67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H13" i="33"/>
  <c r="H12" i="33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72" l="1" a="1"/>
  <c r="P115" i="72" s="1"/>
  <c r="P115" i="8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F76" i="75"/>
  <c r="F81" i="75" s="1"/>
  <c r="Q106" i="81"/>
  <c r="F66" i="75"/>
  <c r="G12" i="33" s="1"/>
  <c r="F38" i="75"/>
  <c r="G10" i="33" s="1"/>
  <c r="F51" i="75" l="1" a="1"/>
  <c r="F51" i="75" s="1"/>
  <c r="F70" i="85"/>
  <c r="F76" i="85"/>
  <c r="J72" i="33" s="1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I110" i="73" a="1"/>
  <c r="I110" i="73" s="1"/>
  <c r="I58" i="85" s="1"/>
  <c r="F58" i="85" s="1"/>
  <c r="I112" i="73" a="1"/>
  <c r="I112" i="73" s="1"/>
  <c r="I60" i="85" s="1"/>
  <c r="F60" i="85" s="1"/>
  <c r="I114" i="73" a="1"/>
  <c r="I114" i="73" s="1"/>
  <c r="I62" i="85" s="1"/>
  <c r="F62" i="85" s="1"/>
  <c r="I72" i="33" s="1"/>
  <c r="I117" i="73" a="1"/>
  <c r="I117" i="73" s="1"/>
  <c r="I115" i="73" a="1"/>
  <c r="I115" i="73" s="1"/>
  <c r="I111" i="73" a="1"/>
  <c r="I111" i="73" s="1"/>
  <c r="I59" i="85" s="1"/>
  <c r="F59" i="85" s="1"/>
  <c r="I56" i="85"/>
  <c r="F56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1" i="33"/>
  <c r="I12" i="33"/>
  <c r="F16" i="75" a="1"/>
  <c r="F16" i="75" s="1"/>
  <c r="I13" i="33"/>
  <c r="F23" i="75" a="1"/>
  <c r="F23" i="75" s="1"/>
  <c r="I9" i="33" s="1"/>
  <c r="F77" i="85" l="1"/>
  <c r="J73" i="33" s="1"/>
  <c r="I63" i="85"/>
  <c r="F63" i="85" s="1"/>
  <c r="I73" i="33" s="1"/>
  <c r="I64" i="85"/>
  <c r="F64" i="85" s="1"/>
  <c r="I65" i="85"/>
  <c r="F65" i="85" s="1"/>
  <c r="F79" i="85"/>
  <c r="F78" i="85"/>
  <c r="F73" i="85"/>
  <c r="F72" i="85"/>
  <c r="F75" i="85"/>
  <c r="F74" i="85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67" i="33" l="1"/>
  <c r="I67" i="33"/>
  <c r="J71" i="33"/>
  <c r="J69" i="33"/>
  <c r="J70" i="33"/>
  <c r="I69" i="33"/>
  <c r="I70" i="33"/>
  <c r="J68" i="33"/>
  <c r="I71" i="33"/>
  <c r="I68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72" i="33" s="1"/>
  <c r="U36" i="85"/>
  <c r="F22" i="85"/>
  <c r="J31" i="85"/>
  <c r="Q36" i="85"/>
  <c r="F51" i="85"/>
  <c r="F47" i="85"/>
  <c r="U32" i="85"/>
  <c r="F16" i="85"/>
  <c r="C91" i="85" s="1"/>
  <c r="F68" i="33" s="1"/>
  <c r="F49" i="85"/>
  <c r="J32" i="85"/>
  <c r="F46" i="85"/>
  <c r="F17" i="85"/>
  <c r="C92" i="85" s="1"/>
  <c r="F69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74" i="33"/>
  <c r="H73" i="33"/>
  <c r="H75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68" i="33" s="1"/>
  <c r="F45" i="85"/>
  <c r="F50" i="85"/>
  <c r="F48" i="85"/>
  <c r="E95" i="85" s="1"/>
  <c r="H72" i="33" s="1"/>
  <c r="E90" i="85"/>
  <c r="H67" i="33" s="1"/>
  <c r="E92" i="85"/>
  <c r="H69" i="33" s="1"/>
  <c r="E94" i="85"/>
  <c r="H71" i="33" s="1"/>
  <c r="E93" i="85"/>
  <c r="H70" i="33" s="1"/>
  <c r="C94" i="85"/>
  <c r="F71" i="33" s="1"/>
  <c r="C93" i="85"/>
  <c r="F70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67" i="33" s="1"/>
  <c r="G72" i="33"/>
  <c r="I95" i="85"/>
  <c r="K95" i="85" s="1"/>
  <c r="L72" i="33" s="1"/>
  <c r="I92" i="85"/>
  <c r="K92" i="85" s="1"/>
  <c r="L69" i="33" s="1"/>
  <c r="G69" i="33"/>
  <c r="G71" i="33"/>
  <c r="I94" i="85"/>
  <c r="K94" i="85" s="1"/>
  <c r="L71" i="33" s="1"/>
  <c r="G70" i="33"/>
  <c r="I93" i="85"/>
  <c r="K93" i="85" s="1"/>
  <c r="L70" i="33" s="1"/>
  <c r="F30" i="85"/>
  <c r="D91" i="85" s="1"/>
  <c r="I90" i="85" l="1"/>
  <c r="K90" i="85" s="1"/>
  <c r="L67" i="33" s="1"/>
  <c r="G68" i="33"/>
  <c r="I91" i="85"/>
  <c r="K91" i="85" s="1"/>
  <c r="L68" i="33" s="1"/>
  <c r="G75" i="33"/>
  <c r="I98" i="85"/>
  <c r="K98" i="85" s="1"/>
  <c r="L75" i="33" s="1"/>
  <c r="G73" i="33"/>
  <c r="I96" i="85"/>
  <c r="K96" i="85" s="1"/>
  <c r="L73" i="33" s="1"/>
  <c r="G74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<sst xmlns="http://schemas.openxmlformats.org/spreadsheetml/2006/main" count="1129" uniqueCount="335">
  <si>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</si>
  <si>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</si>
  <si>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</si>
  <si>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</si>
  <si>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</si>
  <si>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</si>
  <si>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</si>
  <si>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</si>
  <si>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</si>
  <si>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</si>
  <si>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</si>
  <si>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</si>
  <si>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</si>
  <si>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</si>
  <si>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</si>
  <si>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</si>
  <si>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</si>
  <si>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</si>
  <si>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</si>
  <si>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</si>
  <si>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</si>
  <si>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</si>
  <si>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</si>
  <si>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</si>
  <si>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</si>
  <si>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</si>
  <si>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</si>
  <si>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</si>
  <si>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</si>
  <si>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</si>
  <si>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</si>
  <si>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</si>
  <si>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</si>
  <si>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</si>
  <si>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</si>
  <si>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</si>
  <si>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</si>
  <si>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</si>
  <si>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</si>
  <si>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</si>
  <si>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</si>
  <si>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</si>
  <si>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</si>
  <si>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</si>
  <si>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</si>
  <si>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</si>
  <si>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</si>
  <si>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</si>
  <si>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</si>
  <si>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</si>
  <si>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</si>
  <si>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</si>
  <si>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</si>
  <si>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</si>
  <si>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</si>
  <si>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</si>
  <si>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</si>
  <si>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</si>
  <si>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</si>
  <si>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</si>
  <si>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</si>
  <si>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</si>
  <si>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</si>
  <si>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</si>
  <si>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</si>
  <si>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</si>
  <si>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</si>
  <si>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</si>
  <si>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</si>
  <si>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</si>
  <si>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</si>
  <si>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</si>
  <si>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</si>
  <si>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</si>
  <si>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</si>
  <si>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</si>
  <si>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</si>
  <si>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</si>
  <si>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</si>
  <si>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</si>
  <si>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</si>
  <si>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</si>
  <si>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</si>
  <si>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</si>
  <si>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</si>
  <si>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</si>
  <si>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</si>
  <si>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</si>
  <si>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</si>
  <si>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</si>
  <si>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</si>
  <si>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</si>
  <si>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</si>
  <si>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</si>
  <si>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</si>
  <si>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</si>
  <si>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</si>
  <si>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</si>
  <si>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</si>
  <si>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</si>
  <si>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</si>
  <si>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</si>
  <si>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</si>
  <si>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</si>
  <si>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</si>
  <si>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</si>
  <si>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</si>
  <si>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</si>
  <si>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</si>
  <si>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</si>
  <si>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</si>
  <si>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</si>
  <si>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</si>
  <si>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</si>
  <si>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</si>
  <si>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</si>
  <si>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</si>
  <si>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</si>
  <si>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</si>
  <si>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</si>
  <si>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</si>
  <si>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</si>
  <si>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</si>
  <si>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</si>
  <si>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</si>
  <si>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</si>
  <si>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</si>
  <si>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</si>
  <si>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</si>
  <si>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</si>
  <si>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</si>
  <si>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</si>
  <si>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</si>
  <si>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</si>
  <si>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</si>
  <si>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</si>
  <si>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N/A</t>
  </si>
  <si>
    <t>CP</t>
  </si>
  <si>
    <t>PA</t>
  </si>
  <si>
    <t>UE</t>
  </si>
  <si>
    <t>Mooroopna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</si>
  <si>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</si>
  <si>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</si>
  <si>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</si>
  <si>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</si>
  <si>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</si>
  <si>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</si>
  <si>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</si>
  <si>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</si>
  <si>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</si>
  <si>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</si>
  <si>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</si>
  <si>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</si>
  <si>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</si>
  <si>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</si>
  <si>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</si>
  <si>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</si>
  <si>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</si>
  <si>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</si>
  <si>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CHART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</si>
  <si>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</si>
  <si>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</si>
  <si>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</si>
  <si>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</si>
  <si>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</si>
  <si>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</si>
  <si>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</si>
  <si>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</si>
  <si>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</si>
  <si>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</si>
  <si>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</si>
  <si>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</si>
  <si>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</si>
  <si>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</si>
  <si>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</si>
  <si>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</si>
  <si>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</si>
  <si>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</si>
  <si>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</si>
  <si>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</si>
  <si>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</si>
  <si>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</si>
  <si>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</si>
  <si>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</si>
  <si>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</si>
  <si>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</si>
  <si>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</si>
  <si>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</si>
  <si>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</si>
  <si>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</si>
  <si>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</si>
  <si>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</si>
  <si>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</si>
  <si>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</si>
  <si>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</si>
  <si>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</si>
  <si>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</si>
  <si>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</si>
  <si>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</si>
  <si>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</si>
  <si>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</si>
  <si>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</si>
  <si>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</si>
  <si>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</si>
  <si>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</si>
  <si>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</si>
  <si>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</si>
  <si>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</si>
  <si>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</si>
  <si>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</si>
  <si>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</si>
  <si>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</si>
  <si>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</si>
  <si>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</si>
  <si>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</si>
  <si>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</si>
  <si>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</si>
  <si>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</si>
  <si>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</si>
  <si>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</si>
  <si>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</si>
  <si>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</si>
  <si>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</si>
  <si>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</si>
  <si>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</si>
  <si>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</si>
  <si>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</si>
  <si>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</si>
  <si>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</si>
  <si>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</si>
  <si>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</si>
  <si>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</si>
  <si>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</si>
  <si>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</si>
  <si>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Capex and risk ($M, 2026)</t>
  </si>
  <si>
    <t>Energy at risk</t>
  </si>
  <si>
    <t>Capex first year</t>
  </si>
  <si>
    <t>2024-25</t>
  </si>
  <si>
    <t>Expenditure starts</t>
  </si>
  <si>
    <t>Start_year</t>
  </si>
  <si>
    <t>Value of expected unserved energy ($M, 2026)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</si>
  <si>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</si>
  <si>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</si>
  <si>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</si>
  <si>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</si>
  <si>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</si>
  <si>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</si>
  <si>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</si>
  <si>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WORKINGS - COSTS</t>
  </si>
  <si>
    <t>Option 1 - continue existing maintenance with no proactive replacement cost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</si>
  <si>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</si>
  <si>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</si>
  <si>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</si>
  <si>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</si>
  <si>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</si>
  <si>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</si>
  <si>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</si>
  <si>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</si>
  <si>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</si>
  <si>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</si>
  <si>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</si>
  <si>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</si>
  <si>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</si>
  <si>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</si>
  <si>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2046-47</t>
  </si>
  <si>
    <t>2047-48</t>
  </si>
  <si>
    <t>2048-49</t>
  </si>
  <si>
    <t>2049-50</t>
  </si>
  <si>
    <t>2050-51</t>
  </si>
  <si>
    <t>Relay annual maintenance cost ($)</t>
  </si>
  <si>
    <t>Total opex cost ($)</t>
  </si>
  <si>
    <t>Tx capex profile ($)</t>
  </si>
  <si>
    <t>Total capex ($)</t>
  </si>
  <si>
    <t>SWBD online monitoring annual cost ($)</t>
  </si>
  <si>
    <t>WORKINGS - RISKS</t>
  </si>
  <si>
    <t>Transformer risks</t>
  </si>
  <si>
    <t>Energy at Risk ($, Weighted)</t>
  </si>
  <si>
    <t>Safety Risk</t>
  </si>
  <si>
    <t>Unplanned Replacement Risk</t>
  </si>
  <si>
    <t>Unplanned Fault Risk</t>
  </si>
  <si>
    <t>Unplanned Enviromental Risk</t>
  </si>
  <si>
    <t>Total transformer risks</t>
  </si>
  <si>
    <t>Input Data - Station Configuration</t>
  </si>
  <si>
    <t>Constants</t>
  </si>
  <si>
    <t>POF METHOD</t>
  </si>
  <si>
    <t>WEIBULL</t>
  </si>
  <si>
    <t>Modifier (x)</t>
  </si>
  <si>
    <t>Comment</t>
  </si>
  <si>
    <t>Substation:</t>
  </si>
  <si>
    <t>MNA</t>
  </si>
  <si>
    <t>Major Failure CoC</t>
  </si>
  <si>
    <t>PoF (#1)</t>
  </si>
  <si>
    <t>Asset Type</t>
  </si>
  <si>
    <t>Transformer</t>
  </si>
  <si>
    <t>Minor Failure CoC</t>
  </si>
  <si>
    <t>PoF (#2)</t>
  </si>
  <si>
    <t>Major Failure CoC - used</t>
  </si>
  <si>
    <t>PoF (#3)</t>
  </si>
  <si>
    <t>Load Profile (PoE)</t>
  </si>
  <si>
    <t>Minor Failure CoC - used</t>
  </si>
  <si>
    <t>PoF (#4)</t>
  </si>
  <si>
    <t>Scenario #1: MNA - Transformer</t>
  </si>
  <si>
    <t>Setting</t>
  </si>
  <si>
    <t>Unit Price</t>
  </si>
  <si>
    <t>Model Output</t>
  </si>
  <si>
    <t>Spare Available</t>
  </si>
  <si>
    <t>Online Monitoring</t>
  </si>
  <si>
    <t>Physical Separation</t>
  </si>
  <si>
    <t>More Frequent Maintenance</t>
  </si>
  <si>
    <t>Pr (Terminal Failure)</t>
  </si>
  <si>
    <t>Staggered Maintenance</t>
  </si>
  <si>
    <t>Pr (Repairable Failure)</t>
  </si>
  <si>
    <t>Bunded</t>
  </si>
  <si>
    <t>Refurbish Assets</t>
  </si>
  <si>
    <t>Replace 1 Asset</t>
  </si>
  <si>
    <t>Replace 2 Assets</t>
  </si>
  <si>
    <t>Replace 3 Assets</t>
  </si>
  <si>
    <t>Addiitonal Asset</t>
  </si>
  <si>
    <t>Load Transfers</t>
  </si>
  <si>
    <t>Unplanned Fire Risk</t>
  </si>
  <si>
    <t>Non-Network MW</t>
  </si>
  <si>
    <t>Option Capital Cost</t>
  </si>
  <si>
    <t>Total Life Cycle Cost</t>
  </si>
  <si>
    <t>Scenario #2: MNA - Transformer</t>
  </si>
  <si>
    <t>Scenario #3: MNA - Transformer</t>
  </si>
  <si>
    <t>MNA transformer replacement</t>
  </si>
  <si>
    <t>Replace transformer #1 completed in 2028-2029</t>
  </si>
  <si>
    <t>Refurbish transformer #1 completed in 2027-2028</t>
  </si>
  <si>
    <t>Safety risk</t>
  </si>
  <si>
    <t>Unplanned replacement risk</t>
  </si>
  <si>
    <t>Unplanned fault risk</t>
  </si>
  <si>
    <t>Enviromental risk</t>
  </si>
  <si>
    <t>Replace 1 transformer</t>
  </si>
  <si>
    <t>Refurbish 1 transformer</t>
  </si>
  <si>
    <t>MNA transformer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</si>
</sst>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0.000%"/>
    <numFmt numFmtId="190" formatCode="\+0%;[Red]\ \ \-0%;\ &quot;-&quot;"/>
    <numFmt numFmtId="191" formatCode="#,##0.00_ ;[Red]\-#,##0.00\ "/>
    <numFmt numFmtId="192" formatCode="#,##0.0;[Red]\ \-#,##0.0;\ &quot;&quot;"/>
    <numFmt numFmtId="193" formatCode="0.000000000000000"/>
    <numFmt numFmtId="194" formatCode="0%;[Red]\ \ \-0%;\ &quot;-&quot;"/>
    <numFmt numFmtId="195" formatCode="dd\ mmmm\ yyyy"/>
    <numFmt numFmtId="196" formatCode="mmm\ yyyy"/>
    <numFmt numFmtId="197" formatCode="_-&quot;$&quot;* #,##0_-;\-&quot;$&quot;* #,##0_-;_-&quot;$&quot;* &quot;-&quot;??_-;_-@_-"/>
    <numFmt numFmtId="198" formatCode="_-* #,##0.0_-;\-* #,##0.0_-;_-* &quot;-&quot;??_-;_-@_-"/>
    <numFmt numFmtId="199" formatCode="#,##0.000_);\(#,##0.000\);\-\-_)"/>
    <numFmt numFmtId="200" formatCode="?0"/>
    <numFmt numFmtId="201" formatCode="0.0"/>
  </numFmts>
  <fonts count="105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sz val="10"/>
      <color rgb="FFFF0000"/>
      <name val="Calibri"/>
      <family val="2"/>
    </font>
    <font>
      <b/>
      <sz val="14"/>
      <color theme="1"/>
      <name val="Calibri"/>
      <family val="2"/>
    </font>
    <font>
      <b/>
      <sz val="10"/>
      <color rgb="FFFFFFFF"/>
      <name val="Calibri"/>
      <family val="2"/>
    </font>
    <font>
      <sz val="10"/>
      <name val="Verdan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rgb="FF000000"/>
      </patternFill>
    </fill>
    <fill>
      <patternFill patternType="solid">
        <fgColor rgb="FFFCCDDF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F49357"/>
        <bgColor rgb="FF000000"/>
      </patternFill>
    </fill>
    <fill>
      <patternFill patternType="solid">
        <fgColor rgb="FFD5E4FF"/>
        <bgColor rgb="FF000000"/>
      </patternFill>
    </fill>
    <fill>
      <patternFill patternType="solid">
        <fgColor rgb="FF95BDFF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4" tint="0.7499923703726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6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8" fillId="0" borderId="0"/>
    <xf numFmtId="9" fontId="78" fillId="0" borderId="0" applyFont="0" applyFill="0" applyBorder="0" applyAlignment="0" applyProtection="0"/>
    <xf numFmtId="0" fontId="18" fillId="0" borderId="0"/>
    <xf numFmtId="44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" fontId="93" fillId="17" borderId="16" applyNumberFormat="0" applyProtection="0">
      <alignment horizontal="left" vertical="center" indent="1"/>
    </xf>
    <xf numFmtId="4" fontId="93" fillId="17" borderId="16" applyNumberFormat="0" applyProtection="0">
      <alignment horizontal="left" vertical="center" indent="1"/>
    </xf>
    <xf numFmtId="4" fontId="93" fillId="0" borderId="16" applyNumberFormat="0" applyProtection="0">
      <alignment horizontal="right" vertical="center"/>
    </xf>
    <xf numFmtId="44" fontId="78" fillId="0" borderId="0" applyFont="0" applyFill="0" applyBorder="0" applyAlignment="0" applyProtection="0"/>
    <xf numFmtId="9" fontId="78" fillId="0" borderId="0" applyFont="0" applyFill="0" applyBorder="0" applyAlignment="0" applyProtection="0"/>
  </cellStyleXfs>
  <cellXfs count="43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7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8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9" fillId="0" borderId="0" xfId="0" applyNumberFormat="1" applyFont="1"/>
    <xf numFmtId="0" fontId="58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60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1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1" fillId="10" borderId="0" xfId="18" applyNumberFormat="1" applyFont="1" applyFill="1" applyAlignment="1">
      <alignment horizontal="left" vertical="center"/>
    </xf>
    <xf numFmtId="0" fontId="62" fillId="0" borderId="0" xfId="18" applyFont="1"/>
    <xf numFmtId="0" fontId="63" fillId="0" borderId="7" xfId="18" applyFont="1" applyFill="1" applyBorder="1" applyAlignment="1">
      <alignment vertical="center"/>
    </xf>
    <xf numFmtId="0" fontId="64" fillId="0" borderId="0" xfId="18" applyFont="1"/>
    <xf numFmtId="0" fontId="59" fillId="0" borderId="0" xfId="0" applyFont="1"/>
    <xf numFmtId="168" fontId="64" fillId="0" borderId="0" xfId="18" applyNumberFormat="1" applyFont="1" applyFill="1" applyAlignment="1">
      <alignment horizontal="left"/>
    </xf>
    <xf numFmtId="0" fontId="63" fillId="0" borderId="0" xfId="18" applyFont="1" applyFill="1" applyBorder="1" applyAlignment="1">
      <alignment vertical="center"/>
    </xf>
    <xf numFmtId="168" fontId="65" fillId="0" borderId="0" xfId="18" applyNumberFormat="1" applyFont="1" applyFill="1" applyAlignment="1">
      <alignment horizontal="left"/>
    </xf>
    <xf numFmtId="168" fontId="66" fillId="0" borderId="0" xfId="18" applyNumberFormat="1" applyFont="1" applyAlignment="1">
      <alignment horizontal="left" vertical="center"/>
    </xf>
    <xf numFmtId="0" fontId="63" fillId="0" borderId="0" xfId="18" applyFont="1" applyFill="1" applyBorder="1" applyAlignment="1">
      <alignment horizontal="left" vertical="center"/>
    </xf>
    <xf numFmtId="0" fontId="64" fillId="0" borderId="0" xfId="18" applyFont="1" applyAlignment="1">
      <alignment horizontal="left"/>
    </xf>
    <xf numFmtId="0" fontId="67" fillId="0" borderId="0" xfId="18" applyFont="1" applyAlignment="1">
      <alignment horizontal="left" vertical="center"/>
    </xf>
    <xf numFmtId="0" fontId="66" fillId="0" borderId="0" xfId="18" applyFont="1" applyAlignment="1">
      <alignment horizontal="left" vertical="center"/>
    </xf>
    <xf numFmtId="168" fontId="66" fillId="0" borderId="11" xfId="18" applyNumberFormat="1" applyFont="1" applyBorder="1" applyAlignment="1">
      <alignment horizontal="left" vertical="center"/>
    </xf>
    <xf numFmtId="168" fontId="68" fillId="0" borderId="0" xfId="18" applyNumberFormat="1" applyFont="1" applyAlignment="1">
      <alignment horizontal="left" vertical="center"/>
    </xf>
    <xf numFmtId="168" fontId="66" fillId="0" borderId="0" xfId="18" applyNumberFormat="1" applyFont="1" applyBorder="1" applyAlignment="1">
      <alignment horizontal="left" vertical="center"/>
    </xf>
    <xf numFmtId="0" fontId="69" fillId="0" borderId="0" xfId="0" applyFont="1"/>
    <xf numFmtId="0" fontId="46" fillId="0" borderId="0" xfId="18" applyFont="1"/>
    <xf numFmtId="0" fontId="70" fillId="11" borderId="0" xfId="18" applyFont="1" applyFill="1" applyAlignment="1">
      <alignment horizontal="right" vertical="center"/>
    </xf>
    <xf numFmtId="167" fontId="66" fillId="0" borderId="0" xfId="18" applyNumberFormat="1" applyFont="1" applyAlignment="1">
      <alignment horizontal="right" vertical="center"/>
    </xf>
    <xf numFmtId="0" fontId="63" fillId="0" borderId="7" xfId="18" applyFont="1" applyBorder="1" applyAlignment="1">
      <alignment horizontal="right" vertical="center"/>
    </xf>
    <xf numFmtId="166" fontId="72" fillId="10" borderId="0" xfId="16" applyFont="1" applyFill="1" applyAlignment="1">
      <alignment horizontal="right"/>
    </xf>
    <xf numFmtId="0" fontId="71" fillId="0" borderId="0" xfId="8" applyFont="1" applyAlignment="1">
      <alignment horizontal="right"/>
    </xf>
    <xf numFmtId="168" fontId="66" fillId="0" borderId="0" xfId="18" applyNumberFormat="1" applyFont="1" applyAlignment="1">
      <alignment horizontal="right" vertical="center"/>
    </xf>
    <xf numFmtId="168" fontId="68" fillId="0" borderId="0" xfId="18" applyNumberFormat="1" applyFont="1" applyAlignment="1">
      <alignment horizontal="right" vertical="center"/>
    </xf>
    <xf numFmtId="168" fontId="66" fillId="0" borderId="4" xfId="18" applyNumberFormat="1" applyFont="1" applyBorder="1" applyAlignment="1">
      <alignment horizontal="right" vertical="center"/>
    </xf>
    <xf numFmtId="0" fontId="64" fillId="0" borderId="0" xfId="18" applyFont="1" applyAlignment="1">
      <alignment horizontal="right"/>
    </xf>
    <xf numFmtId="0" fontId="64" fillId="0" borderId="0" xfId="0" applyFont="1" applyAlignment="1">
      <alignment horizontal="right"/>
    </xf>
    <xf numFmtId="0" fontId="73" fillId="0" borderId="0" xfId="18" applyFont="1" applyAlignment="1">
      <alignment vertical="center"/>
    </xf>
    <xf numFmtId="0" fontId="26" fillId="0" borderId="0" xfId="18" applyFont="1"/>
    <xf numFmtId="178" fontId="73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4" fillId="0" borderId="0" xfId="18" applyNumberFormat="1" applyFont="1" applyAlignment="1">
      <alignment horizontal="left"/>
    </xf>
    <xf numFmtId="0" fontId="75" fillId="0" borderId="11" xfId="0" applyFont="1" applyFill="1" applyBorder="1" applyAlignment="1"/>
    <xf numFmtId="166" fontId="74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6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90" fontId="15" fillId="0" borderId="0" xfId="18" applyNumberFormat="1"/>
    <xf numFmtId="191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8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90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9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2" fontId="15" fillId="0" borderId="0" xfId="0" applyNumberFormat="1" applyFont="1" applyFill="1" applyAlignment="1">
      <alignment horizontal="center"/>
    </xf>
    <xf numFmtId="0" fontId="80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6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2" fontId="16" fillId="0" borderId="11" xfId="18" applyNumberFormat="1" applyFont="1" applyBorder="1" applyAlignment="1">
      <alignment horizontal="right" vertical="center"/>
    </xf>
    <xf numFmtId="192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8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1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2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2" fontId="82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3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9" fillId="0" borderId="7" xfId="18" applyFont="1" applyBorder="1"/>
    <xf numFmtId="183" fontId="15" fillId="0" borderId="0" xfId="18" applyNumberFormat="1" applyAlignment="1">
      <alignment horizontal="left"/>
    </xf>
    <xf numFmtId="194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90" fontId="27" fillId="2" borderId="0" xfId="23" applyNumberFormat="1" applyAlignment="1">
      <alignment horizontal="right"/>
    </xf>
    <xf numFmtId="190" fontId="37" fillId="2" borderId="0" xfId="23" applyNumberFormat="1" applyFont="1" applyAlignment="1">
      <alignment horizontal="right"/>
    </xf>
    <xf numFmtId="0" fontId="18" fillId="16" borderId="0" xfId="20" applyFill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0" fontId="88" fillId="0" borderId="0" xfId="20" applyFont="1"/>
    <xf numFmtId="195" fontId="89" fillId="0" borderId="0" xfId="20" applyNumberFormat="1" applyFont="1" applyAlignment="1">
      <alignment horizontal="left"/>
    </xf>
    <xf numFmtId="0" fontId="90" fillId="0" borderId="0" xfId="20" applyFont="1"/>
    <xf numFmtId="196" fontId="91" fillId="10" borderId="0" xfId="16" applyNumberFormat="1" applyFont="1" applyFill="1" applyAlignment="1">
      <alignment horizontal="right"/>
    </xf>
    <xf numFmtId="196" fontId="92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0" fontId="15" fillId="0" borderId="0" xfId="0" applyFont="1" applyAlignment="1">
      <alignment horizontal="left" indent="2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7" fillId="0" borderId="0" xfId="20" applyFont="1" applyAlignment="1">
      <alignment horizontal="left"/>
    </xf>
    <xf numFmtId="0" fontId="95" fillId="0" borderId="0" xfId="18" applyFont="1"/>
    <xf numFmtId="0" fontId="24" fillId="18" borderId="0" xfId="18" applyFont="1" applyFill="1" applyAlignment="1">
      <alignment vertical="center"/>
    </xf>
    <xf numFmtId="0" fontId="21" fillId="19" borderId="0" xfId="18" applyFont="1" applyFill="1"/>
    <xf numFmtId="0" fontId="96" fillId="19" borderId="0" xfId="18" applyFont="1" applyFill="1"/>
    <xf numFmtId="0" fontId="97" fillId="19" borderId="0" xfId="0" applyFont="1" applyFill="1"/>
    <xf numFmtId="0" fontId="98" fillId="0" borderId="0" xfId="18" applyFont="1"/>
    <xf numFmtId="0" fontId="94" fillId="0" borderId="0" xfId="18" applyFont="1"/>
    <xf numFmtId="0" fontId="98" fillId="20" borderId="0" xfId="18" applyFont="1" applyFill="1" applyAlignment="1">
      <alignment horizontal="right"/>
    </xf>
    <xf numFmtId="0" fontId="99" fillId="0" borderId="0" xfId="18" applyFont="1" applyAlignment="1">
      <alignment horizontal="right"/>
    </xf>
    <xf numFmtId="0" fontId="98" fillId="0" borderId="0" xfId="18" applyFont="1" applyAlignment="1">
      <alignment horizontal="right"/>
    </xf>
    <xf numFmtId="197" fontId="98" fillId="21" borderId="0" xfId="34" applyNumberFormat="1" applyFont="1" applyFill="1" applyBorder="1"/>
    <xf numFmtId="0" fontId="99" fillId="0" borderId="12" xfId="18" applyFont="1" applyBorder="1" applyAlignment="1">
      <alignment horizontal="right"/>
    </xf>
    <xf numFmtId="197" fontId="98" fillId="0" borderId="12" xfId="34" applyNumberFormat="1" applyFont="1" applyFill="1" applyBorder="1"/>
    <xf numFmtId="0" fontId="98" fillId="19" borderId="0" xfId="18" applyFont="1" applyFill="1"/>
    <xf numFmtId="0" fontId="98" fillId="0" borderId="12" xfId="18" applyFont="1" applyBorder="1" applyAlignment="1">
      <alignment horizontal="right"/>
    </xf>
    <xf numFmtId="197" fontId="98" fillId="0" borderId="12" xfId="18" applyNumberFormat="1" applyFont="1" applyBorder="1"/>
    <xf numFmtId="0" fontId="98" fillId="21" borderId="0" xfId="18" applyFont="1" applyFill="1"/>
    <xf numFmtId="199" fontId="98" fillId="0" borderId="0" xfId="18" applyNumberFormat="1" applyFont="1"/>
    <xf numFmtId="0" fontId="98" fillId="0" borderId="0" xfId="18" applyFont="1" applyAlignment="1">
      <alignment horizontal="left"/>
    </xf>
    <xf numFmtId="0" fontId="99" fillId="0" borderId="0" xfId="18" applyFont="1"/>
    <xf numFmtId="197" fontId="98" fillId="21" borderId="0" xfId="18" applyNumberFormat="1" applyFont="1" applyFill="1"/>
    <xf numFmtId="0" fontId="98" fillId="0" borderId="12" xfId="18" applyFont="1" applyBorder="1"/>
    <xf numFmtId="0" fontId="100" fillId="19" borderId="0" xfId="20" applyFont="1" applyFill="1" applyAlignment="1">
      <alignment horizontal="left" vertical="center"/>
    </xf>
    <xf numFmtId="0" fontId="100" fillId="19" borderId="0" xfId="20" applyFont="1" applyFill="1" applyAlignment="1">
      <alignment vertical="center"/>
    </xf>
    <xf numFmtId="0" fontId="100" fillId="22" borderId="0" xfId="20" applyFont="1" applyFill="1" applyAlignment="1">
      <alignment vertical="center"/>
    </xf>
    <xf numFmtId="9" fontId="93" fillId="23" borderId="17" xfId="19" applyFont="1" applyFill="1" applyBorder="1" applyAlignment="1" applyProtection="1">
      <alignment horizontal="center" vertical="center"/>
      <protection locked="0"/>
    </xf>
    <xf numFmtId="0" fontId="93" fillId="0" borderId="0" xfId="20" applyFont="1" applyAlignment="1">
      <alignment horizontal="left"/>
    </xf>
    <xf numFmtId="200" fontId="93" fillId="23" borderId="17" xfId="20" applyNumberFormat="1" applyFont="1" applyFill="1" applyBorder="1" applyAlignment="1" applyProtection="1">
      <alignment horizontal="left" vertical="center"/>
      <protection locked="0"/>
    </xf>
    <xf numFmtId="0" fontId="93" fillId="0" borderId="0" xfId="20" applyFont="1"/>
    <xf numFmtId="197" fontId="101" fillId="23" borderId="17" xfId="29" applyNumberFormat="1" applyFont="1" applyFill="1" applyBorder="1"/>
    <xf numFmtId="189" fontId="101" fillId="21" borderId="17" xfId="19" applyNumberFormat="1" applyFont="1" applyFill="1" applyBorder="1" applyAlignment="1" applyProtection="1">
      <alignment horizontal="center" vertical="center"/>
      <protection locked="0"/>
    </xf>
    <xf numFmtId="9" fontId="101" fillId="21" borderId="17" xfId="19" applyFont="1" applyFill="1" applyBorder="1" applyAlignment="1" applyProtection="1">
      <alignment horizontal="center" vertical="center"/>
      <protection locked="0"/>
    </xf>
    <xf numFmtId="9" fontId="101" fillId="24" borderId="17" xfId="19" applyFont="1" applyFill="1" applyBorder="1" applyAlignment="1" applyProtection="1">
      <alignment horizontal="left" vertical="center"/>
      <protection locked="0"/>
    </xf>
    <xf numFmtId="44" fontId="101" fillId="24" borderId="17" xfId="19" applyNumberFormat="1" applyFont="1" applyFill="1" applyBorder="1" applyAlignment="1" applyProtection="1">
      <alignment horizontal="left" vertical="center"/>
      <protection locked="0"/>
    </xf>
    <xf numFmtId="197" fontId="101" fillId="24" borderId="17" xfId="19" applyNumberFormat="1" applyFont="1" applyFill="1" applyBorder="1" applyAlignment="1" applyProtection="1">
      <alignment horizontal="left" vertical="center"/>
      <protection locked="0"/>
    </xf>
    <xf numFmtId="9" fontId="101" fillId="24" borderId="17" xfId="35" applyFont="1" applyFill="1" applyBorder="1" applyAlignment="1" applyProtection="1">
      <alignment horizontal="right" vertical="center"/>
      <protection locked="0"/>
    </xf>
    <xf numFmtId="10" fontId="101" fillId="21" borderId="17" xfId="19" applyNumberFormat="1" applyFont="1" applyFill="1" applyBorder="1" applyAlignment="1" applyProtection="1">
      <alignment horizontal="center" vertical="center"/>
      <protection locked="0"/>
    </xf>
    <xf numFmtId="0" fontId="100" fillId="19" borderId="0" xfId="20" applyFont="1" applyFill="1" applyAlignment="1">
      <alignment horizontal="left" vertical="center" wrapText="1"/>
    </xf>
    <xf numFmtId="0" fontId="100" fillId="19" borderId="0" xfId="20" applyFont="1" applyFill="1" applyAlignment="1">
      <alignment horizontal="center" vertical="center"/>
    </xf>
    <xf numFmtId="0" fontId="100" fillId="25" borderId="0" xfId="20" applyFont="1" applyFill="1" applyAlignment="1">
      <alignment vertical="center"/>
    </xf>
    <xf numFmtId="9" fontId="101" fillId="0" borderId="0" xfId="20" applyNumberFormat="1" applyFont="1" applyAlignment="1">
      <alignment horizontal="center"/>
    </xf>
    <xf numFmtId="197" fontId="101" fillId="0" borderId="0" xfId="20" applyNumberFormat="1" applyFont="1" applyAlignment="1">
      <alignment horizontal="left"/>
    </xf>
    <xf numFmtId="198" fontId="101" fillId="0" borderId="0" xfId="30" applyNumberFormat="1" applyFont="1" applyFill="1" applyBorder="1"/>
    <xf numFmtId="198" fontId="101" fillId="21" borderId="17" xfId="30" applyNumberFormat="1" applyFont="1" applyFill="1" applyBorder="1"/>
    <xf numFmtId="10" fontId="101" fillId="21" borderId="17" xfId="30" applyNumberFormat="1" applyFont="1" applyFill="1" applyBorder="1"/>
    <xf numFmtId="201" fontId="101" fillId="0" borderId="0" xfId="20" applyNumberFormat="1" applyFont="1" applyAlignment="1">
      <alignment horizontal="center"/>
    </xf>
    <xf numFmtId="197" fontId="101" fillId="0" borderId="0" xfId="34" applyNumberFormat="1" applyFont="1" applyFill="1" applyBorder="1"/>
    <xf numFmtId="44" fontId="93" fillId="0" borderId="0" xfId="20" applyNumberFormat="1" applyFont="1" applyAlignment="1">
      <alignment horizontal="left"/>
    </xf>
    <xf numFmtId="197" fontId="93" fillId="0" borderId="0" xfId="20" applyNumberFormat="1" applyFont="1" applyAlignment="1">
      <alignment horizontal="left"/>
    </xf>
    <xf numFmtId="0" fontId="93" fillId="0" borderId="18" xfId="20" applyFont="1" applyBorder="1" applyAlignment="1">
      <alignment horizontal="left"/>
    </xf>
    <xf numFmtId="0" fontId="102" fillId="26" borderId="18" xfId="20" applyFont="1" applyFill="1" applyBorder="1" applyAlignment="1">
      <alignment horizontal="left"/>
    </xf>
    <xf numFmtId="197" fontId="102" fillId="26" borderId="18" xfId="20" applyNumberFormat="1" applyFont="1" applyFill="1" applyBorder="1" applyAlignment="1">
      <alignment horizontal="left"/>
    </xf>
    <xf numFmtId="0" fontId="101" fillId="0" borderId="0" xfId="20" applyFont="1" applyAlignment="1">
      <alignment horizontal="left"/>
    </xf>
    <xf numFmtId="0" fontId="102" fillId="27" borderId="0" xfId="20" applyFont="1" applyFill="1" applyAlignment="1">
      <alignment horizontal="left"/>
    </xf>
    <xf numFmtId="197" fontId="93" fillId="27" borderId="0" xfId="20" applyNumberFormat="1" applyFont="1" applyFill="1" applyAlignment="1">
      <alignment horizontal="left"/>
    </xf>
    <xf numFmtId="0" fontId="103" fillId="22" borderId="0" xfId="20" applyFont="1" applyFill="1" applyAlignment="1">
      <alignment vertical="center"/>
    </xf>
    <xf numFmtId="9" fontId="4" fillId="23" borderId="17" xfId="19" applyFont="1" applyFill="1" applyBorder="1" applyAlignment="1" applyProtection="1">
      <alignment horizontal="center" vertical="center"/>
      <protection locked="0"/>
    </xf>
    <xf numFmtId="0" fontId="103" fillId="19" borderId="0" xfId="20" applyFont="1" applyFill="1" applyAlignment="1">
      <alignment vertical="center"/>
    </xf>
    <xf numFmtId="0" fontId="4" fillId="0" borderId="0" xfId="20" applyFont="1"/>
    <xf numFmtId="189" fontId="104" fillId="21" borderId="17" xfId="19" applyNumberFormat="1" applyFont="1" applyFill="1" applyBorder="1" applyAlignment="1" applyProtection="1">
      <alignment horizontal="center" vertical="center"/>
      <protection locked="0"/>
    </xf>
    <xf numFmtId="9" fontId="104" fillId="21" borderId="17" xfId="19" applyFont="1" applyFill="1" applyBorder="1" applyAlignment="1" applyProtection="1">
      <alignment horizontal="center" vertical="center"/>
      <protection locked="0"/>
    </xf>
    <xf numFmtId="10" fontId="104" fillId="21" borderId="17" xfId="19" applyNumberFormat="1" applyFont="1" applyFill="1" applyBorder="1" applyAlignment="1" applyProtection="1">
      <alignment horizontal="center" vertical="center"/>
      <protection locked="0"/>
    </xf>
    <xf numFmtId="0" fontId="56" fillId="8" borderId="0" xfId="20" applyFont="1" applyFill="1" applyAlignment="1">
      <alignment horizontal="left" vertical="center" wrapText="1"/>
    </xf>
    <xf numFmtId="0" fontId="56" fillId="8" borderId="0" xfId="20" applyFont="1" applyFill="1" applyAlignment="1">
      <alignment horizontal="center" vertical="center"/>
    </xf>
    <xf numFmtId="0" fontId="56" fillId="8" borderId="0" xfId="20" applyFont="1" applyFill="1" applyAlignment="1">
      <alignment vertical="center"/>
    </xf>
    <xf numFmtId="0" fontId="56" fillId="8" borderId="0" xfId="20" applyFont="1" applyFill="1" applyAlignment="1">
      <alignment horizontal="left" vertical="center"/>
    </xf>
    <xf numFmtId="0" fontId="56" fillId="28" borderId="0" xfId="20" applyFont="1" applyFill="1" applyAlignment="1">
      <alignment vertical="center"/>
    </xf>
    <xf numFmtId="0" fontId="34" fillId="0" borderId="0" xfId="20" applyFont="1" applyAlignment="1">
      <alignment horizontal="left"/>
    </xf>
    <xf numFmtId="9" fontId="15" fillId="0" borderId="0" xfId="20" applyNumberFormat="1" applyFont="1" applyAlignment="1">
      <alignment horizontal="center"/>
    </xf>
    <xf numFmtId="197" fontId="15" fillId="0" borderId="0" xfId="20" applyNumberFormat="1" applyFont="1" applyAlignment="1">
      <alignment horizontal="left"/>
    </xf>
    <xf numFmtId="198" fontId="15" fillId="0" borderId="0" xfId="30" applyNumberFormat="1" applyFont="1"/>
    <xf numFmtId="198" fontId="15" fillId="2" borderId="17" xfId="30" applyNumberFormat="1" applyFont="1" applyFill="1" applyBorder="1"/>
    <xf numFmtId="10" fontId="15" fillId="2" borderId="17" xfId="30" applyNumberFormat="1" applyFont="1" applyFill="1" applyBorder="1"/>
    <xf numFmtId="201" fontId="15" fillId="0" borderId="0" xfId="20" applyNumberFormat="1" applyFont="1" applyAlignment="1">
      <alignment horizontal="center"/>
    </xf>
    <xf numFmtId="197" fontId="15" fillId="0" borderId="0" xfId="34" applyNumberFormat="1" applyFont="1" applyFill="1" applyBorder="1"/>
    <xf numFmtId="197" fontId="15" fillId="0" borderId="0" xfId="34" applyNumberFormat="1" applyFont="1" applyFill="1"/>
    <xf numFmtId="44" fontId="34" fillId="0" borderId="0" xfId="20" applyNumberFormat="1" applyFont="1" applyAlignment="1">
      <alignment horizontal="left"/>
    </xf>
    <xf numFmtId="197" fontId="34" fillId="0" borderId="0" xfId="20" applyNumberFormat="1" applyFont="1" applyAlignment="1">
      <alignment horizontal="left"/>
    </xf>
    <xf numFmtId="0" fontId="34" fillId="0" borderId="18" xfId="20" applyFont="1" applyBorder="1" applyAlignment="1">
      <alignment horizontal="left"/>
    </xf>
    <xf numFmtId="0" fontId="36" fillId="29" borderId="18" xfId="20" applyFont="1" applyFill="1" applyBorder="1" applyAlignment="1">
      <alignment horizontal="left"/>
    </xf>
    <xf numFmtId="197" fontId="36" fillId="29" borderId="18" xfId="20" applyNumberFormat="1" applyFont="1" applyFill="1" applyBorder="1" applyAlignment="1">
      <alignment horizontal="left"/>
    </xf>
    <xf numFmtId="0" fontId="36" fillId="30" borderId="0" xfId="20" applyFont="1" applyFill="1" applyAlignment="1">
      <alignment horizontal="left"/>
    </xf>
    <xf numFmtId="197" fontId="34" fillId="30" borderId="0" xfId="20" applyNumberFormat="1" applyFont="1" applyFill="1" applyAlignment="1">
      <alignment horizontal="left"/>
    </xf>
    <xf numFmtId="0" fontId="56" fillId="31" borderId="0" xfId="20" applyFont="1" applyFill="1" applyAlignment="1">
      <alignment vertical="center"/>
    </xf>
    <xf numFmtId="9" fontId="34" fillId="32" borderId="17" xfId="19" applyFont="1" applyFill="1" applyBorder="1" applyAlignment="1" applyProtection="1">
      <alignment horizontal="center" vertical="center"/>
      <protection locked="0"/>
    </xf>
    <xf numFmtId="200" fontId="34" fillId="32" borderId="17" xfId="20" applyNumberFormat="1" applyFont="1" applyFill="1" applyBorder="1" applyAlignment="1" applyProtection="1">
      <alignment horizontal="left" vertical="center"/>
      <protection locked="0"/>
    </xf>
    <xf numFmtId="0" fontId="34" fillId="0" borderId="0" xfId="20" applyFont="1"/>
    <xf numFmtId="197" fontId="15" fillId="32" borderId="17" xfId="29" applyNumberFormat="1" applyFont="1" applyFill="1" applyBorder="1"/>
    <xf numFmtId="189" fontId="15" fillId="2" borderId="17" xfId="19" applyNumberFormat="1" applyFont="1" applyFill="1" applyBorder="1" applyAlignment="1" applyProtection="1">
      <alignment horizontal="center" vertical="center"/>
      <protection locked="0"/>
    </xf>
    <xf numFmtId="9" fontId="15" fillId="2" borderId="17" xfId="19" applyFont="1" applyFill="1" applyBorder="1" applyAlignment="1" applyProtection="1">
      <alignment horizontal="center" vertical="center"/>
      <protection locked="0"/>
    </xf>
    <xf numFmtId="9" fontId="15" fillId="33" borderId="17" xfId="19" applyFont="1" applyFill="1" applyBorder="1" applyAlignment="1" applyProtection="1">
      <alignment horizontal="left" vertical="center"/>
      <protection locked="0"/>
    </xf>
    <xf numFmtId="44" fontId="15" fillId="33" borderId="17" xfId="19" applyNumberFormat="1" applyFont="1" applyFill="1" applyBorder="1" applyAlignment="1" applyProtection="1">
      <alignment horizontal="left" vertical="center"/>
      <protection locked="0"/>
    </xf>
    <xf numFmtId="197" fontId="15" fillId="33" borderId="17" xfId="19" applyNumberFormat="1" applyFont="1" applyFill="1" applyBorder="1" applyAlignment="1" applyProtection="1">
      <alignment horizontal="left" vertical="center"/>
      <protection locked="0"/>
    </xf>
    <xf numFmtId="9" fontId="15" fillId="33" borderId="17" xfId="35" applyFont="1" applyFill="1" applyBorder="1" applyAlignment="1" applyProtection="1">
      <alignment horizontal="right" vertical="center"/>
      <protection locked="0"/>
    </xf>
    <xf numFmtId="10" fontId="15" fillId="2" borderId="17" xfId="19" applyNumberFormat="1" applyFont="1" applyFill="1" applyBorder="1" applyAlignment="1" applyProtection="1">
      <alignment horizontal="center" vertical="center"/>
      <protection locked="0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6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" xfId="34" builtinId="4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" xfId="35" builtinId="5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2419270833333327E-2"/>
          <c:y val="9.2846486361162939E-2"/>
          <c:w val="0.89336527777777774"/>
          <c:h val="0.71628514056224879"/>
        </c:manualLayout>
      </c:layout>
      <c:lineChart>
        <c:grouping val="standard"/>
        <c:varyColors val="0"/>
        <c:ser>
          <c:idx val="0"/>
          <c:order val="0"/>
          <c:tx>
            <c:strRef>
              <c:f>Consol!$H$91</c:f>
              <c:strCache>
                <c:ptCount val="1"/>
                <c:pt idx="0">
                  <c:v>Option 2 annualised capex</c:v>
                </c:pt>
              </c:strCache>
            </c:strRef>
          </c:tx>
          <c:spPr>
            <a:ln w="28575" cap="rnd">
              <a:solidFill>
                <a:srgbClr val="EE2A24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Consol!$I$91:$R$91</c:f>
              <c:numCache>
                <c:formatCode>#,##0.0;[Red]\ \-#,##0.0;\ "-"</c:formatCode>
                <c:ptCount val="10"/>
                <c:pt idx="0">
                  <c:v>0.35449620711577623</c:v>
                </c:pt>
                <c:pt idx="1">
                  <c:v>0.35449620711577623</c:v>
                </c:pt>
                <c:pt idx="2">
                  <c:v>0.35449620711577623</c:v>
                </c:pt>
                <c:pt idx="3">
                  <c:v>0.35449620711577623</c:v>
                </c:pt>
                <c:pt idx="4">
                  <c:v>0.35449620711577623</c:v>
                </c:pt>
                <c:pt idx="5">
                  <c:v>0.35449620711577623</c:v>
                </c:pt>
                <c:pt idx="6">
                  <c:v>0.35449620711577623</c:v>
                </c:pt>
                <c:pt idx="7">
                  <c:v>0.35449620711577623</c:v>
                </c:pt>
                <c:pt idx="8">
                  <c:v>0.35449620711577623</c:v>
                </c:pt>
                <c:pt idx="9">
                  <c:v>0.35449620711577623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80-440B-9C44-4F49152E2503}"/>
            </c:ext>
          </c:extLst>
        </c:ser>
        <c:ser>
          <c:idx val="1"/>
          <c:order val="1"/>
          <c:tx>
            <c:strRef>
              <c:f>Consol!$H$92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ln w="28575" cap="rnd">
              <a:solidFill>
                <a:srgbClr val="FABFA8"/>
              </a:solidFill>
              <a:round/>
            </a:ln>
            <a:effectLst/>
          </c:spPr>
          <c:marker>
            <c:symbol val="none"/>
          </c:marker>
          <c:cat>
            <c:strRef>
              <c:f>Consol!$I$88:$W$88</c:f>
              <c:strCache>
                <c:ptCount val="15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  <c:pt idx="10">
                  <c:v>FY37</c:v>
                </c:pt>
                <c:pt idx="11">
                  <c:v>FY38</c:v>
                </c:pt>
                <c:pt idx="12">
                  <c:v>FY39</c:v>
                </c:pt>
                <c:pt idx="13">
                  <c:v>FY40</c:v>
                </c:pt>
                <c:pt idx="14">
                  <c:v>FY41</c:v>
                </c:pt>
              </c:strCache>
            </c:strRef>
          </c:cat>
          <c:val>
            <c:numRef>
              <c:f>Consol!$I$92:$R$92</c:f>
              <c:numCache>
                <c:formatCode>#,##0.0;[Red]\ \-#,##0.0;\ "-"</c:formatCode>
                <c:ptCount val="10"/>
                <c:pt idx="0">
                  <c:v>0.38674955394339677</c:v>
                </c:pt>
                <c:pt idx="1">
                  <c:v>0.40383834758868825</c:v>
                </c:pt>
                <c:pt idx="2">
                  <c:v>0.42327468737123181</c:v>
                </c:pt>
                <c:pt idx="3">
                  <c:v>0.44207855416863667</c:v>
                </c:pt>
                <c:pt idx="4">
                  <c:v>0.45669201973229967</c:v>
                </c:pt>
                <c:pt idx="5">
                  <c:v>0.4731170511987407</c:v>
                </c:pt>
                <c:pt idx="6">
                  <c:v>0.49657687968138259</c:v>
                </c:pt>
                <c:pt idx="7">
                  <c:v>0.52231780777923231</c:v>
                </c:pt>
                <c:pt idx="8">
                  <c:v>0.53927615747773172</c:v>
                </c:pt>
                <c:pt idx="9">
                  <c:v>0.55332176263477673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80-440B-9C44-4F49152E25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8026431"/>
        <c:axId val="1578022271"/>
      </c:line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-#,##0.0;\ &quot;-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</c:valAx>
      <c:spPr>
        <a:solidFill>
          <a:srgbClr val="F2F2F2"/>
        </a:solidFill>
      </c:spPr>
    </c:plotArea>
    <c:legend>
      <c:legendPos val="b"/>
      <c:layout>
        <c:manualLayout>
          <c:xMode val="edge"/>
          <c:yMode val="edge"/>
          <c:x val="0.11724253472222222"/>
          <c:y val="0.895394146278088"/>
          <c:w val="0.7429276041666667"/>
          <c:h val="8.3141188851546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4662326388888894E-2"/>
          <c:y val="8.5556894243641227E-2"/>
          <c:w val="0.89773680555555535"/>
          <c:h val="0.815847054886211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Consol!$H$99</c:f>
              <c:strCache>
                <c:ptCount val="1"/>
                <c:pt idx="0">
                  <c:v>Option 1 (base case) risk cost</c:v>
                </c:pt>
              </c:strCache>
            </c:strRef>
          </c:tx>
          <c:spPr>
            <a:solidFill>
              <a:srgbClr val="EE2A24"/>
            </a:solidFill>
            <a:ln>
              <a:solidFill>
                <a:srgbClr val="F2F2F2"/>
              </a:solidFill>
            </a:ln>
            <a:effectLst/>
          </c:spPr>
          <c:invertIfNegative val="0"/>
          <c:cat>
            <c:strRef>
              <c:f>Consol!$I$97:$R$97</c:f>
              <c:strCache>
                <c:ptCount val="10"/>
                <c:pt idx="0">
                  <c:v>FY27</c:v>
                </c:pt>
                <c:pt idx="1">
                  <c:v>FY28</c:v>
                </c:pt>
                <c:pt idx="2">
                  <c:v>FY29</c:v>
                </c:pt>
                <c:pt idx="3">
                  <c:v>FY30</c:v>
                </c:pt>
                <c:pt idx="4">
                  <c:v>FY31</c:v>
                </c:pt>
                <c:pt idx="5">
                  <c:v>FY32</c:v>
                </c:pt>
                <c:pt idx="6">
                  <c:v>FY33</c:v>
                </c:pt>
                <c:pt idx="7">
                  <c:v>FY34</c:v>
                </c:pt>
                <c:pt idx="8">
                  <c:v>FY35</c:v>
                </c:pt>
                <c:pt idx="9">
                  <c:v>FY36</c:v>
                </c:pt>
              </c:strCache>
            </c:strRef>
          </c:cat>
          <c:val>
            <c:numRef>
              <c:f>Consol!$I$99:$R$99</c:f>
              <c:numCache>
                <c:formatCode>#,##0;[Red]\ \-#,##0;\ "-"</c:formatCode>
                <c:ptCount val="10"/>
                <c:pt idx="0">
                  <c:v>0.25551755253046138</c:v>
                </c:pt>
                <c:pt idx="1">
                  <c:v>0.27017915515788415</c:v>
                </c:pt>
                <c:pt idx="2">
                  <c:v>0.28694015173124443</c:v>
                </c:pt>
                <c:pt idx="3">
                  <c:v>0.30312292686900288</c:v>
                </c:pt>
                <c:pt idx="4">
                  <c:v>0.31553058737326239</c:v>
                </c:pt>
                <c:pt idx="5">
                  <c:v>0.3295562167797173</c:v>
                </c:pt>
                <c:pt idx="6">
                  <c:v>0.3498931693150551</c:v>
                </c:pt>
                <c:pt idx="7">
                  <c:v>0.37227009739130518</c:v>
                </c:pt>
                <c:pt idx="8">
                  <c:v>0.3867458624652631</c:v>
                </c:pt>
                <c:pt idx="9">
                  <c:v>0.39859481531678986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5-495D-AA2E-7DB041CBA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578026431"/>
        <c:axId val="1578022271"/>
      </c:barChart>
      <c:catAx>
        <c:axId val="15780264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" lastClr="FFFFFF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7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2271"/>
        <c:crosses val="autoZero"/>
        <c:auto val="1"/>
        <c:lblAlgn val="ctr"/>
        <c:lblOffset val="100"/>
        <c:noMultiLvlLbl val="0"/>
      </c:catAx>
      <c:valAx>
        <c:axId val="15780222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" lastClr="FFFFFF"/>
              </a:solidFill>
              <a:round/>
            </a:ln>
            <a:effectLst/>
          </c:spPr>
        </c:majorGridlines>
        <c:numFmt formatCode="#,##0.0;[Red]\ \ \-#,##0.0;\ &quot;-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78026431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solidFill>
      <a:srgbClr val="F2F2F2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114609</xdr:colOff>
      <xdr:row>38</xdr:row>
      <xdr:rowOff>110318</xdr:rowOff>
    </xdr:from>
    <xdr:to>
      <xdr:col>5</xdr:col>
      <xdr:colOff>125991</xdr:colOff>
      <xdr:row>57</xdr:row>
      <xdr:rowOff>117553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F4FA90B-26EA-4B2F-BB30-10702267B2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349248</xdr:colOff>
      <xdr:row>38</xdr:row>
      <xdr:rowOff>133849</xdr:rowOff>
    </xdr:from>
    <xdr:to>
      <xdr:col>11</xdr:col>
      <xdr:colOff>1089013</xdr:colOff>
      <xdr:row>57</xdr:row>
      <xdr:rowOff>141084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BF500AE-B449-4C5D-99EE-7C7D4B42E7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4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24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C-Citipower">
    <a:dk1>
      <a:sysClr val="windowText" lastClr="000000"/>
    </a:dk1>
    <a:lt1>
      <a:sysClr val="window" lastClr="FFFFFF"/>
    </a:lt1>
    <a:dk2>
      <a:srgbClr val="000000"/>
    </a:dk2>
    <a:lt2>
      <a:srgbClr val="FFFFFF"/>
    </a:lt2>
    <a:accent1>
      <a:srgbClr val="1079BF"/>
    </a:accent1>
    <a:accent2>
      <a:srgbClr val="ACD0E8"/>
    </a:accent2>
    <a:accent3>
      <a:srgbClr val="DCDCDC"/>
    </a:accent3>
    <a:accent4>
      <a:srgbClr val="101F5B"/>
    </a:accent4>
    <a:accent5>
      <a:srgbClr val="1F3B8A"/>
    </a:accent5>
    <a:accent6>
      <a:srgbClr val="4C62A1"/>
    </a:accent6>
    <a:hlink>
      <a:srgbClr val="000000"/>
    </a:hlink>
    <a:folHlink>
      <a:srgbClr val="000000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="115" zoomScaleNormal="115" workbookViewId="0">
      <selection activeCell="A22" sqref="A22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243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334</v>
      </c>
    </row>
    <row r="6" spans="1:19" x14ac:dyDescent="0.25">
      <c r="A6" s="310"/>
      <c r="C6" s="315" t="s">
        <v>244</v>
      </c>
      <c r="D6" s="329">
        <v>4.01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15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MNA transformer replacement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160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190</v>
      </c>
      <c r="H7" s="152" t="s">
        <v>191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426" t="str">
        <f>INDEX(Assumptions!$E$14:$E$18, MATCH(C9, Assumptions!$C$14:$C$18,0))</f>
        <v>No change to existing practices</v>
      </c>
      <c r="E9" s="427"/>
      <c r="F9" s="42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428" t="str">
        <f>INDEX(Assumptions!$E$14:$E$18, MATCH(C10, Assumptions!$C$14:$C$18,0))</f>
        <v>Replace transformer #1 completed in 2028-2029</v>
      </c>
      <c r="E10" s="429"/>
      <c r="F10" s="429"/>
      <c r="G10" s="103">
        <f>IF(Data!$C10, "", INDEX(Consol!$F$15:$F$82, MATCH($C10&amp;G$7, Consol!$D$15:$D$82,0))/mill_conv)</f>
        <v>-4.3988003414257104</v>
      </c>
      <c r="H10" s="103">
        <f>IF(Data!$C10, "", INDEX(Consol!$F$15:$F$82, MATCH($C10&amp;H$7, Consol!$D$15:$D$82,0))/mill_conv)</f>
        <v>5.3742270089818094</v>
      </c>
      <c r="I10" s="103">
        <f>IF(Data!$C10, "", INDEX(Consol!$F$15:$F$82, MATCH($C10&amp;I$7, Consol!$D$15:$D$82,0))/mill_conv)</f>
        <v>0.97542666755609853</v>
      </c>
    </row>
    <row r="11" spans="1:13" s="7" customFormat="1" ht="12.75" x14ac:dyDescent="0.2">
      <c r="C11" s="91" t="str">
        <v>Option 3</v>
      </c>
      <c r="D11" s="428" t="str">
        <f>INDEX(Assumptions!$E$14:$E$18, MATCH(C11, Assumptions!$C$14:$C$18,0))</f>
        <v>Refurbish transformer #1 completed in 2027-2028</v>
      </c>
      <c r="E11" s="429"/>
      <c r="F11" s="429"/>
      <c r="G11" s="103">
        <f>IF(Data!$C11, "", INDEX(Consol!$F$15:$F$82, MATCH($C11&amp;G$7, Consol!$D$15:$D$82,0))/mill_conv)</f>
        <v>-0.52847026607789538</v>
      </c>
      <c r="H11" s="103">
        <f>IF(Data!$C11, "", INDEX(Consol!$F$15:$F$82, MATCH($C11&amp;H$7, Consol!$D$15:$D$82,0))/mill_conv)</f>
        <v>0.8494164513125998</v>
      </c>
      <c r="I11" s="103">
        <f>IF(Data!$C11, "", INDEX(Consol!$F$15:$F$82, MATCH($C11&amp;I$7, Consol!$D$15:$D$82,0))/mill_conv)</f>
        <v>0.32094618523470453</v>
      </c>
    </row>
    <row r="12" spans="1:13" s="7" customFormat="1" ht="12.75" x14ac:dyDescent="0.2">
      <c r="C12" s="91" t="str">
        <v>Option 4</v>
      </c>
      <c r="D12" s="428">
        <f>INDEX(Assumptions!$E$14:$E$18, MATCH(C12, Assumptions!$C$14:$C$18,0))</f>
        <v>0</v>
      </c>
      <c r="E12" s="429"/>
      <c r="F12" s="429"/>
      <c r="G12" s="103" t="str">
        <f>IF(Data!$C12, "", INDEX(Consol!$F$15:$F$82, MATCH($C12&amp;G$7, Consol!$D$15:$D$82,0))/mill_conv)</f>
        <v/>
      </c>
      <c r="H12" s="103" t="str">
        <f>IF(Data!$C12, "", INDEX(Consol!$F$15:$F$82, MATCH($C12&amp;H$7, Consol!$D$15:$D$82,0))/mill_conv)</f>
        <v/>
      </c>
      <c r="I12" s="103" t="str">
        <f>IF(Data!$C12, "", INDEX(Consol!$F$15:$F$82, MATCH($C12&amp;I$7, Consol!$D$15:$D$82,0))/mill_conv)</f>
        <v/>
      </c>
    </row>
    <row r="13" spans="1:13" s="7" customFormat="1" ht="12.75" x14ac:dyDescent="0.2">
      <c r="C13" s="91" t="str">
        <v>Option 5</v>
      </c>
      <c r="D13" s="428">
        <f>INDEX(Assumptions!$E$14:$E$18, MATCH(C13, Assumptions!$C$14:$C$18,0))</f>
        <v>0</v>
      </c>
      <c r="E13" s="429"/>
      <c r="F13" s="42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425" t="str">
        <f>INDEX($D$9:$D$13,MATCH(G18, $I$9:$I$13,0))</f>
        <v>Replace transformer #1 completed in 2028-2029</v>
      </c>
      <c r="E18" s="425"/>
      <c r="F18" s="425"/>
      <c r="G18" s="104">
        <f>_xlfn.MAXIFS(I9:I13, IF(compliance, Data!$F$9:$F$13, Data!$C$9:$C$13),FALSE)</f>
        <v>0.97542666755609853</v>
      </c>
      <c r="H1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142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2.7716425235640876</v>
      </c>
      <c r="H30" s="105">
        <f>-INDEX(Consol!$I$15:$Q$82,MATCH($C$26&amp;$C30,Consol!$D$15:$D$82,0), MATCH(H$29, Consol!$I$9:$Q$9,0))/mill_conv</f>
        <v>5.5432850471281752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8.3149275706922623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2" s="8" customFormat="1" ht="12.75" x14ac:dyDescent="0.2"/>
    <row r="34" spans="1:12" s="8" customFormat="1" ht="12.75" x14ac:dyDescent="0.2"/>
    <row r="35" spans="1:12" s="8" customFormat="1" ht="15" x14ac:dyDescent="0.25">
      <c r="A35" s="19" t="s">
        <v>159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s="8" customFormat="1" ht="12.75" x14ac:dyDescent="0.2"/>
    <row r="37" spans="1:12" s="8" customFormat="1" ht="12.75" x14ac:dyDescent="0.2">
      <c r="C37" s="8" t="s">
        <v>234</v>
      </c>
      <c r="D37" s="28"/>
      <c r="E37" s="28"/>
      <c r="F37" s="322" t="s">
        <v>240</v>
      </c>
    </row>
    <row r="38" spans="1:12" s="8" customFormat="1" ht="12.75" x14ac:dyDescent="0.2"/>
    <row r="39" spans="1:12" s="8" customFormat="1" ht="12.75" x14ac:dyDescent="0.2"/>
    <row r="40" spans="1:12" s="8" customFormat="1" ht="12.75" x14ac:dyDescent="0.2"/>
    <row r="41" spans="1:12" s="8" customFormat="1" ht="12.75" x14ac:dyDescent="0.2"/>
    <row r="42" spans="1:12" s="8" customFormat="1" ht="12.75" x14ac:dyDescent="0.2"/>
    <row r="43" spans="1:12" s="8" customFormat="1" ht="12.75" x14ac:dyDescent="0.2"/>
    <row r="44" spans="1:12" s="8" customFormat="1" ht="12.75" x14ac:dyDescent="0.2"/>
    <row r="45" spans="1:12" s="8" customFormat="1" ht="12.75" x14ac:dyDescent="0.2"/>
    <row r="46" spans="1:12" s="8" customFormat="1" ht="12.75" x14ac:dyDescent="0.2"/>
    <row r="47" spans="1:12" s="8" customFormat="1" ht="12.75" x14ac:dyDescent="0.2"/>
    <row r="48" spans="1:12" s="8" customFormat="1" ht="12.75" x14ac:dyDescent="0.2"/>
    <row r="49" spans="1:12" s="8" customFormat="1" ht="12.75" x14ac:dyDescent="0.2"/>
    <row r="50" spans="1:12" s="8" customFormat="1" ht="12.75" x14ac:dyDescent="0.2"/>
    <row r="51" spans="1:12" s="8" customFormat="1" ht="12.75" x14ac:dyDescent="0.2"/>
    <row r="52" spans="1:12" s="8" customFormat="1" ht="12.75" x14ac:dyDescent="0.2"/>
    <row r="53" spans="1:12" s="8" customFormat="1" ht="12.75" x14ac:dyDescent="0.2"/>
    <row r="54" spans="1:12" s="8" customFormat="1" ht="12.75" x14ac:dyDescent="0.2"/>
    <row r="55" spans="1:12" s="8" customFormat="1" ht="12.75" x14ac:dyDescent="0.2"/>
    <row r="56" spans="1:12" s="8" customFormat="1" ht="12.75" x14ac:dyDescent="0.2"/>
    <row r="57" spans="1:12" s="8" customFormat="1" ht="12.75" x14ac:dyDescent="0.2"/>
    <row r="58" spans="1:12" s="8" customFormat="1" ht="12.75" x14ac:dyDescent="0.2"/>
    <row r="59" spans="1:12" s="8" customFormat="1" ht="12.75" x14ac:dyDescent="0.2"/>
    <row r="60" spans="1:12" s="8" customFormat="1" ht="12.75" x14ac:dyDescent="0.2"/>
    <row r="61" spans="1:12" s="8" customFormat="1" ht="12.75" x14ac:dyDescent="0.2"/>
    <row r="62" spans="1:12" s="8" customFormat="1" ht="12.75" x14ac:dyDescent="0.2"/>
    <row r="63" spans="1:12" s="8" customFormat="1" ht="15" x14ac:dyDescent="0.25">
      <c r="A63" s="19" t="s">
        <v>217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</row>
    <row r="64" spans="1:12" s="8" customFormat="1" ht="12.75" x14ac:dyDescent="0.2"/>
    <row r="65" spans="3:13" s="8" customFormat="1" ht="12.75" x14ac:dyDescent="0.2">
      <c r="C65" s="256"/>
      <c r="D65" s="256"/>
      <c r="E65" s="256"/>
      <c r="F65" s="256"/>
      <c r="G65" s="256"/>
      <c r="H65" s="256"/>
      <c r="I65" s="256"/>
      <c r="J65" s="256"/>
      <c r="K65" s="256"/>
      <c r="L65" s="256"/>
      <c r="M65" s="256"/>
    </row>
    <row r="66" spans="3:13" s="8" customFormat="1" ht="12.75" x14ac:dyDescent="0.2">
      <c r="C66" s="257" t="s">
        <v>221</v>
      </c>
      <c r="D66" s="185">
        <f>output_dollars</f>
        <v>46203</v>
      </c>
      <c r="E66" s="185"/>
      <c r="F66" s="258" t="str">
        <f>Sensitivity_calcs!C89</f>
        <v>Option 1 (base case)</v>
      </c>
      <c r="G66" s="258" t="str">
        <f>Sensitivity_calcs!D89</f>
        <v>Option 2</v>
      </c>
      <c r="H66" s="258" t="str">
        <f>Sensitivity_calcs!E89</f>
        <v>Option 3</v>
      </c>
      <c r="I66" s="258" t="str">
        <f>Sensitivity_calcs!F89</f>
        <v>Option 4</v>
      </c>
      <c r="J66" s="258" t="str">
        <f>Sensitivity_calcs!G89</f>
        <v>Option 5</v>
      </c>
      <c r="K66" s="262"/>
      <c r="L66" s="287" t="s">
        <v>219</v>
      </c>
      <c r="M66" s="262"/>
    </row>
    <row r="67" spans="3:13" s="8" customFormat="1" ht="12.75" x14ac:dyDescent="0.2">
      <c r="C67" s="285" t="str">
        <f>Sensitivity_calcs!B90</f>
        <v>None</v>
      </c>
      <c r="D67" s="265"/>
      <c r="E67" s="265"/>
      <c r="F67" s="286">
        <f>Sensitivity_calcs!C90</f>
        <v>0</v>
      </c>
      <c r="G67" s="286">
        <f>Sensitivity_calcs!D90</f>
        <v>0.97542666755609808</v>
      </c>
      <c r="H67" s="286">
        <f>Sensitivity_calcs!E90</f>
        <v>0.32094618523470458</v>
      </c>
      <c r="I67" s="286" t="str">
        <f>Sensitivity_calcs!F90</f>
        <v/>
      </c>
      <c r="J67" s="286" t="str">
        <f>Sensitivity_calcs!G90</f>
        <v/>
      </c>
      <c r="K67" s="256"/>
      <c r="L67" s="288" t="str">
        <f>Sensitivity_calcs!K90</f>
        <v>Option 2</v>
      </c>
      <c r="M67" s="256"/>
    </row>
    <row r="68" spans="3:13" s="8" customFormat="1" ht="12.75" x14ac:dyDescent="0.2">
      <c r="C68" s="264" t="str">
        <f>Sensitivity_calcs!B91</f>
        <v>Capex 10% higher</v>
      </c>
      <c r="D68" s="264"/>
      <c r="E68" s="264"/>
      <c r="F68" s="278">
        <f>Sensitivity_calcs!C91</f>
        <v>0</v>
      </c>
      <c r="G68" s="273">
        <f>Sensitivity_calcs!D91</f>
        <v>0.53554663341352715</v>
      </c>
      <c r="H68" s="273">
        <f>Sensitivity_calcs!E91</f>
        <v>0.26809915862691502</v>
      </c>
      <c r="I68" s="273" t="str">
        <f>Sensitivity_calcs!F91</f>
        <v/>
      </c>
      <c r="J68" s="273" t="str">
        <f>Sensitivity_calcs!G91</f>
        <v/>
      </c>
      <c r="K68" s="256"/>
      <c r="L68" s="281" t="str">
        <f>Sensitivity_calcs!K91</f>
        <v>Option 2</v>
      </c>
      <c r="M68" s="256"/>
    </row>
    <row r="69" spans="3:13" s="8" customFormat="1" ht="12.75" x14ac:dyDescent="0.2">
      <c r="C69" s="264" t="str">
        <f>Sensitivity_calcs!B92</f>
        <v>Capex 10% lower</v>
      </c>
      <c r="D69" s="264"/>
      <c r="E69" s="264"/>
      <c r="F69" s="279">
        <f>Sensitivity_calcs!C92</f>
        <v>0</v>
      </c>
      <c r="G69" s="274">
        <f>Sensitivity_calcs!D92</f>
        <v>1.4153067016986691</v>
      </c>
      <c r="H69" s="274">
        <f>Sensitivity_calcs!E92</f>
        <v>0.37379321184249409</v>
      </c>
      <c r="I69" s="274" t="str">
        <f>Sensitivity_calcs!F92</f>
        <v/>
      </c>
      <c r="J69" s="274" t="str">
        <f>Sensitivity_calcs!G92</f>
        <v/>
      </c>
      <c r="K69" s="256"/>
      <c r="L69" s="281" t="str">
        <f>Sensitivity_calcs!K92</f>
        <v>Option 2</v>
      </c>
      <c r="M69" s="256"/>
    </row>
    <row r="70" spans="3:13" s="8" customFormat="1" ht="12.75" x14ac:dyDescent="0.2">
      <c r="C70" s="264" t="str">
        <f>Sensitivity_calcs!B93</f>
        <v>Total benefits 10% higher</v>
      </c>
      <c r="D70" s="264"/>
      <c r="E70" s="264"/>
      <c r="F70" s="279">
        <f>Sensitivity_calcs!C93</f>
        <v>0</v>
      </c>
      <c r="G70" s="274">
        <f>Sensitivity_calcs!D93</f>
        <v>1.5128493684542792</v>
      </c>
      <c r="H70" s="274">
        <f>Sensitivity_calcs!E93</f>
        <v>0.40588783036596443</v>
      </c>
      <c r="I70" s="274" t="str">
        <f>Sensitivity_calcs!F93</f>
        <v/>
      </c>
      <c r="J70" s="274" t="str">
        <f>Sensitivity_calcs!G93</f>
        <v/>
      </c>
      <c r="K70" s="256"/>
      <c r="L70" s="281" t="str">
        <f>Sensitivity_calcs!K93</f>
        <v>Option 2</v>
      </c>
      <c r="M70" s="256"/>
    </row>
    <row r="71" spans="3:13" s="8" customFormat="1" ht="12.75" x14ac:dyDescent="0.2">
      <c r="C71" s="264" t="str">
        <f>Sensitivity_calcs!B94</f>
        <v>Total benefits 10% lower</v>
      </c>
      <c r="D71" s="264"/>
      <c r="E71" s="264"/>
      <c r="F71" s="279">
        <f>Sensitivity_calcs!C94</f>
        <v>0</v>
      </c>
      <c r="G71" s="274">
        <f>Sensitivity_calcs!D94</f>
        <v>0.43800396665791735</v>
      </c>
      <c r="H71" s="274">
        <f>Sensitivity_calcs!E94</f>
        <v>0.23600454010344457</v>
      </c>
      <c r="I71" s="274" t="str">
        <f>Sensitivity_calcs!F94</f>
        <v/>
      </c>
      <c r="J71" s="274" t="str">
        <f>Sensitivity_calcs!G94</f>
        <v/>
      </c>
      <c r="K71" s="256"/>
      <c r="L71" s="281" t="str">
        <f>Sensitivity_calcs!K94</f>
        <v>Option 2</v>
      </c>
      <c r="M71" s="256"/>
    </row>
    <row r="72" spans="3:13" s="8" customFormat="1" ht="12.75" x14ac:dyDescent="0.2">
      <c r="C72" s="264" t="str">
        <f>Sensitivity_calcs!B95</f>
        <v>Capex 10% higher &amp; Total benefits 10% lower</v>
      </c>
      <c r="D72" s="264"/>
      <c r="E72" s="264"/>
      <c r="F72" s="279">
        <f>Sensitivity_calcs!C95</f>
        <v>0</v>
      </c>
      <c r="G72" s="274">
        <f>Sensitivity_calcs!D95</f>
        <v>-1.876067484653835E-3</v>
      </c>
      <c r="H72" s="274">
        <f>Sensitivity_calcs!E95</f>
        <v>0.18315751349565504</v>
      </c>
      <c r="I72" s="274" t="str">
        <f>Sensitivity_calcs!F95</f>
        <v/>
      </c>
      <c r="J72" s="274" t="str">
        <f>Sensitivity_calcs!G95</f>
        <v/>
      </c>
      <c r="K72" s="256"/>
      <c r="L72" s="281" t="str">
        <f>Sensitivity_calcs!K95</f>
        <v>Option 3</v>
      </c>
      <c r="M72" s="256"/>
    </row>
    <row r="73" spans="3:13" s="8" customFormat="1" ht="12.75" x14ac:dyDescent="0.2">
      <c r="C73" s="264">
        <f>Sensitivity_calcs!B96</f>
        <v>0</v>
      </c>
      <c r="D73" s="264"/>
      <c r="E73" s="264"/>
      <c r="F73" s="279" t="str">
        <f>Sensitivity_calcs!C96</f>
        <v/>
      </c>
      <c r="G73" s="274" t="str">
        <f>Sensitivity_calcs!D96</f>
        <v/>
      </c>
      <c r="H73" s="274" t="str">
        <f>Sensitivity_calcs!E96</f>
        <v/>
      </c>
      <c r="I73" s="274" t="str">
        <f>Sensitivity_calcs!F96</f>
        <v/>
      </c>
      <c r="J73" s="274" t="str">
        <f>Sensitivity_calcs!G96</f>
        <v/>
      </c>
      <c r="K73" s="256"/>
      <c r="L73" s="281" t="str">
        <f>Sensitivity_calcs!K96</f>
        <v/>
      </c>
      <c r="M73" s="256"/>
    </row>
    <row r="74" spans="3:13" s="8" customFormat="1" ht="12.75" x14ac:dyDescent="0.2">
      <c r="C74" s="264">
        <f>Sensitivity_calcs!B97</f>
        <v>0</v>
      </c>
      <c r="D74" s="259"/>
      <c r="E74" s="259"/>
      <c r="F74" s="279" t="str">
        <f>Sensitivity_calcs!C97</f>
        <v/>
      </c>
      <c r="G74" s="274" t="str">
        <f>Sensitivity_calcs!D97</f>
        <v/>
      </c>
      <c r="H74" s="274" t="str">
        <f>Sensitivity_calcs!E97</f>
        <v/>
      </c>
      <c r="I74" s="274" t="str">
        <f>Sensitivity_calcs!F97</f>
        <v/>
      </c>
      <c r="J74" s="274" t="str">
        <f>Sensitivity_calcs!G97</f>
        <v/>
      </c>
      <c r="K74" s="266">
        <f>IF(C74=0,0, INDEX($F$66:$J$66, MATCH(MAX($F74:$I74),$F74:$I74,0)))</f>
        <v>0</v>
      </c>
      <c r="L74" s="281" t="str">
        <f>Sensitivity_calcs!K97</f>
        <v/>
      </c>
    </row>
    <row r="75" spans="3:13" s="8" customFormat="1" ht="12.75" x14ac:dyDescent="0.2">
      <c r="D75" s="264">
        <f>Sensitivity_calcs!B98</f>
        <v>0</v>
      </c>
      <c r="E75" s="264"/>
      <c r="F75" s="279" t="str">
        <f>Sensitivity_calcs!C98</f>
        <v/>
      </c>
      <c r="G75" s="274" t="str">
        <f>Sensitivity_calcs!D98</f>
        <v/>
      </c>
      <c r="H75" s="274" t="str">
        <f>Sensitivity_calcs!E98</f>
        <v/>
      </c>
      <c r="I75" s="274" t="str">
        <f>Sensitivity_calcs!F98</f>
        <v/>
      </c>
      <c r="J75" s="274" t="str">
        <f>Sensitivity_calcs!G98</f>
        <v/>
      </c>
      <c r="K75" s="256"/>
      <c r="L75" s="281" t="str">
        <f>Sensitivity_calcs!K98</f>
        <v/>
      </c>
      <c r="M75" s="256"/>
    </row>
    <row r="76" spans="3:13" s="8" customFormat="1" ht="12.75" x14ac:dyDescent="0.2">
      <c r="D76" s="264">
        <f>Sensitivity_calcs!B99</f>
        <v>0</v>
      </c>
      <c r="E76" s="264"/>
      <c r="F76" s="280"/>
      <c r="G76" s="105"/>
      <c r="H76" s="105"/>
      <c r="I76" s="105"/>
      <c r="J76" s="105"/>
      <c r="K76" s="256"/>
      <c r="L76" s="256"/>
    </row>
    <row r="77" spans="3:13" s="8" customFormat="1" ht="12.75" x14ac:dyDescent="0.2">
      <c r="F77" s="263"/>
      <c r="G77" s="105"/>
      <c r="H77" s="105"/>
      <c r="I77" s="105"/>
      <c r="J77" s="105"/>
    </row>
    <row r="78" spans="3:13" s="8" customFormat="1" ht="12.75" x14ac:dyDescent="0.2">
      <c r="F78" s="263"/>
      <c r="G78" s="263"/>
      <c r="H78" s="263"/>
      <c r="I78" s="263"/>
    </row>
    <row r="79" spans="3:13" s="8" customFormat="1" ht="12.75" x14ac:dyDescent="0.2"/>
    <row r="80" spans="3:13" s="8" customFormat="1" ht="12.75" x14ac:dyDescent="0.2"/>
    <row r="81" spans="4:6" s="8" customFormat="1" ht="12.75" x14ac:dyDescent="0.2">
      <c r="D81" s="244"/>
      <c r="E81" s="244"/>
      <c r="F81" s="244"/>
    </row>
    <row r="82" spans="4:6" s="8" customFormat="1" ht="12.75" x14ac:dyDescent="0.2">
      <c r="D82" s="244"/>
      <c r="E82" s="244"/>
      <c r="F82" s="244"/>
    </row>
    <row r="83" spans="4:6" s="8" customFormat="1" ht="12.75" hidden="1" x14ac:dyDescent="0.2">
      <c r="D83" s="244"/>
      <c r="E83" s="244"/>
      <c r="F83" s="244"/>
    </row>
    <row r="84" spans="4:6" s="8" customFormat="1" ht="12.75" hidden="1" x14ac:dyDescent="0.2"/>
    <row r="85" spans="4:6" s="8" customFormat="1" ht="12.75" hidden="1" x14ac:dyDescent="0.2"/>
    <row r="86" spans="4:6" s="8" customFormat="1" ht="12.75" hidden="1" x14ac:dyDescent="0.2"/>
    <row r="87" spans="4:6" s="8" customFormat="1" ht="12.75" hidden="1" x14ac:dyDescent="0.2"/>
    <row r="88" spans="4:6" s="8" customFormat="1" ht="12.75" hidden="1" x14ac:dyDescent="0.2"/>
    <row r="89" spans="4:6" s="8" customFormat="1" ht="12.75" hidden="1" x14ac:dyDescent="0.2"/>
    <row r="90" spans="4:6" s="8" customFormat="1" ht="12.75" hidden="1" x14ac:dyDescent="0.2"/>
    <row r="91" spans="4:6" s="8" customFormat="1" ht="12.75" hidden="1" x14ac:dyDescent="0.2"/>
    <row r="92" spans="4:6" s="8" customFormat="1" ht="12.75" hidden="1" x14ac:dyDescent="0.2"/>
    <row r="93" spans="4:6" s="8" customFormat="1" ht="12.75" hidden="1" x14ac:dyDescent="0.2"/>
    <row r="94" spans="4:6" s="8" customFormat="1" ht="12.75" hidden="1" x14ac:dyDescent="0.2"/>
    <row r="95" spans="4:6" s="8" customFormat="1" ht="12.75" hidden="1" x14ac:dyDescent="0.2"/>
    <row r="96" spans="4: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s="8" customFormat="1" ht="12.75" hidden="1" x14ac:dyDescent="0.2"/>
    <row r="183" s="8" customFormat="1" ht="12.75" hidden="1" x14ac:dyDescent="0.2"/>
    <row r="184" s="8" customFormat="1" ht="12.75" hidden="1" x14ac:dyDescent="0.2"/>
    <row r="185" s="8" customFormat="1" ht="12.75" hidden="1" x14ac:dyDescent="0.2"/>
    <row r="186" s="8" customFormat="1" ht="12.75" hidden="1" x14ac:dyDescent="0.2"/>
    <row r="187" s="8" customFormat="1" ht="12.75" hidden="1" x14ac:dyDescent="0.2"/>
    <row r="188" s="8" customFormat="1" ht="12.75" hidden="1" x14ac:dyDescent="0.2"/>
    <row r="189" s="8" customFormat="1" ht="12.75" hidden="1" x14ac:dyDescent="0.2"/>
    <row r="190" s="8" customFormat="1" ht="12.75" hidden="1" x14ac:dyDescent="0.2"/>
    <row r="191" s="8" customFormat="1" ht="12.75" hidden="1" x14ac:dyDescent="0.2"/>
    <row r="192" s="8" customFormat="1" ht="12.75" hidden="1" x14ac:dyDescent="0.2"/>
    <row r="193" s="8" customFormat="1" ht="12.75" hidden="1" x14ac:dyDescent="0.2"/>
    <row r="194" s="8" customFormat="1" ht="12.75" hidden="1" x14ac:dyDescent="0.2"/>
    <row r="195" s="8" customFormat="1" ht="12.75" hidden="1" x14ac:dyDescent="0.2"/>
    <row r="196" s="8" customFormat="1" ht="12.75" hidden="1" x14ac:dyDescent="0.2"/>
    <row r="197" s="8" customFormat="1" ht="12.75" hidden="1" x14ac:dyDescent="0.2"/>
    <row r="198" s="8" customFormat="1" ht="12.75" hidden="1" x14ac:dyDescent="0.2"/>
    <row r="199" s="8" customFormat="1" ht="12.75" hidden="1" x14ac:dyDescent="0.2"/>
    <row r="200" s="8" customFormat="1" ht="12.75" hidden="1" x14ac:dyDescent="0.2"/>
    <row r="201" s="8" customFormat="1" ht="12.75" hidden="1" x14ac:dyDescent="0.2"/>
    <row r="202" s="8" customFormat="1" ht="12.75" hidden="1" x14ac:dyDescent="0.2"/>
    <row r="203" s="8" customFormat="1" ht="12.75" hidden="1" x14ac:dyDescent="0.2"/>
    <row r="204" s="8" customFormat="1" ht="12.75" hidden="1" x14ac:dyDescent="0.2"/>
    <row r="205" s="8" customFormat="1" ht="12.75" hidden="1" x14ac:dyDescent="0.2"/>
    <row r="206" s="8" customFormat="1" ht="12.75" hidden="1" x14ac:dyDescent="0.2"/>
    <row r="207" s="8" customFormat="1" ht="12.75" hidden="1" x14ac:dyDescent="0.2"/>
    <row r="208" s="8" customFormat="1" ht="12.75" hidden="1" x14ac:dyDescent="0.2"/>
    <row r="209" s="8" customFormat="1" ht="12.75" hidden="1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MATCH(F$66,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F66:J66</xm:sqref>
        </x14:conditionalFormatting>
        <x14:conditionalFormatting xmlns:xm="http://schemas.microsoft.com/office/excel/2006/main">
          <x14:cfRule type="expression" priority="22" id="{6B3CD12B-2C7F-467C-B21A-8374D0C11F7F}">
            <xm:f>AND($C67&lt;&gt;0, F$66=$L67, Sensitivity_calcs!C$88=FALSE)</xm:f>
            <x14:dxf>
              <fill>
                <patternFill>
                  <bgColor rgb="FFCCFFFF"/>
                </patternFill>
              </fill>
            </x14:dxf>
          </x14:cfRule>
          <xm:sqref>F67 G67:J75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MNA transformer replacement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433" t="s">
        <v>325</v>
      </c>
      <c r="F8" s="433"/>
      <c r="G8" s="433"/>
      <c r="H8" s="43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434" t="s">
        <v>58</v>
      </c>
      <c r="F14" s="434"/>
      <c r="G14" s="434"/>
      <c r="H14" s="434"/>
      <c r="I14" s="434"/>
      <c r="J14" s="434"/>
      <c r="K14" s="434"/>
      <c r="L14"/>
    </row>
    <row r="15" spans="1:16" s="1" customFormat="1" ht="12.75" customHeight="1" x14ac:dyDescent="0.2">
      <c r="C15" s="61" t="str">
        <v>Option 2</v>
      </c>
      <c r="D15" s="61"/>
      <c r="E15" s="435" t="s">
        <v>326</v>
      </c>
      <c r="F15" s="435"/>
      <c r="G15" s="435"/>
      <c r="H15" s="435"/>
      <c r="I15" s="435"/>
      <c r="J15" s="435"/>
      <c r="K15" s="435"/>
      <c r="L15"/>
    </row>
    <row r="16" spans="1:16" s="1" customFormat="1" ht="12.75" customHeight="1" x14ac:dyDescent="0.2">
      <c r="C16" s="61" t="str">
        <v>Option 3</v>
      </c>
      <c r="D16" s="61"/>
      <c r="E16" s="435" t="s">
        <v>327</v>
      </c>
      <c r="F16" s="435"/>
      <c r="G16" s="435"/>
      <c r="H16" s="435"/>
      <c r="I16" s="435"/>
      <c r="J16" s="435"/>
      <c r="K16" s="435"/>
      <c r="L16"/>
    </row>
    <row r="17" spans="1:16" s="1" customFormat="1" ht="12.75" customHeight="1" x14ac:dyDescent="0.2">
      <c r="C17" s="61" t="str">
        <v>Option 4</v>
      </c>
      <c r="D17" s="61"/>
      <c r="E17" s="435"/>
      <c r="F17" s="435"/>
      <c r="G17" s="435"/>
      <c r="H17" s="435"/>
      <c r="I17" s="435"/>
      <c r="J17" s="435"/>
      <c r="K17" s="435"/>
      <c r="L17"/>
    </row>
    <row r="18" spans="1:16" s="1" customFormat="1" ht="12.75" customHeight="1" x14ac:dyDescent="0.2">
      <c r="C18" s="61" t="str">
        <v>Option 5</v>
      </c>
      <c r="D18" s="61"/>
      <c r="E18" s="435"/>
      <c r="F18" s="435"/>
      <c r="G18" s="435"/>
      <c r="H18" s="435"/>
      <c r="I18" s="435"/>
      <c r="J18" s="435"/>
      <c r="K18" s="43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224</v>
      </c>
      <c r="D20"/>
      <c r="E20" s="291" t="s">
        <v>227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238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183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184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197</v>
      </c>
      <c r="G31" s="304">
        <v>20</v>
      </c>
      <c r="H31" s="68" t="s">
        <v>198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241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246</v>
      </c>
      <c r="D41" s="240" t="s">
        <v>247</v>
      </c>
      <c r="E41" s="325" t="s">
        <v>289</v>
      </c>
      <c r="F41" s="326"/>
      <c r="G41" s="327" t="s">
        <v>140</v>
      </c>
      <c r="H41" s="131">
        <v>48575.898561682094</v>
      </c>
      <c r="I41" s="328" t="s">
        <v>216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150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175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149</v>
      </c>
      <c r="G50" s="306">
        <v>5400000</v>
      </c>
      <c r="H50" s="69">
        <v>45107</v>
      </c>
    </row>
    <row r="52" spans="3:8" x14ac:dyDescent="0.2">
      <c r="C52" s="8" t="s">
        <v>166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182</v>
      </c>
      <c r="D69" s="59"/>
      <c r="E69" s="59"/>
      <c r="F69" s="59"/>
      <c r="G69" s="157" t="s">
        <v>68</v>
      </c>
      <c r="H69" s="157" t="s">
        <v>167</v>
      </c>
      <c r="I69" s="157" t="s">
        <v>181</v>
      </c>
      <c r="J69" s="156" t="s">
        <v>185</v>
      </c>
      <c r="K69" s="157"/>
      <c r="L69" s="157"/>
      <c r="M69" s="157"/>
    </row>
    <row r="70" spans="2:16" x14ac:dyDescent="0.2">
      <c r="C70" s="8" t="s">
        <v>168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430">
        <v>0</v>
      </c>
      <c r="K70" s="431"/>
      <c r="L70" s="431"/>
      <c r="M70" s="432"/>
    </row>
    <row r="71" spans="2:16" x14ac:dyDescent="0.2">
      <c r="C71" s="8" t="s">
        <v>169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430">
        <v>0</v>
      </c>
      <c r="K71" s="431"/>
      <c r="L71" s="431"/>
      <c r="M71" s="43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176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170</v>
      </c>
      <c r="G78" s="154">
        <v>0</v>
      </c>
      <c r="H78" s="69">
        <f>input_dollars</f>
        <v>45291</v>
      </c>
    </row>
    <row r="79" spans="2:16" x14ac:dyDescent="0.2">
      <c r="C79" s="8" t="s">
        <v>171</v>
      </c>
      <c r="G79" s="154">
        <v>0</v>
      </c>
      <c r="H79" s="69">
        <f>input_dollars</f>
        <v>45291</v>
      </c>
    </row>
    <row r="81" spans="1:16" x14ac:dyDescent="0.2">
      <c r="C81" s="8" t="s">
        <v>172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177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178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218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242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7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MNA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143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48575.898561682094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Workings_risks!E11</f>
        <v>255517.5525304614</v>
      </c>
      <c r="J28" s="32">
        <f>Workings_risks!F11</f>
        <v>270179.15515788418</v>
      </c>
      <c r="K28" s="32">
        <f>Workings_risks!G11</f>
        <v>286940.1517312444</v>
      </c>
      <c r="L28" s="32">
        <f>Workings_risks!H11</f>
        <v>303122.92686900287</v>
      </c>
      <c r="M28" s="32">
        <f>Workings_risks!I11</f>
        <v>315530.58737326239</v>
      </c>
      <c r="N28" s="32">
        <f>Workings_risks!J11</f>
        <v>329556.2167797173</v>
      </c>
      <c r="O28" s="32">
        <f>Workings_risks!K11</f>
        <v>349893.16931505507</v>
      </c>
      <c r="P28" s="32">
        <f>Workings_risks!L11</f>
        <v>372270.0973913052</v>
      </c>
      <c r="Q28" s="32">
        <f>Workings_risks!M11</f>
        <v>386745.86246526311</v>
      </c>
      <c r="R28" s="32">
        <f>Workings_risks!N11</f>
        <v>398594.81531678984</v>
      </c>
      <c r="S28" s="32">
        <f>Workings_risks!O11</f>
        <v>410592.30961934361</v>
      </c>
      <c r="T28" s="32">
        <f>Workings_risks!P11</f>
        <v>422737.6613702465</v>
      </c>
      <c r="U28" s="32">
        <f>Workings_risks!Q11</f>
        <v>435030.203869074</v>
      </c>
      <c r="V28" s="32">
        <f>Workings_risks!R11</f>
        <v>447469.2870648033</v>
      </c>
      <c r="W28" s="32">
        <f>Workings_risks!S11</f>
        <v>460054.27693834133</v>
      </c>
      <c r="X28" s="32">
        <f>Workings_risks!T11</f>
        <v>472784.55491798231</v>
      </c>
      <c r="Y28" s="32">
        <f>Workings_risks!U11</f>
        <v>485659.5173255296</v>
      </c>
      <c r="Z28" s="32">
        <f>Workings_risks!V11</f>
        <v>498678.57485101366</v>
      </c>
      <c r="AA28" s="32">
        <f>Workings_risks!W11</f>
        <v>511841.15205410629</v>
      </c>
      <c r="AB28" s="32">
        <f>Workings_risks!X11</f>
        <v>525146.68689049152</v>
      </c>
      <c r="AC28" s="32">
        <f>Workings_risks!Y11</f>
        <v>538594.63026157347</v>
      </c>
      <c r="AD28" s="32">
        <f>Workings_risks!Z11</f>
        <v>552184.44558605272</v>
      </c>
      <c r="AE28" s="32">
        <f>Workings_risks!AA11</f>
        <v>565915.6083919931</v>
      </c>
      <c r="AF28" s="32">
        <f>Workings_risks!AB11</f>
        <v>579787.60592812486</v>
      </c>
      <c r="AG28" s="32">
        <f>Workings_risks!AC11</f>
        <v>593799.93679320847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Workings_risks!D12</f>
        <v>Safety risk</v>
      </c>
      <c r="D30" s="205" t="s">
        <v>209</v>
      </c>
      <c r="G30" s="207">
        <f>input_dollars</f>
        <v>45291</v>
      </c>
      <c r="H30" s="149"/>
      <c r="I30" s="32">
        <f>Workings_risks!E12</f>
        <v>352.04445299952562</v>
      </c>
      <c r="J30" s="32">
        <f>Workings_risks!F12</f>
        <v>364.60342016644267</v>
      </c>
      <c r="K30" s="32">
        <f>Workings_risks!G12</f>
        <v>377.34309701416021</v>
      </c>
      <c r="L30" s="32">
        <f>Workings_risks!H12</f>
        <v>390.26239151129232</v>
      </c>
      <c r="M30" s="32">
        <f>Workings_risks!I12</f>
        <v>403.36023966062885</v>
      </c>
      <c r="N30" s="32">
        <f>Workings_risks!J12</f>
        <v>416.63560425040606</v>
      </c>
      <c r="O30" s="32">
        <f>Workings_risks!K12</f>
        <v>430.08747368386952</v>
      </c>
      <c r="P30" s="32">
        <f>Workings_risks!L12</f>
        <v>443.71486088085931</v>
      </c>
      <c r="Q30" s="32">
        <f>Workings_risks!M12</f>
        <v>457.51680224574108</v>
      </c>
      <c r="R30" s="32">
        <f>Workings_risks!N12</f>
        <v>471.49235669655809</v>
      </c>
      <c r="S30" s="32">
        <f>Workings_risks!O12</f>
        <v>485.64060475075831</v>
      </c>
      <c r="T30" s="32">
        <f>Workings_risks!P12</f>
        <v>499.9606476632685</v>
      </c>
      <c r="U30" s="32">
        <f>Workings_risks!Q12</f>
        <v>514.45160661307796</v>
      </c>
      <c r="V30" s="32">
        <f>Workings_risks!R12</f>
        <v>529.11262193484367</v>
      </c>
      <c r="W30" s="32">
        <f>Workings_risks!S12</f>
        <v>543.94285239230419</v>
      </c>
      <c r="X30" s="32">
        <f>Workings_risks!T12</f>
        <v>558.94147449060438</v>
      </c>
      <c r="Y30" s="32">
        <f>Workings_risks!U12</f>
        <v>574.10768182484969</v>
      </c>
      <c r="Z30" s="32">
        <f>Workings_risks!V12</f>
        <v>589.44068446244296</v>
      </c>
      <c r="AA30" s="32">
        <f>Workings_risks!W12</f>
        <v>604.93970835695484</v>
      </c>
      <c r="AB30" s="32">
        <f>Workings_risks!X12</f>
        <v>620.60399479146929</v>
      </c>
      <c r="AC30" s="32">
        <f>Workings_risks!Y12</f>
        <v>636.43279984949004</v>
      </c>
      <c r="AD30" s="32">
        <f>Workings_risks!Z12</f>
        <v>652.42539391166656</v>
      </c>
      <c r="AE30" s="32">
        <f>Workings_risks!AA12</f>
        <v>652.42539391166656</v>
      </c>
      <c r="AF30" s="32">
        <f>Workings_risks!AB12</f>
        <v>652.42539391166656</v>
      </c>
      <c r="AG30" s="32">
        <f>Workings_risks!AC12</f>
        <v>652.42539391166656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Workings_risks!D13</f>
        <v>Unplanned replacement risk</v>
      </c>
      <c r="D31" s="206"/>
      <c r="E31"/>
      <c r="G31" s="207">
        <f>input_dollars</f>
        <v>45291</v>
      </c>
      <c r="H31" s="149"/>
      <c r="I31" s="32">
        <f>Workings_risks!E13</f>
        <v>17784.06669458099</v>
      </c>
      <c r="J31" s="32">
        <f>Workings_risks!F13</f>
        <v>18418.502226254623</v>
      </c>
      <c r="K31" s="32">
        <f>Workings_risks!G13</f>
        <v>19062.066585234945</v>
      </c>
      <c r="L31" s="32">
        <f>Workings_risks!H13</f>
        <v>19714.704605877865</v>
      </c>
      <c r="M31" s="32">
        <f>Workings_risks!I13</f>
        <v>20376.362538728776</v>
      </c>
      <c r="N31" s="32">
        <f>Workings_risks!J13</f>
        <v>21046.987987441058</v>
      </c>
      <c r="O31" s="32">
        <f>Workings_risks!K13</f>
        <v>21726.529849649669</v>
      </c>
      <c r="P31" s="32">
        <f>Workings_risks!L13</f>
        <v>22414.938261483025</v>
      </c>
      <c r="Q31" s="32">
        <f>Workings_risks!M13</f>
        <v>23112.164545426444</v>
      </c>
      <c r="R31" s="32">
        <f>Workings_risks!N13</f>
        <v>23818.161161278287</v>
      </c>
      <c r="S31" s="32">
        <f>Workings_risks!O13</f>
        <v>24532.881659964034</v>
      </c>
      <c r="T31" s="32">
        <f>Workings_risks!P13</f>
        <v>25256.280639994791</v>
      </c>
      <c r="U31" s="32">
        <f>Workings_risks!Q13</f>
        <v>25988.31370637631</v>
      </c>
      <c r="V31" s="32">
        <f>Workings_risks!R13</f>
        <v>26728.937431792336</v>
      </c>
      <c r="W31" s="32">
        <f>Workings_risks!S13</f>
        <v>27478.109319899999</v>
      </c>
      <c r="X31" s="32">
        <f>Workings_risks!T13</f>
        <v>28235.787770590847</v>
      </c>
      <c r="Y31" s="32">
        <f>Workings_risks!U13</f>
        <v>29001.932047082049</v>
      </c>
      <c r="Z31" s="32">
        <f>Workings_risks!V13</f>
        <v>29776.502244714196</v>
      </c>
      <c r="AA31" s="32">
        <f>Workings_risks!W13</f>
        <v>30559.459261342083</v>
      </c>
      <c r="AB31" s="32">
        <f>Workings_risks!X13</f>
        <v>31350.764769214402</v>
      </c>
      <c r="AC31" s="32">
        <f>Workings_risks!Y13</f>
        <v>32150.381188245843</v>
      </c>
      <c r="AD31" s="32">
        <f>Workings_risks!Z13</f>
        <v>32958.271660593353</v>
      </c>
      <c r="AE31" s="32">
        <f>Workings_risks!AA13</f>
        <v>32958.271660593353</v>
      </c>
      <c r="AF31" s="32">
        <f>Workings_risks!AB13</f>
        <v>32958.271660593353</v>
      </c>
      <c r="AG31" s="32">
        <f>Workings_risks!AC13</f>
        <v>32958.271660593353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Workings_risks!D14</f>
        <v>Unplanned fault risk</v>
      </c>
      <c r="D32" s="205"/>
      <c r="E32"/>
      <c r="G32" s="207">
        <f>input_dollars</f>
        <v>45291</v>
      </c>
      <c r="H32"/>
      <c r="I32" s="32">
        <f>Workings_risks!E14</f>
        <v>1301.2366253258433</v>
      </c>
      <c r="J32" s="32">
        <f>Workings_risks!F14</f>
        <v>1347.6574335920066</v>
      </c>
      <c r="K32" s="32">
        <f>Workings_risks!G14</f>
        <v>1394.7461860714784</v>
      </c>
      <c r="L32" s="32">
        <f>Workings_risks!H14</f>
        <v>1442.498846367085</v>
      </c>
      <c r="M32" s="32">
        <f>Workings_risks!I14</f>
        <v>1490.9114817023617</v>
      </c>
      <c r="N32" s="32">
        <f>Workings_risks!J14</f>
        <v>1539.9802583059661</v>
      </c>
      <c r="O32" s="32">
        <f>Workings_risks!K14</f>
        <v>1589.7014370854752</v>
      </c>
      <c r="P32" s="32">
        <f>Workings_risks!L14</f>
        <v>1640.0713695673924</v>
      </c>
      <c r="Q32" s="32">
        <f>Workings_risks!M14</f>
        <v>1691.0864940823869</v>
      </c>
      <c r="R32" s="32">
        <f>Workings_risks!N14</f>
        <v>1742.7433321768171</v>
      </c>
      <c r="S32" s="32">
        <f>Workings_risks!O14</f>
        <v>1795.0384852333693</v>
      </c>
      <c r="T32" s="32">
        <f>Workings_risks!P14</f>
        <v>1847.9686312851838</v>
      </c>
      <c r="U32" s="32">
        <f>Workings_risks!Q14</f>
        <v>1901.5305220092816</v>
      </c>
      <c r="V32" s="32">
        <f>Workings_risks!R14</f>
        <v>1955.7209798864028</v>
      </c>
      <c r="W32" s="32">
        <f>Workings_risks!S14</f>
        <v>2010.5368955153772</v>
      </c>
      <c r="X32" s="32">
        <f>Workings_risks!T14</f>
        <v>2065.9752250713213</v>
      </c>
      <c r="Y32" s="32">
        <f>Workings_risks!U14</f>
        <v>2122.032987897745</v>
      </c>
      <c r="Z32" s="32">
        <f>Workings_risks!V14</f>
        <v>2178.7072642235275</v>
      </c>
      <c r="AA32" s="32">
        <f>Workings_risks!W14</f>
        <v>2235.99519299645</v>
      </c>
      <c r="AB32" s="32">
        <f>Workings_risks!X14</f>
        <v>2293.8939698256713</v>
      </c>
      <c r="AC32" s="32">
        <f>Workings_risks!Y14</f>
        <v>2352.4008450260808</v>
      </c>
      <c r="AD32" s="32">
        <f>Workings_risks!Z14</f>
        <v>2411.5131217580788</v>
      </c>
      <c r="AE32" s="32">
        <f>Workings_risks!AA14</f>
        <v>2411.5131217580788</v>
      </c>
      <c r="AF32" s="32">
        <f>Workings_risks!AB14</f>
        <v>2411.5131217580788</v>
      </c>
      <c r="AG32" s="32">
        <f>Workings_risks!AC14</f>
        <v>2411.5131217580788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Workings_risks!D15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Workings_risks!E15</f>
        <v>72556.25</v>
      </c>
      <c r="J33" s="32">
        <f>Workings_risks!F15</f>
        <v>72556.25</v>
      </c>
      <c r="K33" s="32">
        <f>Workings_risks!G15</f>
        <v>72556.25</v>
      </c>
      <c r="L33" s="32">
        <f>Workings_risks!H15</f>
        <v>72556.25</v>
      </c>
      <c r="M33" s="32">
        <f>Workings_risks!I15</f>
        <v>72556.25</v>
      </c>
      <c r="N33" s="32">
        <f>Workings_risks!J15</f>
        <v>72556.25</v>
      </c>
      <c r="O33" s="32">
        <f>Workings_risks!K15</f>
        <v>72556.25</v>
      </c>
      <c r="P33" s="32">
        <f>Workings_risks!L15</f>
        <v>72556.25</v>
      </c>
      <c r="Q33" s="32">
        <f>Workings_risks!M15</f>
        <v>72556.25</v>
      </c>
      <c r="R33" s="32">
        <f>Workings_risks!N15</f>
        <v>72556.25</v>
      </c>
      <c r="S33" s="32">
        <f>Workings_risks!O15</f>
        <v>72556.25</v>
      </c>
      <c r="T33" s="32">
        <f>Workings_risks!P15</f>
        <v>72556.25</v>
      </c>
      <c r="U33" s="32">
        <f>Workings_risks!Q15</f>
        <v>72556.25</v>
      </c>
      <c r="V33" s="32">
        <f>Workings_risks!R15</f>
        <v>72556.25</v>
      </c>
      <c r="W33" s="32">
        <f>Workings_risks!S15</f>
        <v>72556.25</v>
      </c>
      <c r="X33" s="32">
        <f>Workings_risks!T15</f>
        <v>72556.25</v>
      </c>
      <c r="Y33" s="32">
        <f>Workings_risks!U15</f>
        <v>72556.25</v>
      </c>
      <c r="Z33" s="32">
        <f>Workings_risks!V15</f>
        <v>72556.25</v>
      </c>
      <c r="AA33" s="32">
        <f>Workings_risks!W15</f>
        <v>72556.25</v>
      </c>
      <c r="AB33" s="32">
        <f>Workings_risks!X15</f>
        <v>72556.25</v>
      </c>
      <c r="AC33" s="32">
        <f>Workings_risks!Y15</f>
        <v>72556.25</v>
      </c>
      <c r="AD33" s="32">
        <f>Workings_risks!Z15</f>
        <v>72556.25</v>
      </c>
      <c r="AE33" s="32">
        <f>Workings_risks!AA15</f>
        <v>72556.25</v>
      </c>
      <c r="AF33" s="32">
        <f>Workings_risks!AB15</f>
        <v>72556.25</v>
      </c>
      <c r="AG33" s="32">
        <f>Workings_risks!AC15</f>
        <v>72556.25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06">
        <f>SUM(I28:I34)</f>
        <v>347511.15030336776</v>
      </c>
      <c r="J36" s="106">
        <f t="shared" ref="J36:AB36" si="3">SUM(J28:J34)</f>
        <v>362866.16823789722</v>
      </c>
      <c r="K36" s="106">
        <f t="shared" si="3"/>
        <v>380330.55759956501</v>
      </c>
      <c r="L36" s="106">
        <f t="shared" si="3"/>
        <v>397226.64271275909</v>
      </c>
      <c r="M36" s="106">
        <f t="shared" si="3"/>
        <v>410357.47163335409</v>
      </c>
      <c r="N36" s="106">
        <f t="shared" si="3"/>
        <v>425116.07062971476</v>
      </c>
      <c r="O36" s="106">
        <f t="shared" si="3"/>
        <v>446195.7380754741</v>
      </c>
      <c r="P36" s="106">
        <f t="shared" si="3"/>
        <v>469325.07188323652</v>
      </c>
      <c r="Q36" s="106">
        <f t="shared" si="3"/>
        <v>484562.88030701771</v>
      </c>
      <c r="R36" s="106">
        <f t="shared" si="3"/>
        <v>497183.46216694149</v>
      </c>
      <c r="S36" s="106">
        <f t="shared" si="3"/>
        <v>509962.12036929181</v>
      </c>
      <c r="T36" s="106">
        <f t="shared" si="3"/>
        <v>522898.12128918973</v>
      </c>
      <c r="U36" s="106">
        <f t="shared" si="3"/>
        <v>535990.74970407272</v>
      </c>
      <c r="V36" s="106">
        <f t="shared" si="3"/>
        <v>549239.30809841689</v>
      </c>
      <c r="W36" s="106">
        <f t="shared" si="3"/>
        <v>562643.11600614898</v>
      </c>
      <c r="X36" s="106">
        <f t="shared" si="3"/>
        <v>576201.50938813505</v>
      </c>
      <c r="Y36" s="106">
        <f t="shared" si="3"/>
        <v>589913.84004233428</v>
      </c>
      <c r="Z36" s="106">
        <f t="shared" si="3"/>
        <v>603779.47504441382</v>
      </c>
      <c r="AA36" s="106">
        <f t="shared" si="3"/>
        <v>617797.79621680186</v>
      </c>
      <c r="AB36" s="106">
        <f t="shared" si="3"/>
        <v>631968.19962432317</v>
      </c>
      <c r="AC36" s="106">
        <f>SUM(AC28:AC34)</f>
        <v>646290.09509469499</v>
      </c>
      <c r="AD36" s="106">
        <f>SUM(AD28:AD34)</f>
        <v>660762.90576231584</v>
      </c>
      <c r="AE36" s="106">
        <f>SUM(AE28:AE34)</f>
        <v>674494.06856825622</v>
      </c>
      <c r="AF36" s="106">
        <f>SUM(AF28:AF34)</f>
        <v>688366.06610438798</v>
      </c>
      <c r="AG36" s="106">
        <f>SUM(AG28:AG34)</f>
        <v>702378.39696947159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4">I41*I7</f>
        <v>0</v>
      </c>
      <c r="J42" s="31">
        <f t="shared" si="4"/>
        <v>0</v>
      </c>
      <c r="K42" s="31">
        <f t="shared" si="4"/>
        <v>0</v>
      </c>
      <c r="L42" s="31">
        <f t="shared" si="4"/>
        <v>0</v>
      </c>
      <c r="M42" s="31">
        <f t="shared" si="4"/>
        <v>0</v>
      </c>
      <c r="N42" s="31">
        <f t="shared" si="4"/>
        <v>0</v>
      </c>
      <c r="O42" s="31">
        <f t="shared" si="4"/>
        <v>0</v>
      </c>
      <c r="P42" s="31">
        <f t="shared" si="4"/>
        <v>0</v>
      </c>
      <c r="Q42" s="31">
        <f t="shared" si="4"/>
        <v>0</v>
      </c>
      <c r="R42" s="31">
        <f t="shared" si="4"/>
        <v>0</v>
      </c>
      <c r="S42" s="31">
        <f t="shared" si="4"/>
        <v>0</v>
      </c>
      <c r="T42" s="31">
        <f t="shared" si="4"/>
        <v>0</v>
      </c>
      <c r="U42" s="31">
        <f t="shared" si="4"/>
        <v>0</v>
      </c>
      <c r="V42" s="31">
        <f t="shared" si="4"/>
        <v>0</v>
      </c>
      <c r="W42" s="31">
        <f t="shared" si="4"/>
        <v>0</v>
      </c>
      <c r="X42" s="31">
        <f t="shared" si="4"/>
        <v>0</v>
      </c>
      <c r="Y42" s="31">
        <f t="shared" si="4"/>
        <v>0</v>
      </c>
      <c r="Z42" s="31">
        <f t="shared" si="4"/>
        <v>0</v>
      </c>
      <c r="AA42" s="31">
        <f t="shared" si="4"/>
        <v>0</v>
      </c>
      <c r="AB42" s="31">
        <f t="shared" si="4"/>
        <v>0</v>
      </c>
      <c r="AC42" s="31">
        <f t="shared" si="4"/>
        <v>0</v>
      </c>
      <c r="AD42" s="31">
        <f t="shared" si="4"/>
        <v>0</v>
      </c>
      <c r="AE42" s="31">
        <f t="shared" si="4"/>
        <v>0</v>
      </c>
      <c r="AF42" s="31">
        <f t="shared" si="4"/>
        <v>0</v>
      </c>
      <c r="AG42" s="31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MNA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Replace transformer #1 completed in 2028-2029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332</v>
      </c>
      <c r="D14"/>
      <c r="E14" s="148">
        <v>50</v>
      </c>
      <c r="G14" s="207">
        <f>input_dollars</f>
        <v>45291</v>
      </c>
      <c r="H14" s="149"/>
      <c r="I14" s="32">
        <f>Workings_costs!E20</f>
        <v>0</v>
      </c>
      <c r="J14" s="32">
        <f>Workings_costs!F20</f>
        <v>2490440.3166666669</v>
      </c>
      <c r="K14" s="32">
        <f>Workings_costs!G20</f>
        <v>4980880.6333333338</v>
      </c>
      <c r="L14" s="32">
        <f>Workings_costs!H20</f>
        <v>0</v>
      </c>
      <c r="M14" s="32">
        <f>Workings_costs!I20</f>
        <v>0</v>
      </c>
      <c r="N14" s="32">
        <f>Workings_costs!J20</f>
        <v>0</v>
      </c>
      <c r="O14" s="32">
        <f>Workings_costs!K20</f>
        <v>0</v>
      </c>
      <c r="P14" s="32">
        <f>Workings_costs!L20</f>
        <v>0</v>
      </c>
      <c r="Q14" s="32">
        <f>Workings_costs!M20</f>
        <v>0</v>
      </c>
      <c r="R14" s="32">
        <f>Workings_costs!N20</f>
        <v>0</v>
      </c>
      <c r="S14" s="32">
        <f>Workings_costs!O20</f>
        <v>0</v>
      </c>
      <c r="T14" s="32">
        <f>Workings_costs!P20</f>
        <v>0</v>
      </c>
      <c r="U14" s="32">
        <f>Workings_costs!Q20</f>
        <v>0</v>
      </c>
      <c r="V14" s="32">
        <f>Workings_costs!R20</f>
        <v>0</v>
      </c>
      <c r="W14" s="32">
        <f>Workings_costs!S20</f>
        <v>0</v>
      </c>
      <c r="X14" s="32">
        <f>Workings_costs!T20</f>
        <v>0</v>
      </c>
      <c r="Y14" s="32">
        <f>Workings_costs!U20</f>
        <v>0</v>
      </c>
      <c r="Z14" s="32">
        <f>Workings_costs!V20</f>
        <v>0</v>
      </c>
      <c r="AA14" s="32">
        <f>Workings_costs!W20</f>
        <v>0</v>
      </c>
      <c r="AB14" s="32">
        <f>Workings_costs!X20</f>
        <v>0</v>
      </c>
      <c r="AC14" s="32">
        <f>Workings_costs!Y20</f>
        <v>0</v>
      </c>
      <c r="AD14" s="32">
        <f>Workings_costs!Z20</f>
        <v>0</v>
      </c>
      <c r="AE14" s="32">
        <f>Workings_costs!AA20</f>
        <v>0</v>
      </c>
      <c r="AF14" s="32">
        <f>Workings_costs!AB20</f>
        <v>0</v>
      </c>
      <c r="AG14" s="32">
        <f>Workings_costs!AC20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2490440.3166666669</v>
      </c>
      <c r="K17" s="106">
        <f t="shared" si="0"/>
        <v>4980880.6333333338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48575.898561682094</v>
      </c>
      <c r="F28" s="238" t="str">
        <f>IF(AND(SUM(I27:AG27)&lt;&gt;0, E28=0), "!", "")</f>
        <v/>
      </c>
      <c r="G28" s="207">
        <f>input_dollars</f>
        <v>45291</v>
      </c>
      <c r="H28"/>
      <c r="I28" s="32">
        <f>Workings_risks!E23</f>
        <v>255517.5525304614</v>
      </c>
      <c r="J28" s="32">
        <f>Workings_risks!F23</f>
        <v>270179.15515788418</v>
      </c>
      <c r="K28" s="32">
        <f>Workings_risks!G23</f>
        <v>286940.1517312444</v>
      </c>
      <c r="L28" s="32">
        <f>Workings_risks!H23</f>
        <v>9761.5621657893189</v>
      </c>
      <c r="M28" s="32">
        <f>Workings_risks!I23</f>
        <v>18036.328631489363</v>
      </c>
      <c r="N28" s="32">
        <f>Workings_risks!J23</f>
        <v>26206.60921355653</v>
      </c>
      <c r="O28" s="32">
        <f>Workings_risks!K23</f>
        <v>35072.811152807815</v>
      </c>
      <c r="P28" s="32">
        <f>Workings_risks!L23</f>
        <v>44553.322574122343</v>
      </c>
      <c r="Q28" s="32">
        <f>Workings_risks!M23</f>
        <v>53301.184373551179</v>
      </c>
      <c r="R28" s="32">
        <f>Workings_risks!N23</f>
        <v>61749.07699511473</v>
      </c>
      <c r="S28" s="32">
        <f>Workings_risks!O23</f>
        <v>70277.530384174461</v>
      </c>
      <c r="T28" s="32">
        <f>Workings_risks!P23</f>
        <v>78902.734099624737</v>
      </c>
      <c r="U28" s="32">
        <f>Workings_risks!Q23</f>
        <v>87636.413488367776</v>
      </c>
      <c r="V28" s="32">
        <f>Workings_risks!R23</f>
        <v>96487.276936740542</v>
      </c>
      <c r="W28" s="32">
        <f>Workings_risks!S23</f>
        <v>105461.91119456824</v>
      </c>
      <c r="X28" s="32">
        <f>Workings_risks!T23</f>
        <v>114565.36363418403</v>
      </c>
      <c r="Y28" s="32">
        <f>Workings_risks!U23</f>
        <v>123801.53638984337</v>
      </c>
      <c r="Z28" s="32">
        <f>Workings_risks!V23</f>
        <v>133173.46204126521</v>
      </c>
      <c r="AA28" s="32">
        <f>Workings_risks!W23</f>
        <v>142683.5017608518</v>
      </c>
      <c r="AB28" s="32">
        <f>Workings_risks!X23</f>
        <v>152333.49102791856</v>
      </c>
      <c r="AC28" s="32">
        <f>Workings_risks!Y23</f>
        <v>162124.84888816858</v>
      </c>
      <c r="AD28" s="32">
        <f>Workings_risks!Z23</f>
        <v>172058.66125528328</v>
      </c>
      <c r="AE28" s="32">
        <f>Workings_risks!AA23</f>
        <v>182135.74534235979</v>
      </c>
      <c r="AF28" s="32">
        <f>Workings_risks!AB23</f>
        <v>192356.70012528729</v>
      </c>
      <c r="AG28" s="32">
        <f>Workings_risks!AC23</f>
        <v>202721.94630102772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32">
        <f>Workings_risks!E24</f>
        <v>352.04445299952562</v>
      </c>
      <c r="J30" s="32">
        <f>Workings_risks!F24</f>
        <v>364.60342016644267</v>
      </c>
      <c r="K30" s="32">
        <f>Workings_risks!G24</f>
        <v>377.34309701416021</v>
      </c>
      <c r="L30" s="32">
        <f>Workings_risks!H24</f>
        <v>195.37523540844373</v>
      </c>
      <c r="M30" s="32">
        <f>Workings_risks!I24</f>
        <v>202.47300153920045</v>
      </c>
      <c r="N30" s="32">
        <f>Workings_risks!J24</f>
        <v>209.89746182850922</v>
      </c>
      <c r="O30" s="32">
        <f>Workings_risks!K24</f>
        <v>217.61981711421353</v>
      </c>
      <c r="P30" s="32">
        <f>Workings_risks!L24</f>
        <v>225.62192274685964</v>
      </c>
      <c r="Q30" s="32">
        <f>Workings_risks!M24</f>
        <v>233.89073064062188</v>
      </c>
      <c r="R30" s="32">
        <f>Workings_risks!N24</f>
        <v>242.41615132761808</v>
      </c>
      <c r="S30" s="32">
        <f>Workings_risks!O24</f>
        <v>251.19001187283703</v>
      </c>
      <c r="T30" s="32">
        <f>Workings_risks!P24</f>
        <v>260.20547347554691</v>
      </c>
      <c r="U30" s="32">
        <f>Workings_risks!Q24</f>
        <v>269.45667489438847</v>
      </c>
      <c r="V30" s="32">
        <f>Workings_risks!R24</f>
        <v>278.9384992941653</v>
      </c>
      <c r="W30" s="32">
        <f>Workings_risks!S24</f>
        <v>288.64641399488556</v>
      </c>
      <c r="X30" s="32">
        <f>Workings_risks!T24</f>
        <v>298.57635591796532</v>
      </c>
      <c r="Y30" s="32">
        <f>Workings_risks!U24</f>
        <v>308.72464705682268</v>
      </c>
      <c r="Z30" s="32">
        <f>Workings_risks!V24</f>
        <v>319.08793044407565</v>
      </c>
      <c r="AA30" s="32">
        <f>Workings_risks!W24</f>
        <v>329.66312056294009</v>
      </c>
      <c r="AB30" s="32">
        <f>Workings_risks!X24</f>
        <v>340.44736421456173</v>
      </c>
      <c r="AC30" s="32">
        <f>Workings_risks!Y24</f>
        <v>351.4380091302217</v>
      </c>
      <c r="AD30" s="32">
        <f>Workings_risks!Z24</f>
        <v>362.63257843570108</v>
      </c>
      <c r="AE30" s="32">
        <f>Workings_risks!AA24</f>
        <v>362.63257843570108</v>
      </c>
      <c r="AF30" s="32">
        <f>Workings_risks!AB24</f>
        <v>362.63257843570108</v>
      </c>
      <c r="AG30" s="32">
        <f>Workings_risks!AC24</f>
        <v>362.63257843570108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32">
        <f>Workings_risks!E25</f>
        <v>17784.06669458099</v>
      </c>
      <c r="J31" s="32">
        <f>Workings_risks!F25</f>
        <v>18418.502226254623</v>
      </c>
      <c r="K31" s="32">
        <f>Workings_risks!G25</f>
        <v>19062.066585234945</v>
      </c>
      <c r="L31" s="32">
        <f>Workings_risks!H25</f>
        <v>9869.6803411298388</v>
      </c>
      <c r="M31" s="32">
        <f>Workings_risks!I25</f>
        <v>10228.2349076808</v>
      </c>
      <c r="N31" s="32">
        <f>Workings_risks!J25</f>
        <v>10603.29293183468</v>
      </c>
      <c r="O31" s="32">
        <f>Workings_risks!K25</f>
        <v>10993.399579646002</v>
      </c>
      <c r="P31" s="32">
        <f>Workings_risks!L25</f>
        <v>11397.638246256245</v>
      </c>
      <c r="Q31" s="32">
        <f>Workings_risks!M25</f>
        <v>11815.349787552832</v>
      </c>
      <c r="R31" s="32">
        <f>Workings_risks!N25</f>
        <v>12246.024518556491</v>
      </c>
      <c r="S31" s="32">
        <f>Workings_risks!O25</f>
        <v>12689.249570891958</v>
      </c>
      <c r="T31" s="32">
        <f>Workings_risks!P25</f>
        <v>13144.67947202789</v>
      </c>
      <c r="U31" s="32">
        <f>Workings_risks!Q25</f>
        <v>13612.018132347308</v>
      </c>
      <c r="V31" s="32">
        <f>Workings_risks!R25</f>
        <v>14091.007067054836</v>
      </c>
      <c r="W31" s="32">
        <f>Workings_risks!S25</f>
        <v>14581.417300853194</v>
      </c>
      <c r="X31" s="32">
        <f>Workings_risks!T25</f>
        <v>15083.043581082082</v>
      </c>
      <c r="Y31" s="32">
        <f>Workings_risks!U25</f>
        <v>15595.700107585308</v>
      </c>
      <c r="Z31" s="32">
        <f>Workings_risks!V25</f>
        <v>16119.217297995343</v>
      </c>
      <c r="AA31" s="32">
        <f>Workings_risks!W25</f>
        <v>16653.439282688887</v>
      </c>
      <c r="AB31" s="32">
        <f>Workings_risks!X25</f>
        <v>17198.221927939965</v>
      </c>
      <c r="AC31" s="32">
        <f>Workings_risks!Y25</f>
        <v>17753.431250317266</v>
      </c>
      <c r="AD31" s="32">
        <f>Workings_risks!Z25</f>
        <v>18318.942126712253</v>
      </c>
      <c r="AE31" s="32">
        <f>Workings_risks!AA25</f>
        <v>18318.942126712253</v>
      </c>
      <c r="AF31" s="32">
        <f>Workings_risks!AB25</f>
        <v>18318.942126712253</v>
      </c>
      <c r="AG31" s="32">
        <f>Workings_risks!AC25</f>
        <v>18318.942126712253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32">
        <f>Workings_risks!E26</f>
        <v>1301.2366253258433</v>
      </c>
      <c r="J32" s="32">
        <f>Workings_risks!F26</f>
        <v>1347.6574335920066</v>
      </c>
      <c r="K32" s="32">
        <f>Workings_risks!G26</f>
        <v>1394.7461860714784</v>
      </c>
      <c r="L32" s="32">
        <f>Workings_risks!H26</f>
        <v>722.15144942354243</v>
      </c>
      <c r="M32" s="32">
        <f>Workings_risks!I26</f>
        <v>748.38641256142319</v>
      </c>
      <c r="N32" s="32">
        <f>Workings_risks!J26</f>
        <v>775.82891185209905</v>
      </c>
      <c r="O32" s="32">
        <f>Workings_risks!K26</f>
        <v>804.3724990210485</v>
      </c>
      <c r="P32" s="32">
        <f>Workings_risks!L26</f>
        <v>833.95010730377112</v>
      </c>
      <c r="Q32" s="32">
        <f>Workings_risks!M26</f>
        <v>864.51350799783461</v>
      </c>
      <c r="R32" s="32">
        <f>Workings_risks!N26</f>
        <v>896.02540812780205</v>
      </c>
      <c r="S32" s="32">
        <f>Workings_risks!O26</f>
        <v>928.45559866102883</v>
      </c>
      <c r="T32" s="32">
        <f>Workings_risks!P26</f>
        <v>961.77880182958086</v>
      </c>
      <c r="U32" s="32">
        <f>Workings_risks!Q26</f>
        <v>995.97335314801705</v>
      </c>
      <c r="V32" s="32">
        <f>Workings_risks!R26</f>
        <v>1031.0203396259278</v>
      </c>
      <c r="W32" s="32">
        <f>Workings_risks!S26</f>
        <v>1066.9030074438281</v>
      </c>
      <c r="X32" s="32">
        <f>Workings_risks!T26</f>
        <v>1103.6063385361867</v>
      </c>
      <c r="Y32" s="32">
        <f>Workings_risks!U26</f>
        <v>1141.1167381514556</v>
      </c>
      <c r="Z32" s="32">
        <f>Workings_risks!V26</f>
        <v>1179.4217981722211</v>
      </c>
      <c r="AA32" s="32">
        <f>Workings_risks!W26</f>
        <v>1218.5101138244179</v>
      </c>
      <c r="AB32" s="32">
        <f>Workings_risks!X26</f>
        <v>1258.3711390340573</v>
      </c>
      <c r="AC32" s="32">
        <f>Workings_risks!Y26</f>
        <v>1298.9950704107782</v>
      </c>
      <c r="AD32" s="32">
        <f>Workings_risks!Z26</f>
        <v>1340.3727528623119</v>
      </c>
      <c r="AE32" s="32">
        <f>Workings_risks!AA26</f>
        <v>1340.3727528623119</v>
      </c>
      <c r="AF32" s="32">
        <f>Workings_risks!AB26</f>
        <v>1340.3727528623119</v>
      </c>
      <c r="AG32" s="32">
        <f>Workings_risks!AC26</f>
        <v>1340.3727528623119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32">
        <f>Workings_risks!E27</f>
        <v>72556.25</v>
      </c>
      <c r="J33" s="32">
        <f>Workings_risks!F27</f>
        <v>72556.25</v>
      </c>
      <c r="K33" s="32">
        <f>Workings_risks!G27</f>
        <v>72556.25</v>
      </c>
      <c r="L33" s="32">
        <f>Workings_risks!H27</f>
        <v>23793.75</v>
      </c>
      <c r="M33" s="32">
        <f>Workings_risks!I27</f>
        <v>23793.75</v>
      </c>
      <c r="N33" s="32">
        <f>Workings_risks!J27</f>
        <v>23793.75</v>
      </c>
      <c r="O33" s="32">
        <f>Workings_risks!K27</f>
        <v>23793.75</v>
      </c>
      <c r="P33" s="32">
        <f>Workings_risks!L27</f>
        <v>23793.75</v>
      </c>
      <c r="Q33" s="32">
        <f>Workings_risks!M27</f>
        <v>23793.75</v>
      </c>
      <c r="R33" s="32">
        <f>Workings_risks!N27</f>
        <v>23793.75</v>
      </c>
      <c r="S33" s="32">
        <f>Workings_risks!O27</f>
        <v>23793.75</v>
      </c>
      <c r="T33" s="32">
        <f>Workings_risks!P27</f>
        <v>23793.75</v>
      </c>
      <c r="U33" s="32">
        <f>Workings_risks!Q27</f>
        <v>23793.75</v>
      </c>
      <c r="V33" s="32">
        <f>Workings_risks!R27</f>
        <v>23793.75</v>
      </c>
      <c r="W33" s="32">
        <f>Workings_risks!S27</f>
        <v>23793.75</v>
      </c>
      <c r="X33" s="32">
        <f>Workings_risks!T27</f>
        <v>23793.75</v>
      </c>
      <c r="Y33" s="32">
        <f>Workings_risks!U27</f>
        <v>23793.75</v>
      </c>
      <c r="Z33" s="32">
        <f>Workings_risks!V27</f>
        <v>23793.75</v>
      </c>
      <c r="AA33" s="32">
        <f>Workings_risks!W27</f>
        <v>23793.75</v>
      </c>
      <c r="AB33" s="32">
        <f>Workings_risks!X27</f>
        <v>23793.75</v>
      </c>
      <c r="AC33" s="32">
        <f>Workings_risks!Y27</f>
        <v>23793.75</v>
      </c>
      <c r="AD33" s="32">
        <f>Workings_risks!Z27</f>
        <v>23793.75</v>
      </c>
      <c r="AE33" s="32">
        <f>Workings_risks!AA27</f>
        <v>23793.75</v>
      </c>
      <c r="AF33" s="32">
        <f>Workings_risks!AB27</f>
        <v>23793.75</v>
      </c>
      <c r="AG33" s="32">
        <f>Workings_risks!AC27</f>
        <v>23793.75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347511.15030336776</v>
      </c>
      <c r="J36" s="170">
        <f t="shared" ref="J36:AG36" si="2">SUM(J28:J34)</f>
        <v>362866.16823789722</v>
      </c>
      <c r="K36" s="170">
        <f t="shared" si="2"/>
        <v>380330.55759956501</v>
      </c>
      <c r="L36" s="170">
        <f t="shared" si="2"/>
        <v>44342.51919175114</v>
      </c>
      <c r="M36" s="170">
        <f t="shared" si="2"/>
        <v>53009.172953270783</v>
      </c>
      <c r="N36" s="170">
        <f t="shared" si="2"/>
        <v>61589.378519071819</v>
      </c>
      <c r="O36" s="170">
        <f t="shared" si="2"/>
        <v>70881.953048589086</v>
      </c>
      <c r="P36" s="170">
        <f t="shared" si="2"/>
        <v>80804.282850429212</v>
      </c>
      <c r="Q36" s="170">
        <f t="shared" si="2"/>
        <v>90008.688399742474</v>
      </c>
      <c r="R36" s="170">
        <f t="shared" si="2"/>
        <v>98927.293073126639</v>
      </c>
      <c r="S36" s="170">
        <f t="shared" si="2"/>
        <v>107940.17556560029</v>
      </c>
      <c r="T36" s="170">
        <f t="shared" si="2"/>
        <v>117063.14784695776</v>
      </c>
      <c r="U36" s="170">
        <f t="shared" si="2"/>
        <v>126307.61164875749</v>
      </c>
      <c r="V36" s="170">
        <f t="shared" si="2"/>
        <v>135681.99284271547</v>
      </c>
      <c r="W36" s="170">
        <f t="shared" si="2"/>
        <v>145192.62791686016</v>
      </c>
      <c r="X36" s="170">
        <f t="shared" si="2"/>
        <v>154844.33990972026</v>
      </c>
      <c r="Y36" s="170">
        <f t="shared" si="2"/>
        <v>164640.82788263698</v>
      </c>
      <c r="Z36" s="170">
        <f t="shared" si="2"/>
        <v>174584.93906787687</v>
      </c>
      <c r="AA36" s="170">
        <f t="shared" si="2"/>
        <v>184678.86427792805</v>
      </c>
      <c r="AB36" s="170">
        <f t="shared" si="2"/>
        <v>194924.28145910715</v>
      </c>
      <c r="AC36" s="170">
        <f t="shared" si="2"/>
        <v>205322.46321802682</v>
      </c>
      <c r="AD36" s="170">
        <f t="shared" si="2"/>
        <v>215874.35871329354</v>
      </c>
      <c r="AE36" s="170">
        <f t="shared" si="2"/>
        <v>225951.44280037007</v>
      </c>
      <c r="AF36" s="170">
        <f t="shared" si="2"/>
        <v>236172.39758329754</v>
      </c>
      <c r="AG36" s="170">
        <f t="shared" si="2"/>
        <v>246537.64375903798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3">
        <v>0</v>
      </c>
      <c r="J45" s="323">
        <v>0</v>
      </c>
      <c r="K45" s="323">
        <v>0</v>
      </c>
      <c r="L45" s="323">
        <v>0</v>
      </c>
      <c r="M45" s="323">
        <v>0</v>
      </c>
      <c r="N45" s="323">
        <v>0</v>
      </c>
      <c r="O45" s="323">
        <v>0</v>
      </c>
      <c r="P45" s="323">
        <v>0</v>
      </c>
      <c r="Q45" s="323">
        <v>0</v>
      </c>
      <c r="R45" s="323">
        <v>0</v>
      </c>
      <c r="S45" s="323">
        <v>0</v>
      </c>
      <c r="T45" s="323">
        <v>0</v>
      </c>
      <c r="U45" s="323">
        <v>0</v>
      </c>
      <c r="V45" s="323">
        <v>0</v>
      </c>
      <c r="W45" s="323">
        <v>0</v>
      </c>
      <c r="X45" s="323">
        <v>0</v>
      </c>
      <c r="Y45" s="323">
        <v>0</v>
      </c>
      <c r="Z45" s="323">
        <v>0</v>
      </c>
      <c r="AA45" s="323">
        <v>0</v>
      </c>
      <c r="AB45" s="323">
        <v>0</v>
      </c>
      <c r="AC45" s="323">
        <v>0</v>
      </c>
      <c r="AD45" s="323">
        <v>0</v>
      </c>
      <c r="AE45" s="323">
        <v>0</v>
      </c>
      <c r="AF45" s="323">
        <v>0</v>
      </c>
      <c r="AG45" s="323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3">
        <v>0</v>
      </c>
      <c r="J46" s="323">
        <v>0</v>
      </c>
      <c r="K46" s="323">
        <v>0</v>
      </c>
      <c r="L46" s="323">
        <v>0</v>
      </c>
      <c r="M46" s="323">
        <v>0</v>
      </c>
      <c r="N46" s="323">
        <v>0</v>
      </c>
      <c r="O46" s="323">
        <v>0</v>
      </c>
      <c r="P46" s="323">
        <v>0</v>
      </c>
      <c r="Q46" s="323">
        <v>0</v>
      </c>
      <c r="R46" s="323">
        <v>0</v>
      </c>
      <c r="S46" s="323">
        <v>0</v>
      </c>
      <c r="T46" s="323">
        <v>0</v>
      </c>
      <c r="U46" s="323">
        <v>0</v>
      </c>
      <c r="V46" s="323">
        <v>0</v>
      </c>
      <c r="W46" s="323">
        <v>0</v>
      </c>
      <c r="X46" s="323">
        <v>0</v>
      </c>
      <c r="Y46" s="323">
        <v>0</v>
      </c>
      <c r="Z46" s="323">
        <v>0</v>
      </c>
      <c r="AA46" s="323">
        <v>0</v>
      </c>
      <c r="AB46" s="323">
        <v>0</v>
      </c>
      <c r="AC46" s="323">
        <v>0</v>
      </c>
      <c r="AD46" s="323">
        <v>0</v>
      </c>
      <c r="AE46" s="323">
        <v>0</v>
      </c>
      <c r="AF46" s="323">
        <v>0</v>
      </c>
      <c r="AG46" s="323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3">
        <v>0</v>
      </c>
      <c r="J47" s="323">
        <v>0</v>
      </c>
      <c r="K47" s="323">
        <v>0</v>
      </c>
      <c r="L47" s="323">
        <v>0</v>
      </c>
      <c r="M47" s="323">
        <v>0</v>
      </c>
      <c r="N47" s="323">
        <v>0</v>
      </c>
      <c r="O47" s="323">
        <v>0</v>
      </c>
      <c r="P47" s="323">
        <v>0</v>
      </c>
      <c r="Q47" s="323">
        <v>0</v>
      </c>
      <c r="R47" s="323">
        <v>0</v>
      </c>
      <c r="S47" s="323">
        <v>0</v>
      </c>
      <c r="T47" s="323">
        <v>0</v>
      </c>
      <c r="U47" s="323">
        <v>0</v>
      </c>
      <c r="V47" s="323">
        <v>0</v>
      </c>
      <c r="W47" s="323">
        <v>0</v>
      </c>
      <c r="X47" s="323">
        <v>0</v>
      </c>
      <c r="Y47" s="323">
        <v>0</v>
      </c>
      <c r="Z47" s="323">
        <v>0</v>
      </c>
      <c r="AA47" s="323">
        <v>0</v>
      </c>
      <c r="AB47" s="323">
        <v>0</v>
      </c>
      <c r="AC47" s="323">
        <v>0</v>
      </c>
      <c r="AD47" s="323">
        <v>0</v>
      </c>
      <c r="AE47" s="323">
        <v>0</v>
      </c>
      <c r="AF47" s="323">
        <v>0</v>
      </c>
      <c r="AG47" s="323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3">
        <v>0</v>
      </c>
      <c r="J48" s="323">
        <v>0</v>
      </c>
      <c r="K48" s="323">
        <v>0</v>
      </c>
      <c r="L48" s="323">
        <v>0</v>
      </c>
      <c r="M48" s="323">
        <v>0</v>
      </c>
      <c r="N48" s="323">
        <v>0</v>
      </c>
      <c r="O48" s="323">
        <v>0</v>
      </c>
      <c r="P48" s="323">
        <v>0</v>
      </c>
      <c r="Q48" s="323">
        <v>0</v>
      </c>
      <c r="R48" s="323">
        <v>0</v>
      </c>
      <c r="S48" s="323">
        <v>0</v>
      </c>
      <c r="T48" s="323">
        <v>0</v>
      </c>
      <c r="U48" s="323">
        <v>0</v>
      </c>
      <c r="V48" s="323">
        <v>0</v>
      </c>
      <c r="W48" s="323">
        <v>0</v>
      </c>
      <c r="X48" s="323">
        <v>0</v>
      </c>
      <c r="Y48" s="323">
        <v>0</v>
      </c>
      <c r="Z48" s="323">
        <v>0</v>
      </c>
      <c r="AA48" s="323">
        <v>0</v>
      </c>
      <c r="AB48" s="323">
        <v>0</v>
      </c>
      <c r="AC48" s="323">
        <v>0</v>
      </c>
      <c r="AD48" s="323">
        <v>0</v>
      </c>
      <c r="AE48" s="323">
        <v>0</v>
      </c>
      <c r="AF48" s="323">
        <v>0</v>
      </c>
      <c r="AG48" s="323">
        <v>0</v>
      </c>
    </row>
    <row r="49" spans="1:43" x14ac:dyDescent="0.2">
      <c r="C49" s="1" t="s">
        <v>9</v>
      </c>
      <c r="D49" s="205" t="s">
        <v>207</v>
      </c>
      <c r="E49" s="112">
        <f>Assumptions!G98</f>
        <v>0.35181336539087127</v>
      </c>
      <c r="G49" s="207" t="s">
        <v>208</v>
      </c>
      <c r="I49" s="323">
        <v>0</v>
      </c>
      <c r="J49" s="323">
        <v>0</v>
      </c>
      <c r="K49" s="323">
        <v>0</v>
      </c>
      <c r="L49" s="323">
        <v>0</v>
      </c>
      <c r="M49" s="323">
        <v>0</v>
      </c>
      <c r="N49" s="323">
        <v>0</v>
      </c>
      <c r="O49" s="323">
        <v>0</v>
      </c>
      <c r="P49" s="323">
        <v>0</v>
      </c>
      <c r="Q49" s="323">
        <v>0</v>
      </c>
      <c r="R49" s="323">
        <v>0</v>
      </c>
      <c r="S49" s="323">
        <v>0</v>
      </c>
      <c r="T49" s="323">
        <v>0</v>
      </c>
      <c r="U49" s="323">
        <v>0</v>
      </c>
      <c r="V49" s="323">
        <v>0</v>
      </c>
      <c r="W49" s="323">
        <v>0</v>
      </c>
      <c r="X49" s="323">
        <v>0</v>
      </c>
      <c r="Y49" s="323">
        <v>0</v>
      </c>
      <c r="Z49" s="323">
        <v>0</v>
      </c>
      <c r="AA49" s="323">
        <v>0</v>
      </c>
      <c r="AB49" s="323">
        <v>0</v>
      </c>
      <c r="AC49" s="323">
        <v>0</v>
      </c>
      <c r="AD49" s="323">
        <v>0</v>
      </c>
      <c r="AE49" s="323">
        <v>0</v>
      </c>
      <c r="AF49" s="323">
        <v>0</v>
      </c>
      <c r="AG49" s="323">
        <v>0</v>
      </c>
    </row>
    <row r="50" spans="1:43" x14ac:dyDescent="0.2">
      <c r="C50" s="1" t="s">
        <v>10</v>
      </c>
      <c r="D50" s="205" t="s">
        <v>207</v>
      </c>
      <c r="E50" s="112">
        <f>Assumptions!G99</f>
        <v>0.35181336539087127</v>
      </c>
      <c r="G50" s="207" t="s">
        <v>208</v>
      </c>
      <c r="I50" s="323">
        <v>0</v>
      </c>
      <c r="J50" s="323">
        <v>0</v>
      </c>
      <c r="K50" s="323">
        <v>0</v>
      </c>
      <c r="L50" s="323">
        <v>0</v>
      </c>
      <c r="M50" s="323">
        <v>0</v>
      </c>
      <c r="N50" s="323">
        <v>0</v>
      </c>
      <c r="O50" s="323">
        <v>0</v>
      </c>
      <c r="P50" s="323">
        <v>0</v>
      </c>
      <c r="Q50" s="323">
        <v>0</v>
      </c>
      <c r="R50" s="323">
        <v>0</v>
      </c>
      <c r="S50" s="323">
        <v>0</v>
      </c>
      <c r="T50" s="323">
        <v>0</v>
      </c>
      <c r="U50" s="323">
        <v>0</v>
      </c>
      <c r="V50" s="323">
        <v>0</v>
      </c>
      <c r="W50" s="323">
        <v>0</v>
      </c>
      <c r="X50" s="323">
        <v>0</v>
      </c>
      <c r="Y50" s="323">
        <v>0</v>
      </c>
      <c r="Z50" s="323">
        <v>0</v>
      </c>
      <c r="AA50" s="323">
        <v>0</v>
      </c>
      <c r="AB50" s="323">
        <v>0</v>
      </c>
      <c r="AC50" s="323">
        <v>0</v>
      </c>
      <c r="AD50" s="323">
        <v>0</v>
      </c>
      <c r="AE50" s="323">
        <v>0</v>
      </c>
      <c r="AF50" s="323">
        <v>0</v>
      </c>
      <c r="AG50" s="323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4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352884.12352100795</v>
      </c>
      <c r="M64" s="132">
        <f>(1-INDEX(Data!$C$9:$C$13, MATCH($A$3, options,0)))*('Option1 (base case)'!M36-M36)</f>
        <v>357348.2986800833</v>
      </c>
      <c r="N64" s="132">
        <f>(1-INDEX(Data!$C$9:$C$13, MATCH($A$3, options,0)))*('Option1 (base case)'!N36-N36)</f>
        <v>363526.69211064291</v>
      </c>
      <c r="O64" s="132">
        <f>(1-INDEX(Data!$C$9:$C$13, MATCH($A$3, options,0)))*('Option1 (base case)'!O36-O36)</f>
        <v>375313.78502688499</v>
      </c>
      <c r="P64" s="132">
        <f>(1-INDEX(Data!$C$9:$C$13, MATCH($A$3, options,0)))*('Option1 (base case)'!P36-P36)</f>
        <v>388520.78903280734</v>
      </c>
      <c r="Q64" s="132">
        <f>(1-INDEX(Data!$C$9:$C$13, MATCH($A$3, options,0)))*('Option1 (base case)'!Q36-Q36)</f>
        <v>394554.19190727524</v>
      </c>
      <c r="R64" s="132">
        <f>(1-INDEX(Data!$C$9:$C$13, MATCH($A$3, options,0)))*('Option1 (base case)'!R36-R36)</f>
        <v>398256.16909381485</v>
      </c>
      <c r="S64" s="132">
        <f>(1-INDEX(Data!$C$9:$C$13, MATCH($A$3, options,0)))*('Option1 (base case)'!S36-S36)</f>
        <v>402021.94480369153</v>
      </c>
      <c r="T64" s="132">
        <f>(1-INDEX(Data!$C$9:$C$13, MATCH($A$3, options,0)))*('Option1 (base case)'!T36-T36)</f>
        <v>405834.973442232</v>
      </c>
      <c r="U64" s="132">
        <f>(1-INDEX(Data!$C$9:$C$13, MATCH($A$3, options,0)))*('Option1 (base case)'!U36-U36)</f>
        <v>409683.13805531524</v>
      </c>
      <c r="V64" s="132">
        <f>(1-INDEX(Data!$C$9:$C$13, MATCH($A$3, options,0)))*('Option1 (base case)'!V36-V36)</f>
        <v>413557.31525570143</v>
      </c>
      <c r="W64" s="132">
        <f>(1-INDEX(Data!$C$9:$C$13, MATCH($A$3, options,0)))*('Option1 (base case)'!W36-W36)</f>
        <v>417450.48808928882</v>
      </c>
      <c r="X64" s="132">
        <f>(1-INDEX(Data!$C$9:$C$13, MATCH($A$3, options,0)))*('Option1 (base case)'!X36-X36)</f>
        <v>421357.16947841481</v>
      </c>
      <c r="Y64" s="132">
        <f>(1-INDEX(Data!$C$9:$C$13, MATCH($A$3, options,0)))*('Option1 (base case)'!Y36-Y36)</f>
        <v>425273.0121596973</v>
      </c>
      <c r="Z64" s="132">
        <f>(1-INDEX(Data!$C$9:$C$13, MATCH($A$3, options,0)))*('Option1 (base case)'!Z36-Z36)</f>
        <v>429194.53597653692</v>
      </c>
      <c r="AA64" s="132">
        <f>(1-INDEX(Data!$C$9:$C$13, MATCH($A$3, options,0)))*('Option1 (base case)'!AA36-AA36)</f>
        <v>433118.93193887384</v>
      </c>
      <c r="AB64" s="132">
        <f>(1-INDEX(Data!$C$9:$C$13, MATCH($A$3, options,0)))*('Option1 (base case)'!AB36-AB36)</f>
        <v>437043.91816521599</v>
      </c>
      <c r="AC64" s="132">
        <f>(1-INDEX(Data!$C$9:$C$13, MATCH($A$3, options,0)))*('Option1 (base case)'!AC36-AC36)</f>
        <v>440967.63187666819</v>
      </c>
      <c r="AD64" s="132">
        <f>(1-INDEX(Data!$C$9:$C$13, MATCH($A$3, options,0)))*('Option1 (base case)'!AD36-AD36)</f>
        <v>444888.54704902228</v>
      </c>
      <c r="AE64" s="132">
        <f>(1-INDEX(Data!$C$9:$C$13, MATCH($A$3, options,0)))*('Option1 (base case)'!AE36-AE36)</f>
        <v>448542.62576788617</v>
      </c>
      <c r="AF64" s="132">
        <f>(1-INDEX(Data!$C$9:$C$13, MATCH($A$3, options,0)))*('Option1 (base case)'!AF36-AF36)</f>
        <v>452193.66852109041</v>
      </c>
      <c r="AG64" s="132">
        <f>(1-INDEX(Data!$C$9:$C$13, MATCH($A$3, options,0)))*('Option1 (base case)'!AG36-AG36)</f>
        <v>455840.75321043364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Replace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-2490440.3166666669</v>
      </c>
      <c r="K67" s="119">
        <f t="shared" si="4"/>
        <v>-4980880.6333333338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Replace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-2490440.3166666669</v>
      </c>
      <c r="K72" s="119" cm="1">
        <f t="array" ref="K72">SUMPRODUCT(($I67:K67))-SUMPRODUCT(($I67:K67)*($I$6:K$6&lt;=(K$6-$E14)))</f>
        <v>-7471320.9500000011</v>
      </c>
      <c r="L72" s="119" cm="1">
        <f t="array" ref="L72">SUMPRODUCT(($I67:L67))-SUMPRODUCT(($I67:L67)*($I$6:L$6&lt;=(L$6-$E14)))</f>
        <v>-7471320.9500000011</v>
      </c>
      <c r="M72" s="119" cm="1">
        <f t="array" ref="M72">SUMPRODUCT(($I67:M67))-SUMPRODUCT(($I67:M67)*($I$6:M$6&lt;=(M$6-$E14)))</f>
        <v>-7471320.9500000011</v>
      </c>
      <c r="N72" s="119" cm="1">
        <f t="array" ref="N72">SUMPRODUCT(($I67:N67))-SUMPRODUCT(($I67:N67)*($I$6:N$6&lt;=(N$6-$E14)))</f>
        <v>-7471320.9500000011</v>
      </c>
      <c r="O72" s="119" cm="1">
        <f t="array" ref="O72">SUMPRODUCT(($I67:O67))-SUMPRODUCT(($I67:O67)*($I$6:O$6&lt;=(O$6-$E14)))</f>
        <v>-7471320.9500000011</v>
      </c>
      <c r="P72" s="119" cm="1">
        <f t="array" ref="P72">SUMPRODUCT(($I67:P67))-SUMPRODUCT(($I67:P67)*($I$6:P$6&lt;=(P$6-$E14)))</f>
        <v>-7471320.9500000011</v>
      </c>
      <c r="Q72" s="119" cm="1">
        <f t="array" ref="Q72">SUMPRODUCT(($I67:Q67))-SUMPRODUCT(($I67:Q67)*($I$6:Q$6&lt;=(Q$6-$E14)))</f>
        <v>-7471320.9500000011</v>
      </c>
      <c r="R72" s="119" cm="1">
        <f t="array" ref="R72">SUMPRODUCT(($I67:R67))-SUMPRODUCT(($I67:R67)*($I$6:R$6&lt;=(R$6-$E14)))</f>
        <v>-7471320.9500000011</v>
      </c>
      <c r="S72" s="119" cm="1">
        <f t="array" ref="S72">SUMPRODUCT(($I67:S67))-SUMPRODUCT(($I67:S67)*($I$6:S$6&lt;=(S$6-$E14)))</f>
        <v>-7471320.9500000011</v>
      </c>
      <c r="T72" s="119" cm="1">
        <f t="array" ref="T72">SUMPRODUCT(($I67:T67))-SUMPRODUCT(($I67:T67)*($I$6:T$6&lt;=(T$6-$E14)))</f>
        <v>-7471320.9500000011</v>
      </c>
      <c r="U72" s="119" cm="1">
        <f t="array" ref="U72">SUMPRODUCT(($I67:U67))-SUMPRODUCT(($I67:U67)*($I$6:U$6&lt;=(U$6-$E14)))</f>
        <v>-7471320.9500000011</v>
      </c>
      <c r="V72" s="119" cm="1">
        <f t="array" ref="V72">SUMPRODUCT(($I67:V67))-SUMPRODUCT(($I67:V67)*($I$6:V$6&lt;=(V$6-$E14)))</f>
        <v>-7471320.9500000011</v>
      </c>
      <c r="W72" s="119" cm="1">
        <f t="array" ref="W72">SUMPRODUCT(($I67:W67))-SUMPRODUCT(($I67:W67)*($I$6:W$6&lt;=(W$6-$E14)))</f>
        <v>-7471320.9500000011</v>
      </c>
      <c r="X72" s="119" cm="1">
        <f t="array" ref="X72">SUMPRODUCT(($I67:X67))-SUMPRODUCT(($I67:X67)*($I$6:X$6&lt;=(X$6-$E14)))</f>
        <v>-7471320.9500000011</v>
      </c>
      <c r="Y72" s="119" cm="1">
        <f t="array" ref="Y72">SUMPRODUCT(($I67:Y67))-SUMPRODUCT(($I67:Y67)*($I$6:Y$6&lt;=(Y$6-$E14)))</f>
        <v>-7471320.9500000011</v>
      </c>
      <c r="Z72" s="119" cm="1">
        <f t="array" ref="Z72">SUMPRODUCT(($I67:Z67))-SUMPRODUCT(($I67:Z67)*($I$6:Z$6&lt;=(Z$6-$E14)))</f>
        <v>-7471320.9500000011</v>
      </c>
      <c r="AA72" s="119" cm="1">
        <f t="array" ref="AA72">SUMPRODUCT(($I67:AA67))-SUMPRODUCT(($I67:AA67)*($I$6:AA$6&lt;=(AA$6-$E14)))</f>
        <v>-7471320.9500000011</v>
      </c>
      <c r="AB72" s="119" cm="1">
        <f t="array" ref="AB72">SUMPRODUCT(($I67:AB67))-SUMPRODUCT(($I67:AB67)*($I$6:AB$6&lt;=(AB$6-$E14)))</f>
        <v>-7471320.9500000011</v>
      </c>
      <c r="AC72" s="119" cm="1">
        <f t="array" ref="AC72">SUMPRODUCT(($I67:AC67))-SUMPRODUCT(($I67:AC67)*($I$6:AC$6&lt;=(AC$6-$E14)))</f>
        <v>-7471320.9500000011</v>
      </c>
      <c r="AD72" s="119" cm="1">
        <f t="array" ref="AD72">SUMPRODUCT(($I67:AD67))-SUMPRODUCT(($I67:AD67)*($I$6:AD$6&lt;=(AD$6-$E14)))</f>
        <v>-7471320.9500000011</v>
      </c>
      <c r="AE72" s="119" cm="1">
        <f t="array" ref="AE72">SUMPRODUCT(($I67:AE67))-SUMPRODUCT(($I67:AE67)*($I$6:AE$6&lt;=(AE$6-$E14)))</f>
        <v>-7471320.9500000011</v>
      </c>
      <c r="AF72" s="119" cm="1">
        <f t="array" ref="AF72">SUMPRODUCT(($I67:AF67))-SUMPRODUCT(($I67:AF67)*($I$6:AF$6&lt;=(AF$6-$E14)))</f>
        <v>-7471320.9500000011</v>
      </c>
      <c r="AG72" s="119" cm="1">
        <f t="array" ref="AG72">SUMPRODUCT(($I67:AG67))-SUMPRODUCT(($I67:AG67)*($I$6:AG$6&lt;=(AG$6-$E14)))</f>
        <v>-7471320.9500000011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Replace 1 transformer</v>
      </c>
      <c r="D77" s="38"/>
      <c r="F77" s="97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-106176.70915358845</v>
      </c>
      <c r="L77" s="119">
        <f t="shared" si="7"/>
        <v>-318530.12746076536</v>
      </c>
      <c r="M77" s="119">
        <f t="shared" si="7"/>
        <v>-318530.12746076536</v>
      </c>
      <c r="N77" s="119">
        <f t="shared" si="7"/>
        <v>-318530.12746076536</v>
      </c>
      <c r="O77" s="119">
        <f t="shared" si="7"/>
        <v>-318530.12746076536</v>
      </c>
      <c r="P77" s="119">
        <f t="shared" si="7"/>
        <v>-318530.12746076536</v>
      </c>
      <c r="Q77" s="119">
        <f t="shared" si="7"/>
        <v>-318530.12746076536</v>
      </c>
      <c r="R77" s="119">
        <f t="shared" si="7"/>
        <v>-318530.12746076536</v>
      </c>
      <c r="S77" s="119">
        <f t="shared" si="7"/>
        <v>-318530.12746076536</v>
      </c>
      <c r="T77" s="119">
        <f t="shared" si="7"/>
        <v>-318530.12746076536</v>
      </c>
      <c r="U77" s="119">
        <f t="shared" si="7"/>
        <v>-318530.12746076536</v>
      </c>
      <c r="V77" s="119">
        <f t="shared" si="7"/>
        <v>-318530.12746076536</v>
      </c>
      <c r="W77" s="119">
        <f t="shared" si="7"/>
        <v>-318530.12746076536</v>
      </c>
      <c r="X77" s="119">
        <f t="shared" si="7"/>
        <v>-318530.12746076536</v>
      </c>
      <c r="Y77" s="119">
        <f t="shared" si="7"/>
        <v>-318530.12746076536</v>
      </c>
      <c r="Z77" s="119">
        <f t="shared" si="7"/>
        <v>-318530.12746076536</v>
      </c>
      <c r="AA77" s="119">
        <f t="shared" si="7"/>
        <v>-318530.12746076536</v>
      </c>
      <c r="AB77" s="119">
        <f t="shared" si="7"/>
        <v>-318530.12746076536</v>
      </c>
      <c r="AC77" s="119">
        <f t="shared" si="7"/>
        <v>-318530.12746076536</v>
      </c>
      <c r="AD77" s="119">
        <f t="shared" si="7"/>
        <v>-318530.12746076536</v>
      </c>
      <c r="AE77" s="119">
        <f t="shared" si="7"/>
        <v>-318530.12746076536</v>
      </c>
      <c r="AF77" s="119">
        <f t="shared" si="7"/>
        <v>-318530.12746076536</v>
      </c>
      <c r="AG77" s="119">
        <f t="shared" si="7"/>
        <v>-318530.12746076536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-106176.70915358845</v>
      </c>
      <c r="L80" s="176">
        <f t="shared" si="10"/>
        <v>-318530.12746076536</v>
      </c>
      <c r="M80" s="176">
        <f t="shared" si="10"/>
        <v>-318530.12746076536</v>
      </c>
      <c r="N80" s="176">
        <f t="shared" si="10"/>
        <v>-318530.12746076536</v>
      </c>
      <c r="O80" s="176">
        <f t="shared" si="10"/>
        <v>-318530.12746076536</v>
      </c>
      <c r="P80" s="176">
        <f t="shared" si="10"/>
        <v>-318530.12746076536</v>
      </c>
      <c r="Q80" s="176">
        <f t="shared" si="10"/>
        <v>-318530.12746076536</v>
      </c>
      <c r="R80" s="176">
        <f t="shared" si="10"/>
        <v>-318530.12746076536</v>
      </c>
      <c r="S80" s="176">
        <f t="shared" si="10"/>
        <v>-318530.12746076536</v>
      </c>
      <c r="T80" s="176">
        <f t="shared" si="10"/>
        <v>-318530.12746076536</v>
      </c>
      <c r="U80" s="176">
        <f t="shared" si="10"/>
        <v>-318530.12746076536</v>
      </c>
      <c r="V80" s="176">
        <f t="shared" si="10"/>
        <v>-318530.12746076536</v>
      </c>
      <c r="W80" s="176">
        <f t="shared" si="10"/>
        <v>-318530.12746076536</v>
      </c>
      <c r="X80" s="176">
        <f t="shared" si="10"/>
        <v>-318530.12746076536</v>
      </c>
      <c r="Y80" s="176">
        <f t="shared" si="10"/>
        <v>-318530.12746076536</v>
      </c>
      <c r="Z80" s="176">
        <f t="shared" si="10"/>
        <v>-318530.12746076536</v>
      </c>
      <c r="AA80" s="176">
        <f t="shared" si="10"/>
        <v>-318530.12746076536</v>
      </c>
      <c r="AB80" s="176">
        <f t="shared" si="10"/>
        <v>-318530.12746076536</v>
      </c>
      <c r="AC80" s="176">
        <f>SUM(AC77:AC79)</f>
        <v>-318530.12746076536</v>
      </c>
      <c r="AD80" s="176">
        <f>SUM(AD77:AD79)</f>
        <v>-318530.12746076536</v>
      </c>
      <c r="AE80" s="176">
        <f>SUM(AE77:AE79)</f>
        <v>-318530.12746076536</v>
      </c>
      <c r="AF80" s="176">
        <f>SUM(AF77:AF79)</f>
        <v>-318530.12746076536</v>
      </c>
      <c r="AG80" s="176">
        <f>SUM(AG77:AG79)</f>
        <v>-318530.12746076536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-106176.70915358845</v>
      </c>
      <c r="L82" s="119">
        <f t="shared" si="12"/>
        <v>-318530.12746076536</v>
      </c>
      <c r="M82" s="119">
        <f t="shared" si="12"/>
        <v>-318530.12746076536</v>
      </c>
      <c r="N82" s="119">
        <f t="shared" si="12"/>
        <v>-318530.12746076536</v>
      </c>
      <c r="O82" s="119">
        <f t="shared" si="12"/>
        <v>-318530.12746076536</v>
      </c>
      <c r="P82" s="119">
        <f t="shared" si="12"/>
        <v>-318530.12746076536</v>
      </c>
      <c r="Q82" s="119">
        <f t="shared" si="12"/>
        <v>-318530.12746076536</v>
      </c>
      <c r="R82" s="119">
        <f t="shared" si="12"/>
        <v>-318530.12746076536</v>
      </c>
      <c r="S82" s="119">
        <f t="shared" si="12"/>
        <v>-318530.12746076536</v>
      </c>
      <c r="T82" s="119">
        <f t="shared" si="12"/>
        <v>-318530.12746076536</v>
      </c>
      <c r="U82" s="119">
        <f t="shared" si="12"/>
        <v>-318530.12746076536</v>
      </c>
      <c r="V82" s="119">
        <f t="shared" si="12"/>
        <v>-318530.12746076536</v>
      </c>
      <c r="W82" s="119">
        <f t="shared" si="12"/>
        <v>-318530.12746076536</v>
      </c>
      <c r="X82" s="119">
        <f t="shared" si="12"/>
        <v>-318530.12746076536</v>
      </c>
      <c r="Y82" s="119">
        <f t="shared" si="12"/>
        <v>-318530.12746076536</v>
      </c>
      <c r="Z82" s="119">
        <f t="shared" si="12"/>
        <v>-318530.12746076536</v>
      </c>
      <c r="AA82" s="119">
        <f t="shared" si="12"/>
        <v>-318530.12746076536</v>
      </c>
      <c r="AB82" s="119">
        <f t="shared" si="12"/>
        <v>-318530.12746076536</v>
      </c>
      <c r="AC82" s="119">
        <f>AC80</f>
        <v>-318530.12746076536</v>
      </c>
      <c r="AD82" s="119">
        <f>AD80</f>
        <v>-318530.12746076536</v>
      </c>
      <c r="AE82" s="119">
        <f>AE80</f>
        <v>-318530.12746076536</v>
      </c>
      <c r="AF82" s="119">
        <f>AF80</f>
        <v>-318530.12746076536</v>
      </c>
      <c r="AG82" s="119">
        <f>AG80</f>
        <v>-318530.12746076536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>I64</f>
        <v>0</v>
      </c>
      <c r="J84" s="31">
        <f t="shared" ref="J84:AB84" si="14">J64</f>
        <v>0</v>
      </c>
      <c r="K84" s="31">
        <f t="shared" si="14"/>
        <v>0</v>
      </c>
      <c r="L84" s="31">
        <f t="shared" si="14"/>
        <v>352884.12352100795</v>
      </c>
      <c r="M84" s="31">
        <f t="shared" si="14"/>
        <v>357348.2986800833</v>
      </c>
      <c r="N84" s="31">
        <f t="shared" si="14"/>
        <v>363526.69211064291</v>
      </c>
      <c r="O84" s="31">
        <f t="shared" si="14"/>
        <v>375313.78502688499</v>
      </c>
      <c r="P84" s="31">
        <f t="shared" si="14"/>
        <v>388520.78903280734</v>
      </c>
      <c r="Q84" s="31">
        <f t="shared" si="14"/>
        <v>394554.19190727524</v>
      </c>
      <c r="R84" s="31">
        <f t="shared" si="14"/>
        <v>398256.16909381485</v>
      </c>
      <c r="S84" s="31">
        <f t="shared" si="14"/>
        <v>402021.94480369153</v>
      </c>
      <c r="T84" s="31">
        <f t="shared" si="14"/>
        <v>405834.973442232</v>
      </c>
      <c r="U84" s="31">
        <f t="shared" si="14"/>
        <v>409683.13805531524</v>
      </c>
      <c r="V84" s="31">
        <f t="shared" si="14"/>
        <v>413557.31525570143</v>
      </c>
      <c r="W84" s="31">
        <f t="shared" si="14"/>
        <v>417450.48808928882</v>
      </c>
      <c r="X84" s="31">
        <f t="shared" si="14"/>
        <v>421357.16947841481</v>
      </c>
      <c r="Y84" s="31">
        <f t="shared" si="14"/>
        <v>425273.0121596973</v>
      </c>
      <c r="Z84" s="31">
        <f t="shared" si="14"/>
        <v>429194.53597653692</v>
      </c>
      <c r="AA84" s="31">
        <f t="shared" si="14"/>
        <v>433118.93193887384</v>
      </c>
      <c r="AB84" s="31">
        <f t="shared" si="14"/>
        <v>437043.91816521599</v>
      </c>
      <c r="AC84" s="31">
        <f>AC64</f>
        <v>440967.63187666819</v>
      </c>
      <c r="AD84" s="31">
        <f>AD64</f>
        <v>444888.54704902228</v>
      </c>
      <c r="AE84" s="31">
        <f>AE64</f>
        <v>448542.62576788617</v>
      </c>
      <c r="AF84" s="31">
        <f>AF64</f>
        <v>452193.66852109041</v>
      </c>
      <c r="AG84" s="31">
        <f>AG64</f>
        <v>455840.75321043364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-106176.70915358845</v>
      </c>
      <c r="L87" s="179">
        <f t="shared" si="16"/>
        <v>34353.996060242585</v>
      </c>
      <c r="M87" s="179">
        <f t="shared" si="16"/>
        <v>38818.171219317941</v>
      </c>
      <c r="N87" s="179">
        <f t="shared" si="16"/>
        <v>44996.564649877546</v>
      </c>
      <c r="O87" s="179">
        <f t="shared" si="16"/>
        <v>56783.657566119626</v>
      </c>
      <c r="P87" s="179">
        <f t="shared" si="16"/>
        <v>69990.66157204198</v>
      </c>
      <c r="Q87" s="179">
        <f t="shared" si="16"/>
        <v>76024.064446509874</v>
      </c>
      <c r="R87" s="179">
        <f t="shared" si="16"/>
        <v>79726.041633049492</v>
      </c>
      <c r="S87" s="179">
        <f t="shared" si="16"/>
        <v>83491.817342926166</v>
      </c>
      <c r="T87" s="179">
        <f t="shared" si="16"/>
        <v>87304.845981466642</v>
      </c>
      <c r="U87" s="179">
        <f t="shared" si="16"/>
        <v>91153.01059454988</v>
      </c>
      <c r="V87" s="179">
        <f t="shared" si="16"/>
        <v>95027.187794936064</v>
      </c>
      <c r="W87" s="179">
        <f t="shared" si="16"/>
        <v>98920.360628523456</v>
      </c>
      <c r="X87" s="179">
        <f t="shared" si="16"/>
        <v>102827.04201764945</v>
      </c>
      <c r="Y87" s="179">
        <f t="shared" si="16"/>
        <v>106742.88469893194</v>
      </c>
      <c r="Z87" s="179">
        <f t="shared" si="16"/>
        <v>110664.40851577156</v>
      </c>
      <c r="AA87" s="179">
        <f t="shared" si="16"/>
        <v>114588.80447810848</v>
      </c>
      <c r="AB87" s="179">
        <f t="shared" si="16"/>
        <v>118513.79070445063</v>
      </c>
      <c r="AC87" s="179">
        <f>SUM(AC82:AC86)</f>
        <v>122437.50441590283</v>
      </c>
      <c r="AD87" s="179">
        <f>SUM(AD82:AD86)</f>
        <v>126358.41958825692</v>
      </c>
      <c r="AE87" s="179">
        <f>SUM(AE82:AE86)</f>
        <v>130012.49830712081</v>
      </c>
      <c r="AF87" s="179">
        <f>SUM(AF82:AF86)</f>
        <v>133663.54106032505</v>
      </c>
      <c r="AG87" s="179">
        <f>SUM(AG82:AG86)</f>
        <v>137310.62574966828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7">J87</f>
        <v>0</v>
      </c>
      <c r="K106" s="31">
        <f t="shared" si="17"/>
        <v>-106176.70915358845</v>
      </c>
      <c r="L106" s="31">
        <f t="shared" si="17"/>
        <v>34353.996060242585</v>
      </c>
      <c r="M106" s="31">
        <f t="shared" si="17"/>
        <v>38818.171219317941</v>
      </c>
      <c r="N106" s="31">
        <f t="shared" si="17"/>
        <v>44996.564649877546</v>
      </c>
      <c r="O106" s="31">
        <f t="shared" si="17"/>
        <v>56783.657566119626</v>
      </c>
      <c r="P106" s="31">
        <f t="shared" si="17"/>
        <v>69990.66157204198</v>
      </c>
      <c r="Q106" s="31">
        <f t="shared" si="17"/>
        <v>76024.064446509874</v>
      </c>
      <c r="R106" s="31">
        <f t="shared" si="17"/>
        <v>79726.041633049492</v>
      </c>
      <c r="S106" s="31">
        <f t="shared" si="17"/>
        <v>83491.817342926166</v>
      </c>
      <c r="T106" s="31">
        <f t="shared" si="17"/>
        <v>87304.845981466642</v>
      </c>
      <c r="U106" s="31">
        <f t="shared" si="17"/>
        <v>91153.01059454988</v>
      </c>
      <c r="V106" s="31">
        <f t="shared" si="17"/>
        <v>95027.187794936064</v>
      </c>
      <c r="W106" s="31">
        <f t="shared" si="17"/>
        <v>98920.360628523456</v>
      </c>
      <c r="X106" s="31">
        <f t="shared" si="17"/>
        <v>102827.04201764945</v>
      </c>
      <c r="Y106" s="31">
        <f t="shared" si="17"/>
        <v>106742.88469893194</v>
      </c>
      <c r="Z106" s="31">
        <f t="shared" si="17"/>
        <v>110664.40851577156</v>
      </c>
      <c r="AA106" s="31">
        <f t="shared" si="17"/>
        <v>114588.80447810848</v>
      </c>
      <c r="AB106" s="31">
        <f t="shared" si="17"/>
        <v>118513.79070445063</v>
      </c>
      <c r="AC106" s="31">
        <f t="shared" si="17"/>
        <v>122437.50441590283</v>
      </c>
      <c r="AD106" s="31">
        <f t="shared" si="17"/>
        <v>126358.41958825692</v>
      </c>
      <c r="AE106" s="31">
        <f t="shared" si="17"/>
        <v>130012.49830712081</v>
      </c>
      <c r="AF106" s="31">
        <f t="shared" si="17"/>
        <v>133663.54106032505</v>
      </c>
      <c r="AG106" s="31">
        <f t="shared" si="17"/>
        <v>137310.62574966828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-106176.70915358845</v>
      </c>
      <c r="L107" s="31">
        <f t="shared" si="18"/>
        <v>-318530.12746076536</v>
      </c>
      <c r="M107" s="31">
        <f t="shared" si="18"/>
        <v>-318530.12746076536</v>
      </c>
      <c r="N107" s="31">
        <f t="shared" si="18"/>
        <v>-318530.12746076536</v>
      </c>
      <c r="O107" s="31">
        <f t="shared" si="18"/>
        <v>-318530.12746076536</v>
      </c>
      <c r="P107" s="31">
        <f t="shared" si="18"/>
        <v>-318530.12746076536</v>
      </c>
      <c r="Q107" s="31">
        <f t="shared" si="18"/>
        <v>-318530.12746076536</v>
      </c>
      <c r="R107" s="31">
        <f t="shared" si="18"/>
        <v>-318530.12746076536</v>
      </c>
      <c r="S107" s="31">
        <f t="shared" si="18"/>
        <v>-318530.12746076536</v>
      </c>
      <c r="T107" s="31">
        <f t="shared" si="18"/>
        <v>-318530.12746076536</v>
      </c>
      <c r="U107" s="31">
        <f t="shared" si="18"/>
        <v>-318530.12746076536</v>
      </c>
      <c r="V107" s="31">
        <f t="shared" si="18"/>
        <v>-318530.12746076536</v>
      </c>
      <c r="W107" s="31">
        <f t="shared" si="18"/>
        <v>-318530.12746076536</v>
      </c>
      <c r="X107" s="31">
        <f t="shared" si="18"/>
        <v>-318530.12746076536</v>
      </c>
      <c r="Y107" s="31">
        <f t="shared" si="18"/>
        <v>-318530.12746076536</v>
      </c>
      <c r="Z107" s="31">
        <f t="shared" si="18"/>
        <v>-318530.12746076536</v>
      </c>
      <c r="AA107" s="31">
        <f t="shared" si="18"/>
        <v>-318530.12746076536</v>
      </c>
      <c r="AB107" s="31">
        <f t="shared" si="18"/>
        <v>-318530.12746076536</v>
      </c>
      <c r="AC107" s="31">
        <f t="shared" si="18"/>
        <v>-318530.12746076536</v>
      </c>
      <c r="AD107" s="31">
        <f t="shared" si="18"/>
        <v>-318530.12746076536</v>
      </c>
      <c r="AE107" s="31">
        <f t="shared" si="18"/>
        <v>-318530.12746076536</v>
      </c>
      <c r="AF107" s="31">
        <f t="shared" si="18"/>
        <v>-318530.12746076536</v>
      </c>
      <c r="AG107" s="31">
        <f t="shared" si="18"/>
        <v>-318530.12746076536</v>
      </c>
    </row>
    <row r="108" spans="1:43" x14ac:dyDescent="0.2">
      <c r="C108" s="1" t="s">
        <v>242</v>
      </c>
      <c r="D108" s="252"/>
      <c r="E108" s="38"/>
      <c r="I108" s="31">
        <f>SUM(I84:I85)</f>
        <v>0</v>
      </c>
      <c r="J108" s="31">
        <f t="shared" ref="J108:AG108" si="19">SUM(J84:J85)</f>
        <v>0</v>
      </c>
      <c r="K108" s="31">
        <f t="shared" si="19"/>
        <v>0</v>
      </c>
      <c r="L108" s="31">
        <f t="shared" si="19"/>
        <v>352884.12352100795</v>
      </c>
      <c r="M108" s="31">
        <f t="shared" si="19"/>
        <v>357348.2986800833</v>
      </c>
      <c r="N108" s="31">
        <f t="shared" si="19"/>
        <v>363526.69211064291</v>
      </c>
      <c r="O108" s="31">
        <f t="shared" si="19"/>
        <v>375313.78502688499</v>
      </c>
      <c r="P108" s="31">
        <f t="shared" si="19"/>
        <v>388520.78903280734</v>
      </c>
      <c r="Q108" s="31">
        <f t="shared" si="19"/>
        <v>394554.19190727524</v>
      </c>
      <c r="R108" s="31">
        <f t="shared" si="19"/>
        <v>398256.16909381485</v>
      </c>
      <c r="S108" s="31">
        <f t="shared" si="19"/>
        <v>402021.94480369153</v>
      </c>
      <c r="T108" s="31">
        <f t="shared" si="19"/>
        <v>405834.973442232</v>
      </c>
      <c r="U108" s="31">
        <f t="shared" si="19"/>
        <v>409683.13805531524</v>
      </c>
      <c r="V108" s="31">
        <f t="shared" si="19"/>
        <v>413557.31525570143</v>
      </c>
      <c r="W108" s="31">
        <f t="shared" si="19"/>
        <v>417450.48808928882</v>
      </c>
      <c r="X108" s="31">
        <f t="shared" si="19"/>
        <v>421357.16947841481</v>
      </c>
      <c r="Y108" s="31">
        <f t="shared" si="19"/>
        <v>425273.0121596973</v>
      </c>
      <c r="Z108" s="31">
        <f t="shared" si="19"/>
        <v>429194.53597653692</v>
      </c>
      <c r="AA108" s="31">
        <f t="shared" si="19"/>
        <v>433118.93193887384</v>
      </c>
      <c r="AB108" s="31">
        <f t="shared" si="19"/>
        <v>437043.91816521599</v>
      </c>
      <c r="AC108" s="31">
        <f t="shared" si="19"/>
        <v>440967.63187666819</v>
      </c>
      <c r="AD108" s="31">
        <f t="shared" si="19"/>
        <v>444888.54704902228</v>
      </c>
      <c r="AE108" s="31">
        <f t="shared" si="19"/>
        <v>448542.62576788617</v>
      </c>
      <c r="AF108" s="31">
        <f t="shared" si="19"/>
        <v>452193.66852109041</v>
      </c>
      <c r="AG108" s="31">
        <f t="shared" si="19"/>
        <v>455840.75321043364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-116794.3800689473</v>
      </c>
      <c r="L110" s="31" cm="1">
        <f t="array" ref="L110">L$106+IF($C110&lt;&gt;0,SUMPRODUCT((L$107:L$108)*TRANSPOSE(($D110:$E110))),0)</f>
        <v>2500.9833141660492</v>
      </c>
      <c r="M110" s="31" cm="1">
        <f t="array" ref="M110">M$106+IF($C110&lt;&gt;0,SUMPRODUCT((M$107:M$108)*TRANSPOSE(($D110:$E110))),0)</f>
        <v>6965.1584732414049</v>
      </c>
      <c r="N110" s="31" cm="1">
        <f t="array" ref="N110">N$106+IF($C110&lt;&gt;0,SUMPRODUCT((N$107:N$108)*TRANSPOSE(($D110:$E110))),0)</f>
        <v>13143.55190380101</v>
      </c>
      <c r="O110" s="31" cm="1">
        <f t="array" ref="O110">O$106+IF($C110&lt;&gt;0,SUMPRODUCT((O$107:O$108)*TRANSPOSE(($D110:$E110))),0)</f>
        <v>24930.64482004309</v>
      </c>
      <c r="P110" s="31" cm="1">
        <f t="array" ref="P110">P$106+IF($C110&lt;&gt;0,SUMPRODUCT((P$107:P$108)*TRANSPOSE(($D110:$E110))),0)</f>
        <v>38137.648825965443</v>
      </c>
      <c r="Q110" s="31" cm="1">
        <f t="array" ref="Q110">Q$106+IF($C110&lt;&gt;0,SUMPRODUCT((Q$107:Q$108)*TRANSPOSE(($D110:$E110))),0)</f>
        <v>44171.051700433338</v>
      </c>
      <c r="R110" s="31" cm="1">
        <f t="array" ref="R110">R$106+IF($C110&lt;&gt;0,SUMPRODUCT((R$107:R$108)*TRANSPOSE(($D110:$E110))),0)</f>
        <v>47873.028886972956</v>
      </c>
      <c r="S110" s="31" cm="1">
        <f t="array" ref="S110">S$106+IF($C110&lt;&gt;0,SUMPRODUCT((S$107:S$108)*TRANSPOSE(($D110:$E110))),0)</f>
        <v>51638.80459684963</v>
      </c>
      <c r="T110" s="31" cm="1">
        <f t="array" ref="T110">T$106+IF($C110&lt;&gt;0,SUMPRODUCT((T$107:T$108)*TRANSPOSE(($D110:$E110))),0)</f>
        <v>55451.833235390106</v>
      </c>
      <c r="U110" s="31" cm="1">
        <f t="array" ref="U110">U$106+IF($C110&lt;&gt;0,SUMPRODUCT((U$107:U$108)*TRANSPOSE(($D110:$E110))),0)</f>
        <v>59299.997848473344</v>
      </c>
      <c r="V110" s="31" cm="1">
        <f t="array" ref="V110">V$106+IF($C110&lt;&gt;0,SUMPRODUCT((V$107:V$108)*TRANSPOSE(($D110:$E110))),0)</f>
        <v>63174.175048859528</v>
      </c>
      <c r="W110" s="31" cm="1">
        <f t="array" ref="W110">W$106+IF($C110&lt;&gt;0,SUMPRODUCT((W$107:W$108)*TRANSPOSE(($D110:$E110))),0)</f>
        <v>67067.34788244692</v>
      </c>
      <c r="X110" s="31" cm="1">
        <f t="array" ref="X110">X$106+IF($C110&lt;&gt;0,SUMPRODUCT((X$107:X$108)*TRANSPOSE(($D110:$E110))),0)</f>
        <v>70974.029271572916</v>
      </c>
      <c r="Y110" s="31" cm="1">
        <f t="array" ref="Y110">Y$106+IF($C110&lt;&gt;0,SUMPRODUCT((Y$107:Y$108)*TRANSPOSE(($D110:$E110))),0)</f>
        <v>74889.871952855407</v>
      </c>
      <c r="Z110" s="31" cm="1">
        <f t="array" ref="Z110">Z$106+IF($C110&lt;&gt;0,SUMPRODUCT((Z$107:Z$108)*TRANSPOSE(($D110:$E110))),0)</f>
        <v>78811.395769695024</v>
      </c>
      <c r="AA110" s="31" cm="1">
        <f t="array" ref="AA110">AA$106+IF($C110&lt;&gt;0,SUMPRODUCT((AA$107:AA$108)*TRANSPOSE(($D110:$E110))),0)</f>
        <v>82735.791732031939</v>
      </c>
      <c r="AB110" s="31" cm="1">
        <f t="array" ref="AB110">AB$106+IF($C110&lt;&gt;0,SUMPRODUCT((AB$107:AB$108)*TRANSPOSE(($D110:$E110))),0)</f>
        <v>86660.777958374092</v>
      </c>
      <c r="AC110" s="31" cm="1">
        <f t="array" ref="AC110">AC$106+IF($C110&lt;&gt;0,SUMPRODUCT((AC$107:AC$108)*TRANSPOSE(($D110:$E110))),0)</f>
        <v>90584.491669826297</v>
      </c>
      <c r="AD110" s="31" cm="1">
        <f t="array" ref="AD110">AD$106+IF($C110&lt;&gt;0,SUMPRODUCT((AD$107:AD$108)*TRANSPOSE(($D110:$E110))),0)</f>
        <v>94505.406842180382</v>
      </c>
      <c r="AE110" s="31" cm="1">
        <f t="array" ref="AE110">AE$106+IF($C110&lt;&gt;0,SUMPRODUCT((AE$107:AE$108)*TRANSPOSE(($D110:$E110))),0)</f>
        <v>98159.485561044276</v>
      </c>
      <c r="AF110" s="31" cm="1">
        <f t="array" ref="AF110">AF$106+IF($C110&lt;&gt;0,SUMPRODUCT((AF$107:AF$108)*TRANSPOSE(($D110:$E110))),0)</f>
        <v>101810.52831424851</v>
      </c>
      <c r="AG110" s="31" cm="1">
        <f t="array" ref="AG110">AG$106+IF($C110&lt;&gt;0,SUMPRODUCT((AG$107:AG$108)*TRANSPOSE(($D110:$E110))),0)</f>
        <v>105457.61300359174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-95559.038238229608</v>
      </c>
      <c r="L111" s="31" cm="1">
        <f t="array" ref="L111">L$106+IF($C111&lt;&gt;0,SUMPRODUCT((L$107:L$108)*TRANSPOSE(($D111:$E111))),0)</f>
        <v>66207.008806319122</v>
      </c>
      <c r="M111" s="31" cm="1">
        <f t="array" ref="M111">M$106+IF($C111&lt;&gt;0,SUMPRODUCT((M$107:M$108)*TRANSPOSE(($D111:$E111))),0)</f>
        <v>70671.183965394477</v>
      </c>
      <c r="N111" s="31" cm="1">
        <f t="array" ref="N111">N$106+IF($C111&lt;&gt;0,SUMPRODUCT((N$107:N$108)*TRANSPOSE(($D111:$E111))),0)</f>
        <v>76849.577395954082</v>
      </c>
      <c r="O111" s="31" cm="1">
        <f t="array" ref="O111">O$106+IF($C111&lt;&gt;0,SUMPRODUCT((O$107:O$108)*TRANSPOSE(($D111:$E111))),0)</f>
        <v>88636.670312196162</v>
      </c>
      <c r="P111" s="31" cm="1">
        <f t="array" ref="P111">P$106+IF($C111&lt;&gt;0,SUMPRODUCT((P$107:P$108)*TRANSPOSE(($D111:$E111))),0)</f>
        <v>101843.67431811852</v>
      </c>
      <c r="Q111" s="31" cm="1">
        <f t="array" ref="Q111">Q$106+IF($C111&lt;&gt;0,SUMPRODUCT((Q$107:Q$108)*TRANSPOSE(($D111:$E111))),0)</f>
        <v>107877.07719258641</v>
      </c>
      <c r="R111" s="31" cm="1">
        <f t="array" ref="R111">R$106+IF($C111&lt;&gt;0,SUMPRODUCT((R$107:R$108)*TRANSPOSE(($D111:$E111))),0)</f>
        <v>111579.05437912603</v>
      </c>
      <c r="S111" s="31" cm="1">
        <f t="array" ref="S111">S$106+IF($C111&lt;&gt;0,SUMPRODUCT((S$107:S$108)*TRANSPOSE(($D111:$E111))),0)</f>
        <v>115344.8300890027</v>
      </c>
      <c r="T111" s="31" cm="1">
        <f t="array" ref="T111">T$106+IF($C111&lt;&gt;0,SUMPRODUCT((T$107:T$108)*TRANSPOSE(($D111:$E111))),0)</f>
        <v>119157.85872754318</v>
      </c>
      <c r="U111" s="31" cm="1">
        <f t="array" ref="U111">U$106+IF($C111&lt;&gt;0,SUMPRODUCT((U$107:U$108)*TRANSPOSE(($D111:$E111))),0)</f>
        <v>123006.02334062642</v>
      </c>
      <c r="V111" s="31" cm="1">
        <f t="array" ref="V111">V$106+IF($C111&lt;&gt;0,SUMPRODUCT((V$107:V$108)*TRANSPOSE(($D111:$E111))),0)</f>
        <v>126880.2005410126</v>
      </c>
      <c r="W111" s="31" cm="1">
        <f t="array" ref="W111">W$106+IF($C111&lt;&gt;0,SUMPRODUCT((W$107:W$108)*TRANSPOSE(($D111:$E111))),0)</f>
        <v>130773.37337459999</v>
      </c>
      <c r="X111" s="31" cm="1">
        <f t="array" ref="X111">X$106+IF($C111&lt;&gt;0,SUMPRODUCT((X$107:X$108)*TRANSPOSE(($D111:$E111))),0)</f>
        <v>134680.05476372599</v>
      </c>
      <c r="Y111" s="31" cm="1">
        <f t="array" ref="Y111">Y$106+IF($C111&lt;&gt;0,SUMPRODUCT((Y$107:Y$108)*TRANSPOSE(($D111:$E111))),0)</f>
        <v>138595.89744500848</v>
      </c>
      <c r="Z111" s="31" cm="1">
        <f t="array" ref="Z111">Z$106+IF($C111&lt;&gt;0,SUMPRODUCT((Z$107:Z$108)*TRANSPOSE(($D111:$E111))),0)</f>
        <v>142517.4212618481</v>
      </c>
      <c r="AA111" s="31" cm="1">
        <f t="array" ref="AA111">AA$106+IF($C111&lt;&gt;0,SUMPRODUCT((AA$107:AA$108)*TRANSPOSE(($D111:$E111))),0)</f>
        <v>146441.81722418501</v>
      </c>
      <c r="AB111" s="31" cm="1">
        <f t="array" ref="AB111">AB$106+IF($C111&lt;&gt;0,SUMPRODUCT((AB$107:AB$108)*TRANSPOSE(($D111:$E111))),0)</f>
        <v>150366.80345052716</v>
      </c>
      <c r="AC111" s="31" cm="1">
        <f t="array" ref="AC111">AC$106+IF($C111&lt;&gt;0,SUMPRODUCT((AC$107:AC$108)*TRANSPOSE(($D111:$E111))),0)</f>
        <v>154290.51716197937</v>
      </c>
      <c r="AD111" s="31" cm="1">
        <f t="array" ref="AD111">AD$106+IF($C111&lt;&gt;0,SUMPRODUCT((AD$107:AD$108)*TRANSPOSE(($D111:$E111))),0)</f>
        <v>158211.43233433345</v>
      </c>
      <c r="AE111" s="31" cm="1">
        <f t="array" ref="AE111">AE$106+IF($C111&lt;&gt;0,SUMPRODUCT((AE$107:AE$108)*TRANSPOSE(($D111:$E111))),0)</f>
        <v>161865.51105319735</v>
      </c>
      <c r="AF111" s="31" cm="1">
        <f t="array" ref="AF111">AF$106+IF($C111&lt;&gt;0,SUMPRODUCT((AF$107:AF$108)*TRANSPOSE(($D111:$E111))),0)</f>
        <v>165516.55380640159</v>
      </c>
      <c r="AG111" s="31" cm="1">
        <f t="array" ref="AG111">AG$106+IF($C111&lt;&gt;0,SUMPRODUCT((AG$107:AG$108)*TRANSPOSE(($D111:$E111))),0)</f>
        <v>169163.63849574482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-106176.70915358845</v>
      </c>
      <c r="L112" s="31" cm="1">
        <f t="array" ref="L112">L$106+IF($C112&lt;&gt;0,SUMPRODUCT((L$107:L$108)*TRANSPOSE(($D112:$E112))),0)</f>
        <v>69642.408412343386</v>
      </c>
      <c r="M112" s="31" cm="1">
        <f t="array" ref="M112">M$106+IF($C112&lt;&gt;0,SUMPRODUCT((M$107:M$108)*TRANSPOSE(($D112:$E112))),0)</f>
        <v>74553.001087326265</v>
      </c>
      <c r="N112" s="31" cm="1">
        <f t="array" ref="N112">N$106+IF($C112&lt;&gt;0,SUMPRODUCT((N$107:N$108)*TRANSPOSE(($D112:$E112))),0)</f>
        <v>81349.233860941837</v>
      </c>
      <c r="O112" s="31" cm="1">
        <f t="array" ref="O112">O$106+IF($C112&lt;&gt;0,SUMPRODUCT((O$107:O$108)*TRANSPOSE(($D112:$E112))),0)</f>
        <v>94315.036068808127</v>
      </c>
      <c r="P112" s="31" cm="1">
        <f t="array" ref="P112">P$106+IF($C112&lt;&gt;0,SUMPRODUCT((P$107:P$108)*TRANSPOSE(($D112:$E112))),0)</f>
        <v>108842.74047532272</v>
      </c>
      <c r="Q112" s="31" cm="1">
        <f t="array" ref="Q112">Q$106+IF($C112&lt;&gt;0,SUMPRODUCT((Q$107:Q$108)*TRANSPOSE(($D112:$E112))),0)</f>
        <v>115479.4836372374</v>
      </c>
      <c r="R112" s="31" cm="1">
        <f t="array" ref="R112">R$106+IF($C112&lt;&gt;0,SUMPRODUCT((R$107:R$108)*TRANSPOSE(($D112:$E112))),0)</f>
        <v>119551.65854243099</v>
      </c>
      <c r="S112" s="31" cm="1">
        <f t="array" ref="S112">S$106+IF($C112&lt;&gt;0,SUMPRODUCT((S$107:S$108)*TRANSPOSE(($D112:$E112))),0)</f>
        <v>123694.01182329532</v>
      </c>
      <c r="T112" s="31" cm="1">
        <f t="array" ref="T112">T$106+IF($C112&lt;&gt;0,SUMPRODUCT((T$107:T$108)*TRANSPOSE(($D112:$E112))),0)</f>
        <v>127888.34332568984</v>
      </c>
      <c r="U112" s="31" cm="1">
        <f t="array" ref="U112">U$106+IF($C112&lt;&gt;0,SUMPRODUCT((U$107:U$108)*TRANSPOSE(($D112:$E112))),0)</f>
        <v>132121.32440008142</v>
      </c>
      <c r="V112" s="31" cm="1">
        <f t="array" ref="V112">V$106+IF($C112&lt;&gt;0,SUMPRODUCT((V$107:V$108)*TRANSPOSE(($D112:$E112))),0)</f>
        <v>136382.91932050622</v>
      </c>
      <c r="W112" s="31" cm="1">
        <f t="array" ref="W112">W$106+IF($C112&lt;&gt;0,SUMPRODUCT((W$107:W$108)*TRANSPOSE(($D112:$E112))),0)</f>
        <v>140665.40943745233</v>
      </c>
      <c r="X112" s="31" cm="1">
        <f t="array" ref="X112">X$106+IF($C112&lt;&gt;0,SUMPRODUCT((X$107:X$108)*TRANSPOSE(($D112:$E112))),0)</f>
        <v>144962.75896549094</v>
      </c>
      <c r="Y112" s="31" cm="1">
        <f t="array" ref="Y112">Y$106+IF($C112&lt;&gt;0,SUMPRODUCT((Y$107:Y$108)*TRANSPOSE(($D112:$E112))),0)</f>
        <v>149270.18591490167</v>
      </c>
      <c r="Z112" s="31" cm="1">
        <f t="array" ref="Z112">Z$106+IF($C112&lt;&gt;0,SUMPRODUCT((Z$107:Z$108)*TRANSPOSE(($D112:$E112))),0)</f>
        <v>153583.86211342525</v>
      </c>
      <c r="AA112" s="31" cm="1">
        <f t="array" ref="AA112">AA$106+IF($C112&lt;&gt;0,SUMPRODUCT((AA$107:AA$108)*TRANSPOSE(($D112:$E112))),0)</f>
        <v>157900.69767199585</v>
      </c>
      <c r="AB112" s="31" cm="1">
        <f t="array" ref="AB112">AB$106+IF($C112&lt;&gt;0,SUMPRODUCT((AB$107:AB$108)*TRANSPOSE(($D112:$E112))),0)</f>
        <v>162218.18252097222</v>
      </c>
      <c r="AC112" s="31" cm="1">
        <f t="array" ref="AC112">AC$106+IF($C112&lt;&gt;0,SUMPRODUCT((AC$107:AC$108)*TRANSPOSE(($D112:$E112))),0)</f>
        <v>166534.26760356966</v>
      </c>
      <c r="AD112" s="31" cm="1">
        <f t="array" ref="AD112">AD$106+IF($C112&lt;&gt;0,SUMPRODUCT((AD$107:AD$108)*TRANSPOSE(($D112:$E112))),0)</f>
        <v>170847.27429315913</v>
      </c>
      <c r="AE112" s="31" cm="1">
        <f t="array" ref="AE112">AE$106+IF($C112&lt;&gt;0,SUMPRODUCT((AE$107:AE$108)*TRANSPOSE(($D112:$E112))),0)</f>
        <v>174866.76088390942</v>
      </c>
      <c r="AF112" s="31" cm="1">
        <f t="array" ref="AF112">AF$106+IF($C112&lt;&gt;0,SUMPRODUCT((AF$107:AF$108)*TRANSPOSE(($D112:$E112))),0)</f>
        <v>178882.90791243408</v>
      </c>
      <c r="AG112" s="31" cm="1">
        <f t="array" ref="AG112">AG$106+IF($C112&lt;&gt;0,SUMPRODUCT((AG$107:AG$108)*TRANSPOSE(($D112:$E112))),0)</f>
        <v>182894.70107071166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-106176.70915358845</v>
      </c>
      <c r="L113" s="31" cm="1">
        <f t="array" ref="L113">L$106+IF($C113&lt;&gt;0,SUMPRODUCT((L$107:L$108)*TRANSPOSE(($D113:$E113))),0)</f>
        <v>-934.41629185820784</v>
      </c>
      <c r="M113" s="31" cm="1">
        <f t="array" ref="M113">M$106+IF($C113&lt;&gt;0,SUMPRODUCT((M$107:M$108)*TRANSPOSE(($D113:$E113))),0)</f>
        <v>3083.3413513096093</v>
      </c>
      <c r="N113" s="31" cm="1">
        <f t="array" ref="N113">N$106+IF($C113&lt;&gt;0,SUMPRODUCT((N$107:N$108)*TRANSPOSE(($D113:$E113))),0)</f>
        <v>8643.8954388132552</v>
      </c>
      <c r="O113" s="31" cm="1">
        <f t="array" ref="O113">O$106+IF($C113&lt;&gt;0,SUMPRODUCT((O$107:O$108)*TRANSPOSE(($D113:$E113))),0)</f>
        <v>19252.279063431124</v>
      </c>
      <c r="P113" s="31" cm="1">
        <f t="array" ref="P113">P$106+IF($C113&lt;&gt;0,SUMPRODUCT((P$107:P$108)*TRANSPOSE(($D113:$E113))),0)</f>
        <v>31138.582668761243</v>
      </c>
      <c r="Q113" s="31" cm="1">
        <f t="array" ref="Q113">Q$106+IF($C113&lt;&gt;0,SUMPRODUCT((Q$107:Q$108)*TRANSPOSE(($D113:$E113))),0)</f>
        <v>36568.64525578235</v>
      </c>
      <c r="R113" s="31" cm="1">
        <f t="array" ref="R113">R$106+IF($C113&lt;&gt;0,SUMPRODUCT((R$107:R$108)*TRANSPOSE(($D113:$E113))),0)</f>
        <v>39900.424723668002</v>
      </c>
      <c r="S113" s="31" cm="1">
        <f t="array" ref="S113">S$106+IF($C113&lt;&gt;0,SUMPRODUCT((S$107:S$108)*TRANSPOSE(($D113:$E113))),0)</f>
        <v>43289.622862557007</v>
      </c>
      <c r="T113" s="31" cm="1">
        <f t="array" ref="T113">T$106+IF($C113&lt;&gt;0,SUMPRODUCT((T$107:T$108)*TRANSPOSE(($D113:$E113))),0)</f>
        <v>46721.348637243442</v>
      </c>
      <c r="U113" s="31" cm="1">
        <f t="array" ref="U113">U$106+IF($C113&lt;&gt;0,SUMPRODUCT((U$107:U$108)*TRANSPOSE(($D113:$E113))),0)</f>
        <v>50184.696789018351</v>
      </c>
      <c r="V113" s="31" cm="1">
        <f t="array" ref="V113">V$106+IF($C113&lt;&gt;0,SUMPRODUCT((V$107:V$108)*TRANSPOSE(($D113:$E113))),0)</f>
        <v>53671.456269365917</v>
      </c>
      <c r="W113" s="31" cm="1">
        <f t="array" ref="W113">W$106+IF($C113&lt;&gt;0,SUMPRODUCT((W$107:W$108)*TRANSPOSE(($D113:$E113))),0)</f>
        <v>57175.311819594572</v>
      </c>
      <c r="X113" s="31" cm="1">
        <f t="array" ref="X113">X$106+IF($C113&lt;&gt;0,SUMPRODUCT((X$107:X$108)*TRANSPOSE(($D113:$E113))),0)</f>
        <v>60691.325069807965</v>
      </c>
      <c r="Y113" s="31" cm="1">
        <f t="array" ref="Y113">Y$106+IF($C113&lt;&gt;0,SUMPRODUCT((Y$107:Y$108)*TRANSPOSE(($D113:$E113))),0)</f>
        <v>64215.583482962211</v>
      </c>
      <c r="Z113" s="31" cm="1">
        <f t="array" ref="Z113">Z$106+IF($C113&lt;&gt;0,SUMPRODUCT((Z$107:Z$108)*TRANSPOSE(($D113:$E113))),0)</f>
        <v>67744.954918117874</v>
      </c>
      <c r="AA113" s="31" cm="1">
        <f t="array" ref="AA113">AA$106+IF($C113&lt;&gt;0,SUMPRODUCT((AA$107:AA$108)*TRANSPOSE(($D113:$E113))),0)</f>
        <v>71276.911284221089</v>
      </c>
      <c r="AB113" s="31" cm="1">
        <f t="array" ref="AB113">AB$106+IF($C113&lt;&gt;0,SUMPRODUCT((AB$107:AB$108)*TRANSPOSE(($D113:$E113))),0)</f>
        <v>74809.398887929026</v>
      </c>
      <c r="AC113" s="31" cm="1">
        <f t="array" ref="AC113">AC$106+IF($C113&lt;&gt;0,SUMPRODUCT((AC$107:AC$108)*TRANSPOSE(($D113:$E113))),0)</f>
        <v>78340.741228236002</v>
      </c>
      <c r="AD113" s="31" cm="1">
        <f t="array" ref="AD113">AD$106+IF($C113&lt;&gt;0,SUMPRODUCT((AD$107:AD$108)*TRANSPOSE(($D113:$E113))),0)</f>
        <v>81869.564883354687</v>
      </c>
      <c r="AE113" s="31" cm="1">
        <f t="array" ref="AE113">AE$106+IF($C113&lt;&gt;0,SUMPRODUCT((AE$107:AE$108)*TRANSPOSE(($D113:$E113))),0)</f>
        <v>85158.235730332191</v>
      </c>
      <c r="AF113" s="31" cm="1">
        <f t="array" ref="AF113">AF$106+IF($C113&lt;&gt;0,SUMPRODUCT((AF$107:AF$108)*TRANSPOSE(($D113:$E113))),0)</f>
        <v>88444.174208216005</v>
      </c>
      <c r="AG113" s="31" cm="1">
        <f t="array" ref="AG113">AG$106+IF($C113&lt;&gt;0,SUMPRODUCT((AG$107:AG$108)*TRANSPOSE(($D113:$E113))),0)</f>
        <v>91726.550428624905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-116794.3800689473</v>
      </c>
      <c r="L114" s="31" cm="1">
        <f t="array" ref="L114">L$106+IF($C114&lt;&gt;0,SUMPRODUCT((L$107:L$108)*TRANSPOSE(($D114:$E114))),0)</f>
        <v>-32787.429037934751</v>
      </c>
      <c r="M114" s="31" cm="1">
        <f t="array" ref="M114">M$106+IF($C114&lt;&gt;0,SUMPRODUCT((M$107:M$108)*TRANSPOSE(($D114:$E114))),0)</f>
        <v>-28769.67139476692</v>
      </c>
      <c r="N114" s="31" cm="1">
        <f t="array" ref="N114">N$106+IF($C114&lt;&gt;0,SUMPRODUCT((N$107:N$108)*TRANSPOSE(($D114:$E114))),0)</f>
        <v>-23209.117307263281</v>
      </c>
      <c r="O114" s="31" cm="1">
        <f t="array" ref="O114">O$106+IF($C114&lt;&gt;0,SUMPRODUCT((O$107:O$108)*TRANSPOSE(($D114:$E114))),0)</f>
        <v>-12600.733682645412</v>
      </c>
      <c r="P114" s="31" cm="1">
        <f t="array" ref="P114">P$106+IF($C114&lt;&gt;0,SUMPRODUCT((P$107:P$108)*TRANSPOSE(($D114:$E114))),0)</f>
        <v>-714.4300773152936</v>
      </c>
      <c r="Q114" s="31" cm="1">
        <f t="array" ref="Q114">Q$106+IF($C114&lt;&gt;0,SUMPRODUCT((Q$107:Q$108)*TRANSPOSE(($D114:$E114))),0)</f>
        <v>4715.6325097058143</v>
      </c>
      <c r="R114" s="31" cm="1">
        <f t="array" ref="R114">R$106+IF($C114&lt;&gt;0,SUMPRODUCT((R$107:R$108)*TRANSPOSE(($D114:$E114))),0)</f>
        <v>8047.4119775914587</v>
      </c>
      <c r="S114" s="31" cm="1">
        <f t="array" ref="S114">S$106+IF($C114&lt;&gt;0,SUMPRODUCT((S$107:S$108)*TRANSPOSE(($D114:$E114))),0)</f>
        <v>11436.610116480471</v>
      </c>
      <c r="T114" s="31" cm="1">
        <f t="array" ref="T114">T$106+IF($C114&lt;&gt;0,SUMPRODUCT((T$107:T$108)*TRANSPOSE(($D114:$E114))),0)</f>
        <v>14868.335891166906</v>
      </c>
      <c r="U114" s="31" cm="1">
        <f t="array" ref="U114">U$106+IF($C114&lt;&gt;0,SUMPRODUCT((U$107:U$108)*TRANSPOSE(($D114:$E114))),0)</f>
        <v>18331.684042941808</v>
      </c>
      <c r="V114" s="31" cm="1">
        <f t="array" ref="V114">V$106+IF($C114&lt;&gt;0,SUMPRODUCT((V$107:V$108)*TRANSPOSE(($D114:$E114))),0)</f>
        <v>21818.443523289374</v>
      </c>
      <c r="W114" s="31" cm="1">
        <f t="array" ref="W114">W$106+IF($C114&lt;&gt;0,SUMPRODUCT((W$107:W$108)*TRANSPOSE(($D114:$E114))),0)</f>
        <v>25322.299073518036</v>
      </c>
      <c r="X114" s="31" cm="1">
        <f t="array" ref="X114">X$106+IF($C114&lt;&gt;0,SUMPRODUCT((X$107:X$108)*TRANSPOSE(($D114:$E114))),0)</f>
        <v>28838.312323731428</v>
      </c>
      <c r="Y114" s="31" cm="1">
        <f t="array" ref="Y114">Y$106+IF($C114&lt;&gt;0,SUMPRODUCT((Y$107:Y$108)*TRANSPOSE(($D114:$E114))),0)</f>
        <v>32362.570736885682</v>
      </c>
      <c r="Z114" s="31" cm="1">
        <f t="array" ref="Z114">Z$106+IF($C114&lt;&gt;0,SUMPRODUCT((Z$107:Z$108)*TRANSPOSE(($D114:$E114))),0)</f>
        <v>35891.942172041337</v>
      </c>
      <c r="AA114" s="31" cm="1">
        <f t="array" ref="AA114">AA$106+IF($C114&lt;&gt;0,SUMPRODUCT((AA$107:AA$108)*TRANSPOSE(($D114:$E114))),0)</f>
        <v>39423.898538144553</v>
      </c>
      <c r="AB114" s="31" cm="1">
        <f t="array" ref="AB114">AB$106+IF($C114&lt;&gt;0,SUMPRODUCT((AB$107:AB$108)*TRANSPOSE(($D114:$E114))),0)</f>
        <v>42956.38614185249</v>
      </c>
      <c r="AC114" s="31" cm="1">
        <f t="array" ref="AC114">AC$106+IF($C114&lt;&gt;0,SUMPRODUCT((AC$107:AC$108)*TRANSPOSE(($D114:$E114))),0)</f>
        <v>46487.728482159466</v>
      </c>
      <c r="AD114" s="31" cm="1">
        <f t="array" ref="AD114">AD$106+IF($C114&lt;&gt;0,SUMPRODUCT((AD$107:AD$108)*TRANSPOSE(($D114:$E114))),0)</f>
        <v>50016.552137278151</v>
      </c>
      <c r="AE114" s="31" cm="1">
        <f t="array" ref="AE114">AE$106+IF($C114&lt;&gt;0,SUMPRODUCT((AE$107:AE$108)*TRANSPOSE(($D114:$E114))),0)</f>
        <v>53305.222984255655</v>
      </c>
      <c r="AF114" s="31" cm="1">
        <f t="array" ref="AF114">AF$106+IF($C114&lt;&gt;0,SUMPRODUCT((AF$107:AF$108)*TRANSPOSE(($D114:$E114))),0)</f>
        <v>56591.161462139469</v>
      </c>
      <c r="AG114" s="31" cm="1">
        <f t="array" ref="AG114">AG$106+IF($C114&lt;&gt;0,SUMPRODUCT((AG$107:AG$108)*TRANSPOSE(($D114:$E114))),0)</f>
        <v>59873.537682548369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-106176.70915358845</v>
      </c>
      <c r="L115" s="31" cm="1">
        <f t="array" ref="L115">L$106+IF($C115&lt;&gt;0,SUMPRODUCT((L$107:L$108)*TRANSPOSE(($D115:$E115))),0)</f>
        <v>34353.996060242585</v>
      </c>
      <c r="M115" s="31" cm="1">
        <f t="array" ref="M115">M$106+IF($C115&lt;&gt;0,SUMPRODUCT((M$107:M$108)*TRANSPOSE(($D115:$E115))),0)</f>
        <v>38818.171219317941</v>
      </c>
      <c r="N115" s="31" cm="1">
        <f t="array" ref="N115">N$106+IF($C115&lt;&gt;0,SUMPRODUCT((N$107:N$108)*TRANSPOSE(($D115:$E115))),0)</f>
        <v>44996.564649877546</v>
      </c>
      <c r="O115" s="31" cm="1">
        <f t="array" ref="O115">O$106+IF($C115&lt;&gt;0,SUMPRODUCT((O$107:O$108)*TRANSPOSE(($D115:$E115))),0)</f>
        <v>56783.657566119626</v>
      </c>
      <c r="P115" s="31" cm="1">
        <f t="array" ref="P115">P$106+IF($C115&lt;&gt;0,SUMPRODUCT((P$107:P$108)*TRANSPOSE(($D115:$E115))),0)</f>
        <v>69990.66157204198</v>
      </c>
      <c r="Q115" s="31" cm="1">
        <f t="array" ref="Q115">Q$106+IF($C115&lt;&gt;0,SUMPRODUCT((Q$107:Q$108)*TRANSPOSE(($D115:$E115))),0)</f>
        <v>76024.064446509874</v>
      </c>
      <c r="R115" s="31" cm="1">
        <f t="array" ref="R115">R$106+IF($C115&lt;&gt;0,SUMPRODUCT((R$107:R$108)*TRANSPOSE(($D115:$E115))),0)</f>
        <v>79726.041633049492</v>
      </c>
      <c r="S115" s="31" cm="1">
        <f t="array" ref="S115">S$106+IF($C115&lt;&gt;0,SUMPRODUCT((S$107:S$108)*TRANSPOSE(($D115:$E115))),0)</f>
        <v>83491.817342926166</v>
      </c>
      <c r="T115" s="31" cm="1">
        <f t="array" ref="T115">T$106+IF($C115&lt;&gt;0,SUMPRODUCT((T$107:T$108)*TRANSPOSE(($D115:$E115))),0)</f>
        <v>87304.845981466642</v>
      </c>
      <c r="U115" s="31" cm="1">
        <f t="array" ref="U115">U$106+IF($C115&lt;&gt;0,SUMPRODUCT((U$107:U$108)*TRANSPOSE(($D115:$E115))),0)</f>
        <v>91153.01059454988</v>
      </c>
      <c r="V115" s="31" cm="1">
        <f t="array" ref="V115">V$106+IF($C115&lt;&gt;0,SUMPRODUCT((V$107:V$108)*TRANSPOSE(($D115:$E115))),0)</f>
        <v>95027.187794936064</v>
      </c>
      <c r="W115" s="31" cm="1">
        <f t="array" ref="W115">W$106+IF($C115&lt;&gt;0,SUMPRODUCT((W$107:W$108)*TRANSPOSE(($D115:$E115))),0)</f>
        <v>98920.360628523456</v>
      </c>
      <c r="X115" s="31" cm="1">
        <f t="array" ref="X115">X$106+IF($C115&lt;&gt;0,SUMPRODUCT((X$107:X$108)*TRANSPOSE(($D115:$E115))),0)</f>
        <v>102827.04201764945</v>
      </c>
      <c r="Y115" s="31" cm="1">
        <f t="array" ref="Y115">Y$106+IF($C115&lt;&gt;0,SUMPRODUCT((Y$107:Y$108)*TRANSPOSE(($D115:$E115))),0)</f>
        <v>106742.88469893194</v>
      </c>
      <c r="Z115" s="31" cm="1">
        <f t="array" ref="Z115">Z$106+IF($C115&lt;&gt;0,SUMPRODUCT((Z$107:Z$108)*TRANSPOSE(($D115:$E115))),0)</f>
        <v>110664.40851577156</v>
      </c>
      <c r="AA115" s="31" cm="1">
        <f t="array" ref="AA115">AA$106+IF($C115&lt;&gt;0,SUMPRODUCT((AA$107:AA$108)*TRANSPOSE(($D115:$E115))),0)</f>
        <v>114588.80447810848</v>
      </c>
      <c r="AB115" s="31" cm="1">
        <f t="array" ref="AB115">AB$106+IF($C115&lt;&gt;0,SUMPRODUCT((AB$107:AB$108)*TRANSPOSE(($D115:$E115))),0)</f>
        <v>118513.79070445063</v>
      </c>
      <c r="AC115" s="31" cm="1">
        <f t="array" ref="AC115">AC$106+IF($C115&lt;&gt;0,SUMPRODUCT((AC$107:AC$108)*TRANSPOSE(($D115:$E115))),0)</f>
        <v>122437.50441590283</v>
      </c>
      <c r="AD115" s="31" cm="1">
        <f t="array" ref="AD115">AD$106+IF($C115&lt;&gt;0,SUMPRODUCT((AD$107:AD$108)*TRANSPOSE(($D115:$E115))),0)</f>
        <v>126358.41958825692</v>
      </c>
      <c r="AE115" s="31" cm="1">
        <f t="array" ref="AE115">AE$106+IF($C115&lt;&gt;0,SUMPRODUCT((AE$107:AE$108)*TRANSPOSE(($D115:$E115))),0)</f>
        <v>130012.49830712081</v>
      </c>
      <c r="AF115" s="31" cm="1">
        <f t="array" ref="AF115">AF$106+IF($C115&lt;&gt;0,SUMPRODUCT((AF$107:AF$108)*TRANSPOSE(($D115:$E115))),0)</f>
        <v>133663.54106032505</v>
      </c>
      <c r="AG115" s="31" cm="1">
        <f t="array" ref="AG115">AG$106+IF($C115&lt;&gt;0,SUMPRODUCT((AG$107:AG$108)*TRANSPOSE(($D115:$E115))),0)</f>
        <v>137310.62574966828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-106176.70915358845</v>
      </c>
      <c r="L116" s="31" cm="1">
        <f t="array" ref="L116">L$106+IF($C116&lt;&gt;0,SUMPRODUCT((L$107:L$108)*TRANSPOSE(($D116:$E116))),0)</f>
        <v>34353.996060242585</v>
      </c>
      <c r="M116" s="31" cm="1">
        <f t="array" ref="M116">M$106+IF($C116&lt;&gt;0,SUMPRODUCT((M$107:M$108)*TRANSPOSE(($D116:$E116))),0)</f>
        <v>38818.171219317941</v>
      </c>
      <c r="N116" s="31" cm="1">
        <f t="array" ref="N116">N$106+IF($C116&lt;&gt;0,SUMPRODUCT((N$107:N$108)*TRANSPOSE(($D116:$E116))),0)</f>
        <v>44996.564649877546</v>
      </c>
      <c r="O116" s="31" cm="1">
        <f t="array" ref="O116">O$106+IF($C116&lt;&gt;0,SUMPRODUCT((O$107:O$108)*TRANSPOSE(($D116:$E116))),0)</f>
        <v>56783.657566119626</v>
      </c>
      <c r="P116" s="31" cm="1">
        <f t="array" ref="P116">P$106+IF($C116&lt;&gt;0,SUMPRODUCT((P$107:P$108)*TRANSPOSE(($D116:$E116))),0)</f>
        <v>69990.66157204198</v>
      </c>
      <c r="Q116" s="31" cm="1">
        <f t="array" ref="Q116">Q$106+IF($C116&lt;&gt;0,SUMPRODUCT((Q$107:Q$108)*TRANSPOSE(($D116:$E116))),0)</f>
        <v>76024.064446509874</v>
      </c>
      <c r="R116" s="31" cm="1">
        <f t="array" ref="R116">R$106+IF($C116&lt;&gt;0,SUMPRODUCT((R$107:R$108)*TRANSPOSE(($D116:$E116))),0)</f>
        <v>79726.041633049492</v>
      </c>
      <c r="S116" s="31" cm="1">
        <f t="array" ref="S116">S$106+IF($C116&lt;&gt;0,SUMPRODUCT((S$107:S$108)*TRANSPOSE(($D116:$E116))),0)</f>
        <v>83491.817342926166</v>
      </c>
      <c r="T116" s="31" cm="1">
        <f t="array" ref="T116">T$106+IF($C116&lt;&gt;0,SUMPRODUCT((T$107:T$108)*TRANSPOSE(($D116:$E116))),0)</f>
        <v>87304.845981466642</v>
      </c>
      <c r="U116" s="31" cm="1">
        <f t="array" ref="U116">U$106+IF($C116&lt;&gt;0,SUMPRODUCT((U$107:U$108)*TRANSPOSE(($D116:$E116))),0)</f>
        <v>91153.01059454988</v>
      </c>
      <c r="V116" s="31" cm="1">
        <f t="array" ref="V116">V$106+IF($C116&lt;&gt;0,SUMPRODUCT((V$107:V$108)*TRANSPOSE(($D116:$E116))),0)</f>
        <v>95027.187794936064</v>
      </c>
      <c r="W116" s="31" cm="1">
        <f t="array" ref="W116">W$106+IF($C116&lt;&gt;0,SUMPRODUCT((W$107:W$108)*TRANSPOSE(($D116:$E116))),0)</f>
        <v>98920.360628523456</v>
      </c>
      <c r="X116" s="31" cm="1">
        <f t="array" ref="X116">X$106+IF($C116&lt;&gt;0,SUMPRODUCT((X$107:X$108)*TRANSPOSE(($D116:$E116))),0)</f>
        <v>102827.04201764945</v>
      </c>
      <c r="Y116" s="31" cm="1">
        <f t="array" ref="Y116">Y$106+IF($C116&lt;&gt;0,SUMPRODUCT((Y$107:Y$108)*TRANSPOSE(($D116:$E116))),0)</f>
        <v>106742.88469893194</v>
      </c>
      <c r="Z116" s="31" cm="1">
        <f t="array" ref="Z116">Z$106+IF($C116&lt;&gt;0,SUMPRODUCT((Z$107:Z$108)*TRANSPOSE(($D116:$E116))),0)</f>
        <v>110664.40851577156</v>
      </c>
      <c r="AA116" s="31" cm="1">
        <f t="array" ref="AA116">AA$106+IF($C116&lt;&gt;0,SUMPRODUCT((AA$107:AA$108)*TRANSPOSE(($D116:$E116))),0)</f>
        <v>114588.80447810848</v>
      </c>
      <c r="AB116" s="31" cm="1">
        <f t="array" ref="AB116">AB$106+IF($C116&lt;&gt;0,SUMPRODUCT((AB$107:AB$108)*TRANSPOSE(($D116:$E116))),0)</f>
        <v>118513.79070445063</v>
      </c>
      <c r="AC116" s="31" cm="1">
        <f t="array" ref="AC116">AC$106+IF($C116&lt;&gt;0,SUMPRODUCT((AC$107:AC$108)*TRANSPOSE(($D116:$E116))),0)</f>
        <v>122437.50441590283</v>
      </c>
      <c r="AD116" s="31" cm="1">
        <f t="array" ref="AD116">AD$106+IF($C116&lt;&gt;0,SUMPRODUCT((AD$107:AD$108)*TRANSPOSE(($D116:$E116))),0)</f>
        <v>126358.41958825692</v>
      </c>
      <c r="AE116" s="31" cm="1">
        <f t="array" ref="AE116">AE$106+IF($C116&lt;&gt;0,SUMPRODUCT((AE$107:AE$108)*TRANSPOSE(($D116:$E116))),0)</f>
        <v>130012.49830712081</v>
      </c>
      <c r="AF116" s="31" cm="1">
        <f t="array" ref="AF116">AF$106+IF($C116&lt;&gt;0,SUMPRODUCT((AF$107:AF$108)*TRANSPOSE(($D116:$E116))),0)</f>
        <v>133663.54106032505</v>
      </c>
      <c r="AG116" s="31" cm="1">
        <f t="array" ref="AG116">AG$106+IF($C116&lt;&gt;0,SUMPRODUCT((AG$107:AG$108)*TRANSPOSE(($D116:$E116))),0)</f>
        <v>137310.62574966828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-106176.70915358845</v>
      </c>
      <c r="L117" s="31" cm="1">
        <f t="array" ref="L117">L$106+IF($C117&lt;&gt;0,SUMPRODUCT((L$107:L$108)*TRANSPOSE(($D117:$E117))),0)</f>
        <v>34353.996060242585</v>
      </c>
      <c r="M117" s="31" cm="1">
        <f t="array" ref="M117">M$106+IF($C117&lt;&gt;0,SUMPRODUCT((M$107:M$108)*TRANSPOSE(($D117:$E117))),0)</f>
        <v>38818.171219317941</v>
      </c>
      <c r="N117" s="31" cm="1">
        <f t="array" ref="N117">N$106+IF($C117&lt;&gt;0,SUMPRODUCT((N$107:N$108)*TRANSPOSE(($D117:$E117))),0)</f>
        <v>44996.564649877546</v>
      </c>
      <c r="O117" s="31" cm="1">
        <f t="array" ref="O117">O$106+IF($C117&lt;&gt;0,SUMPRODUCT((O$107:O$108)*TRANSPOSE(($D117:$E117))),0)</f>
        <v>56783.657566119626</v>
      </c>
      <c r="P117" s="31" cm="1">
        <f t="array" ref="P117">P$106+IF($C117&lt;&gt;0,SUMPRODUCT((P$107:P$108)*TRANSPOSE(($D117:$E117))),0)</f>
        <v>69990.66157204198</v>
      </c>
      <c r="Q117" s="31" cm="1">
        <f t="array" ref="Q117">Q$106+IF($C117&lt;&gt;0,SUMPRODUCT((Q$107:Q$108)*TRANSPOSE(($D117:$E117))),0)</f>
        <v>76024.064446509874</v>
      </c>
      <c r="R117" s="31" cm="1">
        <f t="array" ref="R117">R$106+IF($C117&lt;&gt;0,SUMPRODUCT((R$107:R$108)*TRANSPOSE(($D117:$E117))),0)</f>
        <v>79726.041633049492</v>
      </c>
      <c r="S117" s="31" cm="1">
        <f t="array" ref="S117">S$106+IF($C117&lt;&gt;0,SUMPRODUCT((S$107:S$108)*TRANSPOSE(($D117:$E117))),0)</f>
        <v>83491.817342926166</v>
      </c>
      <c r="T117" s="31" cm="1">
        <f t="array" ref="T117">T$106+IF($C117&lt;&gt;0,SUMPRODUCT((T$107:T$108)*TRANSPOSE(($D117:$E117))),0)</f>
        <v>87304.845981466642</v>
      </c>
      <c r="U117" s="31" cm="1">
        <f t="array" ref="U117">U$106+IF($C117&lt;&gt;0,SUMPRODUCT((U$107:U$108)*TRANSPOSE(($D117:$E117))),0)</f>
        <v>91153.01059454988</v>
      </c>
      <c r="V117" s="31" cm="1">
        <f t="array" ref="V117">V$106+IF($C117&lt;&gt;0,SUMPRODUCT((V$107:V$108)*TRANSPOSE(($D117:$E117))),0)</f>
        <v>95027.187794936064</v>
      </c>
      <c r="W117" s="31" cm="1">
        <f t="array" ref="W117">W$106+IF($C117&lt;&gt;0,SUMPRODUCT((W$107:W$108)*TRANSPOSE(($D117:$E117))),0)</f>
        <v>98920.360628523456</v>
      </c>
      <c r="X117" s="31" cm="1">
        <f t="array" ref="X117">X$106+IF($C117&lt;&gt;0,SUMPRODUCT((X$107:X$108)*TRANSPOSE(($D117:$E117))),0)</f>
        <v>102827.04201764945</v>
      </c>
      <c r="Y117" s="31" cm="1">
        <f t="array" ref="Y117">Y$106+IF($C117&lt;&gt;0,SUMPRODUCT((Y$107:Y$108)*TRANSPOSE(($D117:$E117))),0)</f>
        <v>106742.88469893194</v>
      </c>
      <c r="Z117" s="31" cm="1">
        <f t="array" ref="Z117">Z$106+IF($C117&lt;&gt;0,SUMPRODUCT((Z$107:Z$108)*TRANSPOSE(($D117:$E117))),0)</f>
        <v>110664.40851577156</v>
      </c>
      <c r="AA117" s="31" cm="1">
        <f t="array" ref="AA117">AA$106+IF($C117&lt;&gt;0,SUMPRODUCT((AA$107:AA$108)*TRANSPOSE(($D117:$E117))),0)</f>
        <v>114588.80447810848</v>
      </c>
      <c r="AB117" s="31" cm="1">
        <f t="array" ref="AB117">AB$106+IF($C117&lt;&gt;0,SUMPRODUCT((AB$107:AB$108)*TRANSPOSE(($D117:$E117))),0)</f>
        <v>118513.79070445063</v>
      </c>
      <c r="AC117" s="31" cm="1">
        <f t="array" ref="AC117">AC$106+IF($C117&lt;&gt;0,SUMPRODUCT((AC$107:AC$108)*TRANSPOSE(($D117:$E117))),0)</f>
        <v>122437.50441590283</v>
      </c>
      <c r="AD117" s="31" cm="1">
        <f t="array" ref="AD117">AD$106+IF($C117&lt;&gt;0,SUMPRODUCT((AD$107:AD$108)*TRANSPOSE(($D117:$E117))),0)</f>
        <v>126358.41958825692</v>
      </c>
      <c r="AE117" s="31" cm="1">
        <f t="array" ref="AE117">AE$106+IF($C117&lt;&gt;0,SUMPRODUCT((AE$107:AE$108)*TRANSPOSE(($D117:$E117))),0)</f>
        <v>130012.49830712081</v>
      </c>
      <c r="AF117" s="31" cm="1">
        <f t="array" ref="AF117">AF$106+IF($C117&lt;&gt;0,SUMPRODUCT((AF$107:AF$108)*TRANSPOSE(($D117:$E117))),0)</f>
        <v>133663.54106032505</v>
      </c>
      <c r="AG117" s="31" cm="1">
        <f t="array" ref="AG117">AG$106+IF($C117&lt;&gt;0,SUMPRODUCT((AG$107:AG$108)*TRANSPOSE(($D117:$E117))),0)</f>
        <v>137310.62574966828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MNA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Refurbish transformer #1 completed in 2027-2028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333</v>
      </c>
      <c r="D14"/>
      <c r="E14" s="148">
        <v>10</v>
      </c>
      <c r="G14" s="207">
        <f>input_dollars</f>
        <v>45291</v>
      </c>
      <c r="H14" s="149"/>
      <c r="I14" s="32">
        <f>Workings_costs!E34</f>
        <v>0</v>
      </c>
      <c r="J14" s="32">
        <f>Workings_costs!F34</f>
        <v>500000</v>
      </c>
      <c r="K14" s="32">
        <f>Workings_costs!G34</f>
        <v>0</v>
      </c>
      <c r="L14" s="32">
        <f>Workings_costs!H34</f>
        <v>0</v>
      </c>
      <c r="M14" s="32">
        <f>Workings_costs!I34</f>
        <v>0</v>
      </c>
      <c r="N14" s="32">
        <f>Workings_costs!J34</f>
        <v>0</v>
      </c>
      <c r="O14" s="32">
        <f>Workings_costs!K34</f>
        <v>0</v>
      </c>
      <c r="P14" s="32">
        <f>Workings_costs!L34</f>
        <v>0</v>
      </c>
      <c r="Q14" s="32">
        <f>Workings_costs!M34</f>
        <v>0</v>
      </c>
      <c r="R14" s="32">
        <f>Workings_costs!N34</f>
        <v>0</v>
      </c>
      <c r="S14" s="32">
        <f>Workings_costs!O34</f>
        <v>0</v>
      </c>
      <c r="T14" s="32">
        <f>Workings_costs!P34</f>
        <v>0</v>
      </c>
      <c r="U14" s="32">
        <f>Workings_costs!Q34</f>
        <v>0</v>
      </c>
      <c r="V14" s="32">
        <f>Workings_costs!R34</f>
        <v>0</v>
      </c>
      <c r="W14" s="32">
        <f>Workings_costs!S34</f>
        <v>0</v>
      </c>
      <c r="X14" s="32">
        <f>Workings_costs!T34</f>
        <v>0</v>
      </c>
      <c r="Y14" s="32">
        <f>Workings_costs!U34</f>
        <v>0</v>
      </c>
      <c r="Z14" s="32">
        <f>Workings_costs!V34</f>
        <v>0</v>
      </c>
      <c r="AA14" s="32">
        <f>Workings_costs!W34</f>
        <v>0</v>
      </c>
      <c r="AB14" s="32">
        <f>Workings_costs!X34</f>
        <v>0</v>
      </c>
      <c r="AC14" s="32">
        <f>Workings_costs!Y34</f>
        <v>0</v>
      </c>
      <c r="AD14" s="32">
        <f>Workings_costs!Z34</f>
        <v>0</v>
      </c>
      <c r="AE14" s="32">
        <f>Workings_costs!AA34</f>
        <v>0</v>
      </c>
      <c r="AF14" s="32">
        <f>Workings_costs!AB34</f>
        <v>0</v>
      </c>
      <c r="AG14" s="32">
        <f>Workings_costs!AC34</f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500000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48575.898561682094</v>
      </c>
      <c r="F28" s="238" t="str">
        <f>IF(AND(SUM(I27:AG27)&lt;&gt;0, E28=0), "!", "")</f>
        <v/>
      </c>
      <c r="G28" s="207">
        <f>input_dollars</f>
        <v>45291</v>
      </c>
      <c r="H28"/>
      <c r="I28" s="168">
        <f>Workings_risks!E35</f>
        <v>255517.5525304614</v>
      </c>
      <c r="J28" s="168">
        <f>Workings_risks!F35</f>
        <v>270179.15515788418</v>
      </c>
      <c r="K28" s="168">
        <f>Workings_risks!G35</f>
        <v>272181.99623974785</v>
      </c>
      <c r="L28" s="168">
        <f>Workings_risks!H35</f>
        <v>287531.24217261892</v>
      </c>
      <c r="M28" s="168">
        <f>Workings_risks!I35</f>
        <v>299299.42290441605</v>
      </c>
      <c r="N28" s="168">
        <f>Workings_risks!J35</f>
        <v>312602.21878366527</v>
      </c>
      <c r="O28" s="168">
        <f>Workings_risks!K35</f>
        <v>331891.49342711049</v>
      </c>
      <c r="P28" s="168">
        <f>Workings_risks!L35</f>
        <v>353115.535437527</v>
      </c>
      <c r="Q28" s="168">
        <f>Workings_risks!M35</f>
        <v>366844.83578079991</v>
      </c>
      <c r="R28" s="168">
        <f>Workings_risks!N35</f>
        <v>378082.36060041457</v>
      </c>
      <c r="S28" s="168">
        <f>Workings_risks!O35</f>
        <v>389460.6589654822</v>
      </c>
      <c r="T28" s="168">
        <f>Workings_risks!P35</f>
        <v>400979.07839485048</v>
      </c>
      <c r="U28" s="168">
        <f>Workings_risks!Q35</f>
        <v>412636.98279695143</v>
      </c>
      <c r="V28" s="168">
        <f>Workings_risks!R35</f>
        <v>424433.75185070391</v>
      </c>
      <c r="W28" s="168">
        <f>Workings_risks!S35</f>
        <v>436368.78041997587</v>
      </c>
      <c r="X28" s="168">
        <f>Workings_risks!T35</f>
        <v>448441.4779992766</v>
      </c>
      <c r="Y28" s="168">
        <f>Workings_risks!U35</f>
        <v>460651.26818853663</v>
      </c>
      <c r="Z28" s="168">
        <f>Workings_risks!V35</f>
        <v>472997.58819500846</v>
      </c>
      <c r="AA28" s="168">
        <f>Workings_risks!W35</f>
        <v>485479.88836048887</v>
      </c>
      <c r="AB28" s="168">
        <f>Workings_risks!X35</f>
        <v>498097.63171220908</v>
      </c>
      <c r="AC28" s="168">
        <f>Workings_risks!Y35</f>
        <v>510850.29353586514</v>
      </c>
      <c r="AD28" s="168">
        <f>Workings_risks!Z35</f>
        <v>523737.360969381</v>
      </c>
      <c r="AE28" s="168">
        <f>Workings_risks!AA35</f>
        <v>536758.33261611452</v>
      </c>
      <c r="AF28" s="168">
        <f>Workings_risks!AB35</f>
        <v>549912.71817629936</v>
      </c>
      <c r="AG28" s="168">
        <f>Workings_risks!AC35</f>
        <v>563200.03809562558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tr">
        <f>'Option1 (base case)'!C30</f>
        <v>Safety risk</v>
      </c>
      <c r="D30" s="205" t="s">
        <v>209</v>
      </c>
      <c r="G30" s="207">
        <f>input_dollars</f>
        <v>45291</v>
      </c>
      <c r="H30" s="149"/>
      <c r="I30" s="168">
        <f>Workings_risks!E36</f>
        <v>352.04445299952562</v>
      </c>
      <c r="J30" s="168">
        <f>Workings_risks!F36</f>
        <v>364.60342016644267</v>
      </c>
      <c r="K30" s="168">
        <f>Workings_risks!G36</f>
        <v>373.56966604401862</v>
      </c>
      <c r="L30" s="168">
        <f>Workings_risks!H36</f>
        <v>386.35976759617938</v>
      </c>
      <c r="M30" s="168">
        <f>Workings_risks!I36</f>
        <v>399.32663726402257</v>
      </c>
      <c r="N30" s="168">
        <f>Workings_risks!J36</f>
        <v>412.46924820790201</v>
      </c>
      <c r="O30" s="168">
        <f>Workings_risks!K36</f>
        <v>425.78659894703088</v>
      </c>
      <c r="P30" s="168">
        <f>Workings_risks!L36</f>
        <v>439.27771227205068</v>
      </c>
      <c r="Q30" s="168">
        <f>Workings_risks!M36</f>
        <v>452.9416342232837</v>
      </c>
      <c r="R30" s="168">
        <f>Workings_risks!N36</f>
        <v>466.77743312959251</v>
      </c>
      <c r="S30" s="168">
        <f>Workings_risks!O36</f>
        <v>480.78419870325075</v>
      </c>
      <c r="T30" s="168">
        <f>Workings_risks!P36</f>
        <v>494.96104118663578</v>
      </c>
      <c r="U30" s="168">
        <f>Workings_risks!Q36</f>
        <v>509.30709054694717</v>
      </c>
      <c r="V30" s="168">
        <f>Workings_risks!R36</f>
        <v>523.82149571549519</v>
      </c>
      <c r="W30" s="168">
        <f>Workings_risks!S36</f>
        <v>538.50342386838122</v>
      </c>
      <c r="X30" s="168">
        <f>Workings_risks!T36</f>
        <v>553.3520597456984</v>
      </c>
      <c r="Y30" s="168">
        <f>Workings_risks!U36</f>
        <v>568.36660500660128</v>
      </c>
      <c r="Z30" s="168">
        <f>Workings_risks!V36</f>
        <v>583.54627761781865</v>
      </c>
      <c r="AA30" s="168">
        <f>Workings_risks!W36</f>
        <v>598.89031127338535</v>
      </c>
      <c r="AB30" s="168">
        <f>Workings_risks!X36</f>
        <v>614.39795484355443</v>
      </c>
      <c r="AC30" s="168">
        <f>Workings_risks!Y36</f>
        <v>630.06847185099514</v>
      </c>
      <c r="AD30" s="168">
        <f>Workings_risks!Z36</f>
        <v>645.90113997254991</v>
      </c>
      <c r="AE30" s="168">
        <f>Workings_risks!AA36</f>
        <v>645.90113997254991</v>
      </c>
      <c r="AF30" s="168">
        <f>Workings_risks!AB36</f>
        <v>645.90113997254991</v>
      </c>
      <c r="AG30" s="168">
        <f>Workings_risks!AC36</f>
        <v>645.90113997254991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tr">
        <f>'Option1 (base case)'!C31</f>
        <v>Unplanned replacement risk</v>
      </c>
      <c r="D31" s="206"/>
      <c r="E31"/>
      <c r="G31" s="207">
        <f>input_dollars</f>
        <v>45291</v>
      </c>
      <c r="H31" s="149"/>
      <c r="I31" s="168">
        <f>Workings_risks!E37</f>
        <v>17784.06669458099</v>
      </c>
      <c r="J31" s="168">
        <f>Workings_risks!F37</f>
        <v>18418.502226254623</v>
      </c>
      <c r="K31" s="168">
        <f>Workings_risks!G37</f>
        <v>18108.963255973198</v>
      </c>
      <c r="L31" s="168">
        <f>Workings_risks!H37</f>
        <v>18728.969375583969</v>
      </c>
      <c r="M31" s="168">
        <f>Workings_risks!I37</f>
        <v>19357.544411792336</v>
      </c>
      <c r="N31" s="168">
        <f>Workings_risks!J37</f>
        <v>19994.638588069007</v>
      </c>
      <c r="O31" s="168">
        <f>Workings_risks!K37</f>
        <v>20640.203357167182</v>
      </c>
      <c r="P31" s="168">
        <f>Workings_risks!L37</f>
        <v>21294.191348408869</v>
      </c>
      <c r="Q31" s="168">
        <f>Workings_risks!M37</f>
        <v>21956.556318155122</v>
      </c>
      <c r="R31" s="168">
        <f>Workings_risks!N37</f>
        <v>22627.253103214374</v>
      </c>
      <c r="S31" s="168">
        <f>Workings_risks!O37</f>
        <v>23306.237576965832</v>
      </c>
      <c r="T31" s="168">
        <f>Workings_risks!P37</f>
        <v>23993.466607995055</v>
      </c>
      <c r="U31" s="168">
        <f>Workings_risks!Q37</f>
        <v>24688.898021057495</v>
      </c>
      <c r="V31" s="168">
        <f>Workings_risks!R37</f>
        <v>25392.490560202717</v>
      </c>
      <c r="W31" s="168">
        <f>Workings_risks!S37</f>
        <v>26104.203853904997</v>
      </c>
      <c r="X31" s="168">
        <f>Workings_risks!T37</f>
        <v>26823.998382061305</v>
      </c>
      <c r="Y31" s="168">
        <f>Workings_risks!U37</f>
        <v>27551.835444727949</v>
      </c>
      <c r="Z31" s="168">
        <f>Workings_risks!V37</f>
        <v>28287.677132478486</v>
      </c>
      <c r="AA31" s="168">
        <f>Workings_risks!W37</f>
        <v>29031.486298274976</v>
      </c>
      <c r="AB31" s="168">
        <f>Workings_risks!X37</f>
        <v>29783.22653075368</v>
      </c>
      <c r="AC31" s="168">
        <f>Workings_risks!Y37</f>
        <v>30542.862128833553</v>
      </c>
      <c r="AD31" s="168">
        <f>Workings_risks!Z37</f>
        <v>31310.358077563687</v>
      </c>
      <c r="AE31" s="168">
        <f>Workings_risks!AA37</f>
        <v>31310.358077563687</v>
      </c>
      <c r="AF31" s="168">
        <f>Workings_risks!AB37</f>
        <v>31310.358077563687</v>
      </c>
      <c r="AG31" s="168">
        <f>Workings_risks!AC37</f>
        <v>31310.358077563687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tr">
        <f>'Option1 (base case)'!C32</f>
        <v>Unplanned fault risk</v>
      </c>
      <c r="D32" s="205"/>
      <c r="E32"/>
      <c r="G32" s="207">
        <f>input_dollars</f>
        <v>45291</v>
      </c>
      <c r="H32"/>
      <c r="I32" s="168">
        <f>Workings_risks!E38</f>
        <v>1301.2366253258433</v>
      </c>
      <c r="J32" s="168">
        <f>Workings_risks!F38</f>
        <v>1347.6574335920066</v>
      </c>
      <c r="K32" s="168">
        <f>Workings_risks!G38</f>
        <v>1394.7461860714784</v>
      </c>
      <c r="L32" s="168">
        <f>Workings_risks!H38</f>
        <v>1442.498846367085</v>
      </c>
      <c r="M32" s="168">
        <f>Workings_risks!I38</f>
        <v>1490.9114817023617</v>
      </c>
      <c r="N32" s="168">
        <f>Workings_risks!J38</f>
        <v>1539.9802583059661</v>
      </c>
      <c r="O32" s="168">
        <f>Workings_risks!K38</f>
        <v>1589.7014370854752</v>
      </c>
      <c r="P32" s="168">
        <f>Workings_risks!L38</f>
        <v>1640.0713695673924</v>
      </c>
      <c r="Q32" s="168">
        <f>Workings_risks!M38</f>
        <v>1691.0864940823869</v>
      </c>
      <c r="R32" s="168">
        <f>Workings_risks!N38</f>
        <v>1742.7433321768171</v>
      </c>
      <c r="S32" s="168">
        <f>Workings_risks!O38</f>
        <v>1795.0384852333693</v>
      </c>
      <c r="T32" s="168">
        <f>Workings_risks!P38</f>
        <v>1847.9686312851838</v>
      </c>
      <c r="U32" s="168">
        <f>Workings_risks!Q38</f>
        <v>1901.5305220092816</v>
      </c>
      <c r="V32" s="168">
        <f>Workings_risks!R38</f>
        <v>1955.7209798864028</v>
      </c>
      <c r="W32" s="168">
        <f>Workings_risks!S38</f>
        <v>2010.5368955153772</v>
      </c>
      <c r="X32" s="168">
        <f>Workings_risks!T38</f>
        <v>2065.9752250713213</v>
      </c>
      <c r="Y32" s="168">
        <f>Workings_risks!U38</f>
        <v>2122.032987897745</v>
      </c>
      <c r="Z32" s="168">
        <f>Workings_risks!V38</f>
        <v>2178.7072642235275</v>
      </c>
      <c r="AA32" s="168">
        <f>Workings_risks!W38</f>
        <v>2235.99519299645</v>
      </c>
      <c r="AB32" s="168">
        <f>Workings_risks!X38</f>
        <v>2293.8939698256713</v>
      </c>
      <c r="AC32" s="168">
        <f>Workings_risks!Y38</f>
        <v>2352.4008450260808</v>
      </c>
      <c r="AD32" s="168">
        <f>Workings_risks!Z38</f>
        <v>2411.5131217580788</v>
      </c>
      <c r="AE32" s="168">
        <f>Workings_risks!AA38</f>
        <v>2411.5131217580788</v>
      </c>
      <c r="AF32" s="168">
        <f>Workings_risks!AB38</f>
        <v>2411.5131217580788</v>
      </c>
      <c r="AG32" s="168">
        <f>Workings_risks!AC38</f>
        <v>2411.5131217580788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1" t="str">
        <f>'Option1 (base case)'!C33</f>
        <v>Enviromental risk</v>
      </c>
      <c r="D33" s="205" t="s">
        <v>209</v>
      </c>
      <c r="E33"/>
      <c r="G33" s="207">
        <f>input_dollars</f>
        <v>45291</v>
      </c>
      <c r="H33"/>
      <c r="I33" s="168">
        <f>Workings_risks!E39</f>
        <v>72556.25</v>
      </c>
      <c r="J33" s="168">
        <f>Workings_risks!F39</f>
        <v>72556.25</v>
      </c>
      <c r="K33" s="168">
        <f>Workings_risks!G39</f>
        <v>35984.375</v>
      </c>
      <c r="L33" s="168">
        <f>Workings_risks!H39</f>
        <v>35984.375</v>
      </c>
      <c r="M33" s="168">
        <f>Workings_risks!I39</f>
        <v>35984.375</v>
      </c>
      <c r="N33" s="168">
        <f>Workings_risks!J39</f>
        <v>35984.375</v>
      </c>
      <c r="O33" s="168">
        <f>Workings_risks!K39</f>
        <v>35984.375</v>
      </c>
      <c r="P33" s="168">
        <f>Workings_risks!L39</f>
        <v>35984.375</v>
      </c>
      <c r="Q33" s="168">
        <f>Workings_risks!M39</f>
        <v>35984.375</v>
      </c>
      <c r="R33" s="168">
        <f>Workings_risks!N39</f>
        <v>35984.375</v>
      </c>
      <c r="S33" s="168">
        <f>Workings_risks!O39</f>
        <v>35984.375</v>
      </c>
      <c r="T33" s="168">
        <f>Workings_risks!P39</f>
        <v>35984.375</v>
      </c>
      <c r="U33" s="168">
        <f>Workings_risks!Q39</f>
        <v>35984.375</v>
      </c>
      <c r="V33" s="168">
        <f>Workings_risks!R39</f>
        <v>35984.375</v>
      </c>
      <c r="W33" s="168">
        <f>Workings_risks!S39</f>
        <v>35984.375</v>
      </c>
      <c r="X33" s="168">
        <f>Workings_risks!T39</f>
        <v>35984.375</v>
      </c>
      <c r="Y33" s="168">
        <f>Workings_risks!U39</f>
        <v>35984.375</v>
      </c>
      <c r="Z33" s="168">
        <f>Workings_risks!V39</f>
        <v>35984.375</v>
      </c>
      <c r="AA33" s="168">
        <f>Workings_risks!W39</f>
        <v>35984.375</v>
      </c>
      <c r="AB33" s="168">
        <f>Workings_risks!X39</f>
        <v>35984.375</v>
      </c>
      <c r="AC33" s="168">
        <f>Workings_risks!Y39</f>
        <v>35984.375</v>
      </c>
      <c r="AD33" s="168">
        <f>Workings_risks!Z39</f>
        <v>35984.375</v>
      </c>
      <c r="AE33" s="168">
        <f>Workings_risks!AA39</f>
        <v>35984.375</v>
      </c>
      <c r="AF33" s="168">
        <f>Workings_risks!AB39</f>
        <v>35984.375</v>
      </c>
      <c r="AG33" s="168">
        <f>Workings_risks!AC39</f>
        <v>35984.375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347511.15030336776</v>
      </c>
      <c r="J36" s="170">
        <f t="shared" ref="J36:AB36" si="2">SUM(J28:J34)</f>
        <v>362866.16823789722</v>
      </c>
      <c r="K36" s="170">
        <f t="shared" si="2"/>
        <v>328043.65034783655</v>
      </c>
      <c r="L36" s="170">
        <f t="shared" si="2"/>
        <v>344073.44516216614</v>
      </c>
      <c r="M36" s="170">
        <f t="shared" si="2"/>
        <v>356531.58043517481</v>
      </c>
      <c r="N36" s="170">
        <f t="shared" si="2"/>
        <v>370533.68187824817</v>
      </c>
      <c r="O36" s="170">
        <f t="shared" si="2"/>
        <v>390531.55982031015</v>
      </c>
      <c r="P36" s="170">
        <f t="shared" si="2"/>
        <v>412473.45086777536</v>
      </c>
      <c r="Q36" s="170">
        <f t="shared" si="2"/>
        <v>426929.79522726074</v>
      </c>
      <c r="R36" s="170">
        <f t="shared" si="2"/>
        <v>438903.50946893537</v>
      </c>
      <c r="S36" s="170">
        <f t="shared" si="2"/>
        <v>451027.09422638465</v>
      </c>
      <c r="T36" s="170">
        <f t="shared" si="2"/>
        <v>463299.84967531735</v>
      </c>
      <c r="U36" s="170">
        <f t="shared" si="2"/>
        <v>475721.09343056515</v>
      </c>
      <c r="V36" s="170">
        <f t="shared" si="2"/>
        <v>488290.15988650854</v>
      </c>
      <c r="W36" s="170">
        <f t="shared" si="2"/>
        <v>501006.39959326468</v>
      </c>
      <c r="X36" s="170">
        <f t="shared" si="2"/>
        <v>513869.17866615491</v>
      </c>
      <c r="Y36" s="170">
        <f t="shared" si="2"/>
        <v>526877.87822616892</v>
      </c>
      <c r="Z36" s="170">
        <f t="shared" si="2"/>
        <v>540031.89386932831</v>
      </c>
      <c r="AA36" s="170">
        <f t="shared" si="2"/>
        <v>553330.63516303373</v>
      </c>
      <c r="AB36" s="170">
        <f t="shared" si="2"/>
        <v>566773.52516763203</v>
      </c>
      <c r="AC36" s="170">
        <f>SUM(AC28:AC34)</f>
        <v>580359.99998157588</v>
      </c>
      <c r="AD36" s="170">
        <f>SUM(AD28:AD34)</f>
        <v>594089.50830867537</v>
      </c>
      <c r="AE36" s="170">
        <f>SUM(AE28:AE34)</f>
        <v>607110.47995540884</v>
      </c>
      <c r="AF36" s="170">
        <f>SUM(AF28:AF34)</f>
        <v>620264.86551559367</v>
      </c>
      <c r="AG36" s="170">
        <f>SUM(AG28:AG34)</f>
        <v>633552.1854349199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3">I41*I7</f>
        <v>0</v>
      </c>
      <c r="J42" s="85">
        <f t="shared" si="3"/>
        <v>0</v>
      </c>
      <c r="K42" s="85">
        <f t="shared" si="3"/>
        <v>0</v>
      </c>
      <c r="L42" s="85">
        <f t="shared" si="3"/>
        <v>0</v>
      </c>
      <c r="M42" s="85">
        <f t="shared" si="3"/>
        <v>0</v>
      </c>
      <c r="N42" s="85">
        <f t="shared" si="3"/>
        <v>0</v>
      </c>
      <c r="O42" s="85">
        <f t="shared" si="3"/>
        <v>0</v>
      </c>
      <c r="P42" s="85">
        <f t="shared" si="3"/>
        <v>0</v>
      </c>
      <c r="Q42" s="85">
        <f t="shared" si="3"/>
        <v>0</v>
      </c>
      <c r="R42" s="85">
        <f t="shared" si="3"/>
        <v>0</v>
      </c>
      <c r="S42" s="85">
        <f t="shared" si="3"/>
        <v>0</v>
      </c>
      <c r="T42" s="85">
        <f t="shared" si="3"/>
        <v>0</v>
      </c>
      <c r="U42" s="85">
        <f t="shared" si="3"/>
        <v>0</v>
      </c>
      <c r="V42" s="85">
        <f t="shared" si="3"/>
        <v>0</v>
      </c>
      <c r="W42" s="85">
        <f t="shared" si="3"/>
        <v>0</v>
      </c>
      <c r="X42" s="85">
        <f t="shared" si="3"/>
        <v>0</v>
      </c>
      <c r="Y42" s="85">
        <f t="shared" si="3"/>
        <v>0</v>
      </c>
      <c r="Z42" s="85">
        <f t="shared" si="3"/>
        <v>0</v>
      </c>
      <c r="AA42" s="85">
        <f t="shared" si="3"/>
        <v>0</v>
      </c>
      <c r="AB42" s="85">
        <f t="shared" si="3"/>
        <v>0</v>
      </c>
      <c r="AC42" s="85">
        <f t="shared" si="3"/>
        <v>0</v>
      </c>
      <c r="AD42" s="85">
        <f t="shared" si="3"/>
        <v>0</v>
      </c>
      <c r="AE42" s="85">
        <f t="shared" si="3"/>
        <v>0</v>
      </c>
      <c r="AF42" s="85">
        <f t="shared" si="3"/>
        <v>0</v>
      </c>
      <c r="AG42" s="85">
        <f t="shared" si="3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52286.907251728466</v>
      </c>
      <c r="L64" s="132">
        <f>(1-INDEX(Data!$C$9:$C$13, MATCH($A$3, options,0)))*('Option1 (base case)'!L36-L36)</f>
        <v>53153.197550592944</v>
      </c>
      <c r="M64" s="132">
        <f>(1-INDEX(Data!$C$9:$C$13, MATCH($A$3, options,0)))*('Option1 (base case)'!M36-M36)</f>
        <v>53825.891198179277</v>
      </c>
      <c r="N64" s="132">
        <f>(1-INDEX(Data!$C$9:$C$13, MATCH($A$3, options,0)))*('Option1 (base case)'!N36-N36)</f>
        <v>54582.388751466584</v>
      </c>
      <c r="O64" s="132">
        <f>(1-INDEX(Data!$C$9:$C$13, MATCH($A$3, options,0)))*('Option1 (base case)'!O36-O36)</f>
        <v>55664.178255163948</v>
      </c>
      <c r="P64" s="132">
        <f>(1-INDEX(Data!$C$9:$C$13, MATCH($A$3, options,0)))*('Option1 (base case)'!P36-P36)</f>
        <v>56851.621015461162</v>
      </c>
      <c r="Q64" s="132">
        <f>(1-INDEX(Data!$C$9:$C$13, MATCH($A$3, options,0)))*('Option1 (base case)'!Q36-Q36)</f>
        <v>57633.085079756973</v>
      </c>
      <c r="R64" s="132">
        <f>(1-INDEX(Data!$C$9:$C$13, MATCH($A$3, options,0)))*('Option1 (base case)'!R36-R36)</f>
        <v>58279.95269800612</v>
      </c>
      <c r="S64" s="132">
        <f>(1-INDEX(Data!$C$9:$C$13, MATCH($A$3, options,0)))*('Option1 (base case)'!S36-S36)</f>
        <v>58935.026142907154</v>
      </c>
      <c r="T64" s="132">
        <f>(1-INDEX(Data!$C$9:$C$13, MATCH($A$3, options,0)))*('Option1 (base case)'!T36-T36)</f>
        <v>59598.271613872377</v>
      </c>
      <c r="U64" s="132">
        <f>(1-INDEX(Data!$C$9:$C$13, MATCH($A$3, options,0)))*('Option1 (base case)'!U36-U36)</f>
        <v>60269.656273507571</v>
      </c>
      <c r="V64" s="132">
        <f>(1-INDEX(Data!$C$9:$C$13, MATCH($A$3, options,0)))*('Option1 (base case)'!V36-V36)</f>
        <v>60949.148211908352</v>
      </c>
      <c r="W64" s="132">
        <f>(1-INDEX(Data!$C$9:$C$13, MATCH($A$3, options,0)))*('Option1 (base case)'!W36-W36)</f>
        <v>61636.7164128843</v>
      </c>
      <c r="X64" s="132">
        <f>(1-INDEX(Data!$C$9:$C$13, MATCH($A$3, options,0)))*('Option1 (base case)'!X36-X36)</f>
        <v>62332.330721980135</v>
      </c>
      <c r="Y64" s="132">
        <f>(1-INDEX(Data!$C$9:$C$13, MATCH($A$3, options,0)))*('Option1 (base case)'!Y36-Y36)</f>
        <v>63035.961816165363</v>
      </c>
      <c r="Z64" s="132">
        <f>(1-INDEX(Data!$C$9:$C$13, MATCH($A$3, options,0)))*('Option1 (base case)'!Z36-Z36)</f>
        <v>63747.581175085506</v>
      </c>
      <c r="AA64" s="132">
        <f>(1-INDEX(Data!$C$9:$C$13, MATCH($A$3, options,0)))*('Option1 (base case)'!AA36-AA36)</f>
        <v>64467.161053768126</v>
      </c>
      <c r="AB64" s="132">
        <f>(1-INDEX(Data!$C$9:$C$13, MATCH($A$3, options,0)))*('Option1 (base case)'!AB36-AB36)</f>
        <v>65194.674456691137</v>
      </c>
      <c r="AC64" s="132">
        <f>(1-INDEX(Data!$C$9:$C$13, MATCH($A$3, options,0)))*('Option1 (base case)'!AC36-AC36)</f>
        <v>65930.09511311911</v>
      </c>
      <c r="AD64" s="132">
        <f>(1-INDEX(Data!$C$9:$C$13, MATCH($A$3, options,0)))*('Option1 (base case)'!AD36-AD36)</f>
        <v>66673.397453640471</v>
      </c>
      <c r="AE64" s="132">
        <f>(1-INDEX(Data!$C$9:$C$13, MATCH($A$3, options,0)))*('Option1 (base case)'!AE36-AE36)</f>
        <v>67383.588612847379</v>
      </c>
      <c r="AF64" s="132">
        <f>(1-INDEX(Data!$C$9:$C$13, MATCH($A$3, options,0)))*('Option1 (base case)'!AF36-AF36)</f>
        <v>68101.200588794309</v>
      </c>
      <c r="AG64" s="132">
        <f>(1-INDEX(Data!$C$9:$C$13, MATCH($A$3, options,0)))*('Option1 (base case)'!AG36-AG36)</f>
        <v>68826.211534551694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Refurbish 1 transformer</v>
      </c>
      <c r="D67" s="38"/>
      <c r="F67" s="97"/>
      <c r="G67" s="210">
        <f>input_dollars</f>
        <v>45291</v>
      </c>
      <c r="H67" s="31"/>
      <c r="I67" s="119">
        <f t="shared" ref="I67:AG67" si="4">-I14</f>
        <v>0</v>
      </c>
      <c r="J67" s="119">
        <f t="shared" si="4"/>
        <v>-500000</v>
      </c>
      <c r="K67" s="119">
        <f t="shared" si="4"/>
        <v>0</v>
      </c>
      <c r="L67" s="119">
        <f t="shared" si="4"/>
        <v>0</v>
      </c>
      <c r="M67" s="119">
        <f t="shared" si="4"/>
        <v>0</v>
      </c>
      <c r="N67" s="119">
        <f t="shared" si="4"/>
        <v>0</v>
      </c>
      <c r="O67" s="119">
        <f t="shared" si="4"/>
        <v>0</v>
      </c>
      <c r="P67" s="119">
        <f t="shared" si="4"/>
        <v>0</v>
      </c>
      <c r="Q67" s="119">
        <f t="shared" si="4"/>
        <v>0</v>
      </c>
      <c r="R67" s="119">
        <f t="shared" si="4"/>
        <v>0</v>
      </c>
      <c r="S67" s="119">
        <f t="shared" si="4"/>
        <v>0</v>
      </c>
      <c r="T67" s="119">
        <f t="shared" si="4"/>
        <v>0</v>
      </c>
      <c r="U67" s="119">
        <f t="shared" si="4"/>
        <v>0</v>
      </c>
      <c r="V67" s="119">
        <f t="shared" si="4"/>
        <v>0</v>
      </c>
      <c r="W67" s="119">
        <f t="shared" si="4"/>
        <v>0</v>
      </c>
      <c r="X67" s="119">
        <f t="shared" si="4"/>
        <v>0</v>
      </c>
      <c r="Y67" s="119">
        <f t="shared" si="4"/>
        <v>0</v>
      </c>
      <c r="Z67" s="119">
        <f t="shared" si="4"/>
        <v>0</v>
      </c>
      <c r="AA67" s="119">
        <f t="shared" si="4"/>
        <v>0</v>
      </c>
      <c r="AB67" s="119">
        <f t="shared" si="4"/>
        <v>0</v>
      </c>
      <c r="AC67" s="119">
        <f t="shared" si="4"/>
        <v>0</v>
      </c>
      <c r="AD67" s="119">
        <f t="shared" si="4"/>
        <v>0</v>
      </c>
      <c r="AE67" s="119">
        <f t="shared" si="4"/>
        <v>0</v>
      </c>
      <c r="AF67" s="119">
        <f t="shared" si="4"/>
        <v>0</v>
      </c>
      <c r="AG67" s="119">
        <f t="shared" si="4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5">-I15</f>
        <v>0</v>
      </c>
      <c r="J68" s="119">
        <f t="shared" si="5"/>
        <v>0</v>
      </c>
      <c r="K68" s="119">
        <f t="shared" si="5"/>
        <v>0</v>
      </c>
      <c r="L68" s="119">
        <f t="shared" si="5"/>
        <v>0</v>
      </c>
      <c r="M68" s="119">
        <f t="shared" si="5"/>
        <v>0</v>
      </c>
      <c r="N68" s="119">
        <f t="shared" si="5"/>
        <v>0</v>
      </c>
      <c r="O68" s="119">
        <f t="shared" si="5"/>
        <v>0</v>
      </c>
      <c r="P68" s="119">
        <f t="shared" si="5"/>
        <v>0</v>
      </c>
      <c r="Q68" s="119">
        <f t="shared" si="5"/>
        <v>0</v>
      </c>
      <c r="R68" s="119">
        <f t="shared" si="5"/>
        <v>0</v>
      </c>
      <c r="S68" s="119">
        <f t="shared" si="5"/>
        <v>0</v>
      </c>
      <c r="T68" s="119">
        <f t="shared" si="5"/>
        <v>0</v>
      </c>
      <c r="U68" s="119">
        <f t="shared" si="5"/>
        <v>0</v>
      </c>
      <c r="V68" s="119">
        <f t="shared" si="5"/>
        <v>0</v>
      </c>
      <c r="W68" s="119">
        <f t="shared" si="5"/>
        <v>0</v>
      </c>
      <c r="X68" s="119">
        <f t="shared" si="5"/>
        <v>0</v>
      </c>
      <c r="Y68" s="119">
        <f t="shared" si="5"/>
        <v>0</v>
      </c>
      <c r="Z68" s="119">
        <f t="shared" si="5"/>
        <v>0</v>
      </c>
      <c r="AA68" s="119">
        <f t="shared" si="5"/>
        <v>0</v>
      </c>
      <c r="AB68" s="119">
        <f t="shared" si="5"/>
        <v>0</v>
      </c>
      <c r="AC68" s="119">
        <f t="shared" si="5"/>
        <v>0</v>
      </c>
      <c r="AD68" s="119">
        <f t="shared" si="5"/>
        <v>0</v>
      </c>
      <c r="AE68" s="119">
        <f t="shared" si="5"/>
        <v>0</v>
      </c>
      <c r="AF68" s="119">
        <f t="shared" si="5"/>
        <v>0</v>
      </c>
      <c r="AG68" s="119">
        <f t="shared" si="5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6">-I16</f>
        <v>0</v>
      </c>
      <c r="J69" s="119">
        <f t="shared" si="6"/>
        <v>0</v>
      </c>
      <c r="K69" s="119">
        <f t="shared" si="6"/>
        <v>0</v>
      </c>
      <c r="L69" s="119">
        <f t="shared" si="6"/>
        <v>0</v>
      </c>
      <c r="M69" s="119">
        <f t="shared" si="6"/>
        <v>0</v>
      </c>
      <c r="N69" s="119">
        <f t="shared" si="6"/>
        <v>0</v>
      </c>
      <c r="O69" s="119">
        <f t="shared" si="6"/>
        <v>0</v>
      </c>
      <c r="P69" s="119">
        <f t="shared" si="6"/>
        <v>0</v>
      </c>
      <c r="Q69" s="119">
        <f t="shared" si="6"/>
        <v>0</v>
      </c>
      <c r="R69" s="119">
        <f t="shared" si="6"/>
        <v>0</v>
      </c>
      <c r="S69" s="119">
        <f t="shared" si="6"/>
        <v>0</v>
      </c>
      <c r="T69" s="119">
        <f t="shared" si="6"/>
        <v>0</v>
      </c>
      <c r="U69" s="119">
        <f t="shared" si="6"/>
        <v>0</v>
      </c>
      <c r="V69" s="119">
        <f t="shared" si="6"/>
        <v>0</v>
      </c>
      <c r="W69" s="119">
        <f t="shared" si="6"/>
        <v>0</v>
      </c>
      <c r="X69" s="119">
        <f t="shared" si="6"/>
        <v>0</v>
      </c>
      <c r="Y69" s="119">
        <f t="shared" si="6"/>
        <v>0</v>
      </c>
      <c r="Z69" s="119">
        <f t="shared" si="6"/>
        <v>0</v>
      </c>
      <c r="AA69" s="119">
        <f t="shared" si="6"/>
        <v>0</v>
      </c>
      <c r="AB69" s="119">
        <f t="shared" si="6"/>
        <v>0</v>
      </c>
      <c r="AC69" s="119">
        <f t="shared" si="6"/>
        <v>0</v>
      </c>
      <c r="AD69" s="119">
        <f t="shared" si="6"/>
        <v>0</v>
      </c>
      <c r="AE69" s="119">
        <f t="shared" si="6"/>
        <v>0</v>
      </c>
      <c r="AF69" s="119">
        <f t="shared" si="6"/>
        <v>0</v>
      </c>
      <c r="AG69" s="119">
        <f t="shared" si="6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Refurbish 1 transformer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-500000</v>
      </c>
      <c r="K72" s="119" cm="1">
        <f t="array" ref="K72">SUMPRODUCT(($I67:K67))-SUMPRODUCT(($I67:K67)*($I$6:K$6&lt;=(K$6-$E14)))</f>
        <v>-500000</v>
      </c>
      <c r="L72" s="119" cm="1">
        <f t="array" ref="L72">SUMPRODUCT(($I67:L67))-SUMPRODUCT(($I67:L67)*($I$6:L$6&lt;=(L$6-$E14)))</f>
        <v>-500000</v>
      </c>
      <c r="M72" s="119" cm="1">
        <f t="array" ref="M72">SUMPRODUCT(($I67:M67))-SUMPRODUCT(($I67:M67)*($I$6:M$6&lt;=(M$6-$E14)))</f>
        <v>-500000</v>
      </c>
      <c r="N72" s="119" cm="1">
        <f t="array" ref="N72">SUMPRODUCT(($I67:N67))-SUMPRODUCT(($I67:N67)*($I$6:N$6&lt;=(N$6-$E14)))</f>
        <v>-500000</v>
      </c>
      <c r="O72" s="119" cm="1">
        <f t="array" ref="O72">SUMPRODUCT(($I67:O67))-SUMPRODUCT(($I67:O67)*($I$6:O$6&lt;=(O$6-$E14)))</f>
        <v>-500000</v>
      </c>
      <c r="P72" s="119" cm="1">
        <f t="array" ref="P72">SUMPRODUCT(($I67:P67))-SUMPRODUCT(($I67:P67)*($I$6:P$6&lt;=(P$6-$E14)))</f>
        <v>-500000</v>
      </c>
      <c r="Q72" s="119" cm="1">
        <f t="array" ref="Q72">SUMPRODUCT(($I67:Q67))-SUMPRODUCT(($I67:Q67)*($I$6:Q$6&lt;=(Q$6-$E14)))</f>
        <v>-500000</v>
      </c>
      <c r="R72" s="119" cm="1">
        <f t="array" ref="R72">SUMPRODUCT(($I67:R67))-SUMPRODUCT(($I67:R67)*($I$6:R$6&lt;=(R$6-$E14)))</f>
        <v>-500000</v>
      </c>
      <c r="S72" s="119" cm="1">
        <f t="array" ref="S72">SUMPRODUCT(($I67:S67))-SUMPRODUCT(($I67:S67)*($I$6:S$6&lt;=(S$6-$E14)))</f>
        <v>-500000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Refurbish 1 transformer</v>
      </c>
      <c r="D77" s="38"/>
      <c r="G77" s="210">
        <f>input_dollars</f>
        <v>45291</v>
      </c>
      <c r="H77" s="31"/>
      <c r="I77" s="119">
        <f t="shared" ref="I77:AG77" si="7">IF($E14=0,0,-PMT(real_disc, $E14,H72,))</f>
        <v>0</v>
      </c>
      <c r="J77" s="119">
        <f t="shared" si="7"/>
        <v>0</v>
      </c>
      <c r="K77" s="119">
        <f t="shared" si="7"/>
        <v>-60120.68393369564</v>
      </c>
      <c r="L77" s="119">
        <f t="shared" si="7"/>
        <v>-60120.68393369564</v>
      </c>
      <c r="M77" s="119">
        <f t="shared" si="7"/>
        <v>-60120.68393369564</v>
      </c>
      <c r="N77" s="119">
        <f t="shared" si="7"/>
        <v>-60120.68393369564</v>
      </c>
      <c r="O77" s="119">
        <f t="shared" si="7"/>
        <v>-60120.68393369564</v>
      </c>
      <c r="P77" s="119">
        <f t="shared" si="7"/>
        <v>-60120.68393369564</v>
      </c>
      <c r="Q77" s="119">
        <f t="shared" si="7"/>
        <v>-60120.68393369564</v>
      </c>
      <c r="R77" s="119">
        <f t="shared" si="7"/>
        <v>-60120.68393369564</v>
      </c>
      <c r="S77" s="119">
        <f t="shared" si="7"/>
        <v>-60120.68393369564</v>
      </c>
      <c r="T77" s="119">
        <f t="shared" si="7"/>
        <v>-60120.68393369564</v>
      </c>
      <c r="U77" s="119">
        <f t="shared" si="7"/>
        <v>0</v>
      </c>
      <c r="V77" s="119">
        <f t="shared" si="7"/>
        <v>0</v>
      </c>
      <c r="W77" s="119">
        <f t="shared" si="7"/>
        <v>0</v>
      </c>
      <c r="X77" s="119">
        <f t="shared" si="7"/>
        <v>0</v>
      </c>
      <c r="Y77" s="119">
        <f t="shared" si="7"/>
        <v>0</v>
      </c>
      <c r="Z77" s="119">
        <f t="shared" si="7"/>
        <v>0</v>
      </c>
      <c r="AA77" s="119">
        <f t="shared" si="7"/>
        <v>0</v>
      </c>
      <c r="AB77" s="119">
        <f t="shared" si="7"/>
        <v>0</v>
      </c>
      <c r="AC77" s="119">
        <f t="shared" si="7"/>
        <v>0</v>
      </c>
      <c r="AD77" s="119">
        <f t="shared" si="7"/>
        <v>0</v>
      </c>
      <c r="AE77" s="119">
        <f t="shared" si="7"/>
        <v>0</v>
      </c>
      <c r="AF77" s="119">
        <f t="shared" si="7"/>
        <v>0</v>
      </c>
      <c r="AG77" s="119">
        <f t="shared" si="7"/>
        <v>0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8">IF($E15=0,0,-PMT(real_disc, $E15,H73,))</f>
        <v>0</v>
      </c>
      <c r="J78" s="119">
        <f t="shared" si="8"/>
        <v>0</v>
      </c>
      <c r="K78" s="119">
        <f t="shared" si="8"/>
        <v>0</v>
      </c>
      <c r="L78" s="119">
        <f t="shared" si="8"/>
        <v>0</v>
      </c>
      <c r="M78" s="119">
        <f t="shared" si="8"/>
        <v>0</v>
      </c>
      <c r="N78" s="119">
        <f t="shared" si="8"/>
        <v>0</v>
      </c>
      <c r="O78" s="119">
        <f t="shared" si="8"/>
        <v>0</v>
      </c>
      <c r="P78" s="119">
        <f t="shared" si="8"/>
        <v>0</v>
      </c>
      <c r="Q78" s="119">
        <f t="shared" si="8"/>
        <v>0</v>
      </c>
      <c r="R78" s="119">
        <f t="shared" si="8"/>
        <v>0</v>
      </c>
      <c r="S78" s="119">
        <f t="shared" si="8"/>
        <v>0</v>
      </c>
      <c r="T78" s="119">
        <f t="shared" si="8"/>
        <v>0</v>
      </c>
      <c r="U78" s="119">
        <f t="shared" si="8"/>
        <v>0</v>
      </c>
      <c r="V78" s="119">
        <f t="shared" si="8"/>
        <v>0</v>
      </c>
      <c r="W78" s="119">
        <f t="shared" si="8"/>
        <v>0</v>
      </c>
      <c r="X78" s="119">
        <f t="shared" si="8"/>
        <v>0</v>
      </c>
      <c r="Y78" s="119">
        <f t="shared" si="8"/>
        <v>0</v>
      </c>
      <c r="Z78" s="119">
        <f t="shared" si="8"/>
        <v>0</v>
      </c>
      <c r="AA78" s="119">
        <f t="shared" si="8"/>
        <v>0</v>
      </c>
      <c r="AB78" s="119">
        <f t="shared" si="8"/>
        <v>0</v>
      </c>
      <c r="AC78" s="119">
        <f t="shared" si="8"/>
        <v>0</v>
      </c>
      <c r="AD78" s="119">
        <f t="shared" si="8"/>
        <v>0</v>
      </c>
      <c r="AE78" s="119">
        <f t="shared" si="8"/>
        <v>0</v>
      </c>
      <c r="AF78" s="119">
        <f t="shared" si="8"/>
        <v>0</v>
      </c>
      <c r="AG78" s="119">
        <f t="shared" si="8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9">IF($E16=0,0,-PMT(real_disc, $E16,H74,))</f>
        <v>0</v>
      </c>
      <c r="J79" s="119">
        <f t="shared" si="9"/>
        <v>0</v>
      </c>
      <c r="K79" s="119">
        <f t="shared" si="9"/>
        <v>0</v>
      </c>
      <c r="L79" s="119">
        <f t="shared" si="9"/>
        <v>0</v>
      </c>
      <c r="M79" s="119">
        <f t="shared" si="9"/>
        <v>0</v>
      </c>
      <c r="N79" s="119">
        <f t="shared" si="9"/>
        <v>0</v>
      </c>
      <c r="O79" s="119">
        <f t="shared" si="9"/>
        <v>0</v>
      </c>
      <c r="P79" s="119">
        <f t="shared" si="9"/>
        <v>0</v>
      </c>
      <c r="Q79" s="119">
        <f t="shared" si="9"/>
        <v>0</v>
      </c>
      <c r="R79" s="119">
        <f t="shared" si="9"/>
        <v>0</v>
      </c>
      <c r="S79" s="119">
        <f t="shared" si="9"/>
        <v>0</v>
      </c>
      <c r="T79" s="119">
        <f t="shared" si="9"/>
        <v>0</v>
      </c>
      <c r="U79" s="119">
        <f t="shared" si="9"/>
        <v>0</v>
      </c>
      <c r="V79" s="119">
        <f t="shared" si="9"/>
        <v>0</v>
      </c>
      <c r="W79" s="119">
        <f t="shared" si="9"/>
        <v>0</v>
      </c>
      <c r="X79" s="119">
        <f t="shared" si="9"/>
        <v>0</v>
      </c>
      <c r="Y79" s="119">
        <f t="shared" si="9"/>
        <v>0</v>
      </c>
      <c r="Z79" s="119">
        <f t="shared" si="9"/>
        <v>0</v>
      </c>
      <c r="AA79" s="119">
        <f t="shared" si="9"/>
        <v>0</v>
      </c>
      <c r="AB79" s="119">
        <f t="shared" si="9"/>
        <v>0</v>
      </c>
      <c r="AC79" s="119">
        <f t="shared" si="9"/>
        <v>0</v>
      </c>
      <c r="AD79" s="119">
        <f t="shared" si="9"/>
        <v>0</v>
      </c>
      <c r="AE79" s="119">
        <f t="shared" si="9"/>
        <v>0</v>
      </c>
      <c r="AF79" s="119">
        <f t="shared" si="9"/>
        <v>0</v>
      </c>
      <c r="AG79" s="119">
        <f t="shared" si="9"/>
        <v>0</v>
      </c>
      <c r="AH79"/>
    </row>
    <row r="80" spans="1:34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0">SUM(J77:J79)</f>
        <v>0</v>
      </c>
      <c r="K80" s="176">
        <f t="shared" si="10"/>
        <v>-60120.68393369564</v>
      </c>
      <c r="L80" s="176">
        <f t="shared" si="10"/>
        <v>-60120.68393369564</v>
      </c>
      <c r="M80" s="176">
        <f t="shared" si="10"/>
        <v>-60120.68393369564</v>
      </c>
      <c r="N80" s="176">
        <f t="shared" si="10"/>
        <v>-60120.68393369564</v>
      </c>
      <c r="O80" s="176">
        <f t="shared" si="10"/>
        <v>-60120.68393369564</v>
      </c>
      <c r="P80" s="176">
        <f t="shared" si="10"/>
        <v>-60120.68393369564</v>
      </c>
      <c r="Q80" s="176">
        <f t="shared" si="10"/>
        <v>-60120.68393369564</v>
      </c>
      <c r="R80" s="176">
        <f t="shared" si="10"/>
        <v>-60120.68393369564</v>
      </c>
      <c r="S80" s="176">
        <f t="shared" si="10"/>
        <v>-60120.68393369564</v>
      </c>
      <c r="T80" s="176">
        <f t="shared" si="10"/>
        <v>-60120.68393369564</v>
      </c>
      <c r="U80" s="176">
        <f t="shared" si="10"/>
        <v>0</v>
      </c>
      <c r="V80" s="176">
        <f t="shared" si="10"/>
        <v>0</v>
      </c>
      <c r="W80" s="176">
        <f t="shared" si="10"/>
        <v>0</v>
      </c>
      <c r="X80" s="176">
        <f t="shared" si="10"/>
        <v>0</v>
      </c>
      <c r="Y80" s="176">
        <f t="shared" si="10"/>
        <v>0</v>
      </c>
      <c r="Z80" s="176">
        <f t="shared" si="10"/>
        <v>0</v>
      </c>
      <c r="AA80" s="176">
        <f t="shared" si="10"/>
        <v>0</v>
      </c>
      <c r="AB80" s="176">
        <f t="shared" si="10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1">input_dollars</f>
        <v>45291</v>
      </c>
      <c r="H82" s="31"/>
      <c r="I82" s="119">
        <f>I80</f>
        <v>0</v>
      </c>
      <c r="J82" s="119">
        <f t="shared" ref="J82:AB82" si="12">J80</f>
        <v>0</v>
      </c>
      <c r="K82" s="119">
        <f t="shared" si="12"/>
        <v>-60120.68393369564</v>
      </c>
      <c r="L82" s="119">
        <f t="shared" si="12"/>
        <v>-60120.68393369564</v>
      </c>
      <c r="M82" s="119">
        <f t="shared" si="12"/>
        <v>-60120.68393369564</v>
      </c>
      <c r="N82" s="119">
        <f t="shared" si="12"/>
        <v>-60120.68393369564</v>
      </c>
      <c r="O82" s="119">
        <f t="shared" si="12"/>
        <v>-60120.68393369564</v>
      </c>
      <c r="P82" s="119">
        <f t="shared" si="12"/>
        <v>-60120.68393369564</v>
      </c>
      <c r="Q82" s="119">
        <f t="shared" si="12"/>
        <v>-60120.68393369564</v>
      </c>
      <c r="R82" s="119">
        <f t="shared" si="12"/>
        <v>-60120.68393369564</v>
      </c>
      <c r="S82" s="119">
        <f t="shared" si="12"/>
        <v>-60120.68393369564</v>
      </c>
      <c r="T82" s="119">
        <f t="shared" si="12"/>
        <v>-60120.68393369564</v>
      </c>
      <c r="U82" s="119">
        <f t="shared" si="12"/>
        <v>0</v>
      </c>
      <c r="V82" s="119">
        <f t="shared" si="12"/>
        <v>0</v>
      </c>
      <c r="W82" s="119">
        <f t="shared" si="12"/>
        <v>0</v>
      </c>
      <c r="X82" s="119">
        <f t="shared" si="12"/>
        <v>0</v>
      </c>
      <c r="Y82" s="119">
        <f t="shared" si="12"/>
        <v>0</v>
      </c>
      <c r="Z82" s="119">
        <f t="shared" si="12"/>
        <v>0</v>
      </c>
      <c r="AA82" s="119">
        <f t="shared" si="12"/>
        <v>0</v>
      </c>
      <c r="AB82" s="119">
        <f t="shared" si="12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1"/>
        <v>45291</v>
      </c>
      <c r="H83" s="31"/>
      <c r="I83" s="31">
        <f t="shared" ref="I83:AG83" si="13">-I19</f>
        <v>0</v>
      </c>
      <c r="J83" s="31">
        <f t="shared" si="13"/>
        <v>0</v>
      </c>
      <c r="K83" s="31">
        <f t="shared" si="13"/>
        <v>0</v>
      </c>
      <c r="L83" s="31">
        <f t="shared" si="13"/>
        <v>0</v>
      </c>
      <c r="M83" s="31">
        <f t="shared" si="13"/>
        <v>0</v>
      </c>
      <c r="N83" s="31">
        <f t="shared" si="13"/>
        <v>0</v>
      </c>
      <c r="O83" s="31">
        <f t="shared" si="13"/>
        <v>0</v>
      </c>
      <c r="P83" s="31">
        <f t="shared" si="13"/>
        <v>0</v>
      </c>
      <c r="Q83" s="31">
        <f t="shared" si="13"/>
        <v>0</v>
      </c>
      <c r="R83" s="31">
        <f t="shared" si="13"/>
        <v>0</v>
      </c>
      <c r="S83" s="31">
        <f t="shared" si="13"/>
        <v>0</v>
      </c>
      <c r="T83" s="31">
        <f t="shared" si="13"/>
        <v>0</v>
      </c>
      <c r="U83" s="31">
        <f t="shared" si="13"/>
        <v>0</v>
      </c>
      <c r="V83" s="31">
        <f t="shared" si="13"/>
        <v>0</v>
      </c>
      <c r="W83" s="31">
        <f t="shared" si="13"/>
        <v>0</v>
      </c>
      <c r="X83" s="31">
        <f t="shared" si="13"/>
        <v>0</v>
      </c>
      <c r="Y83" s="31">
        <f t="shared" si="13"/>
        <v>0</v>
      </c>
      <c r="Z83" s="31">
        <f t="shared" si="13"/>
        <v>0</v>
      </c>
      <c r="AA83" s="31">
        <f t="shared" si="13"/>
        <v>0</v>
      </c>
      <c r="AB83" s="31">
        <f t="shared" si="13"/>
        <v>0</v>
      </c>
      <c r="AC83" s="31">
        <f t="shared" si="13"/>
        <v>0</v>
      </c>
      <c r="AD83" s="31">
        <f t="shared" si="13"/>
        <v>0</v>
      </c>
      <c r="AE83" s="31">
        <f t="shared" si="13"/>
        <v>0</v>
      </c>
      <c r="AF83" s="31">
        <f t="shared" si="13"/>
        <v>0</v>
      </c>
      <c r="AG83" s="31">
        <f t="shared" si="13"/>
        <v>0</v>
      </c>
      <c r="AH83"/>
    </row>
    <row r="84" spans="1:34" x14ac:dyDescent="0.2">
      <c r="A84" s="8"/>
      <c r="B84" s="8"/>
      <c r="C84" s="4" t="s">
        <v>141</v>
      </c>
      <c r="D84" s="38"/>
      <c r="F84" s="97"/>
      <c r="G84" s="210">
        <f t="shared" si="11"/>
        <v>45291</v>
      </c>
      <c r="H84" s="31"/>
      <c r="I84" s="31">
        <f t="shared" ref="I84:AG84" si="14">I64</f>
        <v>0</v>
      </c>
      <c r="J84" s="31">
        <f t="shared" si="14"/>
        <v>0</v>
      </c>
      <c r="K84" s="31">
        <f t="shared" si="14"/>
        <v>52286.907251728466</v>
      </c>
      <c r="L84" s="31">
        <f t="shared" si="14"/>
        <v>53153.197550592944</v>
      </c>
      <c r="M84" s="31">
        <f t="shared" si="14"/>
        <v>53825.891198179277</v>
      </c>
      <c r="N84" s="31">
        <f t="shared" si="14"/>
        <v>54582.388751466584</v>
      </c>
      <c r="O84" s="31">
        <f t="shared" si="14"/>
        <v>55664.178255163948</v>
      </c>
      <c r="P84" s="31">
        <f t="shared" si="14"/>
        <v>56851.621015461162</v>
      </c>
      <c r="Q84" s="31">
        <f t="shared" si="14"/>
        <v>57633.085079756973</v>
      </c>
      <c r="R84" s="31">
        <f t="shared" si="14"/>
        <v>58279.95269800612</v>
      </c>
      <c r="S84" s="31">
        <f t="shared" si="14"/>
        <v>58935.026142907154</v>
      </c>
      <c r="T84" s="31">
        <f t="shared" si="14"/>
        <v>59598.271613872377</v>
      </c>
      <c r="U84" s="31">
        <f t="shared" si="14"/>
        <v>60269.656273507571</v>
      </c>
      <c r="V84" s="31">
        <f t="shared" si="14"/>
        <v>60949.148211908352</v>
      </c>
      <c r="W84" s="31">
        <f t="shared" si="14"/>
        <v>61636.7164128843</v>
      </c>
      <c r="X84" s="31">
        <f t="shared" si="14"/>
        <v>62332.330721980135</v>
      </c>
      <c r="Y84" s="31">
        <f t="shared" si="14"/>
        <v>63035.961816165363</v>
      </c>
      <c r="Z84" s="31">
        <f t="shared" si="14"/>
        <v>63747.581175085506</v>
      </c>
      <c r="AA84" s="31">
        <f t="shared" si="14"/>
        <v>64467.161053768126</v>
      </c>
      <c r="AB84" s="31">
        <f t="shared" si="14"/>
        <v>65194.674456691137</v>
      </c>
      <c r="AC84" s="31">
        <f t="shared" si="14"/>
        <v>65930.09511311911</v>
      </c>
      <c r="AD84" s="31">
        <f t="shared" si="14"/>
        <v>66673.397453640471</v>
      </c>
      <c r="AE84" s="31">
        <f t="shared" si="14"/>
        <v>67383.588612847379</v>
      </c>
      <c r="AF84" s="31">
        <f t="shared" si="14"/>
        <v>68101.200588794309</v>
      </c>
      <c r="AG84" s="31">
        <f t="shared" si="14"/>
        <v>68826.211534551694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1"/>
        <v>45291</v>
      </c>
      <c r="H85" s="31"/>
      <c r="I85" s="31">
        <f t="shared" ref="I85:AG85" si="15">I57</f>
        <v>0</v>
      </c>
      <c r="J85" s="31">
        <f t="shared" si="15"/>
        <v>0</v>
      </c>
      <c r="K85" s="31">
        <f t="shared" si="15"/>
        <v>0</v>
      </c>
      <c r="L85" s="31">
        <f t="shared" si="15"/>
        <v>0</v>
      </c>
      <c r="M85" s="31">
        <f t="shared" si="15"/>
        <v>0</v>
      </c>
      <c r="N85" s="31">
        <f t="shared" si="15"/>
        <v>0</v>
      </c>
      <c r="O85" s="31">
        <f t="shared" si="15"/>
        <v>0</v>
      </c>
      <c r="P85" s="31">
        <f t="shared" si="15"/>
        <v>0</v>
      </c>
      <c r="Q85" s="31">
        <f t="shared" si="15"/>
        <v>0</v>
      </c>
      <c r="R85" s="31">
        <f t="shared" si="15"/>
        <v>0</v>
      </c>
      <c r="S85" s="31">
        <f t="shared" si="15"/>
        <v>0</v>
      </c>
      <c r="T85" s="31">
        <f t="shared" si="15"/>
        <v>0</v>
      </c>
      <c r="U85" s="31">
        <f t="shared" si="15"/>
        <v>0</v>
      </c>
      <c r="V85" s="31">
        <f t="shared" si="15"/>
        <v>0</v>
      </c>
      <c r="W85" s="31">
        <f t="shared" si="15"/>
        <v>0</v>
      </c>
      <c r="X85" s="31">
        <f t="shared" si="15"/>
        <v>0</v>
      </c>
      <c r="Y85" s="31">
        <f t="shared" si="15"/>
        <v>0</v>
      </c>
      <c r="Z85" s="31">
        <f t="shared" si="15"/>
        <v>0</v>
      </c>
      <c r="AA85" s="31">
        <f t="shared" si="15"/>
        <v>0</v>
      </c>
      <c r="AB85" s="31">
        <f t="shared" si="15"/>
        <v>0</v>
      </c>
      <c r="AC85" s="31">
        <f t="shared" si="15"/>
        <v>0</v>
      </c>
      <c r="AD85" s="31">
        <f t="shared" si="15"/>
        <v>0</v>
      </c>
      <c r="AE85" s="31">
        <f t="shared" si="15"/>
        <v>0</v>
      </c>
      <c r="AF85" s="31">
        <f t="shared" si="15"/>
        <v>0</v>
      </c>
      <c r="AG85" s="31">
        <f t="shared" si="15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189</v>
      </c>
      <c r="D87" s="178"/>
      <c r="E87" s="173"/>
      <c r="F87" s="179"/>
      <c r="G87" s="215">
        <f t="shared" si="11"/>
        <v>45291</v>
      </c>
      <c r="H87" s="179"/>
      <c r="I87" s="179">
        <f t="shared" ref="I87:AB87" si="16">SUM(I82:I86)</f>
        <v>0</v>
      </c>
      <c r="J87" s="179">
        <f t="shared" si="16"/>
        <v>0</v>
      </c>
      <c r="K87" s="179">
        <f t="shared" si="16"/>
        <v>-7833.7766819671742</v>
      </c>
      <c r="L87" s="179">
        <f t="shared" si="16"/>
        <v>-6967.486383102696</v>
      </c>
      <c r="M87" s="179">
        <f t="shared" si="16"/>
        <v>-6294.7927355163629</v>
      </c>
      <c r="N87" s="179">
        <f t="shared" si="16"/>
        <v>-5538.2951822290561</v>
      </c>
      <c r="O87" s="179">
        <f t="shared" si="16"/>
        <v>-4456.505678531692</v>
      </c>
      <c r="P87" s="179">
        <f t="shared" si="16"/>
        <v>-3269.0629182344783</v>
      </c>
      <c r="Q87" s="179">
        <f t="shared" si="16"/>
        <v>-2487.5988539386672</v>
      </c>
      <c r="R87" s="179">
        <f t="shared" si="16"/>
        <v>-1840.73123568952</v>
      </c>
      <c r="S87" s="179">
        <f t="shared" si="16"/>
        <v>-1185.6577907884857</v>
      </c>
      <c r="T87" s="179">
        <f t="shared" si="16"/>
        <v>-522.41231982326281</v>
      </c>
      <c r="U87" s="179">
        <f t="shared" si="16"/>
        <v>60269.656273507571</v>
      </c>
      <c r="V87" s="179">
        <f t="shared" si="16"/>
        <v>60949.148211908352</v>
      </c>
      <c r="W87" s="179">
        <f t="shared" si="16"/>
        <v>61636.7164128843</v>
      </c>
      <c r="X87" s="179">
        <f t="shared" si="16"/>
        <v>62332.330721980135</v>
      </c>
      <c r="Y87" s="179">
        <f t="shared" si="16"/>
        <v>63035.961816165363</v>
      </c>
      <c r="Z87" s="179">
        <f t="shared" si="16"/>
        <v>63747.581175085506</v>
      </c>
      <c r="AA87" s="179">
        <f t="shared" si="16"/>
        <v>64467.161053768126</v>
      </c>
      <c r="AB87" s="179">
        <f t="shared" si="16"/>
        <v>65194.674456691137</v>
      </c>
      <c r="AC87" s="179">
        <f>SUM(AC82:AC86)</f>
        <v>65930.09511311911</v>
      </c>
      <c r="AD87" s="179">
        <f>SUM(AD82:AD86)</f>
        <v>66673.397453640471</v>
      </c>
      <c r="AE87" s="179">
        <f>SUM(AE82:AE86)</f>
        <v>67383.588612847379</v>
      </c>
      <c r="AF87" s="179">
        <f>SUM(AF82:AF86)</f>
        <v>68101.200588794309</v>
      </c>
      <c r="AG87" s="179">
        <f>SUM(AG82:AG86)</f>
        <v>68826.211534551694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194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4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7">J87</f>
        <v>0</v>
      </c>
      <c r="K106" s="31">
        <f t="shared" si="17"/>
        <v>-7833.7766819671742</v>
      </c>
      <c r="L106" s="31">
        <f t="shared" si="17"/>
        <v>-6967.486383102696</v>
      </c>
      <c r="M106" s="31">
        <f t="shared" si="17"/>
        <v>-6294.7927355163629</v>
      </c>
      <c r="N106" s="31">
        <f t="shared" si="17"/>
        <v>-5538.2951822290561</v>
      </c>
      <c r="O106" s="31">
        <f t="shared" si="17"/>
        <v>-4456.505678531692</v>
      </c>
      <c r="P106" s="31">
        <f t="shared" si="17"/>
        <v>-3269.0629182344783</v>
      </c>
      <c r="Q106" s="31">
        <f t="shared" si="17"/>
        <v>-2487.5988539386672</v>
      </c>
      <c r="R106" s="31">
        <f t="shared" si="17"/>
        <v>-1840.73123568952</v>
      </c>
      <c r="S106" s="31">
        <f t="shared" si="17"/>
        <v>-1185.6577907884857</v>
      </c>
      <c r="T106" s="31">
        <f t="shared" si="17"/>
        <v>-522.41231982326281</v>
      </c>
      <c r="U106" s="31">
        <f t="shared" si="17"/>
        <v>60269.656273507571</v>
      </c>
      <c r="V106" s="31">
        <f t="shared" si="17"/>
        <v>60949.148211908352</v>
      </c>
      <c r="W106" s="31">
        <f t="shared" si="17"/>
        <v>61636.7164128843</v>
      </c>
      <c r="X106" s="31">
        <f t="shared" si="17"/>
        <v>62332.330721980135</v>
      </c>
      <c r="Y106" s="31">
        <f t="shared" si="17"/>
        <v>63035.961816165363</v>
      </c>
      <c r="Z106" s="31">
        <f t="shared" si="17"/>
        <v>63747.581175085506</v>
      </c>
      <c r="AA106" s="31">
        <f t="shared" si="17"/>
        <v>64467.161053768126</v>
      </c>
      <c r="AB106" s="31">
        <f t="shared" si="17"/>
        <v>65194.674456691137</v>
      </c>
      <c r="AC106" s="31">
        <f t="shared" si="17"/>
        <v>65930.09511311911</v>
      </c>
      <c r="AD106" s="31">
        <f t="shared" si="17"/>
        <v>66673.397453640471</v>
      </c>
      <c r="AE106" s="31">
        <f t="shared" si="17"/>
        <v>67383.588612847379</v>
      </c>
      <c r="AF106" s="31">
        <f t="shared" si="17"/>
        <v>68101.200588794309</v>
      </c>
      <c r="AG106" s="31">
        <f t="shared" si="17"/>
        <v>68826.211534551694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8">J82</f>
        <v>0</v>
      </c>
      <c r="K107" s="31">
        <f t="shared" si="18"/>
        <v>-60120.68393369564</v>
      </c>
      <c r="L107" s="31">
        <f t="shared" si="18"/>
        <v>-60120.68393369564</v>
      </c>
      <c r="M107" s="31">
        <f t="shared" si="18"/>
        <v>-60120.68393369564</v>
      </c>
      <c r="N107" s="31">
        <f t="shared" si="18"/>
        <v>-60120.68393369564</v>
      </c>
      <c r="O107" s="31">
        <f t="shared" si="18"/>
        <v>-60120.68393369564</v>
      </c>
      <c r="P107" s="31">
        <f t="shared" si="18"/>
        <v>-60120.68393369564</v>
      </c>
      <c r="Q107" s="31">
        <f t="shared" si="18"/>
        <v>-60120.68393369564</v>
      </c>
      <c r="R107" s="31">
        <f t="shared" si="18"/>
        <v>-60120.68393369564</v>
      </c>
      <c r="S107" s="31">
        <f t="shared" si="18"/>
        <v>-60120.68393369564</v>
      </c>
      <c r="T107" s="31">
        <f t="shared" si="18"/>
        <v>-60120.68393369564</v>
      </c>
      <c r="U107" s="31">
        <f t="shared" si="18"/>
        <v>0</v>
      </c>
      <c r="V107" s="31">
        <f t="shared" si="18"/>
        <v>0</v>
      </c>
      <c r="W107" s="31">
        <f t="shared" si="18"/>
        <v>0</v>
      </c>
      <c r="X107" s="31">
        <f t="shared" si="18"/>
        <v>0</v>
      </c>
      <c r="Y107" s="31">
        <f t="shared" si="18"/>
        <v>0</v>
      </c>
      <c r="Z107" s="31">
        <f t="shared" si="18"/>
        <v>0</v>
      </c>
      <c r="AA107" s="31">
        <f t="shared" si="18"/>
        <v>0</v>
      </c>
      <c r="AB107" s="31">
        <f t="shared" si="18"/>
        <v>0</v>
      </c>
      <c r="AC107" s="31">
        <f t="shared" si="18"/>
        <v>0</v>
      </c>
      <c r="AD107" s="31">
        <f t="shared" si="18"/>
        <v>0</v>
      </c>
      <c r="AE107" s="31">
        <f t="shared" si="18"/>
        <v>0</v>
      </c>
      <c r="AF107" s="31">
        <f t="shared" si="18"/>
        <v>0</v>
      </c>
      <c r="AG107" s="31">
        <f t="shared" si="18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19">SUM(J84:J85)</f>
        <v>0</v>
      </c>
      <c r="K108" s="31">
        <f t="shared" si="19"/>
        <v>52286.907251728466</v>
      </c>
      <c r="L108" s="31">
        <f t="shared" si="19"/>
        <v>53153.197550592944</v>
      </c>
      <c r="M108" s="31">
        <f t="shared" si="19"/>
        <v>53825.891198179277</v>
      </c>
      <c r="N108" s="31">
        <f t="shared" si="19"/>
        <v>54582.388751466584</v>
      </c>
      <c r="O108" s="31">
        <f t="shared" si="19"/>
        <v>55664.178255163948</v>
      </c>
      <c r="P108" s="31">
        <f t="shared" si="19"/>
        <v>56851.621015461162</v>
      </c>
      <c r="Q108" s="31">
        <f t="shared" si="19"/>
        <v>57633.085079756973</v>
      </c>
      <c r="R108" s="31">
        <f t="shared" si="19"/>
        <v>58279.95269800612</v>
      </c>
      <c r="S108" s="31">
        <f t="shared" si="19"/>
        <v>58935.026142907154</v>
      </c>
      <c r="T108" s="31">
        <f t="shared" si="19"/>
        <v>59598.271613872377</v>
      </c>
      <c r="U108" s="31">
        <f t="shared" si="19"/>
        <v>60269.656273507571</v>
      </c>
      <c r="V108" s="31">
        <f t="shared" si="19"/>
        <v>60949.148211908352</v>
      </c>
      <c r="W108" s="31">
        <f t="shared" si="19"/>
        <v>61636.7164128843</v>
      </c>
      <c r="X108" s="31">
        <f t="shared" si="19"/>
        <v>62332.330721980135</v>
      </c>
      <c r="Y108" s="31">
        <f t="shared" si="19"/>
        <v>63035.961816165363</v>
      </c>
      <c r="Z108" s="31">
        <f t="shared" si="19"/>
        <v>63747.581175085506</v>
      </c>
      <c r="AA108" s="31">
        <f t="shared" si="19"/>
        <v>64467.161053768126</v>
      </c>
      <c r="AB108" s="31">
        <f t="shared" si="19"/>
        <v>65194.674456691137</v>
      </c>
      <c r="AC108" s="31">
        <f t="shared" si="19"/>
        <v>65930.09511311911</v>
      </c>
      <c r="AD108" s="31">
        <f t="shared" si="19"/>
        <v>66673.397453640471</v>
      </c>
      <c r="AE108" s="31">
        <f t="shared" si="19"/>
        <v>67383.588612847379</v>
      </c>
      <c r="AF108" s="31">
        <f t="shared" si="19"/>
        <v>68101.200588794309</v>
      </c>
      <c r="AG108" s="31">
        <f t="shared" si="19"/>
        <v>68826.211534551694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-13845.84507533674</v>
      </c>
      <c r="L110" s="31" cm="1">
        <f t="array" ref="L110">L$106+IF($C110&lt;&gt;0,SUMPRODUCT((L$107:L$108)*TRANSPOSE(($D110:$E110))),0)</f>
        <v>-12979.554776472261</v>
      </c>
      <c r="M110" s="31" cm="1">
        <f t="array" ref="M110">M$106+IF($C110&lt;&gt;0,SUMPRODUCT((M$107:M$108)*TRANSPOSE(($D110:$E110))),0)</f>
        <v>-12306.861128885928</v>
      </c>
      <c r="N110" s="31" cm="1">
        <f t="array" ref="N110">N$106+IF($C110&lt;&gt;0,SUMPRODUCT((N$107:N$108)*TRANSPOSE(($D110:$E110))),0)</f>
        <v>-11550.363575598622</v>
      </c>
      <c r="O110" s="31" cm="1">
        <f t="array" ref="O110">O$106+IF($C110&lt;&gt;0,SUMPRODUCT((O$107:O$108)*TRANSPOSE(($D110:$E110))),0)</f>
        <v>-10468.574071901257</v>
      </c>
      <c r="P110" s="31" cm="1">
        <f t="array" ref="P110">P$106+IF($C110&lt;&gt;0,SUMPRODUCT((P$107:P$108)*TRANSPOSE(($D110:$E110))),0)</f>
        <v>-9281.1313116040437</v>
      </c>
      <c r="Q110" s="31" cm="1">
        <f t="array" ref="Q110">Q$106+IF($C110&lt;&gt;0,SUMPRODUCT((Q$107:Q$108)*TRANSPOSE(($D110:$E110))),0)</f>
        <v>-8499.6672473082326</v>
      </c>
      <c r="R110" s="31" cm="1">
        <f t="array" ref="R110">R$106+IF($C110&lt;&gt;0,SUMPRODUCT((R$107:R$108)*TRANSPOSE(($D110:$E110))),0)</f>
        <v>-7852.7996290590845</v>
      </c>
      <c r="S110" s="31" cm="1">
        <f t="array" ref="S110">S$106+IF($C110&lt;&gt;0,SUMPRODUCT((S$107:S$108)*TRANSPOSE(($D110:$E110))),0)</f>
        <v>-7197.7261841580503</v>
      </c>
      <c r="T110" s="31" cm="1">
        <f t="array" ref="T110">T$106+IF($C110&lt;&gt;0,SUMPRODUCT((T$107:T$108)*TRANSPOSE(($D110:$E110))),0)</f>
        <v>-6534.4807131928274</v>
      </c>
      <c r="U110" s="31" cm="1">
        <f t="array" ref="U110">U$106+IF($C110&lt;&gt;0,SUMPRODUCT((U$107:U$108)*TRANSPOSE(($D110:$E110))),0)</f>
        <v>60269.656273507571</v>
      </c>
      <c r="V110" s="31" cm="1">
        <f t="array" ref="V110">V$106+IF($C110&lt;&gt;0,SUMPRODUCT((V$107:V$108)*TRANSPOSE(($D110:$E110))),0)</f>
        <v>60949.148211908352</v>
      </c>
      <c r="W110" s="31" cm="1">
        <f t="array" ref="W110">W$106+IF($C110&lt;&gt;0,SUMPRODUCT((W$107:W$108)*TRANSPOSE(($D110:$E110))),0)</f>
        <v>61636.7164128843</v>
      </c>
      <c r="X110" s="31" cm="1">
        <f t="array" ref="X110">X$106+IF($C110&lt;&gt;0,SUMPRODUCT((X$107:X$108)*TRANSPOSE(($D110:$E110))),0)</f>
        <v>62332.330721980135</v>
      </c>
      <c r="Y110" s="31" cm="1">
        <f t="array" ref="Y110">Y$106+IF($C110&lt;&gt;0,SUMPRODUCT((Y$107:Y$108)*TRANSPOSE(($D110:$E110))),0)</f>
        <v>63035.961816165363</v>
      </c>
      <c r="Z110" s="31" cm="1">
        <f t="array" ref="Z110">Z$106+IF($C110&lt;&gt;0,SUMPRODUCT((Z$107:Z$108)*TRANSPOSE(($D110:$E110))),0)</f>
        <v>63747.581175085506</v>
      </c>
      <c r="AA110" s="31" cm="1">
        <f t="array" ref="AA110">AA$106+IF($C110&lt;&gt;0,SUMPRODUCT((AA$107:AA$108)*TRANSPOSE(($D110:$E110))),0)</f>
        <v>64467.161053768126</v>
      </c>
      <c r="AB110" s="31" cm="1">
        <f t="array" ref="AB110">AB$106+IF($C110&lt;&gt;0,SUMPRODUCT((AB$107:AB$108)*TRANSPOSE(($D110:$E110))),0)</f>
        <v>65194.674456691137</v>
      </c>
      <c r="AC110" s="31" cm="1">
        <f t="array" ref="AC110">AC$106+IF($C110&lt;&gt;0,SUMPRODUCT((AC$107:AC$108)*TRANSPOSE(($D110:$E110))),0)</f>
        <v>65930.09511311911</v>
      </c>
      <c r="AD110" s="31" cm="1">
        <f t="array" ref="AD110">AD$106+IF($C110&lt;&gt;0,SUMPRODUCT((AD$107:AD$108)*TRANSPOSE(($D110:$E110))),0)</f>
        <v>66673.397453640471</v>
      </c>
      <c r="AE110" s="31" cm="1">
        <f t="array" ref="AE110">AE$106+IF($C110&lt;&gt;0,SUMPRODUCT((AE$107:AE$108)*TRANSPOSE(($D110:$E110))),0)</f>
        <v>67383.588612847379</v>
      </c>
      <c r="AF110" s="31" cm="1">
        <f t="array" ref="AF110">AF$106+IF($C110&lt;&gt;0,SUMPRODUCT((AF$107:AF$108)*TRANSPOSE(($D110:$E110))),0)</f>
        <v>68101.200588794309</v>
      </c>
      <c r="AG110" s="31" cm="1">
        <f t="array" ref="AG110">AG$106+IF($C110&lt;&gt;0,SUMPRODUCT((AG$107:AG$108)*TRANSPOSE(($D110:$E110))),0)</f>
        <v>68826.211534551694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0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-1821.7082885976097</v>
      </c>
      <c r="L111" s="31" cm="1">
        <f t="array" ref="L111">L$106+IF($C111&lt;&gt;0,SUMPRODUCT((L$107:L$108)*TRANSPOSE(($D111:$E111))),0)</f>
        <v>-955.41798973313144</v>
      </c>
      <c r="M111" s="31" cm="1">
        <f t="array" ref="M111">M$106+IF($C111&lt;&gt;0,SUMPRODUCT((M$107:M$108)*TRANSPOSE(($D111:$E111))),0)</f>
        <v>-282.72434214679834</v>
      </c>
      <c r="N111" s="31" cm="1">
        <f t="array" ref="N111">N$106+IF($C111&lt;&gt;0,SUMPRODUCT((N$107:N$108)*TRANSPOSE(($D111:$E111))),0)</f>
        <v>473.77321114050847</v>
      </c>
      <c r="O111" s="31" cm="1">
        <f t="array" ref="O111">O$106+IF($C111&lt;&gt;0,SUMPRODUCT((O$107:O$108)*TRANSPOSE(($D111:$E111))),0)</f>
        <v>1555.5627148378726</v>
      </c>
      <c r="P111" s="31" cm="1">
        <f t="array" ref="P111">P$106+IF($C111&lt;&gt;0,SUMPRODUCT((P$107:P$108)*TRANSPOSE(($D111:$E111))),0)</f>
        <v>2743.0054751350863</v>
      </c>
      <c r="Q111" s="31" cm="1">
        <f t="array" ref="Q111">Q$106+IF($C111&lt;&gt;0,SUMPRODUCT((Q$107:Q$108)*TRANSPOSE(($D111:$E111))),0)</f>
        <v>3524.4695394308974</v>
      </c>
      <c r="R111" s="31" cm="1">
        <f t="array" ref="R111">R$106+IF($C111&lt;&gt;0,SUMPRODUCT((R$107:R$108)*TRANSPOSE(($D111:$E111))),0)</f>
        <v>4171.3371576800446</v>
      </c>
      <c r="S111" s="31" cm="1">
        <f t="array" ref="S111">S$106+IF($C111&lt;&gt;0,SUMPRODUCT((S$107:S$108)*TRANSPOSE(($D111:$E111))),0)</f>
        <v>4826.4106025810788</v>
      </c>
      <c r="T111" s="31" cm="1">
        <f t="array" ref="T111">T$106+IF($C111&lt;&gt;0,SUMPRODUCT((T$107:T$108)*TRANSPOSE(($D111:$E111))),0)</f>
        <v>5489.6560735463017</v>
      </c>
      <c r="U111" s="31" cm="1">
        <f t="array" ref="U111">U$106+IF($C111&lt;&gt;0,SUMPRODUCT((U$107:U$108)*TRANSPOSE(($D111:$E111))),0)</f>
        <v>60269.656273507571</v>
      </c>
      <c r="V111" s="31" cm="1">
        <f t="array" ref="V111">V$106+IF($C111&lt;&gt;0,SUMPRODUCT((V$107:V$108)*TRANSPOSE(($D111:$E111))),0)</f>
        <v>60949.148211908352</v>
      </c>
      <c r="W111" s="31" cm="1">
        <f t="array" ref="W111">W$106+IF($C111&lt;&gt;0,SUMPRODUCT((W$107:W$108)*TRANSPOSE(($D111:$E111))),0)</f>
        <v>61636.7164128843</v>
      </c>
      <c r="X111" s="31" cm="1">
        <f t="array" ref="X111">X$106+IF($C111&lt;&gt;0,SUMPRODUCT((X$107:X$108)*TRANSPOSE(($D111:$E111))),0)</f>
        <v>62332.330721980135</v>
      </c>
      <c r="Y111" s="31" cm="1">
        <f t="array" ref="Y111">Y$106+IF($C111&lt;&gt;0,SUMPRODUCT((Y$107:Y$108)*TRANSPOSE(($D111:$E111))),0)</f>
        <v>63035.961816165363</v>
      </c>
      <c r="Z111" s="31" cm="1">
        <f t="array" ref="Z111">Z$106+IF($C111&lt;&gt;0,SUMPRODUCT((Z$107:Z$108)*TRANSPOSE(($D111:$E111))),0)</f>
        <v>63747.581175085506</v>
      </c>
      <c r="AA111" s="31" cm="1">
        <f t="array" ref="AA111">AA$106+IF($C111&lt;&gt;0,SUMPRODUCT((AA$107:AA$108)*TRANSPOSE(($D111:$E111))),0)</f>
        <v>64467.161053768126</v>
      </c>
      <c r="AB111" s="31" cm="1">
        <f t="array" ref="AB111">AB$106+IF($C111&lt;&gt;0,SUMPRODUCT((AB$107:AB$108)*TRANSPOSE(($D111:$E111))),0)</f>
        <v>65194.674456691137</v>
      </c>
      <c r="AC111" s="31" cm="1">
        <f t="array" ref="AC111">AC$106+IF($C111&lt;&gt;0,SUMPRODUCT((AC$107:AC$108)*TRANSPOSE(($D111:$E111))),0)</f>
        <v>65930.09511311911</v>
      </c>
      <c r="AD111" s="31" cm="1">
        <f t="array" ref="AD111">AD$106+IF($C111&lt;&gt;0,SUMPRODUCT((AD$107:AD$108)*TRANSPOSE(($D111:$E111))),0)</f>
        <v>66673.397453640471</v>
      </c>
      <c r="AE111" s="31" cm="1">
        <f t="array" ref="AE111">AE$106+IF($C111&lt;&gt;0,SUMPRODUCT((AE$107:AE$108)*TRANSPOSE(($D111:$E111))),0)</f>
        <v>67383.588612847379</v>
      </c>
      <c r="AF111" s="31" cm="1">
        <f t="array" ref="AF111">AF$106+IF($C111&lt;&gt;0,SUMPRODUCT((AF$107:AF$108)*TRANSPOSE(($D111:$E111))),0)</f>
        <v>68101.200588794309</v>
      </c>
      <c r="AG111" s="31" cm="1">
        <f t="array" ref="AG111">AG$106+IF($C111&lt;&gt;0,SUMPRODUCT((AG$107:AG$108)*TRANSPOSE(($D111:$E111))),0)</f>
        <v>68826.211534551694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0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-2605.0859567943271</v>
      </c>
      <c r="L112" s="31" cm="1">
        <f t="array" ref="L112">L$106+IF($C112&lt;&gt;0,SUMPRODUCT((L$107:L$108)*TRANSPOSE(($D112:$E112))),0)</f>
        <v>-1652.166628043401</v>
      </c>
      <c r="M112" s="31" cm="1">
        <f t="array" ref="M112">M$106+IF($C112&lt;&gt;0,SUMPRODUCT((M$107:M$108)*TRANSPOSE(($D112:$E112))),0)</f>
        <v>-912.20361569843499</v>
      </c>
      <c r="N112" s="31" cm="1">
        <f t="array" ref="N112">N$106+IF($C112&lt;&gt;0,SUMPRODUCT((N$107:N$108)*TRANSPOSE(($D112:$E112))),0)</f>
        <v>-80.056307082397325</v>
      </c>
      <c r="O112" s="31" cm="1">
        <f t="array" ref="O112">O$106+IF($C112&lt;&gt;0,SUMPRODUCT((O$107:O$108)*TRANSPOSE(($D112:$E112))),0)</f>
        <v>1109.9121469847032</v>
      </c>
      <c r="P112" s="31" cm="1">
        <f t="array" ref="P112">P$106+IF($C112&lt;&gt;0,SUMPRODUCT((P$107:P$108)*TRANSPOSE(($D112:$E112))),0)</f>
        <v>2416.0991833116386</v>
      </c>
      <c r="Q112" s="31" cm="1">
        <f t="array" ref="Q112">Q$106+IF($C112&lt;&gt;0,SUMPRODUCT((Q$107:Q$108)*TRANSPOSE(($D112:$E112))),0)</f>
        <v>3275.7096540370303</v>
      </c>
      <c r="R112" s="31" cm="1">
        <f t="array" ref="R112">R$106+IF($C112&lt;&gt;0,SUMPRODUCT((R$107:R$108)*TRANSPOSE(($D112:$E112))),0)</f>
        <v>3987.2640341110928</v>
      </c>
      <c r="S112" s="31" cm="1">
        <f t="array" ref="S112">S$106+IF($C112&lt;&gt;0,SUMPRODUCT((S$107:S$108)*TRANSPOSE(($D112:$E112))),0)</f>
        <v>4707.8448235022297</v>
      </c>
      <c r="T112" s="31" cm="1">
        <f t="array" ref="T112">T$106+IF($C112&lt;&gt;0,SUMPRODUCT((T$107:T$108)*TRANSPOSE(($D112:$E112))),0)</f>
        <v>5437.4148415639756</v>
      </c>
      <c r="U112" s="31" cm="1">
        <f t="array" ref="U112">U$106+IF($C112&lt;&gt;0,SUMPRODUCT((U$107:U$108)*TRANSPOSE(($D112:$E112))),0)</f>
        <v>66296.621900858328</v>
      </c>
      <c r="V112" s="31" cm="1">
        <f t="array" ref="V112">V$106+IF($C112&lt;&gt;0,SUMPRODUCT((V$107:V$108)*TRANSPOSE(($D112:$E112))),0)</f>
        <v>67044.063033099184</v>
      </c>
      <c r="W112" s="31" cm="1">
        <f t="array" ref="W112">W$106+IF($C112&lt;&gt;0,SUMPRODUCT((W$107:W$108)*TRANSPOSE(($D112:$E112))),0)</f>
        <v>67800.388054172727</v>
      </c>
      <c r="X112" s="31" cm="1">
        <f t="array" ref="X112">X$106+IF($C112&lt;&gt;0,SUMPRODUCT((X$107:X$108)*TRANSPOSE(($D112:$E112))),0)</f>
        <v>68565.563794178146</v>
      </c>
      <c r="Y112" s="31" cm="1">
        <f t="array" ref="Y112">Y$106+IF($C112&lt;&gt;0,SUMPRODUCT((Y$107:Y$108)*TRANSPOSE(($D112:$E112))),0)</f>
        <v>69339.5579977819</v>
      </c>
      <c r="Z112" s="31" cm="1">
        <f t="array" ref="Z112">Z$106+IF($C112&lt;&gt;0,SUMPRODUCT((Z$107:Z$108)*TRANSPOSE(($D112:$E112))),0)</f>
        <v>70122.339292594057</v>
      </c>
      <c r="AA112" s="31" cm="1">
        <f t="array" ref="AA112">AA$106+IF($C112&lt;&gt;0,SUMPRODUCT((AA$107:AA$108)*TRANSPOSE(($D112:$E112))),0)</f>
        <v>70913.877159144933</v>
      </c>
      <c r="AB112" s="31" cm="1">
        <f t="array" ref="AB112">AB$106+IF($C112&lt;&gt;0,SUMPRODUCT((AB$107:AB$108)*TRANSPOSE(($D112:$E112))),0)</f>
        <v>71714.14190236025</v>
      </c>
      <c r="AC112" s="31" cm="1">
        <f t="array" ref="AC112">AC$106+IF($C112&lt;&gt;0,SUMPRODUCT((AC$107:AC$108)*TRANSPOSE(($D112:$E112))),0)</f>
        <v>72523.104624431027</v>
      </c>
      <c r="AD112" s="31" cm="1">
        <f t="array" ref="AD112">AD$106+IF($C112&lt;&gt;0,SUMPRODUCT((AD$107:AD$108)*TRANSPOSE(($D112:$E112))),0)</f>
        <v>73340.737199004521</v>
      </c>
      <c r="AE112" s="31" cm="1">
        <f t="array" ref="AE112">AE$106+IF($C112&lt;&gt;0,SUMPRODUCT((AE$107:AE$108)*TRANSPOSE(($D112:$E112))),0)</f>
        <v>74121.947474132117</v>
      </c>
      <c r="AF112" s="31" cm="1">
        <f t="array" ref="AF112">AF$106+IF($C112&lt;&gt;0,SUMPRODUCT((AF$107:AF$108)*TRANSPOSE(($D112:$E112))),0)</f>
        <v>74911.32064767374</v>
      </c>
      <c r="AG112" s="31" cm="1">
        <f t="array" ref="AG112">AG$106+IF($C112&lt;&gt;0,SUMPRODUCT((AG$107:AG$108)*TRANSPOSE(($D112:$E112))),0)</f>
        <v>75708.832688006863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0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-13062.467407140022</v>
      </c>
      <c r="L113" s="31" cm="1">
        <f t="array" ref="L113">L$106+IF($C113&lt;&gt;0,SUMPRODUCT((L$107:L$108)*TRANSPOSE(($D113:$E113))),0)</f>
        <v>-12282.806138161992</v>
      </c>
      <c r="M113" s="31" cm="1">
        <f t="array" ref="M113">M$106+IF($C113&lt;&gt;0,SUMPRODUCT((M$107:M$108)*TRANSPOSE(($D113:$E113))),0)</f>
        <v>-11677.38185533429</v>
      </c>
      <c r="N113" s="31" cm="1">
        <f t="array" ref="N113">N$106+IF($C113&lt;&gt;0,SUMPRODUCT((N$107:N$108)*TRANSPOSE(($D113:$E113))),0)</f>
        <v>-10996.534057375715</v>
      </c>
      <c r="O113" s="31" cm="1">
        <f t="array" ref="O113">O$106+IF($C113&lt;&gt;0,SUMPRODUCT((O$107:O$108)*TRANSPOSE(($D113:$E113))),0)</f>
        <v>-10022.923504048087</v>
      </c>
      <c r="P113" s="31" cm="1">
        <f t="array" ref="P113">P$106+IF($C113&lt;&gt;0,SUMPRODUCT((P$107:P$108)*TRANSPOSE(($D113:$E113))),0)</f>
        <v>-8954.2250197805952</v>
      </c>
      <c r="Q113" s="31" cm="1">
        <f t="array" ref="Q113">Q$106+IF($C113&lt;&gt;0,SUMPRODUCT((Q$107:Q$108)*TRANSPOSE(($D113:$E113))),0)</f>
        <v>-8250.9073619143637</v>
      </c>
      <c r="R113" s="31" cm="1">
        <f t="array" ref="R113">R$106+IF($C113&lt;&gt;0,SUMPRODUCT((R$107:R$108)*TRANSPOSE(($D113:$E113))),0)</f>
        <v>-7668.7265054901327</v>
      </c>
      <c r="S113" s="31" cm="1">
        <f t="array" ref="S113">S$106+IF($C113&lt;&gt;0,SUMPRODUCT((S$107:S$108)*TRANSPOSE(($D113:$E113))),0)</f>
        <v>-7079.1604050792012</v>
      </c>
      <c r="T113" s="31" cm="1">
        <f t="array" ref="T113">T$106+IF($C113&lt;&gt;0,SUMPRODUCT((T$107:T$108)*TRANSPOSE(($D113:$E113))),0)</f>
        <v>-6482.2394812105013</v>
      </c>
      <c r="U113" s="31" cm="1">
        <f t="array" ref="U113">U$106+IF($C113&lt;&gt;0,SUMPRODUCT((U$107:U$108)*TRANSPOSE(($D113:$E113))),0)</f>
        <v>54242.690646156814</v>
      </c>
      <c r="V113" s="31" cm="1">
        <f t="array" ref="V113">V$106+IF($C113&lt;&gt;0,SUMPRODUCT((V$107:V$108)*TRANSPOSE(($D113:$E113))),0)</f>
        <v>54854.23339071752</v>
      </c>
      <c r="W113" s="31" cm="1">
        <f t="array" ref="W113">W$106+IF($C113&lt;&gt;0,SUMPRODUCT((W$107:W$108)*TRANSPOSE(($D113:$E113))),0)</f>
        <v>55473.044771595873</v>
      </c>
      <c r="X113" s="31" cm="1">
        <f t="array" ref="X113">X$106+IF($C113&lt;&gt;0,SUMPRODUCT((X$107:X$108)*TRANSPOSE(($D113:$E113))),0)</f>
        <v>56099.097649782125</v>
      </c>
      <c r="Y113" s="31" cm="1">
        <f t="array" ref="Y113">Y$106+IF($C113&lt;&gt;0,SUMPRODUCT((Y$107:Y$108)*TRANSPOSE(($D113:$E113))),0)</f>
        <v>56732.365634548827</v>
      </c>
      <c r="Z113" s="31" cm="1">
        <f t="array" ref="Z113">Z$106+IF($C113&lt;&gt;0,SUMPRODUCT((Z$107:Z$108)*TRANSPOSE(($D113:$E113))),0)</f>
        <v>57372.823057576956</v>
      </c>
      <c r="AA113" s="31" cm="1">
        <f t="array" ref="AA113">AA$106+IF($C113&lt;&gt;0,SUMPRODUCT((AA$107:AA$108)*TRANSPOSE(($D113:$E113))),0)</f>
        <v>58020.444948391312</v>
      </c>
      <c r="AB113" s="31" cm="1">
        <f t="array" ref="AB113">AB$106+IF($C113&lt;&gt;0,SUMPRODUCT((AB$107:AB$108)*TRANSPOSE(($D113:$E113))),0)</f>
        <v>58675.207011022023</v>
      </c>
      <c r="AC113" s="31" cm="1">
        <f t="array" ref="AC113">AC$106+IF($C113&lt;&gt;0,SUMPRODUCT((AC$107:AC$108)*TRANSPOSE(($D113:$E113))),0)</f>
        <v>59337.085601807201</v>
      </c>
      <c r="AD113" s="31" cm="1">
        <f t="array" ref="AD113">AD$106+IF($C113&lt;&gt;0,SUMPRODUCT((AD$107:AD$108)*TRANSPOSE(($D113:$E113))),0)</f>
        <v>60006.057708276421</v>
      </c>
      <c r="AE113" s="31" cm="1">
        <f t="array" ref="AE113">AE$106+IF($C113&lt;&gt;0,SUMPRODUCT((AE$107:AE$108)*TRANSPOSE(($D113:$E113))),0)</f>
        <v>60645.229751562641</v>
      </c>
      <c r="AF113" s="31" cm="1">
        <f t="array" ref="AF113">AF$106+IF($C113&lt;&gt;0,SUMPRODUCT((AF$107:AF$108)*TRANSPOSE(($D113:$E113))),0)</f>
        <v>61291.080529914878</v>
      </c>
      <c r="AG113" s="31" cm="1">
        <f t="array" ref="AG113">AG$106+IF($C113&lt;&gt;0,SUMPRODUCT((AG$107:AG$108)*TRANSPOSE(($D113:$E113))),0)</f>
        <v>61943.590381096525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0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-19074.535800509584</v>
      </c>
      <c r="L114" s="31" cm="1">
        <f t="array" ref="L114">L$106+IF($C114&lt;&gt;0,SUMPRODUCT((L$107:L$108)*TRANSPOSE(($D114:$E114))),0)</f>
        <v>-18294.874531531554</v>
      </c>
      <c r="M114" s="31" cm="1">
        <f t="array" ref="M114">M$106+IF($C114&lt;&gt;0,SUMPRODUCT((M$107:M$108)*TRANSPOSE(($D114:$E114))),0)</f>
        <v>-17689.450248703855</v>
      </c>
      <c r="N114" s="31" cm="1">
        <f t="array" ref="N114">N$106+IF($C114&lt;&gt;0,SUMPRODUCT((N$107:N$108)*TRANSPOSE(($D114:$E114))),0)</f>
        <v>-17008.602450745278</v>
      </c>
      <c r="O114" s="31" cm="1">
        <f t="array" ref="O114">O$106+IF($C114&lt;&gt;0,SUMPRODUCT((O$107:O$108)*TRANSPOSE(($D114:$E114))),0)</f>
        <v>-16034.991897417651</v>
      </c>
      <c r="P114" s="31" cm="1">
        <f t="array" ref="P114">P$106+IF($C114&lt;&gt;0,SUMPRODUCT((P$107:P$108)*TRANSPOSE(($D114:$E114))),0)</f>
        <v>-14966.293413150161</v>
      </c>
      <c r="Q114" s="31" cm="1">
        <f t="array" ref="Q114">Q$106+IF($C114&lt;&gt;0,SUMPRODUCT((Q$107:Q$108)*TRANSPOSE(($D114:$E114))),0)</f>
        <v>-14262.975755283929</v>
      </c>
      <c r="R114" s="31" cm="1">
        <f t="array" ref="R114">R$106+IF($C114&lt;&gt;0,SUMPRODUCT((R$107:R$108)*TRANSPOSE(($D114:$E114))),0)</f>
        <v>-13680.794898859698</v>
      </c>
      <c r="S114" s="31" cm="1">
        <f t="array" ref="S114">S$106+IF($C114&lt;&gt;0,SUMPRODUCT((S$107:S$108)*TRANSPOSE(($D114:$E114))),0)</f>
        <v>-13091.228798448767</v>
      </c>
      <c r="T114" s="31" cm="1">
        <f t="array" ref="T114">T$106+IF($C114&lt;&gt;0,SUMPRODUCT((T$107:T$108)*TRANSPOSE(($D114:$E114))),0)</f>
        <v>-12494.307874580067</v>
      </c>
      <c r="U114" s="31" cm="1">
        <f t="array" ref="U114">U$106+IF($C114&lt;&gt;0,SUMPRODUCT((U$107:U$108)*TRANSPOSE(($D114:$E114))),0)</f>
        <v>54242.690646156814</v>
      </c>
      <c r="V114" s="31" cm="1">
        <f t="array" ref="V114">V$106+IF($C114&lt;&gt;0,SUMPRODUCT((V$107:V$108)*TRANSPOSE(($D114:$E114))),0)</f>
        <v>54854.23339071752</v>
      </c>
      <c r="W114" s="31" cm="1">
        <f t="array" ref="W114">W$106+IF($C114&lt;&gt;0,SUMPRODUCT((W$107:W$108)*TRANSPOSE(($D114:$E114))),0)</f>
        <v>55473.044771595873</v>
      </c>
      <c r="X114" s="31" cm="1">
        <f t="array" ref="X114">X$106+IF($C114&lt;&gt;0,SUMPRODUCT((X$107:X$108)*TRANSPOSE(($D114:$E114))),0)</f>
        <v>56099.097649782125</v>
      </c>
      <c r="Y114" s="31" cm="1">
        <f t="array" ref="Y114">Y$106+IF($C114&lt;&gt;0,SUMPRODUCT((Y$107:Y$108)*TRANSPOSE(($D114:$E114))),0)</f>
        <v>56732.365634548827</v>
      </c>
      <c r="Z114" s="31" cm="1">
        <f t="array" ref="Z114">Z$106+IF($C114&lt;&gt;0,SUMPRODUCT((Z$107:Z$108)*TRANSPOSE(($D114:$E114))),0)</f>
        <v>57372.823057576956</v>
      </c>
      <c r="AA114" s="31" cm="1">
        <f t="array" ref="AA114">AA$106+IF($C114&lt;&gt;0,SUMPRODUCT((AA$107:AA$108)*TRANSPOSE(($D114:$E114))),0)</f>
        <v>58020.444948391312</v>
      </c>
      <c r="AB114" s="31" cm="1">
        <f t="array" ref="AB114">AB$106+IF($C114&lt;&gt;0,SUMPRODUCT((AB$107:AB$108)*TRANSPOSE(($D114:$E114))),0)</f>
        <v>58675.207011022023</v>
      </c>
      <c r="AC114" s="31" cm="1">
        <f t="array" ref="AC114">AC$106+IF($C114&lt;&gt;0,SUMPRODUCT((AC$107:AC$108)*TRANSPOSE(($D114:$E114))),0)</f>
        <v>59337.085601807201</v>
      </c>
      <c r="AD114" s="31" cm="1">
        <f t="array" ref="AD114">AD$106+IF($C114&lt;&gt;0,SUMPRODUCT((AD$107:AD$108)*TRANSPOSE(($D114:$E114))),0)</f>
        <v>60006.057708276421</v>
      </c>
      <c r="AE114" s="31" cm="1">
        <f t="array" ref="AE114">AE$106+IF($C114&lt;&gt;0,SUMPRODUCT((AE$107:AE$108)*TRANSPOSE(($D114:$E114))),0)</f>
        <v>60645.229751562641</v>
      </c>
      <c r="AF114" s="31" cm="1">
        <f t="array" ref="AF114">AF$106+IF($C114&lt;&gt;0,SUMPRODUCT((AF$107:AF$108)*TRANSPOSE(($D114:$E114))),0)</f>
        <v>61291.080529914878</v>
      </c>
      <c r="AG114" s="31" cm="1">
        <f t="array" ref="AG114">AG$106+IF($C114&lt;&gt;0,SUMPRODUCT((AG$107:AG$108)*TRANSPOSE(($D114:$E114))),0)</f>
        <v>61943.590381096525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0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-7833.7766819671742</v>
      </c>
      <c r="L115" s="31" cm="1">
        <f t="array" ref="L115">L$106+IF($C115&lt;&gt;0,SUMPRODUCT((L$107:L$108)*TRANSPOSE(($D115:$E115))),0)</f>
        <v>-6967.486383102696</v>
      </c>
      <c r="M115" s="31" cm="1">
        <f t="array" ref="M115">M$106+IF($C115&lt;&gt;0,SUMPRODUCT((M$107:M$108)*TRANSPOSE(($D115:$E115))),0)</f>
        <v>-6294.7927355163629</v>
      </c>
      <c r="N115" s="31" cm="1">
        <f t="array" ref="N115">N$106+IF($C115&lt;&gt;0,SUMPRODUCT((N$107:N$108)*TRANSPOSE(($D115:$E115))),0)</f>
        <v>-5538.2951822290561</v>
      </c>
      <c r="O115" s="31" cm="1">
        <f t="array" ref="O115">O$106+IF($C115&lt;&gt;0,SUMPRODUCT((O$107:O$108)*TRANSPOSE(($D115:$E115))),0)</f>
        <v>-4456.505678531692</v>
      </c>
      <c r="P115" s="31" cm="1">
        <f t="array" ref="P115">P$106+IF($C115&lt;&gt;0,SUMPRODUCT((P$107:P$108)*TRANSPOSE(($D115:$E115))),0)</f>
        <v>-3269.0629182344783</v>
      </c>
      <c r="Q115" s="31" cm="1">
        <f t="array" ref="Q115">Q$106+IF($C115&lt;&gt;0,SUMPRODUCT((Q$107:Q$108)*TRANSPOSE(($D115:$E115))),0)</f>
        <v>-2487.5988539386672</v>
      </c>
      <c r="R115" s="31" cm="1">
        <f t="array" ref="R115">R$106+IF($C115&lt;&gt;0,SUMPRODUCT((R$107:R$108)*TRANSPOSE(($D115:$E115))),0)</f>
        <v>-1840.73123568952</v>
      </c>
      <c r="S115" s="31" cm="1">
        <f t="array" ref="S115">S$106+IF($C115&lt;&gt;0,SUMPRODUCT((S$107:S$108)*TRANSPOSE(($D115:$E115))),0)</f>
        <v>-1185.6577907884857</v>
      </c>
      <c r="T115" s="31" cm="1">
        <f t="array" ref="T115">T$106+IF($C115&lt;&gt;0,SUMPRODUCT((T$107:T$108)*TRANSPOSE(($D115:$E115))),0)</f>
        <v>-522.41231982326281</v>
      </c>
      <c r="U115" s="31" cm="1">
        <f t="array" ref="U115">U$106+IF($C115&lt;&gt;0,SUMPRODUCT((U$107:U$108)*TRANSPOSE(($D115:$E115))),0)</f>
        <v>60269.656273507571</v>
      </c>
      <c r="V115" s="31" cm="1">
        <f t="array" ref="V115">V$106+IF($C115&lt;&gt;0,SUMPRODUCT((V$107:V$108)*TRANSPOSE(($D115:$E115))),0)</f>
        <v>60949.148211908352</v>
      </c>
      <c r="W115" s="31" cm="1">
        <f t="array" ref="W115">W$106+IF($C115&lt;&gt;0,SUMPRODUCT((W$107:W$108)*TRANSPOSE(($D115:$E115))),0)</f>
        <v>61636.7164128843</v>
      </c>
      <c r="X115" s="31" cm="1">
        <f t="array" ref="X115">X$106+IF($C115&lt;&gt;0,SUMPRODUCT((X$107:X$108)*TRANSPOSE(($D115:$E115))),0)</f>
        <v>62332.330721980135</v>
      </c>
      <c r="Y115" s="31" cm="1">
        <f t="array" ref="Y115">Y$106+IF($C115&lt;&gt;0,SUMPRODUCT((Y$107:Y$108)*TRANSPOSE(($D115:$E115))),0)</f>
        <v>63035.961816165363</v>
      </c>
      <c r="Z115" s="31" cm="1">
        <f t="array" ref="Z115">Z$106+IF($C115&lt;&gt;0,SUMPRODUCT((Z$107:Z$108)*TRANSPOSE(($D115:$E115))),0)</f>
        <v>63747.581175085506</v>
      </c>
      <c r="AA115" s="31" cm="1">
        <f t="array" ref="AA115">AA$106+IF($C115&lt;&gt;0,SUMPRODUCT((AA$107:AA$108)*TRANSPOSE(($D115:$E115))),0)</f>
        <v>64467.161053768126</v>
      </c>
      <c r="AB115" s="31" cm="1">
        <f t="array" ref="AB115">AB$106+IF($C115&lt;&gt;0,SUMPRODUCT((AB$107:AB$108)*TRANSPOSE(($D115:$E115))),0)</f>
        <v>65194.674456691137</v>
      </c>
      <c r="AC115" s="31" cm="1">
        <f t="array" ref="AC115">AC$106+IF($C115&lt;&gt;0,SUMPRODUCT((AC$107:AC$108)*TRANSPOSE(($D115:$E115))),0)</f>
        <v>65930.09511311911</v>
      </c>
      <c r="AD115" s="31" cm="1">
        <f t="array" ref="AD115">AD$106+IF($C115&lt;&gt;0,SUMPRODUCT((AD$107:AD$108)*TRANSPOSE(($D115:$E115))),0)</f>
        <v>66673.397453640471</v>
      </c>
      <c r="AE115" s="31" cm="1">
        <f t="array" ref="AE115">AE$106+IF($C115&lt;&gt;0,SUMPRODUCT((AE$107:AE$108)*TRANSPOSE(($D115:$E115))),0)</f>
        <v>67383.588612847379</v>
      </c>
      <c r="AF115" s="31" cm="1">
        <f t="array" ref="AF115">AF$106+IF($C115&lt;&gt;0,SUMPRODUCT((AF$107:AF$108)*TRANSPOSE(($D115:$E115))),0)</f>
        <v>68101.200588794309</v>
      </c>
      <c r="AG115" s="31" cm="1">
        <f t="array" ref="AG115">AG$106+IF($C115&lt;&gt;0,SUMPRODUCT((AG$107:AG$108)*TRANSPOSE(($D115:$E115))),0)</f>
        <v>68826.211534551694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0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-7833.7766819671742</v>
      </c>
      <c r="L116" s="31" cm="1">
        <f t="array" ref="L116">L$106+IF($C116&lt;&gt;0,SUMPRODUCT((L$107:L$108)*TRANSPOSE(($D116:$E116))),0)</f>
        <v>-6967.486383102696</v>
      </c>
      <c r="M116" s="31" cm="1">
        <f t="array" ref="M116">M$106+IF($C116&lt;&gt;0,SUMPRODUCT((M$107:M$108)*TRANSPOSE(($D116:$E116))),0)</f>
        <v>-6294.7927355163629</v>
      </c>
      <c r="N116" s="31" cm="1">
        <f t="array" ref="N116">N$106+IF($C116&lt;&gt;0,SUMPRODUCT((N$107:N$108)*TRANSPOSE(($D116:$E116))),0)</f>
        <v>-5538.2951822290561</v>
      </c>
      <c r="O116" s="31" cm="1">
        <f t="array" ref="O116">O$106+IF($C116&lt;&gt;0,SUMPRODUCT((O$107:O$108)*TRANSPOSE(($D116:$E116))),0)</f>
        <v>-4456.505678531692</v>
      </c>
      <c r="P116" s="31" cm="1">
        <f t="array" ref="P116">P$106+IF($C116&lt;&gt;0,SUMPRODUCT((P$107:P$108)*TRANSPOSE(($D116:$E116))),0)</f>
        <v>-3269.0629182344783</v>
      </c>
      <c r="Q116" s="31" cm="1">
        <f t="array" ref="Q116">Q$106+IF($C116&lt;&gt;0,SUMPRODUCT((Q$107:Q$108)*TRANSPOSE(($D116:$E116))),0)</f>
        <v>-2487.5988539386672</v>
      </c>
      <c r="R116" s="31" cm="1">
        <f t="array" ref="R116">R$106+IF($C116&lt;&gt;0,SUMPRODUCT((R$107:R$108)*TRANSPOSE(($D116:$E116))),0)</f>
        <v>-1840.73123568952</v>
      </c>
      <c r="S116" s="31" cm="1">
        <f t="array" ref="S116">S$106+IF($C116&lt;&gt;0,SUMPRODUCT((S$107:S$108)*TRANSPOSE(($D116:$E116))),0)</f>
        <v>-1185.6577907884857</v>
      </c>
      <c r="T116" s="31" cm="1">
        <f t="array" ref="T116">T$106+IF($C116&lt;&gt;0,SUMPRODUCT((T$107:T$108)*TRANSPOSE(($D116:$E116))),0)</f>
        <v>-522.41231982326281</v>
      </c>
      <c r="U116" s="31" cm="1">
        <f t="array" ref="U116">U$106+IF($C116&lt;&gt;0,SUMPRODUCT((U$107:U$108)*TRANSPOSE(($D116:$E116))),0)</f>
        <v>60269.656273507571</v>
      </c>
      <c r="V116" s="31" cm="1">
        <f t="array" ref="V116">V$106+IF($C116&lt;&gt;0,SUMPRODUCT((V$107:V$108)*TRANSPOSE(($D116:$E116))),0)</f>
        <v>60949.148211908352</v>
      </c>
      <c r="W116" s="31" cm="1">
        <f t="array" ref="W116">W$106+IF($C116&lt;&gt;0,SUMPRODUCT((W$107:W$108)*TRANSPOSE(($D116:$E116))),0)</f>
        <v>61636.7164128843</v>
      </c>
      <c r="X116" s="31" cm="1">
        <f t="array" ref="X116">X$106+IF($C116&lt;&gt;0,SUMPRODUCT((X$107:X$108)*TRANSPOSE(($D116:$E116))),0)</f>
        <v>62332.330721980135</v>
      </c>
      <c r="Y116" s="31" cm="1">
        <f t="array" ref="Y116">Y$106+IF($C116&lt;&gt;0,SUMPRODUCT((Y$107:Y$108)*TRANSPOSE(($D116:$E116))),0)</f>
        <v>63035.961816165363</v>
      </c>
      <c r="Z116" s="31" cm="1">
        <f t="array" ref="Z116">Z$106+IF($C116&lt;&gt;0,SUMPRODUCT((Z$107:Z$108)*TRANSPOSE(($D116:$E116))),0)</f>
        <v>63747.581175085506</v>
      </c>
      <c r="AA116" s="31" cm="1">
        <f t="array" ref="AA116">AA$106+IF($C116&lt;&gt;0,SUMPRODUCT((AA$107:AA$108)*TRANSPOSE(($D116:$E116))),0)</f>
        <v>64467.161053768126</v>
      </c>
      <c r="AB116" s="31" cm="1">
        <f t="array" ref="AB116">AB$106+IF($C116&lt;&gt;0,SUMPRODUCT((AB$107:AB$108)*TRANSPOSE(($D116:$E116))),0)</f>
        <v>65194.674456691137</v>
      </c>
      <c r="AC116" s="31" cm="1">
        <f t="array" ref="AC116">AC$106+IF($C116&lt;&gt;0,SUMPRODUCT((AC$107:AC$108)*TRANSPOSE(($D116:$E116))),0)</f>
        <v>65930.09511311911</v>
      </c>
      <c r="AD116" s="31" cm="1">
        <f t="array" ref="AD116">AD$106+IF($C116&lt;&gt;0,SUMPRODUCT((AD$107:AD$108)*TRANSPOSE(($D116:$E116))),0)</f>
        <v>66673.397453640471</v>
      </c>
      <c r="AE116" s="31" cm="1">
        <f t="array" ref="AE116">AE$106+IF($C116&lt;&gt;0,SUMPRODUCT((AE$107:AE$108)*TRANSPOSE(($D116:$E116))),0)</f>
        <v>67383.588612847379</v>
      </c>
      <c r="AF116" s="31" cm="1">
        <f t="array" ref="AF116">AF$106+IF($C116&lt;&gt;0,SUMPRODUCT((AF$107:AF$108)*TRANSPOSE(($D116:$E116))),0)</f>
        <v>68101.200588794309</v>
      </c>
      <c r="AG116" s="31" cm="1">
        <f t="array" ref="AG116">AG$106+IF($C116&lt;&gt;0,SUMPRODUCT((AG$107:AG$108)*TRANSPOSE(($D116:$E116))),0)</f>
        <v>68826.211534551694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0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-7833.7766819671742</v>
      </c>
      <c r="L117" s="31" cm="1">
        <f t="array" ref="L117">L$106+IF($C117&lt;&gt;0,SUMPRODUCT((L$107:L$108)*TRANSPOSE(($D117:$E117))),0)</f>
        <v>-6967.486383102696</v>
      </c>
      <c r="M117" s="31" cm="1">
        <f t="array" ref="M117">M$106+IF($C117&lt;&gt;0,SUMPRODUCT((M$107:M$108)*TRANSPOSE(($D117:$E117))),0)</f>
        <v>-6294.7927355163629</v>
      </c>
      <c r="N117" s="31" cm="1">
        <f t="array" ref="N117">N$106+IF($C117&lt;&gt;0,SUMPRODUCT((N$107:N$108)*TRANSPOSE(($D117:$E117))),0)</f>
        <v>-5538.2951822290561</v>
      </c>
      <c r="O117" s="31" cm="1">
        <f t="array" ref="O117">O$106+IF($C117&lt;&gt;0,SUMPRODUCT((O$107:O$108)*TRANSPOSE(($D117:$E117))),0)</f>
        <v>-4456.505678531692</v>
      </c>
      <c r="P117" s="31" cm="1">
        <f t="array" ref="P117">P$106+IF($C117&lt;&gt;0,SUMPRODUCT((P$107:P$108)*TRANSPOSE(($D117:$E117))),0)</f>
        <v>-3269.0629182344783</v>
      </c>
      <c r="Q117" s="31" cm="1">
        <f t="array" ref="Q117">Q$106+IF($C117&lt;&gt;0,SUMPRODUCT((Q$107:Q$108)*TRANSPOSE(($D117:$E117))),0)</f>
        <v>-2487.5988539386672</v>
      </c>
      <c r="R117" s="31" cm="1">
        <f t="array" ref="R117">R$106+IF($C117&lt;&gt;0,SUMPRODUCT((R$107:R$108)*TRANSPOSE(($D117:$E117))),0)</f>
        <v>-1840.73123568952</v>
      </c>
      <c r="S117" s="31" cm="1">
        <f t="array" ref="S117">S$106+IF($C117&lt;&gt;0,SUMPRODUCT((S$107:S$108)*TRANSPOSE(($D117:$E117))),0)</f>
        <v>-1185.6577907884857</v>
      </c>
      <c r="T117" s="31" cm="1">
        <f t="array" ref="T117">T$106+IF($C117&lt;&gt;0,SUMPRODUCT((T$107:T$108)*TRANSPOSE(($D117:$E117))),0)</f>
        <v>-522.41231982326281</v>
      </c>
      <c r="U117" s="31" cm="1">
        <f t="array" ref="U117">U$106+IF($C117&lt;&gt;0,SUMPRODUCT((U$107:U$108)*TRANSPOSE(($D117:$E117))),0)</f>
        <v>60269.656273507571</v>
      </c>
      <c r="V117" s="31" cm="1">
        <f t="array" ref="V117">V$106+IF($C117&lt;&gt;0,SUMPRODUCT((V$107:V$108)*TRANSPOSE(($D117:$E117))),0)</f>
        <v>60949.148211908352</v>
      </c>
      <c r="W117" s="31" cm="1">
        <f t="array" ref="W117">W$106+IF($C117&lt;&gt;0,SUMPRODUCT((W$107:W$108)*TRANSPOSE(($D117:$E117))),0)</f>
        <v>61636.7164128843</v>
      </c>
      <c r="X117" s="31" cm="1">
        <f t="array" ref="X117">X$106+IF($C117&lt;&gt;0,SUMPRODUCT((X$107:X$108)*TRANSPOSE(($D117:$E117))),0)</f>
        <v>62332.330721980135</v>
      </c>
      <c r="Y117" s="31" cm="1">
        <f t="array" ref="Y117">Y$106+IF($C117&lt;&gt;0,SUMPRODUCT((Y$107:Y$108)*TRANSPOSE(($D117:$E117))),0)</f>
        <v>63035.961816165363</v>
      </c>
      <c r="Z117" s="31" cm="1">
        <f t="array" ref="Z117">Z$106+IF($C117&lt;&gt;0,SUMPRODUCT((Z$107:Z$108)*TRANSPOSE(($D117:$E117))),0)</f>
        <v>63747.581175085506</v>
      </c>
      <c r="AA117" s="31" cm="1">
        <f t="array" ref="AA117">AA$106+IF($C117&lt;&gt;0,SUMPRODUCT((AA$107:AA$108)*TRANSPOSE(($D117:$E117))),0)</f>
        <v>64467.161053768126</v>
      </c>
      <c r="AB117" s="31" cm="1">
        <f t="array" ref="AB117">AB$106+IF($C117&lt;&gt;0,SUMPRODUCT((AB$107:AB$108)*TRANSPOSE(($D117:$E117))),0)</f>
        <v>65194.674456691137</v>
      </c>
      <c r="AC117" s="31" cm="1">
        <f t="array" ref="AC117">AC$106+IF($C117&lt;&gt;0,SUMPRODUCT((AC$107:AC$108)*TRANSPOSE(($D117:$E117))),0)</f>
        <v>65930.09511311911</v>
      </c>
      <c r="AD117" s="31" cm="1">
        <f t="array" ref="AD117">AD$106+IF($C117&lt;&gt;0,SUMPRODUCT((AD$107:AD$108)*TRANSPOSE(($D117:$E117))),0)</f>
        <v>66673.397453640471</v>
      </c>
      <c r="AE117" s="31" cm="1">
        <f t="array" ref="AE117">AE$106+IF($C117&lt;&gt;0,SUMPRODUCT((AE$107:AE$108)*TRANSPOSE(($D117:$E117))),0)</f>
        <v>67383.588612847379</v>
      </c>
      <c r="AF117" s="31" cm="1">
        <f t="array" ref="AF117">AF$106+IF($C117&lt;&gt;0,SUMPRODUCT((AF$107:AF$108)*TRANSPOSE(($D117:$E117))),0)</f>
        <v>68101.200588794309</v>
      </c>
      <c r="AG117" s="31" cm="1">
        <f t="array" ref="AG117">AG$106+IF($C117&lt;&gt;0,SUMPRODUCT((AG$107:AG$108)*TRANSPOSE(($D117:$E117))),0)</f>
        <v>68826.211534551694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MNA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48575.898561682094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MNA transformer replacement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186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151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152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153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48575.898561682094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209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209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174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173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206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204</v>
      </c>
      <c r="D49" s="205" t="s">
        <v>207</v>
      </c>
      <c r="E49" s="112">
        <f>Assumptions!G98</f>
        <v>0.35181336539087127</v>
      </c>
      <c r="G49" s="207" t="s">
        <v>208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205</v>
      </c>
      <c r="D50" s="205" t="s">
        <v>207</v>
      </c>
      <c r="E50" s="112">
        <f>Assumptions!G99</f>
        <v>0.35181336539087127</v>
      </c>
      <c r="G50" s="207" t="s">
        <v>208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206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206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157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158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141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189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199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194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217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189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158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242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MNA transformer replacement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195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196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154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7579374.1422479944</v>
      </c>
      <c r="G14" s="271">
        <f>output_dollars</f>
        <v>46203</v>
      </c>
      <c r="H14" s="272"/>
      <c r="I14" s="31">
        <f>'Option1 (base case)'!I$28*conv_2026</f>
        <v>284368.71559256758</v>
      </c>
      <c r="J14" s="31">
        <f>'Option1 (base case)'!J$28*conv_2026</f>
        <v>300685.79857336119</v>
      </c>
      <c r="K14" s="31">
        <f>'Option1 (base case)'!K$28*conv_2026</f>
        <v>319339.32362639904</v>
      </c>
      <c r="L14" s="31">
        <f>'Option1 (base case)'!L$28*conv_2026</f>
        <v>337349.33873132651</v>
      </c>
      <c r="M14" s="31">
        <f>'Option1 (base case)'!M$28*conv_2026</f>
        <v>351157.98101896065</v>
      </c>
      <c r="N14" s="31">
        <f>'Option1 (base case)'!N$28*conv_2026</f>
        <v>366767.28135935683</v>
      </c>
      <c r="O14" s="31">
        <f>'Option1 (base case)'!O$28*conv_2026</f>
        <v>389400.53302550834</v>
      </c>
      <c r="P14" s="31">
        <f>'Option1 (base case)'!P$28*conv_2026</f>
        <v>414304.09926952171</v>
      </c>
      <c r="Q14" s="31">
        <f>'Option1 (base case)'!Q$28*conv_2026</f>
        <v>430414.36128688516</v>
      </c>
      <c r="R14" s="31">
        <f>'Option1 (base case)'!R$28*conv_2026</f>
        <v>443601.21076214325</v>
      </c>
      <c r="S14" s="31">
        <f>'Option1 (base case)'!S$28*conv_2026</f>
        <v>456953.3738967664</v>
      </c>
      <c r="T14" s="31">
        <f>'Option1 (base case)'!T$28*conv_2026</f>
        <v>470470.08945552417</v>
      </c>
      <c r="U14" s="31">
        <f>'Option1 (base case)'!U$28*conv_2026</f>
        <v>484150.61545908276</v>
      </c>
      <c r="V14" s="31">
        <f>'Option1 (base case)'!V$28*conv_2026</f>
        <v>497994.22845743812</v>
      </c>
      <c r="W14" s="31">
        <f>'Option1 (base case)'!W$28*conv_2026</f>
        <v>512000.22284272336</v>
      </c>
      <c r="X14" s="31">
        <f>'Option1 (base case)'!X$28*conv_2026</f>
        <v>526167.91019866453</v>
      </c>
      <c r="Y14" s="31">
        <f>'Option1 (base case)'!Y$28*conv_2026</f>
        <v>540496.61868416215</v>
      </c>
      <c r="Z14" s="31">
        <f>'Option1 (base case)'!Z$28*conv_2026</f>
        <v>554985.69244869857</v>
      </c>
      <c r="AA14" s="31">
        <f>'Option1 (base case)'!AA$28*conv_2026</f>
        <v>569634.49107745511</v>
      </c>
      <c r="AB14" s="31">
        <f>'Option1 (base case)'!AB$28*conv_2026</f>
        <v>584442.38906420488</v>
      </c>
      <c r="AC14" s="31">
        <f>'Option1 (base case)'!AC$28*conv_2026</f>
        <v>599408.77531017619</v>
      </c>
      <c r="AD14" s="31">
        <f>'Option1 (base case)'!AD$28*conv_2026</f>
        <v>614533.05264725524</v>
      </c>
      <c r="AE14" s="31">
        <f>'Option1 (base case)'!AE$28*conv_2026</f>
        <v>629814.6373839915</v>
      </c>
      <c r="AF14" s="31">
        <f>'Option1 (base case)'!AF$28*conv_2026</f>
        <v>645252.95887301245</v>
      </c>
      <c r="AG14" s="31">
        <f>'Option1 (base case)'!AG$28*conv_2026</f>
        <v>660847.45909853757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8063891.0163266733</v>
      </c>
      <c r="G16" s="225">
        <f>output_dollars</f>
        <v>46203</v>
      </c>
      <c r="H16" s="31"/>
      <c r="I16" s="31">
        <f>'Option1 (base case)'!I$36*conv_2026</f>
        <v>386749.55394339678</v>
      </c>
      <c r="J16" s="31">
        <f>'Option1 (base case)'!J$36*conv_2026</f>
        <v>403838.34758868825</v>
      </c>
      <c r="K16" s="31">
        <f>'Option1 (base case)'!K$36*conv_2026</f>
        <v>423274.68737123179</v>
      </c>
      <c r="L16" s="31">
        <f>'Option1 (base case)'!L$36*conv_2026</f>
        <v>442078.55416863668</v>
      </c>
      <c r="M16" s="31">
        <f>'Option1 (base case)'!M$36*conv_2026</f>
        <v>456692.01973229967</v>
      </c>
      <c r="N16" s="31">
        <f>'Option1 (base case)'!N$36*conv_2026</f>
        <v>473117.05119874072</v>
      </c>
      <c r="O16" s="31">
        <f>'Option1 (base case)'!O$36*conv_2026</f>
        <v>496576.87968138256</v>
      </c>
      <c r="P16" s="31">
        <f>'Option1 (base case)'!P$36*conv_2026</f>
        <v>522317.80777923227</v>
      </c>
      <c r="Q16" s="31">
        <f>'Option1 (base case)'!Q$36*conv_2026</f>
        <v>539276.1574777317</v>
      </c>
      <c r="R16" s="31">
        <f>'Option1 (base case)'!R$36*conv_2026</f>
        <v>553321.76263477677</v>
      </c>
      <c r="S16" s="31">
        <f>'Option1 (base case)'!S$36*conv_2026</f>
        <v>567543.29295240762</v>
      </c>
      <c r="T16" s="31">
        <f>'Option1 (base case)'!T$36*conv_2026</f>
        <v>581939.93197021878</v>
      </c>
      <c r="U16" s="31">
        <f>'Option1 (base case)'!U$36*conv_2026</f>
        <v>596510.88370797527</v>
      </c>
      <c r="V16" s="31">
        <f>'Option1 (base case)'!V$36*conv_2026</f>
        <v>611255.37189182977</v>
      </c>
      <c r="W16" s="31">
        <f>'Option1 (base case)'!W$36*conv_2026</f>
        <v>626172.6392224835</v>
      </c>
      <c r="X16" s="31">
        <f>'Option1 (base case)'!X$36*conv_2026</f>
        <v>641261.94668238692</v>
      </c>
      <c r="Y16" s="31">
        <f>'Option1 (base case)'!Y$36*conv_2026</f>
        <v>656522.57287929126</v>
      </c>
      <c r="Z16" s="31">
        <f>'Option1 (base case)'!Z$36*conv_2026</f>
        <v>671953.81342370214</v>
      </c>
      <c r="AA16" s="31">
        <f>'Option1 (base case)'!AA$36*conv_2026</f>
        <v>687554.9803379823</v>
      </c>
      <c r="AB16" s="31">
        <f>'Option1 (base case)'!AB$36*conv_2026</f>
        <v>703325.4014950376</v>
      </c>
      <c r="AC16" s="31">
        <f>'Option1 (base case)'!AC$36*conv_2026</f>
        <v>719264.420084671</v>
      </c>
      <c r="AD16" s="31">
        <f>'Option1 (base case)'!AD$36*conv_2026</f>
        <v>735371.39410585933</v>
      </c>
      <c r="AE16" s="31">
        <f>'Option1 (base case)'!AE$36*conv_2026</f>
        <v>750652.97884259559</v>
      </c>
      <c r="AF16" s="31">
        <f>'Option1 (base case)'!AF$36*conv_2026</f>
        <v>766091.30033161642</v>
      </c>
      <c r="AG16" s="31">
        <f>'Option1 (base case)'!AG$36*conv_2026</f>
        <v>781685.80055714166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190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191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2259563.2075515389</v>
      </c>
      <c r="G28" s="271">
        <f>output_dollars</f>
        <v>46203</v>
      </c>
      <c r="H28" s="272"/>
      <c r="I28" s="31">
        <f>Option2!I$28*conv_2026</f>
        <v>284368.71559256758</v>
      </c>
      <c r="J28" s="31">
        <f>Option2!J$28*conv_2026</f>
        <v>300685.79857336119</v>
      </c>
      <c r="K28" s="31">
        <f>Option2!K$28*conv_2026</f>
        <v>319339.32362639904</v>
      </c>
      <c r="L28" s="31">
        <f>Option2!L$28*conv_2026</f>
        <v>10863.765983088717</v>
      </c>
      <c r="M28" s="31">
        <f>Option2!M$28*conv_2026</f>
        <v>20072.858228910263</v>
      </c>
      <c r="N28" s="31">
        <f>Option2!N$28*conv_2026</f>
        <v>29165.666813464766</v>
      </c>
      <c r="O28" s="31">
        <f>Option2!O$28*conv_2026</f>
        <v>39032.975077340874</v>
      </c>
      <c r="P28" s="31">
        <f>Option2!P$28*conv_2026</f>
        <v>49583.956132618798</v>
      </c>
      <c r="Q28" s="31">
        <f>Option2!Q$28*conv_2026</f>
        <v>59319.562158307803</v>
      </c>
      <c r="R28" s="31">
        <f>Option2!R$28*conv_2026</f>
        <v>68721.328692415336</v>
      </c>
      <c r="S28" s="31">
        <f>Option2!S$28*conv_2026</f>
        <v>78212.752323474386</v>
      </c>
      <c r="T28" s="31">
        <f>Option2!T$28*conv_2026</f>
        <v>87811.850616318421</v>
      </c>
      <c r="U28" s="31">
        <f>Option2!U$28*conv_2026</f>
        <v>97531.67285779852</v>
      </c>
      <c r="V28" s="31">
        <f>Option2!V$28*conv_2026</f>
        <v>107381.91072119899</v>
      </c>
      <c r="W28" s="31">
        <f>Option2!W$28*conv_2026</f>
        <v>117369.89468369905</v>
      </c>
      <c r="X28" s="31">
        <f>Option2!X$28*conv_2026</f>
        <v>127501.2420297995</v>
      </c>
      <c r="Y28" s="31">
        <f>Option2!Y$28*conv_2026</f>
        <v>137780.2954940612</v>
      </c>
      <c r="Z28" s="31">
        <f>Option2!Z$28*conv_2026</f>
        <v>148210.43007280468</v>
      </c>
      <c r="AA28" s="31">
        <f>Option2!AA$28*conv_2026</f>
        <v>158794.27354465672</v>
      </c>
      <c r="AB28" s="31">
        <f>Option2!AB$28*conv_2026</f>
        <v>169533.86863775976</v>
      </c>
      <c r="AC28" s="31">
        <f>Option2!AC$28*conv_2026</f>
        <v>180430.79462602254</v>
      </c>
      <c r="AD28" s="31">
        <f>Option2!AD$28*conv_2026</f>
        <v>191486.26003651408</v>
      </c>
      <c r="AE28" s="31">
        <f>Option2!AE$28*conv_2026</f>
        <v>202701.17435602497</v>
      </c>
      <c r="AF28" s="31">
        <f>Option2!AF$28*conv_2026</f>
        <v>214076.20419239718</v>
      </c>
      <c r="AG28" s="31">
        <f>Option2!AG$28*conv_2026</f>
        <v>225611.8177446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-7718715.5524402903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-2771642.5235640877</v>
      </c>
      <c r="K29" s="31">
        <f>SUM(Option2!K$67:K$69)*conv_2026*K$7</f>
        <v>-5543285.0471281754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2689664.0073448638</v>
      </c>
      <c r="G30" s="225">
        <f>output_dollars</f>
        <v>46203</v>
      </c>
      <c r="H30" s="31"/>
      <c r="I30" s="31">
        <f>Option2!I$36*conv_2026*I$7</f>
        <v>386749.55394339678</v>
      </c>
      <c r="J30" s="31">
        <f>Option2!J$36*conv_2026*J$7</f>
        <v>403838.34758868825</v>
      </c>
      <c r="K30" s="31">
        <f>Option2!K$36*conv_2026*K$7</f>
        <v>423274.68737123179</v>
      </c>
      <c r="L30" s="31">
        <f>Option2!L$36*conv_2026*L$7</f>
        <v>49349.350382470497</v>
      </c>
      <c r="M30" s="31">
        <f>Option2!M$36*conv_2026*M$7</f>
        <v>58994.578955779674</v>
      </c>
      <c r="N30" s="31">
        <f>Option2!N$36*conv_2026*N$7</f>
        <v>68543.59823881372</v>
      </c>
      <c r="O30" s="31">
        <f>Option2!O$36*conv_2026*O$7</f>
        <v>78885.421950482239</v>
      </c>
      <c r="P30" s="31">
        <f>Option2!P$36*conv_2026*P$7</f>
        <v>89928.108268866403</v>
      </c>
      <c r="Q30" s="31">
        <f>Option2!Q$36*conv_2026*Q$7</f>
        <v>100171.80760744424</v>
      </c>
      <c r="R30" s="31">
        <f>Option2!R$36*conv_2026*R$7</f>
        <v>110097.43553684364</v>
      </c>
      <c r="S30" s="31">
        <f>Option2!S$36*conv_2026*S$7</f>
        <v>120127.9864433843</v>
      </c>
      <c r="T30" s="31">
        <f>Option2!T$36*conv_2026*T$7</f>
        <v>130281.0576682151</v>
      </c>
      <c r="U30" s="31">
        <f>Option2!U$36*conv_2026*U$7</f>
        <v>140569.33834257847</v>
      </c>
      <c r="V30" s="31">
        <f>Option2!V$36*conv_2026*V$7</f>
        <v>151002.20572566421</v>
      </c>
      <c r="W30" s="31">
        <f>Option2!W$36*conv_2026*W$7</f>
        <v>161586.7117751331</v>
      </c>
      <c r="X30" s="31">
        <f>Option2!X$36*conv_2026*X$7</f>
        <v>172328.22411155785</v>
      </c>
      <c r="Y30" s="31">
        <f>Option2!Y$36*conv_2026*Y$7</f>
        <v>183230.85946708496</v>
      </c>
      <c r="Z30" s="31">
        <f>Option2!Z$36*conv_2026*Z$7</f>
        <v>194297.78656251114</v>
      </c>
      <c r="AA30" s="31">
        <f>Option2!AA$36*conv_2026*AA$7</f>
        <v>205531.44358076042</v>
      </c>
      <c r="AB30" s="31">
        <f>Option2!AB$36*conv_2026*AB$7</f>
        <v>216933.69792950852</v>
      </c>
      <c r="AC30" s="31">
        <f>Option2!AC$36*conv_2026*AC$7</f>
        <v>228505.96590874859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-4398800.3414257104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-118165.40237192543</v>
      </c>
      <c r="L32" s="31">
        <f>Option2!L$82*conv_2026*L$7</f>
        <v>-354496.20711577625</v>
      </c>
      <c r="M32" s="31">
        <f>Option2!M$82*conv_2026*M$7</f>
        <v>-354496.20711577625</v>
      </c>
      <c r="N32" s="31">
        <f>Option2!N$82*conv_2026*N$7</f>
        <v>-354496.20711577625</v>
      </c>
      <c r="O32" s="31">
        <f>Option2!O$82*conv_2026*O$7</f>
        <v>-354496.20711577625</v>
      </c>
      <c r="P32" s="31">
        <f>Option2!P$82*conv_2026*P$7</f>
        <v>-354496.20711577625</v>
      </c>
      <c r="Q32" s="31">
        <f>Option2!Q$82*conv_2026*Q$7</f>
        <v>-354496.20711577625</v>
      </c>
      <c r="R32" s="31">
        <f>Option2!R$82*conv_2026*R$7</f>
        <v>-354496.20711577625</v>
      </c>
      <c r="S32" s="31">
        <f>Option2!S$82*conv_2026*S$7</f>
        <v>-354496.20711577625</v>
      </c>
      <c r="T32" s="31">
        <f>Option2!T$82*conv_2026*T$7</f>
        <v>-354496.20711577625</v>
      </c>
      <c r="U32" s="31">
        <f>Option2!U$82*conv_2026*U$7</f>
        <v>-354496.20711577625</v>
      </c>
      <c r="V32" s="31">
        <f>Option2!V$82*conv_2026*V$7</f>
        <v>-354496.20711577625</v>
      </c>
      <c r="W32" s="31">
        <f>Option2!W$82*conv_2026*W$7</f>
        <v>-354496.20711577625</v>
      </c>
      <c r="X32" s="31">
        <f>Option2!X$82*conv_2026*X$7</f>
        <v>-354496.20711577625</v>
      </c>
      <c r="Y32" s="31">
        <f>Option2!Y$82*conv_2026*Y$7</f>
        <v>-354496.20711577625</v>
      </c>
      <c r="Z32" s="31">
        <f>Option2!Z$82*conv_2026*Z$7</f>
        <v>-354496.20711577625</v>
      </c>
      <c r="AA32" s="31">
        <f>Option2!AA$82*conv_2026*AA$7</f>
        <v>-354496.20711577625</v>
      </c>
      <c r="AB32" s="31">
        <f>Option2!AB$82*conv_2026*AB$7</f>
        <v>-354496.20711577625</v>
      </c>
      <c r="AC32" s="31">
        <f>Option2!AC$82*conv_2026*AC$7</f>
        <v>-354496.20711577625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5374227.008981809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0</v>
      </c>
      <c r="L34" s="31">
        <f>Option2!L$84*conv_2026*L$7</f>
        <v>392729.20378616621</v>
      </c>
      <c r="M34" s="31">
        <f>Option2!M$84*conv_2026*M$7</f>
        <v>397697.44077652</v>
      </c>
      <c r="N34" s="31">
        <f>Option2!N$84*conv_2026*N$7</f>
        <v>404573.45295992697</v>
      </c>
      <c r="O34" s="31">
        <f>Option2!O$84*conv_2026*O$7</f>
        <v>417691.45773090026</v>
      </c>
      <c r="P34" s="31">
        <f>Option2!P$84*conv_2026*P$7</f>
        <v>432389.6995103659</v>
      </c>
      <c r="Q34" s="31">
        <f>Option2!Q$84*conv_2026*Q$7</f>
        <v>439104.34987028746</v>
      </c>
      <c r="R34" s="31">
        <f>Option2!R$84*conv_2026*R$7</f>
        <v>443224.32709793316</v>
      </c>
      <c r="S34" s="31">
        <f>Option2!S$84*conv_2026*S$7</f>
        <v>447415.30650902336</v>
      </c>
      <c r="T34" s="31">
        <f>Option2!T$84*conv_2026*T$7</f>
        <v>451658.87430200371</v>
      </c>
      <c r="U34" s="31">
        <f>Option2!U$84*conv_2026*U$7</f>
        <v>455941.54536539689</v>
      </c>
      <c r="V34" s="31">
        <f>Option2!V$84*conv_2026*V$7</f>
        <v>460253.16616616549</v>
      </c>
      <c r="W34" s="31">
        <f>Option2!W$84*conv_2026*W$7</f>
        <v>464585.92744735046</v>
      </c>
      <c r="X34" s="31">
        <f>Option2!X$84*conv_2026*X$7</f>
        <v>468933.72257082915</v>
      </c>
      <c r="Y34" s="31">
        <f>Option2!Y$84*conv_2026*Y$7</f>
        <v>473291.71341220627</v>
      </c>
      <c r="Z34" s="31">
        <f>Option2!Z$84*conv_2026*Z$7</f>
        <v>477656.02686119097</v>
      </c>
      <c r="AA34" s="31">
        <f>Option2!AA$84*conv_2026*AA$7</f>
        <v>482023.53675722197</v>
      </c>
      <c r="AB34" s="31">
        <f>Option2!AB$84*conv_2026*AB$7</f>
        <v>486391.70356552908</v>
      </c>
      <c r="AC34" s="31">
        <f>Option2!AC$84*conv_2026*AC$7</f>
        <v>490758.45417592244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-118165.40237192543</v>
      </c>
      <c r="L36" s="52">
        <f t="shared" si="9"/>
        <v>38232.996670389955</v>
      </c>
      <c r="M36" s="52">
        <f t="shared" si="9"/>
        <v>43201.233660743746</v>
      </c>
      <c r="N36" s="52">
        <f t="shared" si="9"/>
        <v>50077.245844150719</v>
      </c>
      <c r="O36" s="52">
        <f t="shared" si="9"/>
        <v>63195.250615124009</v>
      </c>
      <c r="P36" s="52">
        <f t="shared" si="9"/>
        <v>77893.492394589644</v>
      </c>
      <c r="Q36" s="52">
        <f t="shared" si="9"/>
        <v>84608.142754511209</v>
      </c>
      <c r="R36" s="52">
        <f t="shared" si="9"/>
        <v>88728.119982156903</v>
      </c>
      <c r="S36" s="52">
        <f t="shared" si="9"/>
        <v>92919.099393247103</v>
      </c>
      <c r="T36" s="52">
        <f t="shared" si="9"/>
        <v>97162.667186227452</v>
      </c>
      <c r="U36" s="52">
        <f t="shared" si="9"/>
        <v>101445.33824962063</v>
      </c>
      <c r="V36" s="52">
        <f t="shared" si="9"/>
        <v>105756.95905038924</v>
      </c>
      <c r="W36" s="52">
        <f t="shared" si="9"/>
        <v>110089.72033157421</v>
      </c>
      <c r="X36" s="52">
        <f t="shared" si="9"/>
        <v>114437.5154550529</v>
      </c>
      <c r="Y36" s="52">
        <f t="shared" si="9"/>
        <v>118795.50629643002</v>
      </c>
      <c r="Z36" s="52">
        <f t="shared" si="9"/>
        <v>123159.81974541472</v>
      </c>
      <c r="AA36" s="52">
        <f t="shared" si="9"/>
        <v>127527.32964144571</v>
      </c>
      <c r="AB36" s="52">
        <f t="shared" si="9"/>
        <v>131895.49644975283</v>
      </c>
      <c r="AC36" s="52">
        <f t="shared" si="9"/>
        <v>136262.24706014618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975426.66755609855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190</v>
      </c>
      <c r="D38" s="38" t="str">
        <f t="shared" si="6"/>
        <v>Option 2PV of costs</v>
      </c>
      <c r="E38" s="1"/>
      <c r="F38" s="108">
        <f>SUM(F32:F33)</f>
        <v>-4398800.3414257104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191</v>
      </c>
      <c r="D39" s="38" t="str">
        <f t="shared" si="6"/>
        <v>Option 2PV of benefits</v>
      </c>
      <c r="E39" s="1"/>
      <c r="F39" s="108">
        <f>SUM(F34:F35)</f>
        <v>5374227.008981809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7218277.6213790607</v>
      </c>
      <c r="G42" s="271">
        <f>output_dollars</f>
        <v>46203</v>
      </c>
      <c r="H42" s="272"/>
      <c r="I42" s="31">
        <f>Option3!I$28*conv_2026</f>
        <v>284368.71559256758</v>
      </c>
      <c r="J42" s="31">
        <f>Option3!J$28*conv_2026</f>
        <v>300685.79857336119</v>
      </c>
      <c r="K42" s="31">
        <f>Option3!K$28*conv_2026</f>
        <v>302914.78574213001</v>
      </c>
      <c r="L42" s="31">
        <f>Option3!L$28*conv_2026</f>
        <v>319997.15565378073</v>
      </c>
      <c r="M42" s="31">
        <f>Option3!M$28*conv_2026</f>
        <v>333094.11281551386</v>
      </c>
      <c r="N42" s="31">
        <f>Option3!N$28*conv_2026</f>
        <v>347898.96258222894</v>
      </c>
      <c r="O42" s="31">
        <f>Option3!O$28*conv_2026</f>
        <v>369366.24027312209</v>
      </c>
      <c r="P42" s="31">
        <f>Option3!P$28*conv_2026</f>
        <v>392986.74503459176</v>
      </c>
      <c r="Q42" s="31">
        <f>Option3!Q$28*conv_2026</f>
        <v>408266.25701307191</v>
      </c>
      <c r="R42" s="31">
        <f>Option3!R$28*conv_2026</f>
        <v>420772.64049924142</v>
      </c>
      <c r="S42" s="31">
        <f>Option3!S$28*conv_2026</f>
        <v>433435.69264442648</v>
      </c>
      <c r="T42" s="31">
        <f>Option3!T$28*conv_2026</f>
        <v>446254.68729410111</v>
      </c>
      <c r="U42" s="31">
        <f>Option3!U$28*conv_2026</f>
        <v>459228.91653391498</v>
      </c>
      <c r="V42" s="31">
        <f>Option3!V$28*conv_2026</f>
        <v>472357.69000069203</v>
      </c>
      <c r="W42" s="31">
        <f>Option3!W$28*conv_2026</f>
        <v>485640.33423077816</v>
      </c>
      <c r="X42" s="31">
        <f>Option3!X$28*conv_2026</f>
        <v>499076.19204314501</v>
      </c>
      <c r="Y42" s="31">
        <f>Option3!Y$28*conv_2026</f>
        <v>512664.62195486581</v>
      </c>
      <c r="Z42" s="31">
        <f>Option3!Z$28*conv_2026</f>
        <v>526404.99762677448</v>
      </c>
      <c r="AA42" s="31">
        <f>Option3!AA$28*conv_2026</f>
        <v>540296.70733730565</v>
      </c>
      <c r="AB42" s="31">
        <f>Option3!AB$28*conv_2026</f>
        <v>554339.15348267404</v>
      </c>
      <c r="AC42" s="31">
        <f>Option3!AC$28*conv_2026</f>
        <v>568531.75210169493</v>
      </c>
      <c r="AD42" s="31">
        <f>Option3!AD$28*conv_2026</f>
        <v>582873.93242367823</v>
      </c>
      <c r="AE42" s="31">
        <f>Option3!AE$28*conv_2026</f>
        <v>597365.13643795997</v>
      </c>
      <c r="AF42" s="31">
        <f>Option3!AF$28*conv_2026</f>
        <v>612004.8184837295</v>
      </c>
      <c r="AG42" s="31">
        <f>Option3!AG$28*conv_2026</f>
        <v>626792.44485893077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-528470.26607789507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-556456.32320829842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7214474.5650140736</v>
      </c>
      <c r="G44" s="225">
        <f>output_dollars</f>
        <v>46203</v>
      </c>
      <c r="H44" s="31"/>
      <c r="I44" s="31">
        <f>Option3!I$36*conv_2026*I$7</f>
        <v>386749.55394339678</v>
      </c>
      <c r="J44" s="31">
        <f>Option3!J$36*conv_2026*J$7</f>
        <v>403838.34758868825</v>
      </c>
      <c r="K44" s="31">
        <f>Option3!K$36*conv_2026*K$7</f>
        <v>365083.92704877153</v>
      </c>
      <c r="L44" s="31">
        <f>Option3!L$36*conv_2026*L$7</f>
        <v>382923.68841710215</v>
      </c>
      <c r="M44" s="31">
        <f>Option3!M$36*conv_2026*M$7</f>
        <v>396788.50471320213</v>
      </c>
      <c r="N44" s="31">
        <f>Option3!N$36*conv_2026*N$7</f>
        <v>412371.6204856066</v>
      </c>
      <c r="O44" s="31">
        <f>Option3!O$36*conv_2026*O$7</f>
        <v>434627.51174882287</v>
      </c>
      <c r="P44" s="31">
        <f>Option3!P$36*conv_2026*P$7</f>
        <v>459046.91978184198</v>
      </c>
      <c r="Q44" s="31">
        <f>Option3!Q$36*conv_2026*Q$7</f>
        <v>475135.56824046653</v>
      </c>
      <c r="R44" s="31">
        <f>Option3!R$36*conv_2026*R$7</f>
        <v>488461.26624460472</v>
      </c>
      <c r="S44" s="31">
        <f>Option3!S$36*conv_2026*S$7</f>
        <v>501953.75704107352</v>
      </c>
      <c r="T44" s="31">
        <f>Option3!T$36*conv_2026*T$7</f>
        <v>515612.26178656891</v>
      </c>
      <c r="U44" s="31">
        <f>Option3!U$36*conv_2026*U$7</f>
        <v>529436.0210460074</v>
      </c>
      <c r="V44" s="31">
        <f>Option3!V$36*conv_2026*V$7</f>
        <v>543424.29405847739</v>
      </c>
      <c r="W44" s="31">
        <f>Option3!W$36*conv_2026*W$7</f>
        <v>557576.35804299114</v>
      </c>
      <c r="X44" s="31">
        <f>Option3!X$36*conv_2026*X$7</f>
        <v>571891.50754127349</v>
      </c>
      <c r="Y44" s="31">
        <f>Option3!Y$36*conv_2026*Y$7</f>
        <v>586369.0537950471</v>
      </c>
      <c r="Z44" s="31">
        <f>Option3!Z$36*conv_2026*Z$7</f>
        <v>601008.32415548095</v>
      </c>
      <c r="AA44" s="31">
        <f>Option3!AA$36*conv_2026*AA$7</f>
        <v>615808.66152266832</v>
      </c>
      <c r="AB44" s="31">
        <f>Option3!AB$36*conv_2026*AB$7</f>
        <v>630769.42381317297</v>
      </c>
      <c r="AC44" s="31">
        <f>Option3!AC$36*conv_2026*AC$7</f>
        <v>645889.98345383164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-528470.26607789542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-66909.069461024992</v>
      </c>
      <c r="L46" s="31">
        <f>Option3!L$82*conv_2026*L$7</f>
        <v>-66909.069461024992</v>
      </c>
      <c r="M46" s="31">
        <f>Option3!M$82*conv_2026*M$7</f>
        <v>-66909.069461024992</v>
      </c>
      <c r="N46" s="31">
        <f>Option3!N$82*conv_2026*N$7</f>
        <v>-66909.069461024992</v>
      </c>
      <c r="O46" s="31">
        <f>Option3!O$82*conv_2026*O$7</f>
        <v>-66909.069461024992</v>
      </c>
      <c r="P46" s="31">
        <f>Option3!P$82*conv_2026*P$7</f>
        <v>-66909.069461024992</v>
      </c>
      <c r="Q46" s="31">
        <f>Option3!Q$82*conv_2026*Q$7</f>
        <v>-66909.069461024992</v>
      </c>
      <c r="R46" s="31">
        <f>Option3!R$82*conv_2026*R$7</f>
        <v>-66909.069461024992</v>
      </c>
      <c r="S46" s="31">
        <f>Option3!S$82*conv_2026*S$7</f>
        <v>-66909.069461024992</v>
      </c>
      <c r="T46" s="31">
        <f>Option3!T$82*conv_2026*T$7</f>
        <v>-66909.069461024992</v>
      </c>
      <c r="U46" s="31">
        <f>Option3!U$82*conv_2026*U$7</f>
        <v>0</v>
      </c>
      <c r="V46" s="31">
        <f>Option3!V$82*conv_2026*V$7</f>
        <v>0</v>
      </c>
      <c r="W46" s="31">
        <f>Option3!W$82*conv_2026*W$7</f>
        <v>0</v>
      </c>
      <c r="X46" s="31">
        <f>Option3!X$82*conv_2026*X$7</f>
        <v>0</v>
      </c>
      <c r="Y46" s="31">
        <f>Option3!Y$82*conv_2026*Y$7</f>
        <v>0</v>
      </c>
      <c r="Z46" s="31">
        <f>Option3!Z$82*conv_2026*Z$7</f>
        <v>0</v>
      </c>
      <c r="AA46" s="31">
        <f>Option3!AA$82*conv_2026*AA$7</f>
        <v>0</v>
      </c>
      <c r="AB46" s="31">
        <f>Option3!AB$82*conv_2026*AB$7</f>
        <v>0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849416.45131259982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58190.760322460272</v>
      </c>
      <c r="L48" s="31">
        <f>Option3!L$84*conv_2026*L$7</f>
        <v>59154.865751534562</v>
      </c>
      <c r="M48" s="31">
        <f>Option3!M$84*conv_2026*M$7</f>
        <v>59903.515019097504</v>
      </c>
      <c r="N48" s="31">
        <f>Option3!N$84*conv_2026*N$7</f>
        <v>60745.430713134163</v>
      </c>
      <c r="O48" s="31">
        <f>Option3!O$84*conv_2026*O$7</f>
        <v>61949.36793255969</v>
      </c>
      <c r="P48" s="31">
        <f>Option3!P$84*conv_2026*P$7</f>
        <v>63270.887997390295</v>
      </c>
      <c r="Q48" s="31">
        <f>Option3!Q$84*conv_2026*Q$7</f>
        <v>64140.589237265216</v>
      </c>
      <c r="R48" s="31">
        <f>Option3!R$84*conv_2026*R$7</f>
        <v>64860.496390172069</v>
      </c>
      <c r="S48" s="31">
        <f>Option3!S$84*conv_2026*S$7</f>
        <v>65589.535911334126</v>
      </c>
      <c r="T48" s="31">
        <f>Option3!T$84*conv_2026*T$7</f>
        <v>66327.670183649854</v>
      </c>
      <c r="U48" s="31">
        <f>Option3!U$84*conv_2026*U$7</f>
        <v>67074.862661967956</v>
      </c>
      <c r="V48" s="31">
        <f>Option3!V$84*conv_2026*V$7</f>
        <v>67831.077833352319</v>
      </c>
      <c r="W48" s="31">
        <f>Option3!W$84*conv_2026*W$7</f>
        <v>68596.281179492347</v>
      </c>
      <c r="X48" s="31">
        <f>Option3!X$84*conv_2026*X$7</f>
        <v>69370.439141113457</v>
      </c>
      <c r="Y48" s="31">
        <f>Option3!Y$84*conv_2026*Y$7</f>
        <v>70153.519084244137</v>
      </c>
      <c r="Z48" s="31">
        <f>Option3!Z$84*conv_2026*Z$7</f>
        <v>70945.489268221238</v>
      </c>
      <c r="AA48" s="31">
        <f>Option3!AA$84*conv_2026*AA$7</f>
        <v>71746.318815314051</v>
      </c>
      <c r="AB48" s="31">
        <f>Option3!AB$84*conv_2026*AB$7</f>
        <v>72555.977681864635</v>
      </c>
      <c r="AC48" s="31">
        <f>Option3!AC$84*conv_2026*AC$7</f>
        <v>73374.436630839322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-8718.3091385647203</v>
      </c>
      <c r="L50" s="52">
        <f t="shared" si="13"/>
        <v>-7754.2037094904299</v>
      </c>
      <c r="M50" s="52">
        <f t="shared" si="13"/>
        <v>-7005.5544419274884</v>
      </c>
      <c r="N50" s="52">
        <f t="shared" si="13"/>
        <v>-6163.6387478908291</v>
      </c>
      <c r="O50" s="52">
        <f t="shared" si="13"/>
        <v>-4959.7015284653025</v>
      </c>
      <c r="P50" s="52">
        <f t="shared" si="13"/>
        <v>-3638.1814636346971</v>
      </c>
      <c r="Q50" s="52">
        <f t="shared" si="13"/>
        <v>-2768.480223759776</v>
      </c>
      <c r="R50" s="52">
        <f t="shared" si="13"/>
        <v>-2048.5730708529227</v>
      </c>
      <c r="S50" s="52">
        <f t="shared" si="13"/>
        <v>-1319.5335496908665</v>
      </c>
      <c r="T50" s="52">
        <f t="shared" si="13"/>
        <v>-581.3992773751379</v>
      </c>
      <c r="U50" s="52">
        <f t="shared" si="13"/>
        <v>67074.862661967956</v>
      </c>
      <c r="V50" s="52">
        <f t="shared" si="13"/>
        <v>67831.077833352319</v>
      </c>
      <c r="W50" s="52">
        <f t="shared" si="13"/>
        <v>68596.281179492347</v>
      </c>
      <c r="X50" s="52">
        <f t="shared" si="13"/>
        <v>69370.439141113457</v>
      </c>
      <c r="Y50" s="52">
        <f t="shared" si="13"/>
        <v>70153.519084244137</v>
      </c>
      <c r="Z50" s="52">
        <f t="shared" si="13"/>
        <v>70945.489268221238</v>
      </c>
      <c r="AA50" s="52">
        <f t="shared" si="13"/>
        <v>71746.318815314051</v>
      </c>
      <c r="AB50" s="52">
        <f t="shared" si="13"/>
        <v>72555.977681864635</v>
      </c>
      <c r="AC50" s="52">
        <f>SUM(AC46:AC49)</f>
        <v>73374.436630839322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320946.18523470452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190</v>
      </c>
      <c r="D52" s="38" t="str">
        <f t="shared" si="11"/>
        <v>Option 3PV of costs</v>
      </c>
      <c r="E52" s="1"/>
      <c r="F52" s="108">
        <f>SUM(F46:F47)</f>
        <v>-528470.26607789542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191</v>
      </c>
      <c r="D53" s="38" t="str">
        <f t="shared" si="11"/>
        <v>Option 3PV of benefits</v>
      </c>
      <c r="E53" s="1"/>
      <c r="F53" s="108">
        <f>SUM(F48:F49)</f>
        <v>849416.45131259982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0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0</v>
      </c>
      <c r="K57" s="31">
        <f>SUM(Option4!K$67:K$69)*conv_2026*K$7</f>
        <v>0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0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0</v>
      </c>
      <c r="L60" s="31">
        <f>Option4!L$82*conv_2026*L$7</f>
        <v>0</v>
      </c>
      <c r="M60" s="31">
        <f>Option4!M$82*conv_2026*M$7</f>
        <v>0</v>
      </c>
      <c r="N60" s="31">
        <f>Option4!N$82*conv_2026*N$7</f>
        <v>0</v>
      </c>
      <c r="O60" s="31">
        <f>Option4!O$82*conv_2026*O$7</f>
        <v>0</v>
      </c>
      <c r="P60" s="31">
        <f>Option4!P$82*conv_2026*P$7</f>
        <v>0</v>
      </c>
      <c r="Q60" s="31">
        <f>Option4!Q$82*conv_2026*Q$7</f>
        <v>0</v>
      </c>
      <c r="R60" s="31">
        <f>Option4!R$82*conv_2026*R$7</f>
        <v>0</v>
      </c>
      <c r="S60" s="31">
        <f>Option4!S$82*conv_2026*S$7</f>
        <v>0</v>
      </c>
      <c r="T60" s="31">
        <f>Option4!T$82*conv_2026*T$7</f>
        <v>0</v>
      </c>
      <c r="U60" s="31">
        <f>Option4!U$82*conv_2026*U$7</f>
        <v>0</v>
      </c>
      <c r="V60" s="31">
        <f>Option4!V$82*conv_2026*V$7</f>
        <v>0</v>
      </c>
      <c r="W60" s="31">
        <f>Option4!W$82*conv_2026*W$7</f>
        <v>0</v>
      </c>
      <c r="X60" s="31">
        <f>Option4!X$82*conv_2026*X$7</f>
        <v>0</v>
      </c>
      <c r="Y60" s="31">
        <f>Option4!Y$82*conv_2026*Y$7</f>
        <v>0</v>
      </c>
      <c r="Z60" s="31">
        <f>Option4!Z$82*conv_2026*Z$7</f>
        <v>0</v>
      </c>
      <c r="AA60" s="31">
        <f>Option4!AA$82*conv_2026*AA$7</f>
        <v>0</v>
      </c>
      <c r="AB60" s="31">
        <f>Option4!AB$82*conv_2026*AB$7</f>
        <v>0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0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0</v>
      </c>
      <c r="L62" s="31">
        <f>Option4!L$84*conv_2026*L$7</f>
        <v>0</v>
      </c>
      <c r="M62" s="31">
        <f>Option4!M$84*conv_2026*M$7</f>
        <v>0</v>
      </c>
      <c r="N62" s="31">
        <f>Option4!N$84*conv_2026*N$7</f>
        <v>0</v>
      </c>
      <c r="O62" s="31">
        <f>Option4!O$84*conv_2026*O$7</f>
        <v>0</v>
      </c>
      <c r="P62" s="31">
        <f>Option4!P$84*conv_2026*P$7</f>
        <v>0</v>
      </c>
      <c r="Q62" s="31">
        <f>Option4!Q$84*conv_2026*Q$7</f>
        <v>0</v>
      </c>
      <c r="R62" s="31">
        <f>Option4!R$84*conv_2026*R$7</f>
        <v>0</v>
      </c>
      <c r="S62" s="31">
        <f>Option4!S$84*conv_2026*S$7</f>
        <v>0</v>
      </c>
      <c r="T62" s="31">
        <f>Option4!T$84*conv_2026*T$7</f>
        <v>0</v>
      </c>
      <c r="U62" s="31">
        <f>Option4!U$84*conv_2026*U$7</f>
        <v>0</v>
      </c>
      <c r="V62" s="31">
        <f>Option4!V$84*conv_2026*V$7</f>
        <v>0</v>
      </c>
      <c r="W62" s="31">
        <f>Option4!W$84*conv_2026*W$7</f>
        <v>0</v>
      </c>
      <c r="X62" s="31">
        <f>Option4!X$84*conv_2026*X$7</f>
        <v>0</v>
      </c>
      <c r="Y62" s="31">
        <f>Option4!Y$84*conv_2026*Y$7</f>
        <v>0</v>
      </c>
      <c r="Z62" s="31">
        <f>Option4!Z$84*conv_2026*Z$7</f>
        <v>0</v>
      </c>
      <c r="AA62" s="31">
        <f>Option4!AA$84*conv_2026*AA$7</f>
        <v>0</v>
      </c>
      <c r="AB62" s="31">
        <f>Option4!AB$84*conv_2026*AB$7</f>
        <v>0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0</v>
      </c>
      <c r="L64" s="52">
        <f t="shared" si="17"/>
        <v>0</v>
      </c>
      <c r="M64" s="52">
        <f t="shared" si="17"/>
        <v>0</v>
      </c>
      <c r="N64" s="52">
        <f t="shared" si="17"/>
        <v>0</v>
      </c>
      <c r="O64" s="52">
        <f t="shared" si="17"/>
        <v>0</v>
      </c>
      <c r="P64" s="52">
        <f t="shared" si="17"/>
        <v>0</v>
      </c>
      <c r="Q64" s="52">
        <f t="shared" si="17"/>
        <v>0</v>
      </c>
      <c r="R64" s="52">
        <f t="shared" si="17"/>
        <v>0</v>
      </c>
      <c r="S64" s="52">
        <f t="shared" si="17"/>
        <v>0</v>
      </c>
      <c r="T64" s="52">
        <f t="shared" si="17"/>
        <v>0</v>
      </c>
      <c r="U64" s="52">
        <f t="shared" si="17"/>
        <v>0</v>
      </c>
      <c r="V64" s="52">
        <f t="shared" si="17"/>
        <v>0</v>
      </c>
      <c r="W64" s="52">
        <f t="shared" si="17"/>
        <v>0</v>
      </c>
      <c r="X64" s="52">
        <f t="shared" si="17"/>
        <v>0</v>
      </c>
      <c r="Y64" s="52">
        <f t="shared" si="17"/>
        <v>0</v>
      </c>
      <c r="Z64" s="52">
        <f t="shared" si="17"/>
        <v>0</v>
      </c>
      <c r="AA64" s="52">
        <f t="shared" si="17"/>
        <v>0</v>
      </c>
      <c r="AB64" s="52">
        <f t="shared" si="17"/>
        <v>0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0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190</v>
      </c>
      <c r="D66" s="38" t="str">
        <f t="shared" si="14"/>
        <v>Option 4PV of costs</v>
      </c>
      <c r="E66" s="1"/>
      <c r="F66" s="108">
        <f>SUM(F60:F61)</f>
        <v>0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191</v>
      </c>
      <c r="D67" s="38" t="str">
        <f t="shared" si="14"/>
        <v>Option 4PV of benefits</v>
      </c>
      <c r="E67" s="1"/>
      <c r="F67" s="108">
        <f>SUM(F62:F63)</f>
        <v>0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190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191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203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0.35449620711577623</v>
      </c>
      <c r="J91" s="297" cm="1">
        <f t="array" ref="J91">MAX($D91*INDEX(J$15:X$81, MATCH($A91&amp;$C91, $D$15:$D$81,0),))/mill_conv</f>
        <v>0.35449620711577623</v>
      </c>
      <c r="K91" s="297" cm="1">
        <f t="array" ref="K91">MAX($D91*INDEX(K$15:Y$81, MATCH($A91&amp;$C91, $D$15:$D$81,0),))/mill_conv</f>
        <v>0.35449620711577623</v>
      </c>
      <c r="L91" s="297" cm="1">
        <f t="array" ref="L91">MAX($D91*INDEX(L$15:Z$81, MATCH($A91&amp;$C91, $D$15:$D$81,0),))/mill_conv</f>
        <v>0.35449620711577623</v>
      </c>
      <c r="M91" s="297" cm="1">
        <f t="array" ref="M91">MAX($D91*INDEX(M$15:AA$81, MATCH($A91&amp;$C91, $D$15:$D$81,0),))/mill_conv</f>
        <v>0.35449620711577623</v>
      </c>
      <c r="N91" s="297" cm="1">
        <f t="array" ref="N91">MAX($D91*INDEX(N$15:AB$81, MATCH($A91&amp;$C91, $D$15:$D$81,0),))/mill_conv</f>
        <v>0.35449620711577623</v>
      </c>
      <c r="O91" s="297" cm="1">
        <f t="array" ref="O91">MAX($D91*INDEX(O$15:AC$81, MATCH($A91&amp;$C91, $D$15:$D$81,0),))/mill_conv</f>
        <v>0.35449620711577623</v>
      </c>
      <c r="P91" s="297" cm="1">
        <f t="array" ref="P91">MAX($D91*INDEX(P$15:AD$81, MATCH($A91&amp;$C91, $D$15:$D$81,0),))/mill_conv</f>
        <v>0.35449620711577623</v>
      </c>
      <c r="Q91" s="297" cm="1">
        <f t="array" ref="Q91">MAX($D91*INDEX(Q$15:AE$81, MATCH($A91&amp;$C91, $D$15:$D$81,0),))/mill_conv</f>
        <v>0.35449620711577623</v>
      </c>
      <c r="R91" s="297" cm="1">
        <f t="array" ref="R91">MAX($D91*INDEX(R$15:AF$81, MATCH($A91&amp;$C91, $D$15:$D$81,0),))/mill_conv</f>
        <v>0.35449620711577623</v>
      </c>
      <c r="S91" s="297" cm="1">
        <f t="array" ref="S91">MAX($D91*INDEX(S$15:AG$81, MATCH($A91&amp;$C91, $D$15:$D$81,0),))/mill_conv</f>
        <v>0.35449620711577623</v>
      </c>
      <c r="T91" s="297" cm="1">
        <f t="array" ref="T91">MAX($D91*INDEX(T$15:AH$81, MATCH($A91&amp;$C91, $D$15:$D$81,0),))/mill_conv</f>
        <v>0.35449620711577623</v>
      </c>
      <c r="U91" s="297" cm="1">
        <f t="array" ref="U91">MAX($D91*INDEX(U$15:AI$81, MATCH($A91&amp;$C91, $D$15:$D$81,0),))/mill_conv</f>
        <v>0.35449620711577623</v>
      </c>
      <c r="V91" s="297" cm="1">
        <f t="array" ref="V91">MAX($D91*INDEX(V$15:AJ$81, MATCH($A91&amp;$C91, $D$15:$D$81,0),))/mill_conv</f>
        <v>0.35449620711577623</v>
      </c>
      <c r="W91" s="297" cm="1">
        <f t="array" ref="W91">MAX($D91*INDEX(W$15:AK$81, MATCH($A91&amp;$C91, $D$15:$D$81,0),))/mill_conv</f>
        <v>0.35449620711577623</v>
      </c>
      <c r="X91" s="297" cm="1">
        <f t="array" ref="X91">MAX($D91*INDEX(X$15:AL$81, MATCH($A91&amp;$C91, $D$15:$D$81,0),))/mill_conv</f>
        <v>0.35449620711577623</v>
      </c>
      <c r="Y91" s="297" cm="1">
        <f t="array" ref="Y91">MAX($D91*INDEX(Y$15:AM$81, MATCH($A91&amp;$C91, $D$15:$D$81,0),))/mill_conv</f>
        <v>0.35449620711577623</v>
      </c>
      <c r="Z91" s="297" cm="1">
        <f t="array" ref="Z91">MAX($D91*INDEX(Z$15:AN$81, MATCH($A91&amp;$C91, $D$15:$D$81,0),))/mill_conv</f>
        <v>0.35449620711577623</v>
      </c>
      <c r="AA91" s="297" cm="1">
        <f t="array" ref="AA91">MAX($D91*INDEX(AA$15:AO$81, MATCH($A91&amp;$C91, $D$15:$D$81,0),))/mill_conv</f>
        <v>0.35449620711577623</v>
      </c>
      <c r="AB91" s="297" cm="1">
        <f t="array" ref="AB91">MAX($D91*INDEX(AB$15:AP$81, MATCH($A91&amp;$C91, $D$15:$D$81,0),))/mill_conv</f>
        <v>0.35449620711577623</v>
      </c>
      <c r="AC91" s="297" cm="1">
        <f t="array" ref="AC91">MAX($D91*INDEX(AC$15:AQ$81, MATCH($A91&amp;$C91, $D$15:$D$81,0),))/mill_conv</f>
        <v>0.35449620711577623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173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0.38674955394339677</v>
      </c>
      <c r="J92" s="297">
        <f t="shared" si="23"/>
        <v>0.40383834758868825</v>
      </c>
      <c r="K92" s="297">
        <f t="shared" si="23"/>
        <v>0.42327468737123181</v>
      </c>
      <c r="L92" s="297">
        <f t="shared" si="23"/>
        <v>0.44207855416863667</v>
      </c>
      <c r="M92" s="297">
        <f t="shared" si="23"/>
        <v>0.45669201973229967</v>
      </c>
      <c r="N92" s="297">
        <f t="shared" si="23"/>
        <v>0.4731170511987407</v>
      </c>
      <c r="O92" s="297">
        <f t="shared" si="23"/>
        <v>0.49657687968138259</v>
      </c>
      <c r="P92" s="297">
        <f t="shared" si="23"/>
        <v>0.52231780777923231</v>
      </c>
      <c r="Q92" s="297">
        <f t="shared" si="23"/>
        <v>0.53927615747773172</v>
      </c>
      <c r="R92" s="297">
        <f t="shared" si="23"/>
        <v>0.55332176263477673</v>
      </c>
      <c r="S92" s="297">
        <f t="shared" ref="S92:AG92" si="24">$D92*INDEX(S$15:S$81, MATCH($A92&amp;$C92, $D$15:$D$81,0))/mill_conv</f>
        <v>0.56754329295240757</v>
      </c>
      <c r="T92" s="297">
        <f t="shared" si="24"/>
        <v>0.58193993197021876</v>
      </c>
      <c r="U92" s="297">
        <f t="shared" si="24"/>
        <v>0.59651088370797523</v>
      </c>
      <c r="V92" s="297">
        <f t="shared" si="24"/>
        <v>0.61125537189182977</v>
      </c>
      <c r="W92" s="297">
        <f t="shared" si="24"/>
        <v>0.62617263922248345</v>
      </c>
      <c r="X92" s="297">
        <f t="shared" si="24"/>
        <v>0.6412619466823869</v>
      </c>
      <c r="Y92" s="297">
        <f t="shared" si="24"/>
        <v>0.65652257287929128</v>
      </c>
      <c r="Z92" s="297">
        <f t="shared" si="24"/>
        <v>0.6719538134237022</v>
      </c>
      <c r="AA92" s="297">
        <f t="shared" si="24"/>
        <v>0.68755498033798235</v>
      </c>
      <c r="AB92" s="297">
        <f t="shared" si="24"/>
        <v>0.70332540149503764</v>
      </c>
      <c r="AC92" s="297">
        <f t="shared" si="24"/>
        <v>0.71926442008467095</v>
      </c>
      <c r="AD92" s="297">
        <f t="shared" si="24"/>
        <v>0.73537139410585939</v>
      </c>
      <c r="AE92" s="297">
        <f t="shared" si="24"/>
        <v>0.75065297884259563</v>
      </c>
      <c r="AF92" s="297">
        <f t="shared" si="24"/>
        <v>0.76609130033161643</v>
      </c>
      <c r="AG92" s="297">
        <f t="shared" si="24"/>
        <v>0.78168580055714165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235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0.59379993679320842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0.25551755253046138</v>
      </c>
      <c r="J99" s="119">
        <f>INDEX('Option1 (base case)'!J$14:J$87, MATCH($C99, 'Option1 (base case)'!$C$14:$C$87,0))/10^6</f>
        <v>0.27017915515788415</v>
      </c>
      <c r="K99" s="119">
        <f>INDEX('Option1 (base case)'!K$14:K$87, MATCH($C99, 'Option1 (base case)'!$C$14:$C$87,0))/10^6</f>
        <v>0.28694015173124443</v>
      </c>
      <c r="L99" s="119">
        <f>INDEX('Option1 (base case)'!L$14:L$87, MATCH($C99, 'Option1 (base case)'!$C$14:$C$87,0))/10^6</f>
        <v>0.30312292686900288</v>
      </c>
      <c r="M99" s="119">
        <f>INDEX('Option1 (base case)'!M$14:M$87, MATCH($C99, 'Option1 (base case)'!$C$14:$C$87,0))/10^6</f>
        <v>0.31553058737326239</v>
      </c>
      <c r="N99" s="119">
        <f>INDEX('Option1 (base case)'!N$14:N$87, MATCH($C99, 'Option1 (base case)'!$C$14:$C$87,0))/10^6</f>
        <v>0.3295562167797173</v>
      </c>
      <c r="O99" s="119">
        <f>INDEX('Option1 (base case)'!O$14:O$87, MATCH($C99, 'Option1 (base case)'!$C$14:$C$87,0))/10^6</f>
        <v>0.3498931693150551</v>
      </c>
      <c r="P99" s="119">
        <f>INDEX('Option1 (base case)'!P$14:P$87, MATCH($C99, 'Option1 (base case)'!$C$14:$C$87,0))/10^6</f>
        <v>0.37227009739130518</v>
      </c>
      <c r="Q99" s="119">
        <f>INDEX('Option1 (base case)'!Q$14:Q$87, MATCH($C99, 'Option1 (base case)'!$C$14:$C$87,0))/10^6</f>
        <v>0.3867458624652631</v>
      </c>
      <c r="R99" s="119">
        <f>INDEX('Option1 (base case)'!R$14:R$87, MATCH($C99, 'Option1 (base case)'!$C$14:$C$87,0))/10^6</f>
        <v>0.39859481531678986</v>
      </c>
      <c r="S99" s="119">
        <f>INDEX('Option1 (base case)'!S$14:S$87, MATCH($C99, 'Option1 (base case)'!$C$14:$C$87,0))/10^6</f>
        <v>0.41059230961934362</v>
      </c>
      <c r="T99" s="119">
        <f>INDEX('Option1 (base case)'!T$14:T$87, MATCH($C99, 'Option1 (base case)'!$C$14:$C$87,0))/10^6</f>
        <v>0.42273766137024649</v>
      </c>
      <c r="U99" s="119">
        <f>INDEX('Option1 (base case)'!U$14:U$87, MATCH($C99, 'Option1 (base case)'!$C$14:$C$87,0))/10^6</f>
        <v>0.43503020386907398</v>
      </c>
      <c r="V99" s="119">
        <f>INDEX('Option1 (base case)'!V$14:V$87, MATCH($C99, 'Option1 (base case)'!$C$14:$C$87,0))/10^6</f>
        <v>0.44746928706480332</v>
      </c>
      <c r="W99" s="119">
        <f>INDEX('Option1 (base case)'!W$14:W$87, MATCH($C99, 'Option1 (base case)'!$C$14:$C$87,0))/10^6</f>
        <v>0.46005427693834133</v>
      </c>
      <c r="X99" s="119">
        <f>INDEX('Option1 (base case)'!X$14:X$87, MATCH($C99, 'Option1 (base case)'!$C$14:$C$87,0))/10^6</f>
        <v>0.47278455491798232</v>
      </c>
      <c r="Y99" s="119">
        <f>INDEX('Option1 (base case)'!Y$14:Y$87, MATCH($C99, 'Option1 (base case)'!$C$14:$C$87,0))/10^6</f>
        <v>0.48565951732552959</v>
      </c>
      <c r="Z99" s="119">
        <f>INDEX('Option1 (base case)'!Z$14:Z$87, MATCH($C99, 'Option1 (base case)'!$C$14:$C$87,0))/10^6</f>
        <v>0.49867857485101369</v>
      </c>
      <c r="AA99" s="119">
        <f>INDEX('Option1 (base case)'!AA$14:AA$87, MATCH($C99, 'Option1 (base case)'!$C$14:$C$87,0))/10^6</f>
        <v>0.5118411520541063</v>
      </c>
      <c r="AB99" s="119">
        <f>INDEX('Option1 (base case)'!AB$14:AB$87, MATCH($C99, 'Option1 (base case)'!$C$14:$C$87,0))/10^6</f>
        <v>0.52514668689049149</v>
      </c>
      <c r="AC99" s="119">
        <f>INDEX('Option1 (base case)'!AC$14:AC$87, MATCH($C99, 'Option1 (base case)'!$C$14:$C$87,0))/10^6</f>
        <v>0.5385946302615735</v>
      </c>
      <c r="AD99" s="119">
        <f>INDEX('Option1 (base case)'!AD$14:AD$87, MATCH($C99, 'Option1 (base case)'!$C$14:$C$87,0))/10^6</f>
        <v>0.55218444558605273</v>
      </c>
      <c r="AE99" s="119">
        <f>INDEX('Option1 (base case)'!AE$14:AE$87, MATCH($C99, 'Option1 (base case)'!$C$14:$C$87,0))/10^6</f>
        <v>0.56591560839199306</v>
      </c>
      <c r="AF99" s="119">
        <f>INDEX('Option1 (base case)'!AF$14:AF$87, MATCH($C99, 'Option1 (base case)'!$C$14:$C$87,0))/10^6</f>
        <v>0.57978760592812484</v>
      </c>
      <c r="AG99" s="119">
        <f>INDEX('Option1 (base case)'!AG$14:AG$87, MATCH($C99, 'Option1 (base case)'!$C$14:$C$87,0))/10^6</f>
        <v>0.59379993679320842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MNA transformer replacement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223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195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196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154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127527.32964144571</v>
      </c>
      <c r="AA12" s="31">
        <f>Consol!AB36</f>
        <v>131895.49644975283</v>
      </c>
      <c r="AB12" s="31">
        <f>Consol!AC36</f>
        <v>136262.24706014618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143</v>
      </c>
      <c r="B14" s="253" t="s">
        <v>119</v>
      </c>
      <c r="C14" s="253" t="s">
        <v>189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143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143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143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143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143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143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143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143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189</v>
      </c>
      <c r="D28" s="253" t="str">
        <f>A28&amp;B28</f>
        <v>Option 2NPV</v>
      </c>
      <c r="E28" s="254"/>
      <c r="F28" s="31">
        <f>SUMPRODUCT($H28:$AG28, $H$5:$AG$5)</f>
        <v>975426.66755609808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-118165.40237192543</v>
      </c>
      <c r="L28" s="31">
        <f>(INDEX(Option2!L$106:L$117, MATCH($D28, Option2!$G$106:$G$117,0)))*conv_2026*L$7</f>
        <v>38232.996670389919</v>
      </c>
      <c r="M28" s="31">
        <f>(INDEX(Option2!M$106:M$117, MATCH($D28, Option2!$G$106:$G$117,0)))*conv_2026*M$7</f>
        <v>43201.233660743703</v>
      </c>
      <c r="N28" s="31">
        <f>(INDEX(Option2!N$106:N$117, MATCH($D28, Option2!$G$106:$G$117,0)))*conv_2026*N$7</f>
        <v>50077.245844150711</v>
      </c>
      <c r="O28" s="31">
        <f>(INDEX(Option2!O$106:O$117, MATCH($D28, Option2!$G$106:$G$117,0)))*conv_2026*O$7</f>
        <v>63195.250615124001</v>
      </c>
      <c r="P28" s="31">
        <f>(INDEX(Option2!P$106:P$117, MATCH($D28, Option2!$G$106:$G$117,0)))*conv_2026*P$7</f>
        <v>77893.492394589644</v>
      </c>
      <c r="Q28" s="31">
        <f>(INDEX(Option2!Q$106:Q$117, MATCH($D28, Option2!$G$106:$G$117,0)))*conv_2026*Q$7</f>
        <v>84608.142754511209</v>
      </c>
      <c r="R28" s="31">
        <f>(INDEX(Option2!R$106:R$117, MATCH($D28, Option2!$G$106:$G$117,0)))*conv_2026*R$7</f>
        <v>88728.119982156888</v>
      </c>
      <c r="S28" s="31">
        <f>(INDEX(Option2!S$106:S$117, MATCH($D28, Option2!$G$106:$G$117,0)))*conv_2026*S$7</f>
        <v>92919.099393247074</v>
      </c>
      <c r="T28" s="31">
        <f>(INDEX(Option2!T$106:T$117, MATCH($D28, Option2!$G$106:$G$117,0)))*conv_2026*T$7</f>
        <v>97162.667186227423</v>
      </c>
      <c r="U28" s="31">
        <f>(INDEX(Option2!U$106:U$117, MATCH($D28, Option2!$G$106:$G$117,0)))*conv_2026*U$7</f>
        <v>101445.33824962059</v>
      </c>
      <c r="V28" s="31">
        <f>(INDEX(Option2!V$106:V$117, MATCH($D28, Option2!$G$106:$G$117,0)))*conv_2026*V$7</f>
        <v>105756.95905038923</v>
      </c>
      <c r="W28" s="31">
        <f>(INDEX(Option2!W$106:W$117, MATCH($D28, Option2!$G$106:$G$117,0)))*conv_2026*W$7</f>
        <v>110089.72033157416</v>
      </c>
      <c r="X28" s="31">
        <f>(INDEX(Option2!X$106:X$117, MATCH($D28, Option2!$G$106:$G$117,0)))*conv_2026*X$7</f>
        <v>114437.51545505285</v>
      </c>
      <c r="Y28" s="31">
        <f>(INDEX(Option2!Y$106:Y$117, MATCH($D28, Option2!$G$106:$G$117,0)))*conv_2026*Y$7</f>
        <v>118795.50629643</v>
      </c>
      <c r="Z28" s="31">
        <f>(INDEX(Option2!Z$106:Z$117, MATCH($D28, Option2!$G$106:$G$117,0)))*conv_2026*Z$7</f>
        <v>123159.8197454147</v>
      </c>
      <c r="AA28" s="31">
        <f>(INDEX(Option2!AA$106:AA$117, MATCH($D28, Option2!$G$106:$G$117,0)))*conv_2026*AA$7</f>
        <v>127527.32964144569</v>
      </c>
      <c r="AB28" s="31">
        <f>(INDEX(Option2!AB$106:AB$117, MATCH($D28, Option2!$G$106:$G$117,0)))*conv_2026*AB$7</f>
        <v>131895.49644975283</v>
      </c>
      <c r="AC28" s="31">
        <f>(INDEX(Option2!AC$106:AC$117, MATCH($D28, Option2!$G$106:$G$117,0)))*conv_2026*AC$7</f>
        <v>136262.24706014618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535546.63341352716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-129981.94260911796</v>
      </c>
      <c r="L30" s="31">
        <f>IF($B30=0,0, (INDEX(Option2!L$106:L$117, MATCH($D30, Option2!$G$106:$G$117,0)))*conv_2026*L$7)</f>
        <v>2783.3759588122889</v>
      </c>
      <c r="M30" s="31">
        <f>IF($B30=0,0, (INDEX(Option2!M$106:M$117, MATCH($D30, Option2!$G$106:$G$117,0)))*conv_2026*M$7)</f>
        <v>7751.6129491660749</v>
      </c>
      <c r="N30" s="31">
        <f>IF($B30=0,0, (INDEX(Option2!N$106:N$117, MATCH($D30, Option2!$G$106:$G$117,0)))*conv_2026*N$7)</f>
        <v>14627.625132573081</v>
      </c>
      <c r="O30" s="31">
        <f>IF($B30=0,0, (INDEX(Option2!O$106:O$117, MATCH($D30, Option2!$G$106:$G$117,0)))*conv_2026*O$7)</f>
        <v>27745.629903546374</v>
      </c>
      <c r="P30" s="31">
        <f>IF($B30=0,0, (INDEX(Option2!P$106:P$117, MATCH($D30, Option2!$G$106:$G$117,0)))*conv_2026*P$7)</f>
        <v>42443.871683012017</v>
      </c>
      <c r="Q30" s="31">
        <f>IF($B30=0,0, (INDEX(Option2!Q$106:Q$117, MATCH($D30, Option2!$G$106:$G$117,0)))*conv_2026*Q$7)</f>
        <v>49158.522042933582</v>
      </c>
      <c r="R30" s="31">
        <f>IF($B30=0,0, (INDEX(Option2!R$106:R$117, MATCH($D30, Option2!$G$106:$G$117,0)))*conv_2026*R$7)</f>
        <v>53278.499270579261</v>
      </c>
      <c r="S30" s="31">
        <f>IF($B30=0,0, (INDEX(Option2!S$106:S$117, MATCH($D30, Option2!$G$106:$G$117,0)))*conv_2026*S$7)</f>
        <v>57469.478681669447</v>
      </c>
      <c r="T30" s="31">
        <f>IF($B30=0,0, (INDEX(Option2!T$106:T$117, MATCH($D30, Option2!$G$106:$G$117,0)))*conv_2026*T$7)</f>
        <v>61713.046474649804</v>
      </c>
      <c r="U30" s="31">
        <f>IF($B30=0,0, (INDEX(Option2!U$106:U$117, MATCH($D30, Option2!$G$106:$G$117,0)))*conv_2026*U$7)</f>
        <v>65995.717538042969</v>
      </c>
      <c r="V30" s="31">
        <f>IF($B30=0,0, (INDEX(Option2!V$106:V$117, MATCH($D30, Option2!$G$106:$G$117,0)))*conv_2026*V$7)</f>
        <v>70307.338338811591</v>
      </c>
      <c r="W30" s="31">
        <f>IF($B30=0,0, (INDEX(Option2!W$106:W$117, MATCH($D30, Option2!$G$106:$G$117,0)))*conv_2026*W$7)</f>
        <v>74640.099619996545</v>
      </c>
      <c r="X30" s="31">
        <f>IF($B30=0,0, (INDEX(Option2!X$106:X$117, MATCH($D30, Option2!$G$106:$G$117,0)))*conv_2026*X$7)</f>
        <v>78987.894743475219</v>
      </c>
      <c r="Y30" s="31">
        <f>IF($B30=0,0, (INDEX(Option2!Y$106:Y$117, MATCH($D30, Option2!$G$106:$G$117,0)))*conv_2026*Y$7)</f>
        <v>83345.885584852382</v>
      </c>
      <c r="Z30" s="31">
        <f>IF($B30=0,0, (INDEX(Option2!Z$106:Z$117, MATCH($D30, Option2!$G$106:$G$117,0)))*conv_2026*Z$7)</f>
        <v>87710.199033837067</v>
      </c>
      <c r="AA30" s="31">
        <f>IF($B30=0,0, (INDEX(Option2!AA$106:AA$117, MATCH($D30, Option2!$G$106:$G$117,0)))*conv_2026*AA$7)</f>
        <v>92077.708929868051</v>
      </c>
      <c r="AB30" s="31">
        <f>IF($B30=0,0, (INDEX(Option2!AB$106:AB$117, MATCH($D30, Option2!$G$106:$G$117,0)))*conv_2026*AB$7)</f>
        <v>96445.875738175193</v>
      </c>
      <c r="AC30" s="31">
        <f>IF($B30=0,0, (INDEX(Option2!AC$106:AC$117, MATCH($D30, Option2!$G$106:$G$117,0)))*conv_2026*AC$7)</f>
        <v>100812.62634856855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1415306.7016986692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-106348.86213473289</v>
      </c>
      <c r="L31" s="31">
        <f>IF($B31=0,0, (INDEX(Option2!L$106:L$117, MATCH($D31, Option2!$G$106:$G$117,0)))*conv_2026*L$7)</f>
        <v>73682.617381967546</v>
      </c>
      <c r="M31" s="31">
        <f>IF($B31=0,0, (INDEX(Option2!M$106:M$117, MATCH($D31, Option2!$G$106:$G$117,0)))*conv_2026*M$7)</f>
        <v>78650.854372321337</v>
      </c>
      <c r="N31" s="31">
        <f>IF($B31=0,0, (INDEX(Option2!N$106:N$117, MATCH($D31, Option2!$G$106:$G$117,0)))*conv_2026*N$7)</f>
        <v>85526.866555728338</v>
      </c>
      <c r="O31" s="31">
        <f>IF($B31=0,0, (INDEX(Option2!O$106:O$117, MATCH($D31, Option2!$G$106:$G$117,0)))*conv_2026*O$7)</f>
        <v>98644.871326701628</v>
      </c>
      <c r="P31" s="31">
        <f>IF($B31=0,0, (INDEX(Option2!P$106:P$117, MATCH($D31, Option2!$G$106:$G$117,0)))*conv_2026*P$7)</f>
        <v>113343.11310616728</v>
      </c>
      <c r="Q31" s="31">
        <f>IF($B31=0,0, (INDEX(Option2!Q$106:Q$117, MATCH($D31, Option2!$G$106:$G$117,0)))*conv_2026*Q$7)</f>
        <v>120057.76346608884</v>
      </c>
      <c r="R31" s="31">
        <f>IF($B31=0,0, (INDEX(Option2!R$106:R$117, MATCH($D31, Option2!$G$106:$G$117,0)))*conv_2026*R$7)</f>
        <v>124177.74069373451</v>
      </c>
      <c r="S31" s="31">
        <f>IF($B31=0,0, (INDEX(Option2!S$106:S$117, MATCH($D31, Option2!$G$106:$G$117,0)))*conv_2026*S$7)</f>
        <v>128368.72010482471</v>
      </c>
      <c r="T31" s="31">
        <f>IF($B31=0,0, (INDEX(Option2!T$106:T$117, MATCH($D31, Option2!$G$106:$G$117,0)))*conv_2026*T$7)</f>
        <v>132612.28789780504</v>
      </c>
      <c r="U31" s="31">
        <f>IF($B31=0,0, (INDEX(Option2!U$106:U$117, MATCH($D31, Option2!$G$106:$G$117,0)))*conv_2026*U$7)</f>
        <v>136894.95896119822</v>
      </c>
      <c r="V31" s="31">
        <f>IF($B31=0,0, (INDEX(Option2!V$106:V$117, MATCH($D31, Option2!$G$106:$G$117,0)))*conv_2026*V$7)</f>
        <v>141206.57976196686</v>
      </c>
      <c r="W31" s="31">
        <f>IF($B31=0,0, (INDEX(Option2!W$106:W$117, MATCH($D31, Option2!$G$106:$G$117,0)))*conv_2026*W$7)</f>
        <v>145539.3410431518</v>
      </c>
      <c r="X31" s="31">
        <f>IF($B31=0,0, (INDEX(Option2!X$106:X$117, MATCH($D31, Option2!$G$106:$G$117,0)))*conv_2026*X$7)</f>
        <v>149887.13616663049</v>
      </c>
      <c r="Y31" s="31">
        <f>IF($B31=0,0, (INDEX(Option2!Y$106:Y$117, MATCH($D31, Option2!$G$106:$G$117,0)))*conv_2026*Y$7)</f>
        <v>154245.12700800764</v>
      </c>
      <c r="Z31" s="31">
        <f>IF($B31=0,0, (INDEX(Option2!Z$106:Z$117, MATCH($D31, Option2!$G$106:$G$117,0)))*conv_2026*Z$7)</f>
        <v>158609.44045699234</v>
      </c>
      <c r="AA31" s="31">
        <f>IF($B31=0,0, (INDEX(Option2!AA$106:AA$117, MATCH($D31, Option2!$G$106:$G$117,0)))*conv_2026*AA$7)</f>
        <v>162976.95035302331</v>
      </c>
      <c r="AB31" s="31">
        <f>IF($B31=0,0, (INDEX(Option2!AB$106:AB$117, MATCH($D31, Option2!$G$106:$G$117,0)))*conv_2026*AB$7)</f>
        <v>167345.11716133045</v>
      </c>
      <c r="AC31" s="31">
        <f>IF($B31=0,0, (INDEX(Option2!AC$106:AC$117, MATCH($D31, Option2!$G$106:$G$117,0)))*conv_2026*AC$7)</f>
        <v>171711.8677717238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1512849.3684542791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-118165.40237192543</v>
      </c>
      <c r="L32" s="31">
        <f>IF($B32=0,0, (INDEX(Option2!L$106:L$117, MATCH($D32, Option2!$G$106:$G$117,0)))*conv_2026*L$7)</f>
        <v>77505.917049006544</v>
      </c>
      <c r="M32" s="31">
        <f>IF($B32=0,0, (INDEX(Option2!M$106:M$117, MATCH($D32, Option2!$G$106:$G$117,0)))*conv_2026*M$7)</f>
        <v>82970.977738395697</v>
      </c>
      <c r="N32" s="31">
        <f>IF($B32=0,0, (INDEX(Option2!N$106:N$117, MATCH($D32, Option2!$G$106:$G$117,0)))*conv_2026*N$7)</f>
        <v>90534.591140143413</v>
      </c>
      <c r="O32" s="31">
        <f>IF($B32=0,0, (INDEX(Option2!O$106:O$117, MATCH($D32, Option2!$G$106:$G$117,0)))*conv_2026*O$7)</f>
        <v>104964.39638821404</v>
      </c>
      <c r="P32" s="31">
        <f>IF($B32=0,0, (INDEX(Option2!P$106:P$117, MATCH($D32, Option2!$G$106:$G$117,0)))*conv_2026*P$7)</f>
        <v>121132.46234562623</v>
      </c>
      <c r="Q32" s="31">
        <f>IF($B32=0,0, (INDEX(Option2!Q$106:Q$117, MATCH($D32, Option2!$G$106:$G$117,0)))*conv_2026*Q$7)</f>
        <v>128518.57774153996</v>
      </c>
      <c r="R32" s="31">
        <f>IF($B32=0,0, (INDEX(Option2!R$106:R$117, MATCH($D32, Option2!$G$106:$G$117,0)))*conv_2026*R$7)</f>
        <v>133050.55269195023</v>
      </c>
      <c r="S32" s="31">
        <f>IF($B32=0,0, (INDEX(Option2!S$106:S$117, MATCH($D32, Option2!$G$106:$G$117,0)))*conv_2026*S$7)</f>
        <v>137660.63004414941</v>
      </c>
      <c r="T32" s="31">
        <f>IF($B32=0,0, (INDEX(Option2!T$106:T$117, MATCH($D32, Option2!$G$106:$G$117,0)))*conv_2026*T$7)</f>
        <v>142328.55461642781</v>
      </c>
      <c r="U32" s="31">
        <f>IF($B32=0,0, (INDEX(Option2!U$106:U$117, MATCH($D32, Option2!$G$106:$G$117,0)))*conv_2026*U$7)</f>
        <v>147039.49278616029</v>
      </c>
      <c r="V32" s="31">
        <f>IF($B32=0,0, (INDEX(Option2!V$106:V$117, MATCH($D32, Option2!$G$106:$G$117,0)))*conv_2026*V$7)</f>
        <v>151782.2756670058</v>
      </c>
      <c r="W32" s="31">
        <f>IF($B32=0,0, (INDEX(Option2!W$106:W$117, MATCH($D32, Option2!$G$106:$G$117,0)))*conv_2026*W$7)</f>
        <v>156548.31307630919</v>
      </c>
      <c r="X32" s="31">
        <f>IF($B32=0,0, (INDEX(Option2!X$106:X$117, MATCH($D32, Option2!$G$106:$G$117,0)))*conv_2026*X$7)</f>
        <v>161330.88771213577</v>
      </c>
      <c r="Y32" s="31">
        <f>IF($B32=0,0, (INDEX(Option2!Y$106:Y$117, MATCH($D32, Option2!$G$106:$G$117,0)))*conv_2026*Y$7)</f>
        <v>166124.67763765063</v>
      </c>
      <c r="Z32" s="31">
        <f>IF($B32=0,0, (INDEX(Option2!Z$106:Z$117, MATCH($D32, Option2!$G$106:$G$117,0)))*conv_2026*Z$7)</f>
        <v>170925.42243153378</v>
      </c>
      <c r="AA32" s="31">
        <f>IF($B32=0,0, (INDEX(Option2!AA$106:AA$117, MATCH($D32, Option2!$G$106:$G$117,0)))*conv_2026*AA$7)</f>
        <v>175729.68331716786</v>
      </c>
      <c r="AB32" s="31">
        <f>IF($B32=0,0, (INDEX(Option2!AB$106:AB$117, MATCH($D32, Option2!$G$106:$G$117,0)))*conv_2026*AB$7)</f>
        <v>180534.66680630573</v>
      </c>
      <c r="AC32" s="31">
        <f>IF($B32=0,0, (INDEX(Option2!AC$106:AC$117, MATCH($D32, Option2!$G$106:$G$117,0)))*conv_2026*AC$7)</f>
        <v>185338.09247773845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438003.96665791736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-118165.40237192543</v>
      </c>
      <c r="L33" s="31">
        <f>IF($B33=0,0, (INDEX(Option2!L$106:L$117, MATCH($D33, Option2!$G$106:$G$117,0)))*conv_2026*L$7)</f>
        <v>-1039.9237082267011</v>
      </c>
      <c r="M33" s="31">
        <f>IF($B33=0,0, (INDEX(Option2!M$106:M$117, MATCH($D33, Option2!$G$106:$G$117,0)))*conv_2026*M$7)</f>
        <v>3431.489583091703</v>
      </c>
      <c r="N33" s="31">
        <f>IF($B33=0,0, (INDEX(Option2!N$106:N$117, MATCH($D33, Option2!$G$106:$G$117,0)))*conv_2026*N$7)</f>
        <v>9619.9005481580098</v>
      </c>
      <c r="O33" s="31">
        <f>IF($B33=0,0, (INDEX(Option2!O$106:O$117, MATCH($D33, Option2!$G$106:$G$117,0)))*conv_2026*O$7)</f>
        <v>21426.104842033972</v>
      </c>
      <c r="P33" s="31">
        <f>IF($B33=0,0, (INDEX(Option2!P$106:P$117, MATCH($D33, Option2!$G$106:$G$117,0)))*conv_2026*P$7)</f>
        <v>34654.522443553047</v>
      </c>
      <c r="Q33" s="31">
        <f>IF($B33=0,0, (INDEX(Option2!Q$106:Q$117, MATCH($D33, Option2!$G$106:$G$117,0)))*conv_2026*Q$7)</f>
        <v>40697.707767482461</v>
      </c>
      <c r="R33" s="31">
        <f>IF($B33=0,0, (INDEX(Option2!R$106:R$117, MATCH($D33, Option2!$G$106:$G$117,0)))*conv_2026*R$7)</f>
        <v>44405.687272363568</v>
      </c>
      <c r="S33" s="31">
        <f>IF($B33=0,0, (INDEX(Option2!S$106:S$117, MATCH($D33, Option2!$G$106:$G$117,0)))*conv_2026*S$7)</f>
        <v>48177.568742344731</v>
      </c>
      <c r="T33" s="31">
        <f>IF($B33=0,0, (INDEX(Option2!T$106:T$117, MATCH($D33, Option2!$G$106:$G$117,0)))*conv_2026*T$7)</f>
        <v>51996.779756027056</v>
      </c>
      <c r="U33" s="31">
        <f>IF($B33=0,0, (INDEX(Option2!U$106:U$117, MATCH($D33, Option2!$G$106:$G$117,0)))*conv_2026*U$7)</f>
        <v>55851.1837130809</v>
      </c>
      <c r="V33" s="31">
        <f>IF($B33=0,0, (INDEX(Option2!V$106:V$117, MATCH($D33, Option2!$G$106:$G$117,0)))*conv_2026*V$7)</f>
        <v>59731.642433772671</v>
      </c>
      <c r="W33" s="31">
        <f>IF($B33=0,0, (INDEX(Option2!W$106:W$117, MATCH($D33, Option2!$G$106:$G$117,0)))*conv_2026*W$7)</f>
        <v>63631.127586839124</v>
      </c>
      <c r="X33" s="31">
        <f>IF($B33=0,0, (INDEX(Option2!X$106:X$117, MATCH($D33, Option2!$G$106:$G$117,0)))*conv_2026*X$7)</f>
        <v>67544.143197969926</v>
      </c>
      <c r="Y33" s="31">
        <f>IF($B33=0,0, (INDEX(Option2!Y$106:Y$117, MATCH($D33, Option2!$G$106:$G$117,0)))*conv_2026*Y$7)</f>
        <v>71466.334955209371</v>
      </c>
      <c r="Z33" s="31">
        <f>IF($B33=0,0, (INDEX(Option2!Z$106:Z$117, MATCH($D33, Option2!$G$106:$G$117,0)))*conv_2026*Z$7)</f>
        <v>75394.21705929561</v>
      </c>
      <c r="AA33" s="31">
        <f>IF($B33=0,0, (INDEX(Option2!AA$106:AA$117, MATCH($D33, Option2!$G$106:$G$117,0)))*conv_2026*AA$7)</f>
        <v>79324.975965723483</v>
      </c>
      <c r="AB33" s="31">
        <f>IF($B33=0,0, (INDEX(Option2!AB$106:AB$117, MATCH($D33, Option2!$G$106:$G$117,0)))*conv_2026*AB$7)</f>
        <v>83256.32609319991</v>
      </c>
      <c r="AC33" s="31">
        <f>IF($B33=0,0, (INDEX(Option2!AC$106:AC$117, MATCH($D33, Option2!$G$106:$G$117,0)))*conv_2026*AC$7)</f>
        <v>87186.401642553916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-1876.067484653835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-129981.94260911796</v>
      </c>
      <c r="L34" s="31">
        <f>IF($B34=0,0, (INDEX(Option2!L$106:L$117, MATCH($D34, Option2!$G$106:$G$117,0)))*conv_2026*L$7)</f>
        <v>-36489.544419804341</v>
      </c>
      <c r="M34" s="31">
        <f>IF($B34=0,0, (INDEX(Option2!M$106:M$117, MATCH($D34, Option2!$G$106:$G$117,0)))*conv_2026*M$7)</f>
        <v>-32018.131128485915</v>
      </c>
      <c r="N34" s="31">
        <f>IF($B34=0,0, (INDEX(Option2!N$106:N$117, MATCH($D34, Option2!$G$106:$G$117,0)))*conv_2026*N$7)</f>
        <v>-25829.720163419617</v>
      </c>
      <c r="O34" s="31">
        <f>IF($B34=0,0, (INDEX(Option2!O$106:O$117, MATCH($D34, Option2!$G$106:$G$117,0)))*conv_2026*O$7)</f>
        <v>-14023.515869543655</v>
      </c>
      <c r="P34" s="31">
        <f>IF($B34=0,0, (INDEX(Option2!P$106:P$117, MATCH($D34, Option2!$G$106:$G$117,0)))*conv_2026*P$7)</f>
        <v>-795.09826802457724</v>
      </c>
      <c r="Q34" s="31">
        <f>IF($B34=0,0, (INDEX(Option2!Q$106:Q$117, MATCH($D34, Option2!$G$106:$G$117,0)))*conv_2026*Q$7)</f>
        <v>5248.0870559048362</v>
      </c>
      <c r="R34" s="31">
        <f>IF($B34=0,0, (INDEX(Option2!R$106:R$117, MATCH($D34, Option2!$G$106:$G$117,0)))*conv_2026*R$7)</f>
        <v>8956.0665607859301</v>
      </c>
      <c r="S34" s="31">
        <f>IF($B34=0,0, (INDEX(Option2!S$106:S$117, MATCH($D34, Option2!$G$106:$G$117,0)))*conv_2026*S$7)</f>
        <v>12727.948030767106</v>
      </c>
      <c r="T34" s="31">
        <f>IF($B34=0,0, (INDEX(Option2!T$106:T$117, MATCH($D34, Option2!$G$106:$G$117,0)))*conv_2026*T$7)</f>
        <v>16547.159044449429</v>
      </c>
      <c r="U34" s="31">
        <f>IF($B34=0,0, (INDEX(Option2!U$106:U$117, MATCH($D34, Option2!$G$106:$G$117,0)))*conv_2026*U$7)</f>
        <v>20401.563001503266</v>
      </c>
      <c r="V34" s="31">
        <f>IF($B34=0,0, (INDEX(Option2!V$106:V$117, MATCH($D34, Option2!$G$106:$G$117,0)))*conv_2026*V$7)</f>
        <v>24282.021722195033</v>
      </c>
      <c r="W34" s="31">
        <f>IF($B34=0,0, (INDEX(Option2!W$106:W$117, MATCH($D34, Option2!$G$106:$G$117,0)))*conv_2026*W$7)</f>
        <v>28181.506875261493</v>
      </c>
      <c r="X34" s="31">
        <f>IF($B34=0,0, (INDEX(Option2!X$106:X$117, MATCH($D34, Option2!$G$106:$G$117,0)))*conv_2026*X$7)</f>
        <v>32094.522486392303</v>
      </c>
      <c r="Y34" s="31">
        <f>IF($B34=0,0, (INDEX(Option2!Y$106:Y$117, MATCH($D34, Option2!$G$106:$G$117,0)))*conv_2026*Y$7)</f>
        <v>36016.714243631759</v>
      </c>
      <c r="Z34" s="31">
        <f>IF($B34=0,0, (INDEX(Option2!Z$106:Z$117, MATCH($D34, Option2!$G$106:$G$117,0)))*conv_2026*Z$7)</f>
        <v>39944.596347717983</v>
      </c>
      <c r="AA34" s="31">
        <f>IF($B34=0,0, (INDEX(Option2!AA$106:AA$117, MATCH($D34, Option2!$G$106:$G$117,0)))*conv_2026*AA$7)</f>
        <v>43875.355254145856</v>
      </c>
      <c r="AB34" s="31">
        <f>IF($B34=0,0, (INDEX(Option2!AB$106:AB$117, MATCH($D34, Option2!$G$106:$G$117,0)))*conv_2026*AB$7)</f>
        <v>47806.705381622283</v>
      </c>
      <c r="AC34" s="31">
        <f>IF($B34=0,0, (INDEX(Option2!AC$106:AC$117, MATCH($D34, Option2!$G$106:$G$117,0)))*conv_2026*AC$7)</f>
        <v>51736.780930976296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975426.66755609808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-118165.40237192543</v>
      </c>
      <c r="L35" s="31">
        <f>IF($B35=0,0, (INDEX(Option2!L$106:L$117, MATCH($D35, Option2!$G$106:$G$117,0)))*conv_2026*L$7)</f>
        <v>38232.996670389919</v>
      </c>
      <c r="M35" s="31">
        <f>IF($B35=0,0, (INDEX(Option2!M$106:M$117, MATCH($D35, Option2!$G$106:$G$117,0)))*conv_2026*M$7)</f>
        <v>43201.233660743703</v>
      </c>
      <c r="N35" s="31">
        <f>IF($B35=0,0, (INDEX(Option2!N$106:N$117, MATCH($D35, Option2!$G$106:$G$117,0)))*conv_2026*N$7)</f>
        <v>50077.245844150711</v>
      </c>
      <c r="O35" s="31">
        <f>IF($B35=0,0, (INDEX(Option2!O$106:O$117, MATCH($D35, Option2!$G$106:$G$117,0)))*conv_2026*O$7)</f>
        <v>63195.250615124001</v>
      </c>
      <c r="P35" s="31">
        <f>IF($B35=0,0, (INDEX(Option2!P$106:P$117, MATCH($D35, Option2!$G$106:$G$117,0)))*conv_2026*P$7)</f>
        <v>77893.492394589644</v>
      </c>
      <c r="Q35" s="31">
        <f>IF($B35=0,0, (INDEX(Option2!Q$106:Q$117, MATCH($D35, Option2!$G$106:$G$117,0)))*conv_2026*Q$7)</f>
        <v>84608.142754511209</v>
      </c>
      <c r="R35" s="31">
        <f>IF($B35=0,0, (INDEX(Option2!R$106:R$117, MATCH($D35, Option2!$G$106:$G$117,0)))*conv_2026*R$7)</f>
        <v>88728.119982156888</v>
      </c>
      <c r="S35" s="31">
        <f>IF($B35=0,0, (INDEX(Option2!S$106:S$117, MATCH($D35, Option2!$G$106:$G$117,0)))*conv_2026*S$7)</f>
        <v>92919.099393247074</v>
      </c>
      <c r="T35" s="31">
        <f>IF($B35=0,0, (INDEX(Option2!T$106:T$117, MATCH($D35, Option2!$G$106:$G$117,0)))*conv_2026*T$7)</f>
        <v>97162.667186227423</v>
      </c>
      <c r="U35" s="31">
        <f>IF($B35=0,0, (INDEX(Option2!U$106:U$117, MATCH($D35, Option2!$G$106:$G$117,0)))*conv_2026*U$7)</f>
        <v>101445.33824962059</v>
      </c>
      <c r="V35" s="31">
        <f>IF($B35=0,0, (INDEX(Option2!V$106:V$117, MATCH($D35, Option2!$G$106:$G$117,0)))*conv_2026*V$7)</f>
        <v>105756.95905038923</v>
      </c>
      <c r="W35" s="31">
        <f>IF($B35=0,0, (INDEX(Option2!W$106:W$117, MATCH($D35, Option2!$G$106:$G$117,0)))*conv_2026*W$7)</f>
        <v>110089.72033157416</v>
      </c>
      <c r="X35" s="31">
        <f>IF($B35=0,0, (INDEX(Option2!X$106:X$117, MATCH($D35, Option2!$G$106:$G$117,0)))*conv_2026*X$7)</f>
        <v>114437.51545505285</v>
      </c>
      <c r="Y35" s="31">
        <f>IF($B35=0,0, (INDEX(Option2!Y$106:Y$117, MATCH($D35, Option2!$G$106:$G$117,0)))*conv_2026*Y$7)</f>
        <v>118795.50629643</v>
      </c>
      <c r="Z35" s="31">
        <f>IF($B35=0,0, (INDEX(Option2!Z$106:Z$117, MATCH($D35, Option2!$G$106:$G$117,0)))*conv_2026*Z$7)</f>
        <v>123159.8197454147</v>
      </c>
      <c r="AA35" s="31">
        <f>IF($B35=0,0, (INDEX(Option2!AA$106:AA$117, MATCH($D35, Option2!$G$106:$G$117,0)))*conv_2026*AA$7)</f>
        <v>127527.32964144569</v>
      </c>
      <c r="AB35" s="31">
        <f>IF($B35=0,0, (INDEX(Option2!AB$106:AB$117, MATCH($D35, Option2!$G$106:$G$117,0)))*conv_2026*AB$7)</f>
        <v>131895.49644975283</v>
      </c>
      <c r="AC35" s="31">
        <f>IF($B35=0,0, (INDEX(Option2!AC$106:AC$117, MATCH($D35, Option2!$G$106:$G$117,0)))*conv_2026*AC$7)</f>
        <v>136262.24706014618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975426.66755609808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-118165.40237192543</v>
      </c>
      <c r="L36" s="31">
        <f>IF($B36=0,0, (INDEX(Option2!L$106:L$117, MATCH($D36, Option2!$G$106:$G$117,0)))*conv_2026*L$7)</f>
        <v>38232.996670389919</v>
      </c>
      <c r="M36" s="31">
        <f>IF($B36=0,0, (INDEX(Option2!M$106:M$117, MATCH($D36, Option2!$G$106:$G$117,0)))*conv_2026*M$7)</f>
        <v>43201.233660743703</v>
      </c>
      <c r="N36" s="31">
        <f>IF($B36=0,0, (INDEX(Option2!N$106:N$117, MATCH($D36, Option2!$G$106:$G$117,0)))*conv_2026*N$7)</f>
        <v>50077.245844150711</v>
      </c>
      <c r="O36" s="31">
        <f>IF($B36=0,0, (INDEX(Option2!O$106:O$117, MATCH($D36, Option2!$G$106:$G$117,0)))*conv_2026*O$7)</f>
        <v>63195.250615124001</v>
      </c>
      <c r="P36" s="31">
        <f>IF($B36=0,0, (INDEX(Option2!P$106:P$117, MATCH($D36, Option2!$G$106:$G$117,0)))*conv_2026*P$7)</f>
        <v>77893.492394589644</v>
      </c>
      <c r="Q36" s="31">
        <f>IF($B36=0,0, (INDEX(Option2!Q$106:Q$117, MATCH($D36, Option2!$G$106:$G$117,0)))*conv_2026*Q$7)</f>
        <v>84608.142754511209</v>
      </c>
      <c r="R36" s="31">
        <f>IF($B36=0,0, (INDEX(Option2!R$106:R$117, MATCH($D36, Option2!$G$106:$G$117,0)))*conv_2026*R$7)</f>
        <v>88728.119982156888</v>
      </c>
      <c r="S36" s="31">
        <f>IF($B36=0,0, (INDEX(Option2!S$106:S$117, MATCH($D36, Option2!$G$106:$G$117,0)))*conv_2026*S$7)</f>
        <v>92919.099393247074</v>
      </c>
      <c r="T36" s="31">
        <f>IF($B36=0,0, (INDEX(Option2!T$106:T$117, MATCH($D36, Option2!$G$106:$G$117,0)))*conv_2026*T$7)</f>
        <v>97162.667186227423</v>
      </c>
      <c r="U36" s="31">
        <f>IF($B36=0,0, (INDEX(Option2!U$106:U$117, MATCH($D36, Option2!$G$106:$G$117,0)))*conv_2026*U$7)</f>
        <v>101445.33824962059</v>
      </c>
      <c r="V36" s="31">
        <f>IF($B36=0,0, (INDEX(Option2!V$106:V$117, MATCH($D36, Option2!$G$106:$G$117,0)))*conv_2026*V$7)</f>
        <v>105756.95905038923</v>
      </c>
      <c r="W36" s="31">
        <f>IF($B36=0,0, (INDEX(Option2!W$106:W$117, MATCH($D36, Option2!$G$106:$G$117,0)))*conv_2026*W$7)</f>
        <v>110089.72033157416</v>
      </c>
      <c r="X36" s="31">
        <f>IF($B36=0,0, (INDEX(Option2!X$106:X$117, MATCH($D36, Option2!$G$106:$G$117,0)))*conv_2026*X$7)</f>
        <v>114437.51545505285</v>
      </c>
      <c r="Y36" s="31">
        <f>IF($B36=0,0, (INDEX(Option2!Y$106:Y$117, MATCH($D36, Option2!$G$106:$G$117,0)))*conv_2026*Y$7)</f>
        <v>118795.50629643</v>
      </c>
      <c r="Z36" s="31">
        <f>IF($B36=0,0, (INDEX(Option2!Z$106:Z$117, MATCH($D36, Option2!$G$106:$G$117,0)))*conv_2026*Z$7)</f>
        <v>123159.8197454147</v>
      </c>
      <c r="AA36" s="31">
        <f>IF($B36=0,0, (INDEX(Option2!AA$106:AA$117, MATCH($D36, Option2!$G$106:$G$117,0)))*conv_2026*AA$7)</f>
        <v>127527.32964144569</v>
      </c>
      <c r="AB36" s="31">
        <f>IF($B36=0,0, (INDEX(Option2!AB$106:AB$117, MATCH($D36, Option2!$G$106:$G$117,0)))*conv_2026*AB$7)</f>
        <v>131895.49644975283</v>
      </c>
      <c r="AC36" s="31">
        <f>IF($B36=0,0, (INDEX(Option2!AC$106:AC$117, MATCH($D36, Option2!$G$106:$G$117,0)))*conv_2026*AC$7)</f>
        <v>136262.24706014618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975426.66755609808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-118165.40237192543</v>
      </c>
      <c r="L37" s="31">
        <f>IF($B37=0,0, (INDEX(Option2!L$106:L$117, MATCH($D37, Option2!$G$106:$G$117,0)))*conv_2026*L$7)</f>
        <v>38232.996670389919</v>
      </c>
      <c r="M37" s="31">
        <f>IF($B37=0,0, (INDEX(Option2!M$106:M$117, MATCH($D37, Option2!$G$106:$G$117,0)))*conv_2026*M$7)</f>
        <v>43201.233660743703</v>
      </c>
      <c r="N37" s="31">
        <f>IF($B37=0,0, (INDEX(Option2!N$106:N$117, MATCH($D37, Option2!$G$106:$G$117,0)))*conv_2026*N$7)</f>
        <v>50077.245844150711</v>
      </c>
      <c r="O37" s="31">
        <f>IF($B37=0,0, (INDEX(Option2!O$106:O$117, MATCH($D37, Option2!$G$106:$G$117,0)))*conv_2026*O$7)</f>
        <v>63195.250615124001</v>
      </c>
      <c r="P37" s="31">
        <f>IF($B37=0,0, (INDEX(Option2!P$106:P$117, MATCH($D37, Option2!$G$106:$G$117,0)))*conv_2026*P$7)</f>
        <v>77893.492394589644</v>
      </c>
      <c r="Q37" s="31">
        <f>IF($B37=0,0, (INDEX(Option2!Q$106:Q$117, MATCH($D37, Option2!$G$106:$G$117,0)))*conv_2026*Q$7)</f>
        <v>84608.142754511209</v>
      </c>
      <c r="R37" s="31">
        <f>IF($B37=0,0, (INDEX(Option2!R$106:R$117, MATCH($D37, Option2!$G$106:$G$117,0)))*conv_2026*R$7)</f>
        <v>88728.119982156888</v>
      </c>
      <c r="S37" s="31">
        <f>IF($B37=0,0, (INDEX(Option2!S$106:S$117, MATCH($D37, Option2!$G$106:$G$117,0)))*conv_2026*S$7)</f>
        <v>92919.099393247074</v>
      </c>
      <c r="T37" s="31">
        <f>IF($B37=0,0, (INDEX(Option2!T$106:T$117, MATCH($D37, Option2!$G$106:$G$117,0)))*conv_2026*T$7)</f>
        <v>97162.667186227423</v>
      </c>
      <c r="U37" s="31">
        <f>IF($B37=0,0, (INDEX(Option2!U$106:U$117, MATCH($D37, Option2!$G$106:$G$117,0)))*conv_2026*U$7)</f>
        <v>101445.33824962059</v>
      </c>
      <c r="V37" s="31">
        <f>IF($B37=0,0, (INDEX(Option2!V$106:V$117, MATCH($D37, Option2!$G$106:$G$117,0)))*conv_2026*V$7)</f>
        <v>105756.95905038923</v>
      </c>
      <c r="W37" s="31">
        <f>IF($B37=0,0, (INDEX(Option2!W$106:W$117, MATCH($D37, Option2!$G$106:$G$117,0)))*conv_2026*W$7)</f>
        <v>110089.72033157416</v>
      </c>
      <c r="X37" s="31">
        <f>IF($B37=0,0, (INDEX(Option2!X$106:X$117, MATCH($D37, Option2!$G$106:$G$117,0)))*conv_2026*X$7)</f>
        <v>114437.51545505285</v>
      </c>
      <c r="Y37" s="31">
        <f>IF($B37=0,0, (INDEX(Option2!Y$106:Y$117, MATCH($D37, Option2!$G$106:$G$117,0)))*conv_2026*Y$7)</f>
        <v>118795.50629643</v>
      </c>
      <c r="Z37" s="31">
        <f>IF($B37=0,0, (INDEX(Option2!Z$106:Z$117, MATCH($D37, Option2!$G$106:$G$117,0)))*conv_2026*Z$7)</f>
        <v>123159.8197454147</v>
      </c>
      <c r="AA37" s="31">
        <f>IF($B37=0,0, (INDEX(Option2!AA$106:AA$117, MATCH($D37, Option2!$G$106:$G$117,0)))*conv_2026*AA$7)</f>
        <v>127527.32964144569</v>
      </c>
      <c r="AB37" s="31">
        <f>IF($B37=0,0, (INDEX(Option2!AB$106:AB$117, MATCH($D37, Option2!$G$106:$G$117,0)))*conv_2026*AB$7)</f>
        <v>131895.49644975283</v>
      </c>
      <c r="AC37" s="31">
        <f>IF($B37=0,0, (INDEX(Option2!AC$106:AC$117, MATCH($D37, Option2!$G$106:$G$117,0)))*conv_2026*AC$7)</f>
        <v>136262.24706014618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-8718.3091385647203</v>
      </c>
      <c r="L40" s="31">
        <f>Consol!L50</f>
        <v>-7754.2037094904299</v>
      </c>
      <c r="M40" s="31">
        <f>Consol!M50</f>
        <v>-7005.5544419274884</v>
      </c>
      <c r="N40" s="31">
        <f>Consol!N50</f>
        <v>-6163.6387478908291</v>
      </c>
      <c r="O40" s="31">
        <f>Consol!O50</f>
        <v>-4959.7015284653025</v>
      </c>
      <c r="P40" s="31">
        <f>Consol!P50</f>
        <v>-3638.1814636346971</v>
      </c>
      <c r="Q40" s="31">
        <f>Consol!Q50</f>
        <v>-2768.480223759776</v>
      </c>
      <c r="R40" s="31">
        <f>Consol!R50</f>
        <v>-2048.5730708529227</v>
      </c>
      <c r="S40" s="31">
        <f>Consol!S50</f>
        <v>-1319.5335496908665</v>
      </c>
      <c r="T40" s="31">
        <f>Consol!T50</f>
        <v>-581.3992773751379</v>
      </c>
      <c r="U40" s="31">
        <f>Consol!U50</f>
        <v>67074.862661967956</v>
      </c>
      <c r="V40" s="31">
        <f>Consol!V50</f>
        <v>67831.077833352319</v>
      </c>
      <c r="W40" s="31">
        <f>Consol!W50</f>
        <v>68596.281179492347</v>
      </c>
      <c r="X40" s="31">
        <f>Consol!X50</f>
        <v>69370.439141113457</v>
      </c>
      <c r="Y40" s="31">
        <f>Consol!Y50</f>
        <v>70153.519084244137</v>
      </c>
      <c r="Z40" s="31">
        <f>Consol!Z50</f>
        <v>70945.489268221238</v>
      </c>
      <c r="AA40" s="31">
        <f>Consol!AA50</f>
        <v>71746.318815314051</v>
      </c>
      <c r="AB40" s="31">
        <f>Consol!AB50</f>
        <v>72555.977681864635</v>
      </c>
      <c r="AC40" s="31">
        <f>Consol!AC50</f>
        <v>73374.436630839322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189</v>
      </c>
      <c r="D42" s="253" t="str">
        <f>A42&amp;B42</f>
        <v>Option 3NPV</v>
      </c>
      <c r="E42" s="254"/>
      <c r="F42" s="31">
        <f t="shared" ref="F42:F51" si="4">SUMPRODUCT($H42:$AG42, $H$5:$AG$5)</f>
        <v>320946.18523470458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-8718.3091385647149</v>
      </c>
      <c r="L42" s="31">
        <f>(INDEX(Option3!L$106:L$117, MATCH($D42, Option3!$G$106:$G$117,0)))*conv_2026*L$7</f>
        <v>-7754.2037094904235</v>
      </c>
      <c r="M42" s="31">
        <f>(INDEX(Option3!M$106:M$117, MATCH($D42, Option3!$G$106:$G$117,0)))*conv_2026*M$7</f>
        <v>-7005.5544419274838</v>
      </c>
      <c r="N42" s="31">
        <f>(INDEX(Option3!N$106:N$117, MATCH($D42, Option3!$G$106:$G$117,0)))*conv_2026*N$7</f>
        <v>-6163.6387478908273</v>
      </c>
      <c r="O42" s="31">
        <f>(INDEX(Option3!O$106:O$117, MATCH($D42, Option3!$G$106:$G$117,0)))*conv_2026*O$7</f>
        <v>-4959.7015284652971</v>
      </c>
      <c r="P42" s="31">
        <f>(INDEX(Option3!P$106:P$117, MATCH($D42, Option3!$G$106:$G$117,0)))*conv_2026*P$7</f>
        <v>-3638.1814636346962</v>
      </c>
      <c r="Q42" s="31">
        <f>(INDEX(Option3!Q$106:Q$117, MATCH($D42, Option3!$G$106:$G$117,0)))*conv_2026*Q$7</f>
        <v>-2768.4802237597755</v>
      </c>
      <c r="R42" s="31">
        <f>(INDEX(Option3!R$106:R$117, MATCH($D42, Option3!$G$106:$G$117,0)))*conv_2026*R$7</f>
        <v>-2048.5730708529159</v>
      </c>
      <c r="S42" s="31">
        <f>(INDEX(Option3!S$106:S$117, MATCH($D42, Option3!$G$106:$G$117,0)))*conv_2026*S$7</f>
        <v>-1319.5335496908694</v>
      </c>
      <c r="T42" s="31">
        <f>(INDEX(Option3!T$106:T$117, MATCH($D42, Option3!$G$106:$G$117,0)))*conv_2026*T$7</f>
        <v>-581.39927737514097</v>
      </c>
      <c r="U42" s="31">
        <f>(INDEX(Option3!U$106:U$117, MATCH($D42, Option3!$G$106:$G$117,0)))*conv_2026*U$7</f>
        <v>67074.862661967956</v>
      </c>
      <c r="V42" s="31">
        <f>(INDEX(Option3!V$106:V$117, MATCH($D42, Option3!$G$106:$G$117,0)))*conv_2026*V$7</f>
        <v>67831.077833352319</v>
      </c>
      <c r="W42" s="31">
        <f>(INDEX(Option3!W$106:W$117, MATCH($D42, Option3!$G$106:$G$117,0)))*conv_2026*W$7</f>
        <v>68596.281179492347</v>
      </c>
      <c r="X42" s="31">
        <f>(INDEX(Option3!X$106:X$117, MATCH($D42, Option3!$G$106:$G$117,0)))*conv_2026*X$7</f>
        <v>69370.439141113457</v>
      </c>
      <c r="Y42" s="31">
        <f>(INDEX(Option3!Y$106:Y$117, MATCH($D42, Option3!$G$106:$G$117,0)))*conv_2026*Y$7</f>
        <v>70153.519084244137</v>
      </c>
      <c r="Z42" s="31">
        <f>(INDEX(Option3!Z$106:Z$117, MATCH($D42, Option3!$G$106:$G$117,0)))*conv_2026*Z$7</f>
        <v>70945.489268221238</v>
      </c>
      <c r="AA42" s="31">
        <f>(INDEX(Option3!AA$106:AA$117, MATCH($D42, Option3!$G$106:$G$117,0)))*conv_2026*AA$7</f>
        <v>71746.318815314051</v>
      </c>
      <c r="AB42" s="31">
        <f>(INDEX(Option3!AB$106:AB$117, MATCH($D42, Option3!$G$106:$G$117,0)))*conv_2026*AB$7</f>
        <v>72555.977681864635</v>
      </c>
      <c r="AC42" s="31">
        <f>(INDEX(Option3!AC$106:AC$117, MATCH($D42, Option3!$G$106:$G$117,0)))*conv_2026*AC$7</f>
        <v>73374.436630839322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268099.15862691501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-15409.216084667216</v>
      </c>
      <c r="L44" s="31">
        <f>(INDEX(Option3!L$106:L$117, MATCH($D44, Option3!$G$106:$G$117,0)))*conv_2026*L$7</f>
        <v>-14445.110655592924</v>
      </c>
      <c r="M44" s="31">
        <f>(INDEX(Option3!M$106:M$117, MATCH($D44, Option3!$G$106:$G$117,0)))*conv_2026*M$7</f>
        <v>-13696.461388029984</v>
      </c>
      <c r="N44" s="31">
        <f>(INDEX(Option3!N$106:N$117, MATCH($D44, Option3!$G$106:$G$117,0)))*conv_2026*N$7</f>
        <v>-12854.545693993328</v>
      </c>
      <c r="O44" s="31">
        <f>(INDEX(Option3!O$106:O$117, MATCH($D44, Option3!$G$106:$G$117,0)))*conv_2026*O$7</f>
        <v>-11650.608474567798</v>
      </c>
      <c r="P44" s="31">
        <f>(INDEX(Option3!P$106:P$117, MATCH($D44, Option3!$G$106:$G$117,0)))*conv_2026*P$7</f>
        <v>-10329.088409737196</v>
      </c>
      <c r="Q44" s="31">
        <f>(INDEX(Option3!Q$106:Q$117, MATCH($D44, Option3!$G$106:$G$117,0)))*conv_2026*Q$7</f>
        <v>-9459.3871698622752</v>
      </c>
      <c r="R44" s="31">
        <f>(INDEX(Option3!R$106:R$117, MATCH($D44, Option3!$G$106:$G$117,0)))*conv_2026*R$7</f>
        <v>-8739.4800169554164</v>
      </c>
      <c r="S44" s="31">
        <f>(INDEX(Option3!S$106:S$117, MATCH($D44, Option3!$G$106:$G$117,0)))*conv_2026*S$7</f>
        <v>-8010.4404957933684</v>
      </c>
      <c r="T44" s="31">
        <f>(INDEX(Option3!T$106:T$117, MATCH($D44, Option3!$G$106:$G$117,0)))*conv_2026*T$7</f>
        <v>-7272.3062234776407</v>
      </c>
      <c r="U44" s="31">
        <f>(INDEX(Option3!U$106:U$117, MATCH($D44, Option3!$G$106:$G$117,0)))*conv_2026*U$7</f>
        <v>67074.862661967956</v>
      </c>
      <c r="V44" s="31">
        <f>(INDEX(Option3!V$106:V$117, MATCH($D44, Option3!$G$106:$G$117,0)))*conv_2026*V$7</f>
        <v>67831.077833352319</v>
      </c>
      <c r="W44" s="31">
        <f>(INDEX(Option3!W$106:W$117, MATCH($D44, Option3!$G$106:$G$117,0)))*conv_2026*W$7</f>
        <v>68596.281179492347</v>
      </c>
      <c r="X44" s="31">
        <f>(INDEX(Option3!X$106:X$117, MATCH($D44, Option3!$G$106:$G$117,0)))*conv_2026*X$7</f>
        <v>69370.439141113457</v>
      </c>
      <c r="Y44" s="31">
        <f>(INDEX(Option3!Y$106:Y$117, MATCH($D44, Option3!$G$106:$G$117,0)))*conv_2026*Y$7</f>
        <v>70153.519084244137</v>
      </c>
      <c r="Z44" s="31">
        <f>(INDEX(Option3!Z$106:Z$117, MATCH($D44, Option3!$G$106:$G$117,0)))*conv_2026*Z$7</f>
        <v>70945.489268221238</v>
      </c>
      <c r="AA44" s="31">
        <f>(INDEX(Option3!AA$106:AA$117, MATCH($D44, Option3!$G$106:$G$117,0)))*conv_2026*AA$7</f>
        <v>71746.318815314051</v>
      </c>
      <c r="AB44" s="31">
        <f>(INDEX(Option3!AB$106:AB$117, MATCH($D44, Option3!$G$106:$G$117,0)))*conv_2026*AB$7</f>
        <v>72555.977681864635</v>
      </c>
      <c r="AC44" s="31">
        <f>(INDEX(Option3!AC$106:AC$117, MATCH($D44, Option3!$G$106:$G$117,0)))*conv_2026*AC$7</f>
        <v>73374.436630839322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373793.21184249409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-2027.4021924622152</v>
      </c>
      <c r="L45" s="31">
        <f>(INDEX(Option3!L$106:L$117, MATCH($D45, Option3!$G$106:$G$117,0)))*conv_2026*L$7</f>
        <v>-1063.2967633879243</v>
      </c>
      <c r="M45" s="31">
        <f>(INDEX(Option3!M$106:M$117, MATCH($D45, Option3!$G$106:$G$117,0)))*conv_2026*M$7</f>
        <v>-314.64749582498473</v>
      </c>
      <c r="N45" s="31">
        <f>(INDEX(Option3!N$106:N$117, MATCH($D45, Option3!$G$106:$G$117,0)))*conv_2026*N$7</f>
        <v>527.26819821167237</v>
      </c>
      <c r="O45" s="31">
        <f>(INDEX(Option3!O$106:O$117, MATCH($D45, Option3!$G$106:$G$117,0)))*conv_2026*O$7</f>
        <v>1731.2054176372028</v>
      </c>
      <c r="P45" s="31">
        <f>(INDEX(Option3!P$106:P$117, MATCH($D45, Option3!$G$106:$G$117,0)))*conv_2026*P$7</f>
        <v>3052.7254824678034</v>
      </c>
      <c r="Q45" s="31">
        <f>(INDEX(Option3!Q$106:Q$117, MATCH($D45, Option3!$G$106:$G$117,0)))*conv_2026*Q$7</f>
        <v>3922.4267223427241</v>
      </c>
      <c r="R45" s="31">
        <f>(INDEX(Option3!R$106:R$117, MATCH($D45, Option3!$G$106:$G$117,0)))*conv_2026*R$7</f>
        <v>4642.3338752495838</v>
      </c>
      <c r="S45" s="31">
        <f>(INDEX(Option3!S$106:S$117, MATCH($D45, Option3!$G$106:$G$117,0)))*conv_2026*S$7</f>
        <v>5371.37339641163</v>
      </c>
      <c r="T45" s="31">
        <f>(INDEX(Option3!T$106:T$117, MATCH($D45, Option3!$G$106:$G$117,0)))*conv_2026*T$7</f>
        <v>6109.5076687273586</v>
      </c>
      <c r="U45" s="31">
        <f>(INDEX(Option3!U$106:U$117, MATCH($D45, Option3!$G$106:$G$117,0)))*conv_2026*U$7</f>
        <v>67074.862661967956</v>
      </c>
      <c r="V45" s="31">
        <f>(INDEX(Option3!V$106:V$117, MATCH($D45, Option3!$G$106:$G$117,0)))*conv_2026*V$7</f>
        <v>67831.077833352319</v>
      </c>
      <c r="W45" s="31">
        <f>(INDEX(Option3!W$106:W$117, MATCH($D45, Option3!$G$106:$G$117,0)))*conv_2026*W$7</f>
        <v>68596.281179492347</v>
      </c>
      <c r="X45" s="31">
        <f>(INDEX(Option3!X$106:X$117, MATCH($D45, Option3!$G$106:$G$117,0)))*conv_2026*X$7</f>
        <v>69370.439141113457</v>
      </c>
      <c r="Y45" s="31">
        <f>(INDEX(Option3!Y$106:Y$117, MATCH($D45, Option3!$G$106:$G$117,0)))*conv_2026*Y$7</f>
        <v>70153.519084244137</v>
      </c>
      <c r="Z45" s="31">
        <f>(INDEX(Option3!Z$106:Z$117, MATCH($D45, Option3!$G$106:$G$117,0)))*conv_2026*Z$7</f>
        <v>70945.489268221238</v>
      </c>
      <c r="AA45" s="31">
        <f>(INDEX(Option3!AA$106:AA$117, MATCH($D45, Option3!$G$106:$G$117,0)))*conv_2026*AA$7</f>
        <v>71746.318815314051</v>
      </c>
      <c r="AB45" s="31">
        <f>(INDEX(Option3!AB$106:AB$117, MATCH($D45, Option3!$G$106:$G$117,0)))*conv_2026*AB$7</f>
        <v>72555.977681864635</v>
      </c>
      <c r="AC45" s="31">
        <f>(INDEX(Option3!AC$106:AC$117, MATCH($D45, Option3!$G$106:$G$117,0)))*conv_2026*AC$7</f>
        <v>73374.436630839322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405887.83036596444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-2899.2331063186866</v>
      </c>
      <c r="L46" s="31">
        <f>(INDEX(Option3!L$106:L$117, MATCH($D46, Option3!$G$106:$G$117,0)))*conv_2026*L$7</f>
        <v>-1838.7171343369666</v>
      </c>
      <c r="M46" s="31">
        <f>(INDEX(Option3!M$106:M$117, MATCH($D46, Option3!$G$106:$G$117,0)))*conv_2026*M$7</f>
        <v>-1015.2029400177336</v>
      </c>
      <c r="N46" s="31">
        <f>(INDEX(Option3!N$106:N$117, MATCH($D46, Option3!$G$106:$G$117,0)))*conv_2026*N$7</f>
        <v>-89.095676577410543</v>
      </c>
      <c r="O46" s="31">
        <f>(INDEX(Option3!O$106:O$117, MATCH($D46, Option3!$G$106:$G$117,0)))*conv_2026*O$7</f>
        <v>1235.2352647906728</v>
      </c>
      <c r="P46" s="31">
        <f>(INDEX(Option3!P$106:P$117, MATCH($D46, Option3!$G$106:$G$117,0)))*conv_2026*P$7</f>
        <v>2688.9073361043338</v>
      </c>
      <c r="Q46" s="31">
        <f>(INDEX(Option3!Q$106:Q$117, MATCH($D46, Option3!$G$106:$G$117,0)))*conv_2026*Q$7</f>
        <v>3645.5786999667462</v>
      </c>
      <c r="R46" s="31">
        <f>(INDEX(Option3!R$106:R$117, MATCH($D46, Option3!$G$106:$G$117,0)))*conv_2026*R$7</f>
        <v>4437.4765681642921</v>
      </c>
      <c r="S46" s="31">
        <f>(INDEX(Option3!S$106:S$117, MATCH($D46, Option3!$G$106:$G$117,0)))*conv_2026*S$7</f>
        <v>5239.4200414425422</v>
      </c>
      <c r="T46" s="31">
        <f>(INDEX(Option3!T$106:T$117, MATCH($D46, Option3!$G$106:$G$117,0)))*conv_2026*T$7</f>
        <v>6051.3677409898446</v>
      </c>
      <c r="U46" s="31">
        <f>(INDEX(Option3!U$106:U$117, MATCH($D46, Option3!$G$106:$G$117,0)))*conv_2026*U$7</f>
        <v>73782.348928164749</v>
      </c>
      <c r="V46" s="31">
        <f>(INDEX(Option3!V$106:V$117, MATCH($D46, Option3!$G$106:$G$117,0)))*conv_2026*V$7</f>
        <v>74614.185616687537</v>
      </c>
      <c r="W46" s="31">
        <f>(INDEX(Option3!W$106:W$117, MATCH($D46, Option3!$G$106:$G$117,0)))*conv_2026*W$7</f>
        <v>75455.909297441583</v>
      </c>
      <c r="X46" s="31">
        <f>(INDEX(Option3!X$106:X$117, MATCH($D46, Option3!$G$106:$G$117,0)))*conv_2026*X$7</f>
        <v>76307.483055224802</v>
      </c>
      <c r="Y46" s="31">
        <f>(INDEX(Option3!Y$106:Y$117, MATCH($D46, Option3!$G$106:$G$117,0)))*conv_2026*Y$7</f>
        <v>77168.870992668555</v>
      </c>
      <c r="Z46" s="31">
        <f>(INDEX(Option3!Z$106:Z$117, MATCH($D46, Option3!$G$106:$G$117,0)))*conv_2026*Z$7</f>
        <v>78040.038195043366</v>
      </c>
      <c r="AA46" s="31">
        <f>(INDEX(Option3!AA$106:AA$117, MATCH($D46, Option3!$G$106:$G$117,0)))*conv_2026*AA$7</f>
        <v>78920.950696845452</v>
      </c>
      <c r="AB46" s="31">
        <f>(INDEX(Option3!AB$106:AB$117, MATCH($D46, Option3!$G$106:$G$117,0)))*conv_2026*AB$7</f>
        <v>79811.57545005111</v>
      </c>
      <c r="AC46" s="31">
        <f>(INDEX(Option3!AC$106:AC$117, MATCH($D46, Option3!$G$106:$G$117,0)))*conv_2026*AC$7</f>
        <v>80711.88029392327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236004.54010344457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-14537.385170810743</v>
      </c>
      <c r="L47" s="31">
        <f>(INDEX(Option3!L$106:L$117, MATCH($D47, Option3!$G$106:$G$117,0)))*conv_2026*L$7</f>
        <v>-13669.690284643882</v>
      </c>
      <c r="M47" s="31">
        <f>(INDEX(Option3!M$106:M$117, MATCH($D47, Option3!$G$106:$G$117,0)))*conv_2026*M$7</f>
        <v>-12995.905943837233</v>
      </c>
      <c r="N47" s="31">
        <f>(INDEX(Option3!N$106:N$117, MATCH($D47, Option3!$G$106:$G$117,0)))*conv_2026*N$7</f>
        <v>-12238.181819204243</v>
      </c>
      <c r="O47" s="31">
        <f>(INDEX(Option3!O$106:O$117, MATCH($D47, Option3!$G$106:$G$117,0)))*conv_2026*O$7</f>
        <v>-11154.638321721266</v>
      </c>
      <c r="P47" s="31">
        <f>(INDEX(Option3!P$106:P$117, MATCH($D47, Option3!$G$106:$G$117,0)))*conv_2026*P$7</f>
        <v>-9965.2702633737263</v>
      </c>
      <c r="Q47" s="31">
        <f>(INDEX(Option3!Q$106:Q$117, MATCH($D47, Option3!$G$106:$G$117,0)))*conv_2026*Q$7</f>
        <v>-9182.5391474862954</v>
      </c>
      <c r="R47" s="31">
        <f>(INDEX(Option3!R$106:R$117, MATCH($D47, Option3!$G$106:$G$117,0)))*conv_2026*R$7</f>
        <v>-8534.6227098701238</v>
      </c>
      <c r="S47" s="31">
        <f>(INDEX(Option3!S$106:S$117, MATCH($D47, Option3!$G$106:$G$117,0)))*conv_2026*S$7</f>
        <v>-7878.4871408242816</v>
      </c>
      <c r="T47" s="31">
        <f>(INDEX(Option3!T$106:T$117, MATCH($D47, Option3!$G$106:$G$117,0)))*conv_2026*T$7</f>
        <v>-7214.1662957401268</v>
      </c>
      <c r="U47" s="31">
        <f>(INDEX(Option3!U$106:U$117, MATCH($D47, Option3!$G$106:$G$117,0)))*conv_2026*U$7</f>
        <v>60367.376395771164</v>
      </c>
      <c r="V47" s="31">
        <f>(INDEX(Option3!V$106:V$117, MATCH($D47, Option3!$G$106:$G$117,0)))*conv_2026*V$7</f>
        <v>61047.970050017087</v>
      </c>
      <c r="W47" s="31">
        <f>(INDEX(Option3!W$106:W$117, MATCH($D47, Option3!$G$106:$G$117,0)))*conv_2026*W$7</f>
        <v>61736.653061543126</v>
      </c>
      <c r="X47" s="31">
        <f>(INDEX(Option3!X$106:X$117, MATCH($D47, Option3!$G$106:$G$117,0)))*conv_2026*X$7</f>
        <v>62433.395227002111</v>
      </c>
      <c r="Y47" s="31">
        <f>(INDEX(Option3!Y$106:Y$117, MATCH($D47, Option3!$G$106:$G$117,0)))*conv_2026*Y$7</f>
        <v>63138.167175819726</v>
      </c>
      <c r="Z47" s="31">
        <f>(INDEX(Option3!Z$106:Z$117, MATCH($D47, Option3!$G$106:$G$117,0)))*conv_2026*Z$7</f>
        <v>63850.940341399117</v>
      </c>
      <c r="AA47" s="31">
        <f>(INDEX(Option3!AA$106:AA$117, MATCH($D47, Option3!$G$106:$G$117,0)))*conv_2026*AA$7</f>
        <v>64571.686933782643</v>
      </c>
      <c r="AB47" s="31">
        <f>(INDEX(Option3!AB$106:AB$117, MATCH($D47, Option3!$G$106:$G$117,0)))*conv_2026*AB$7</f>
        <v>65300.379913678174</v>
      </c>
      <c r="AC47" s="31">
        <f>(INDEX(Option3!AC$106:AC$117, MATCH($D47, Option3!$G$106:$G$117,0)))*conv_2026*AC$7</f>
        <v>66036.992967755388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183157.51349565503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-21228.292116913239</v>
      </c>
      <c r="L48" s="31">
        <f>(INDEX(Option3!L$106:L$117, MATCH($D48, Option3!$G$106:$G$117,0)))*conv_2026*L$7</f>
        <v>-20360.597230746378</v>
      </c>
      <c r="M48" s="31">
        <f>(INDEX(Option3!M$106:M$117, MATCH($D48, Option3!$G$106:$G$117,0)))*conv_2026*M$7</f>
        <v>-19686.812889939734</v>
      </c>
      <c r="N48" s="31">
        <f>(INDEX(Option3!N$106:N$117, MATCH($D48, Option3!$G$106:$G$117,0)))*conv_2026*N$7</f>
        <v>-18929.088765306744</v>
      </c>
      <c r="O48" s="31">
        <f>(INDEX(Option3!O$106:O$117, MATCH($D48, Option3!$G$106:$G$117,0)))*conv_2026*O$7</f>
        <v>-17845.545267823763</v>
      </c>
      <c r="P48" s="31">
        <f>(INDEX(Option3!P$106:P$117, MATCH($D48, Option3!$G$106:$G$117,0)))*conv_2026*P$7</f>
        <v>-16656.177209476227</v>
      </c>
      <c r="Q48" s="31">
        <f>(INDEX(Option3!Q$106:Q$117, MATCH($D48, Option3!$G$106:$G$117,0)))*conv_2026*Q$7</f>
        <v>-15873.446093588796</v>
      </c>
      <c r="R48" s="31">
        <f>(INDEX(Option3!R$106:R$117, MATCH($D48, Option3!$G$106:$G$117,0)))*conv_2026*R$7</f>
        <v>-15225.529655972625</v>
      </c>
      <c r="S48" s="31">
        <f>(INDEX(Option3!S$106:S$117, MATCH($D48, Option3!$G$106:$G$117,0)))*conv_2026*S$7</f>
        <v>-14569.394086926783</v>
      </c>
      <c r="T48" s="31">
        <f>(INDEX(Option3!T$106:T$117, MATCH($D48, Option3!$G$106:$G$117,0)))*conv_2026*T$7</f>
        <v>-13905.073241842627</v>
      </c>
      <c r="U48" s="31">
        <f>(INDEX(Option3!U$106:U$117, MATCH($D48, Option3!$G$106:$G$117,0)))*conv_2026*U$7</f>
        <v>60367.376395771164</v>
      </c>
      <c r="V48" s="31">
        <f>(INDEX(Option3!V$106:V$117, MATCH($D48, Option3!$G$106:$G$117,0)))*conv_2026*V$7</f>
        <v>61047.970050017087</v>
      </c>
      <c r="W48" s="31">
        <f>(INDEX(Option3!W$106:W$117, MATCH($D48, Option3!$G$106:$G$117,0)))*conv_2026*W$7</f>
        <v>61736.653061543126</v>
      </c>
      <c r="X48" s="31">
        <f>(INDEX(Option3!X$106:X$117, MATCH($D48, Option3!$G$106:$G$117,0)))*conv_2026*X$7</f>
        <v>62433.395227002111</v>
      </c>
      <c r="Y48" s="31">
        <f>(INDEX(Option3!Y$106:Y$117, MATCH($D48, Option3!$G$106:$G$117,0)))*conv_2026*Y$7</f>
        <v>63138.167175819726</v>
      </c>
      <c r="Z48" s="31">
        <f>(INDEX(Option3!Z$106:Z$117, MATCH($D48, Option3!$G$106:$G$117,0)))*conv_2026*Z$7</f>
        <v>63850.940341399117</v>
      </c>
      <c r="AA48" s="31">
        <f>(INDEX(Option3!AA$106:AA$117, MATCH($D48, Option3!$G$106:$G$117,0)))*conv_2026*AA$7</f>
        <v>64571.686933782643</v>
      </c>
      <c r="AB48" s="31">
        <f>(INDEX(Option3!AB$106:AB$117, MATCH($D48, Option3!$G$106:$G$117,0)))*conv_2026*AB$7</f>
        <v>65300.379913678174</v>
      </c>
      <c r="AC48" s="31">
        <f>(INDEX(Option3!AC$106:AC$117, MATCH($D48, Option3!$G$106:$G$117,0)))*conv_2026*AC$7</f>
        <v>66036.992967755388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320946.18523470458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-8718.3091385647149</v>
      </c>
      <c r="L49" s="31">
        <f>(INDEX(Option3!L$106:L$117, MATCH($D49, Option3!$G$106:$G$117,0)))*conv_2026*L$7</f>
        <v>-7754.2037094904235</v>
      </c>
      <c r="M49" s="31">
        <f>(INDEX(Option3!M$106:M$117, MATCH($D49, Option3!$G$106:$G$117,0)))*conv_2026*M$7</f>
        <v>-7005.5544419274838</v>
      </c>
      <c r="N49" s="31">
        <f>(INDEX(Option3!N$106:N$117, MATCH($D49, Option3!$G$106:$G$117,0)))*conv_2026*N$7</f>
        <v>-6163.6387478908273</v>
      </c>
      <c r="O49" s="31">
        <f>(INDEX(Option3!O$106:O$117, MATCH($D49, Option3!$G$106:$G$117,0)))*conv_2026*O$7</f>
        <v>-4959.7015284652971</v>
      </c>
      <c r="P49" s="31">
        <f>(INDEX(Option3!P$106:P$117, MATCH($D49, Option3!$G$106:$G$117,0)))*conv_2026*P$7</f>
        <v>-3638.1814636346962</v>
      </c>
      <c r="Q49" s="31">
        <f>(INDEX(Option3!Q$106:Q$117, MATCH($D49, Option3!$G$106:$G$117,0)))*conv_2026*Q$7</f>
        <v>-2768.4802237597755</v>
      </c>
      <c r="R49" s="31">
        <f>(INDEX(Option3!R$106:R$117, MATCH($D49, Option3!$G$106:$G$117,0)))*conv_2026*R$7</f>
        <v>-2048.5730708529159</v>
      </c>
      <c r="S49" s="31">
        <f>(INDEX(Option3!S$106:S$117, MATCH($D49, Option3!$G$106:$G$117,0)))*conv_2026*S$7</f>
        <v>-1319.5335496908694</v>
      </c>
      <c r="T49" s="31">
        <f>(INDEX(Option3!T$106:T$117, MATCH($D49, Option3!$G$106:$G$117,0)))*conv_2026*T$7</f>
        <v>-581.39927737514097</v>
      </c>
      <c r="U49" s="31">
        <f>(INDEX(Option3!U$106:U$117, MATCH($D49, Option3!$G$106:$G$117,0)))*conv_2026*U$7</f>
        <v>67074.862661967956</v>
      </c>
      <c r="V49" s="31">
        <f>(INDEX(Option3!V$106:V$117, MATCH($D49, Option3!$G$106:$G$117,0)))*conv_2026*V$7</f>
        <v>67831.077833352319</v>
      </c>
      <c r="W49" s="31">
        <f>(INDEX(Option3!W$106:W$117, MATCH($D49, Option3!$G$106:$G$117,0)))*conv_2026*W$7</f>
        <v>68596.281179492347</v>
      </c>
      <c r="X49" s="31">
        <f>(INDEX(Option3!X$106:X$117, MATCH($D49, Option3!$G$106:$G$117,0)))*conv_2026*X$7</f>
        <v>69370.439141113457</v>
      </c>
      <c r="Y49" s="31">
        <f>(INDEX(Option3!Y$106:Y$117, MATCH($D49, Option3!$G$106:$G$117,0)))*conv_2026*Y$7</f>
        <v>70153.519084244137</v>
      </c>
      <c r="Z49" s="31">
        <f>(INDEX(Option3!Z$106:Z$117, MATCH($D49, Option3!$G$106:$G$117,0)))*conv_2026*Z$7</f>
        <v>70945.489268221238</v>
      </c>
      <c r="AA49" s="31">
        <f>(INDEX(Option3!AA$106:AA$117, MATCH($D49, Option3!$G$106:$G$117,0)))*conv_2026*AA$7</f>
        <v>71746.318815314051</v>
      </c>
      <c r="AB49" s="31">
        <f>(INDEX(Option3!AB$106:AB$117, MATCH($D49, Option3!$G$106:$G$117,0)))*conv_2026*AB$7</f>
        <v>72555.977681864635</v>
      </c>
      <c r="AC49" s="31">
        <f>(INDEX(Option3!AC$106:AC$117, MATCH($D49, Option3!$G$106:$G$117,0)))*conv_2026*AC$7</f>
        <v>73374.436630839322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320946.18523470458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-8718.3091385647149</v>
      </c>
      <c r="L50" s="31">
        <f>(INDEX(Option3!L$106:L$117, MATCH($D50, Option3!$G$106:$G$117,0)))*conv_2026*L$7</f>
        <v>-7754.2037094904235</v>
      </c>
      <c r="M50" s="31">
        <f>(INDEX(Option3!M$106:M$117, MATCH($D50, Option3!$G$106:$G$117,0)))*conv_2026*M$7</f>
        <v>-7005.5544419274838</v>
      </c>
      <c r="N50" s="31">
        <f>(INDEX(Option3!N$106:N$117, MATCH($D50, Option3!$G$106:$G$117,0)))*conv_2026*N$7</f>
        <v>-6163.6387478908273</v>
      </c>
      <c r="O50" s="31">
        <f>(INDEX(Option3!O$106:O$117, MATCH($D50, Option3!$G$106:$G$117,0)))*conv_2026*O$7</f>
        <v>-4959.7015284652971</v>
      </c>
      <c r="P50" s="31">
        <f>(INDEX(Option3!P$106:P$117, MATCH($D50, Option3!$G$106:$G$117,0)))*conv_2026*P$7</f>
        <v>-3638.1814636346962</v>
      </c>
      <c r="Q50" s="31">
        <f>(INDEX(Option3!Q$106:Q$117, MATCH($D50, Option3!$G$106:$G$117,0)))*conv_2026*Q$7</f>
        <v>-2768.4802237597755</v>
      </c>
      <c r="R50" s="31">
        <f>(INDEX(Option3!R$106:R$117, MATCH($D50, Option3!$G$106:$G$117,0)))*conv_2026*R$7</f>
        <v>-2048.5730708529159</v>
      </c>
      <c r="S50" s="31">
        <f>(INDEX(Option3!S$106:S$117, MATCH($D50, Option3!$G$106:$G$117,0)))*conv_2026*S$7</f>
        <v>-1319.5335496908694</v>
      </c>
      <c r="T50" s="31">
        <f>(INDEX(Option3!T$106:T$117, MATCH($D50, Option3!$G$106:$G$117,0)))*conv_2026*T$7</f>
        <v>-581.39927737514097</v>
      </c>
      <c r="U50" s="31">
        <f>(INDEX(Option3!U$106:U$117, MATCH($D50, Option3!$G$106:$G$117,0)))*conv_2026*U$7</f>
        <v>67074.862661967956</v>
      </c>
      <c r="V50" s="31">
        <f>(INDEX(Option3!V$106:V$117, MATCH($D50, Option3!$G$106:$G$117,0)))*conv_2026*V$7</f>
        <v>67831.077833352319</v>
      </c>
      <c r="W50" s="31">
        <f>(INDEX(Option3!W$106:W$117, MATCH($D50, Option3!$G$106:$G$117,0)))*conv_2026*W$7</f>
        <v>68596.281179492347</v>
      </c>
      <c r="X50" s="31">
        <f>(INDEX(Option3!X$106:X$117, MATCH($D50, Option3!$G$106:$G$117,0)))*conv_2026*X$7</f>
        <v>69370.439141113457</v>
      </c>
      <c r="Y50" s="31">
        <f>(INDEX(Option3!Y$106:Y$117, MATCH($D50, Option3!$G$106:$G$117,0)))*conv_2026*Y$7</f>
        <v>70153.519084244137</v>
      </c>
      <c r="Z50" s="31">
        <f>(INDEX(Option3!Z$106:Z$117, MATCH($D50, Option3!$G$106:$G$117,0)))*conv_2026*Z$7</f>
        <v>70945.489268221238</v>
      </c>
      <c r="AA50" s="31">
        <f>(INDEX(Option3!AA$106:AA$117, MATCH($D50, Option3!$G$106:$G$117,0)))*conv_2026*AA$7</f>
        <v>71746.318815314051</v>
      </c>
      <c r="AB50" s="31">
        <f>(INDEX(Option3!AB$106:AB$117, MATCH($D50, Option3!$G$106:$G$117,0)))*conv_2026*AB$7</f>
        <v>72555.977681864635</v>
      </c>
      <c r="AC50" s="31">
        <f>(INDEX(Option3!AC$106:AC$117, MATCH($D50, Option3!$G$106:$G$117,0)))*conv_2026*AC$7</f>
        <v>73374.436630839322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320946.18523470458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-8718.3091385647149</v>
      </c>
      <c r="L51" s="31">
        <f>(INDEX(Option3!L$106:L$117, MATCH($D51, Option3!$G$106:$G$117,0)))*conv_2026*L$7</f>
        <v>-7754.2037094904235</v>
      </c>
      <c r="M51" s="31">
        <f>(INDEX(Option3!M$106:M$117, MATCH($D51, Option3!$G$106:$G$117,0)))*conv_2026*M$7</f>
        <v>-7005.5544419274838</v>
      </c>
      <c r="N51" s="31">
        <f>(INDEX(Option3!N$106:N$117, MATCH($D51, Option3!$G$106:$G$117,0)))*conv_2026*N$7</f>
        <v>-6163.6387478908273</v>
      </c>
      <c r="O51" s="31">
        <f>(INDEX(Option3!O$106:O$117, MATCH($D51, Option3!$G$106:$G$117,0)))*conv_2026*O$7</f>
        <v>-4959.7015284652971</v>
      </c>
      <c r="P51" s="31">
        <f>(INDEX(Option3!P$106:P$117, MATCH($D51, Option3!$G$106:$G$117,0)))*conv_2026*P$7</f>
        <v>-3638.1814636346962</v>
      </c>
      <c r="Q51" s="31">
        <f>(INDEX(Option3!Q$106:Q$117, MATCH($D51, Option3!$G$106:$G$117,0)))*conv_2026*Q$7</f>
        <v>-2768.4802237597755</v>
      </c>
      <c r="R51" s="31">
        <f>(INDEX(Option3!R$106:R$117, MATCH($D51, Option3!$G$106:$G$117,0)))*conv_2026*R$7</f>
        <v>-2048.5730708529159</v>
      </c>
      <c r="S51" s="31">
        <f>(INDEX(Option3!S$106:S$117, MATCH($D51, Option3!$G$106:$G$117,0)))*conv_2026*S$7</f>
        <v>-1319.5335496908694</v>
      </c>
      <c r="T51" s="31">
        <f>(INDEX(Option3!T$106:T$117, MATCH($D51, Option3!$G$106:$G$117,0)))*conv_2026*T$7</f>
        <v>-581.39927737514097</v>
      </c>
      <c r="U51" s="31">
        <f>(INDEX(Option3!U$106:U$117, MATCH($D51, Option3!$G$106:$G$117,0)))*conv_2026*U$7</f>
        <v>67074.862661967956</v>
      </c>
      <c r="V51" s="31">
        <f>(INDEX(Option3!V$106:V$117, MATCH($D51, Option3!$G$106:$G$117,0)))*conv_2026*V$7</f>
        <v>67831.077833352319</v>
      </c>
      <c r="W51" s="31">
        <f>(INDEX(Option3!W$106:W$117, MATCH($D51, Option3!$G$106:$G$117,0)))*conv_2026*W$7</f>
        <v>68596.281179492347</v>
      </c>
      <c r="X51" s="31">
        <f>(INDEX(Option3!X$106:X$117, MATCH($D51, Option3!$G$106:$G$117,0)))*conv_2026*X$7</f>
        <v>69370.439141113457</v>
      </c>
      <c r="Y51" s="31">
        <f>(INDEX(Option3!Y$106:Y$117, MATCH($D51, Option3!$G$106:$G$117,0)))*conv_2026*Y$7</f>
        <v>70153.519084244137</v>
      </c>
      <c r="Z51" s="31">
        <f>(INDEX(Option3!Z$106:Z$117, MATCH($D51, Option3!$G$106:$G$117,0)))*conv_2026*Z$7</f>
        <v>70945.489268221238</v>
      </c>
      <c r="AA51" s="31">
        <f>(INDEX(Option3!AA$106:AA$117, MATCH($D51, Option3!$G$106:$G$117,0)))*conv_2026*AA$7</f>
        <v>71746.318815314051</v>
      </c>
      <c r="AB51" s="31">
        <f>(INDEX(Option3!AB$106:AB$117, MATCH($D51, Option3!$G$106:$G$117,0)))*conv_2026*AB$7</f>
        <v>72555.977681864635</v>
      </c>
      <c r="AC51" s="31">
        <f>(INDEX(Option3!AC$106:AC$117, MATCH($D51, Option3!$G$106:$G$117,0)))*conv_2026*AC$7</f>
        <v>73374.436630839322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189</v>
      </c>
      <c r="D56" s="253" t="str">
        <f>A56&amp;B56</f>
        <v>Option 4NPV</v>
      </c>
      <c r="E56" s="254"/>
      <c r="F56" s="31">
        <f t="shared" ref="F56:F65" si="6">SUMPRODUCT($H56:$AG56, $H$5:$AG$5)</f>
        <v>0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0</v>
      </c>
      <c r="L56" s="31">
        <f>(INDEX(Option4!L$106:L$117, MATCH($D56, Option4!$G$106:$G$117,0)))*conv_2026*L$7</f>
        <v>0</v>
      </c>
      <c r="M56" s="31">
        <f>(INDEX(Option4!M$106:M$117, MATCH($D56, Option4!$G$106:$G$117,0)))*conv_2026*M$7</f>
        <v>0</v>
      </c>
      <c r="N56" s="31">
        <f>(INDEX(Option4!N$106:N$117, MATCH($D56, Option4!$G$106:$G$117,0)))*conv_2026*N$7</f>
        <v>0</v>
      </c>
      <c r="O56" s="31">
        <f>(INDEX(Option4!O$106:O$117, MATCH($D56, Option4!$G$106:$G$117,0)))*conv_2026*O$7</f>
        <v>0</v>
      </c>
      <c r="P56" s="31">
        <f>(INDEX(Option4!P$106:P$117, MATCH($D56, Option4!$G$106:$G$117,0)))*conv_2026*P$7</f>
        <v>0</v>
      </c>
      <c r="Q56" s="31">
        <f>(INDEX(Option4!Q$106:Q$117, MATCH($D56, Option4!$G$106:$G$117,0)))*conv_2026*Q$7</f>
        <v>0</v>
      </c>
      <c r="R56" s="31">
        <f>(INDEX(Option4!R$106:R$117, MATCH($D56, Option4!$G$106:$G$117,0)))*conv_2026*R$7</f>
        <v>0</v>
      </c>
      <c r="S56" s="31">
        <f>(INDEX(Option4!S$106:S$117, MATCH($D56, Option4!$G$106:$G$117,0)))*conv_2026*S$7</f>
        <v>0</v>
      </c>
      <c r="T56" s="31">
        <f>(INDEX(Option4!T$106:T$117, MATCH($D56, Option4!$G$106:$G$117,0)))*conv_2026*T$7</f>
        <v>0</v>
      </c>
      <c r="U56" s="31">
        <f>(INDEX(Option4!U$106:U$117, MATCH($D56, Option4!$G$106:$G$117,0)))*conv_2026*U$7</f>
        <v>0</v>
      </c>
      <c r="V56" s="31">
        <f>(INDEX(Option4!V$106:V$117, MATCH($D56, Option4!$G$106:$G$117,0)))*conv_2026*V$7</f>
        <v>0</v>
      </c>
      <c r="W56" s="31">
        <f>(INDEX(Option4!W$106:W$117, MATCH($D56, Option4!$G$106:$G$117,0)))*conv_2026*W$7</f>
        <v>0</v>
      </c>
      <c r="X56" s="31">
        <f>(INDEX(Option4!X$106:X$117, MATCH($D56, Option4!$G$106:$G$117,0)))*conv_2026*X$7</f>
        <v>0</v>
      </c>
      <c r="Y56" s="31">
        <f>(INDEX(Option4!Y$106:Y$117, MATCH($D56, Option4!$G$106:$G$117,0)))*conv_2026*Y$7</f>
        <v>0</v>
      </c>
      <c r="Z56" s="31">
        <f>(INDEX(Option4!Z$106:Z$117, MATCH($D56, Option4!$G$106:$G$117,0)))*conv_2026*Z$7</f>
        <v>0</v>
      </c>
      <c r="AA56" s="31">
        <f>(INDEX(Option4!AA$106:AA$117, MATCH($D56, Option4!$G$106:$G$117,0)))*conv_2026*AA$7</f>
        <v>0</v>
      </c>
      <c r="AB56" s="31">
        <f>(INDEX(Option4!AB$106:AB$117, MATCH($D56, Option4!$G$106:$G$117,0)))*conv_2026*AB$7</f>
        <v>0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0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0</v>
      </c>
      <c r="L58" s="31">
        <f>(INDEX(Option4!L$106:L$117, MATCH($D58, Option4!$G$106:$G$117,0)))*conv_2026*L$7</f>
        <v>0</v>
      </c>
      <c r="M58" s="31">
        <f>(INDEX(Option4!M$106:M$117, MATCH($D58, Option4!$G$106:$G$117,0)))*conv_2026*M$7</f>
        <v>0</v>
      </c>
      <c r="N58" s="31">
        <f>(INDEX(Option4!N$106:N$117, MATCH($D58, Option4!$G$106:$G$117,0)))*conv_2026*N$7</f>
        <v>0</v>
      </c>
      <c r="O58" s="31">
        <f>(INDEX(Option4!O$106:O$117, MATCH($D58, Option4!$G$106:$G$117,0)))*conv_2026*O$7</f>
        <v>0</v>
      </c>
      <c r="P58" s="31">
        <f>(INDEX(Option4!P$106:P$117, MATCH($D58, Option4!$G$106:$G$117,0)))*conv_2026*P$7</f>
        <v>0</v>
      </c>
      <c r="Q58" s="31">
        <f>(INDEX(Option4!Q$106:Q$117, MATCH($D58, Option4!$G$106:$G$117,0)))*conv_2026*Q$7</f>
        <v>0</v>
      </c>
      <c r="R58" s="31">
        <f>(INDEX(Option4!R$106:R$117, MATCH($D58, Option4!$G$106:$G$117,0)))*conv_2026*R$7</f>
        <v>0</v>
      </c>
      <c r="S58" s="31">
        <f>(INDEX(Option4!S$106:S$117, MATCH($D58, Option4!$G$106:$G$117,0)))*conv_2026*S$7</f>
        <v>0</v>
      </c>
      <c r="T58" s="31">
        <f>(INDEX(Option4!T$106:T$117, MATCH($D58, Option4!$G$106:$G$117,0)))*conv_2026*T$7</f>
        <v>0</v>
      </c>
      <c r="U58" s="31">
        <f>(INDEX(Option4!U$106:U$117, MATCH($D58, Option4!$G$106:$G$117,0)))*conv_2026*U$7</f>
        <v>0</v>
      </c>
      <c r="V58" s="31">
        <f>(INDEX(Option4!V$106:V$117, MATCH($D58, Option4!$G$106:$G$117,0)))*conv_2026*V$7</f>
        <v>0</v>
      </c>
      <c r="W58" s="31">
        <f>(INDEX(Option4!W$106:W$117, MATCH($D58, Option4!$G$106:$G$117,0)))*conv_2026*W$7</f>
        <v>0</v>
      </c>
      <c r="X58" s="31">
        <f>(INDEX(Option4!X$106:X$117, MATCH($D58, Option4!$G$106:$G$117,0)))*conv_2026*X$7</f>
        <v>0</v>
      </c>
      <c r="Y58" s="31">
        <f>(INDEX(Option4!Y$106:Y$117, MATCH($D58, Option4!$G$106:$G$117,0)))*conv_2026*Y$7</f>
        <v>0</v>
      </c>
      <c r="Z58" s="31">
        <f>(INDEX(Option4!Z$106:Z$117, MATCH($D58, Option4!$G$106:$G$117,0)))*conv_2026*Z$7</f>
        <v>0</v>
      </c>
      <c r="AA58" s="31">
        <f>(INDEX(Option4!AA$106:AA$117, MATCH($D58, Option4!$G$106:$G$117,0)))*conv_2026*AA$7</f>
        <v>0</v>
      </c>
      <c r="AB58" s="31">
        <f>(INDEX(Option4!AB$106:AB$117, MATCH($D58, Option4!$G$106:$G$117,0)))*conv_2026*AB$7</f>
        <v>0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0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0</v>
      </c>
      <c r="L59" s="31">
        <f>(INDEX(Option4!L$106:L$117, MATCH($D59, Option4!$G$106:$G$117,0)))*conv_2026*L$7</f>
        <v>0</v>
      </c>
      <c r="M59" s="31">
        <f>(INDEX(Option4!M$106:M$117, MATCH($D59, Option4!$G$106:$G$117,0)))*conv_2026*M$7</f>
        <v>0</v>
      </c>
      <c r="N59" s="31">
        <f>(INDEX(Option4!N$106:N$117, MATCH($D59, Option4!$G$106:$G$117,0)))*conv_2026*N$7</f>
        <v>0</v>
      </c>
      <c r="O59" s="31">
        <f>(INDEX(Option4!O$106:O$117, MATCH($D59, Option4!$G$106:$G$117,0)))*conv_2026*O$7</f>
        <v>0</v>
      </c>
      <c r="P59" s="31">
        <f>(INDEX(Option4!P$106:P$117, MATCH($D59, Option4!$G$106:$G$117,0)))*conv_2026*P$7</f>
        <v>0</v>
      </c>
      <c r="Q59" s="31">
        <f>(INDEX(Option4!Q$106:Q$117, MATCH($D59, Option4!$G$106:$G$117,0)))*conv_2026*Q$7</f>
        <v>0</v>
      </c>
      <c r="R59" s="31">
        <f>(INDEX(Option4!R$106:R$117, MATCH($D59, Option4!$G$106:$G$117,0)))*conv_2026*R$7</f>
        <v>0</v>
      </c>
      <c r="S59" s="31">
        <f>(INDEX(Option4!S$106:S$117, MATCH($D59, Option4!$G$106:$G$117,0)))*conv_2026*S$7</f>
        <v>0</v>
      </c>
      <c r="T59" s="31">
        <f>(INDEX(Option4!T$106:T$117, MATCH($D59, Option4!$G$106:$G$117,0)))*conv_2026*T$7</f>
        <v>0</v>
      </c>
      <c r="U59" s="31">
        <f>(INDEX(Option4!U$106:U$117, MATCH($D59, Option4!$G$106:$G$117,0)))*conv_2026*U$7</f>
        <v>0</v>
      </c>
      <c r="V59" s="31">
        <f>(INDEX(Option4!V$106:V$117, MATCH($D59, Option4!$G$106:$G$117,0)))*conv_2026*V$7</f>
        <v>0</v>
      </c>
      <c r="W59" s="31">
        <f>(INDEX(Option4!W$106:W$117, MATCH($D59, Option4!$G$106:$G$117,0)))*conv_2026*W$7</f>
        <v>0</v>
      </c>
      <c r="X59" s="31">
        <f>(INDEX(Option4!X$106:X$117, MATCH($D59, Option4!$G$106:$G$117,0)))*conv_2026*X$7</f>
        <v>0</v>
      </c>
      <c r="Y59" s="31">
        <f>(INDEX(Option4!Y$106:Y$117, MATCH($D59, Option4!$G$106:$G$117,0)))*conv_2026*Y$7</f>
        <v>0</v>
      </c>
      <c r="Z59" s="31">
        <f>(INDEX(Option4!Z$106:Z$117, MATCH($D59, Option4!$G$106:$G$117,0)))*conv_2026*Z$7</f>
        <v>0</v>
      </c>
      <c r="AA59" s="31">
        <f>(INDEX(Option4!AA$106:AA$117, MATCH($D59, Option4!$G$106:$G$117,0)))*conv_2026*AA$7</f>
        <v>0</v>
      </c>
      <c r="AB59" s="31">
        <f>(INDEX(Option4!AB$106:AB$117, MATCH($D59, Option4!$G$106:$G$117,0)))*conv_2026*AB$7</f>
        <v>0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0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0</v>
      </c>
      <c r="L60" s="31">
        <f>(INDEX(Option4!L$106:L$117, MATCH($D60, Option4!$G$106:$G$117,0)))*conv_2026*L$7</f>
        <v>0</v>
      </c>
      <c r="M60" s="31">
        <f>(INDEX(Option4!M$106:M$117, MATCH($D60, Option4!$G$106:$G$117,0)))*conv_2026*M$7</f>
        <v>0</v>
      </c>
      <c r="N60" s="31">
        <f>(INDEX(Option4!N$106:N$117, MATCH($D60, Option4!$G$106:$G$117,0)))*conv_2026*N$7</f>
        <v>0</v>
      </c>
      <c r="O60" s="31">
        <f>(INDEX(Option4!O$106:O$117, MATCH($D60, Option4!$G$106:$G$117,0)))*conv_2026*O$7</f>
        <v>0</v>
      </c>
      <c r="P60" s="31">
        <f>(INDEX(Option4!P$106:P$117, MATCH($D60, Option4!$G$106:$G$117,0)))*conv_2026*P$7</f>
        <v>0</v>
      </c>
      <c r="Q60" s="31">
        <f>(INDEX(Option4!Q$106:Q$117, MATCH($D60, Option4!$G$106:$G$117,0)))*conv_2026*Q$7</f>
        <v>0</v>
      </c>
      <c r="R60" s="31">
        <f>(INDEX(Option4!R$106:R$117, MATCH($D60, Option4!$G$106:$G$117,0)))*conv_2026*R$7</f>
        <v>0</v>
      </c>
      <c r="S60" s="31">
        <f>(INDEX(Option4!S$106:S$117, MATCH($D60, Option4!$G$106:$G$117,0)))*conv_2026*S$7</f>
        <v>0</v>
      </c>
      <c r="T60" s="31">
        <f>(INDEX(Option4!T$106:T$117, MATCH($D60, Option4!$G$106:$G$117,0)))*conv_2026*T$7</f>
        <v>0</v>
      </c>
      <c r="U60" s="31">
        <f>(INDEX(Option4!U$106:U$117, MATCH($D60, Option4!$G$106:$G$117,0)))*conv_2026*U$7</f>
        <v>0</v>
      </c>
      <c r="V60" s="31">
        <f>(INDEX(Option4!V$106:V$117, MATCH($D60, Option4!$G$106:$G$117,0)))*conv_2026*V$7</f>
        <v>0</v>
      </c>
      <c r="W60" s="31">
        <f>(INDEX(Option4!W$106:W$117, MATCH($D60, Option4!$G$106:$G$117,0)))*conv_2026*W$7</f>
        <v>0</v>
      </c>
      <c r="X60" s="31">
        <f>(INDEX(Option4!X$106:X$117, MATCH($D60, Option4!$G$106:$G$117,0)))*conv_2026*X$7</f>
        <v>0</v>
      </c>
      <c r="Y60" s="31">
        <f>(INDEX(Option4!Y$106:Y$117, MATCH($D60, Option4!$G$106:$G$117,0)))*conv_2026*Y$7</f>
        <v>0</v>
      </c>
      <c r="Z60" s="31">
        <f>(INDEX(Option4!Z$106:Z$117, MATCH($D60, Option4!$G$106:$G$117,0)))*conv_2026*Z$7</f>
        <v>0</v>
      </c>
      <c r="AA60" s="31">
        <f>(INDEX(Option4!AA$106:AA$117, MATCH($D60, Option4!$G$106:$G$117,0)))*conv_2026*AA$7</f>
        <v>0</v>
      </c>
      <c r="AB60" s="31">
        <f>(INDEX(Option4!AB$106:AB$117, MATCH($D60, Option4!$G$106:$G$117,0)))*conv_2026*AB$7</f>
        <v>0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0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0</v>
      </c>
      <c r="L61" s="31">
        <f>(INDEX(Option4!L$106:L$117, MATCH($D61, Option4!$G$106:$G$117,0)))*conv_2026*L$7</f>
        <v>0</v>
      </c>
      <c r="M61" s="31">
        <f>(INDEX(Option4!M$106:M$117, MATCH($D61, Option4!$G$106:$G$117,0)))*conv_2026*M$7</f>
        <v>0</v>
      </c>
      <c r="N61" s="31">
        <f>(INDEX(Option4!N$106:N$117, MATCH($D61, Option4!$G$106:$G$117,0)))*conv_2026*N$7</f>
        <v>0</v>
      </c>
      <c r="O61" s="31">
        <f>(INDEX(Option4!O$106:O$117, MATCH($D61, Option4!$G$106:$G$117,0)))*conv_2026*O$7</f>
        <v>0</v>
      </c>
      <c r="P61" s="31">
        <f>(INDEX(Option4!P$106:P$117, MATCH($D61, Option4!$G$106:$G$117,0)))*conv_2026*P$7</f>
        <v>0</v>
      </c>
      <c r="Q61" s="31">
        <f>(INDEX(Option4!Q$106:Q$117, MATCH($D61, Option4!$G$106:$G$117,0)))*conv_2026*Q$7</f>
        <v>0</v>
      </c>
      <c r="R61" s="31">
        <f>(INDEX(Option4!R$106:R$117, MATCH($D61, Option4!$G$106:$G$117,0)))*conv_2026*R$7</f>
        <v>0</v>
      </c>
      <c r="S61" s="31">
        <f>(INDEX(Option4!S$106:S$117, MATCH($D61, Option4!$G$106:$G$117,0)))*conv_2026*S$7</f>
        <v>0</v>
      </c>
      <c r="T61" s="31">
        <f>(INDEX(Option4!T$106:T$117, MATCH($D61, Option4!$G$106:$G$117,0)))*conv_2026*T$7</f>
        <v>0</v>
      </c>
      <c r="U61" s="31">
        <f>(INDEX(Option4!U$106:U$117, MATCH($D61, Option4!$G$106:$G$117,0)))*conv_2026*U$7</f>
        <v>0</v>
      </c>
      <c r="V61" s="31">
        <f>(INDEX(Option4!V$106:V$117, MATCH($D61, Option4!$G$106:$G$117,0)))*conv_2026*V$7</f>
        <v>0</v>
      </c>
      <c r="W61" s="31">
        <f>(INDEX(Option4!W$106:W$117, MATCH($D61, Option4!$G$106:$G$117,0)))*conv_2026*W$7</f>
        <v>0</v>
      </c>
      <c r="X61" s="31">
        <f>(INDEX(Option4!X$106:X$117, MATCH($D61, Option4!$G$106:$G$117,0)))*conv_2026*X$7</f>
        <v>0</v>
      </c>
      <c r="Y61" s="31">
        <f>(INDEX(Option4!Y$106:Y$117, MATCH($D61, Option4!$G$106:$G$117,0)))*conv_2026*Y$7</f>
        <v>0</v>
      </c>
      <c r="Z61" s="31">
        <f>(INDEX(Option4!Z$106:Z$117, MATCH($D61, Option4!$G$106:$G$117,0)))*conv_2026*Z$7</f>
        <v>0</v>
      </c>
      <c r="AA61" s="31">
        <f>(INDEX(Option4!AA$106:AA$117, MATCH($D61, Option4!$G$106:$G$117,0)))*conv_2026*AA$7</f>
        <v>0</v>
      </c>
      <c r="AB61" s="31">
        <f>(INDEX(Option4!AB$106:AB$117, MATCH($D61, Option4!$G$106:$G$117,0)))*conv_2026*AB$7</f>
        <v>0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0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0</v>
      </c>
      <c r="L62" s="31">
        <f>(INDEX(Option4!L$106:L$117, MATCH($D62, Option4!$G$106:$G$117,0)))*conv_2026*L$7</f>
        <v>0</v>
      </c>
      <c r="M62" s="31">
        <f>(INDEX(Option4!M$106:M$117, MATCH($D62, Option4!$G$106:$G$117,0)))*conv_2026*M$7</f>
        <v>0</v>
      </c>
      <c r="N62" s="31">
        <f>(INDEX(Option4!N$106:N$117, MATCH($D62, Option4!$G$106:$G$117,0)))*conv_2026*N$7</f>
        <v>0</v>
      </c>
      <c r="O62" s="31">
        <f>(INDEX(Option4!O$106:O$117, MATCH($D62, Option4!$G$106:$G$117,0)))*conv_2026*O$7</f>
        <v>0</v>
      </c>
      <c r="P62" s="31">
        <f>(INDEX(Option4!P$106:P$117, MATCH($D62, Option4!$G$106:$G$117,0)))*conv_2026*P$7</f>
        <v>0</v>
      </c>
      <c r="Q62" s="31">
        <f>(INDEX(Option4!Q$106:Q$117, MATCH($D62, Option4!$G$106:$G$117,0)))*conv_2026*Q$7</f>
        <v>0</v>
      </c>
      <c r="R62" s="31">
        <f>(INDEX(Option4!R$106:R$117, MATCH($D62, Option4!$G$106:$G$117,0)))*conv_2026*R$7</f>
        <v>0</v>
      </c>
      <c r="S62" s="31">
        <f>(INDEX(Option4!S$106:S$117, MATCH($D62, Option4!$G$106:$G$117,0)))*conv_2026*S$7</f>
        <v>0</v>
      </c>
      <c r="T62" s="31">
        <f>(INDEX(Option4!T$106:T$117, MATCH($D62, Option4!$G$106:$G$117,0)))*conv_2026*T$7</f>
        <v>0</v>
      </c>
      <c r="U62" s="31">
        <f>(INDEX(Option4!U$106:U$117, MATCH($D62, Option4!$G$106:$G$117,0)))*conv_2026*U$7</f>
        <v>0</v>
      </c>
      <c r="V62" s="31">
        <f>(INDEX(Option4!V$106:V$117, MATCH($D62, Option4!$G$106:$G$117,0)))*conv_2026*V$7</f>
        <v>0</v>
      </c>
      <c r="W62" s="31">
        <f>(INDEX(Option4!W$106:W$117, MATCH($D62, Option4!$G$106:$G$117,0)))*conv_2026*W$7</f>
        <v>0</v>
      </c>
      <c r="X62" s="31">
        <f>(INDEX(Option4!X$106:X$117, MATCH($D62, Option4!$G$106:$G$117,0)))*conv_2026*X$7</f>
        <v>0</v>
      </c>
      <c r="Y62" s="31">
        <f>(INDEX(Option4!Y$106:Y$117, MATCH($D62, Option4!$G$106:$G$117,0)))*conv_2026*Y$7</f>
        <v>0</v>
      </c>
      <c r="Z62" s="31">
        <f>(INDEX(Option4!Z$106:Z$117, MATCH($D62, Option4!$G$106:$G$117,0)))*conv_2026*Z$7</f>
        <v>0</v>
      </c>
      <c r="AA62" s="31">
        <f>(INDEX(Option4!AA$106:AA$117, MATCH($D62, Option4!$G$106:$G$117,0)))*conv_2026*AA$7</f>
        <v>0</v>
      </c>
      <c r="AB62" s="31">
        <f>(INDEX(Option4!AB$106:AB$117, MATCH($D62, Option4!$G$106:$G$117,0)))*conv_2026*AB$7</f>
        <v>0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0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0</v>
      </c>
      <c r="L63" s="31">
        <f>(INDEX(Option4!L$106:L$117, MATCH($D63, Option4!$G$106:$G$117,0)))*conv_2026*L$7</f>
        <v>0</v>
      </c>
      <c r="M63" s="31">
        <f>(INDEX(Option4!M$106:M$117, MATCH($D63, Option4!$G$106:$G$117,0)))*conv_2026*M$7</f>
        <v>0</v>
      </c>
      <c r="N63" s="31">
        <f>(INDEX(Option4!N$106:N$117, MATCH($D63, Option4!$G$106:$G$117,0)))*conv_2026*N$7</f>
        <v>0</v>
      </c>
      <c r="O63" s="31">
        <f>(INDEX(Option4!O$106:O$117, MATCH($D63, Option4!$G$106:$G$117,0)))*conv_2026*O$7</f>
        <v>0</v>
      </c>
      <c r="P63" s="31">
        <f>(INDEX(Option4!P$106:P$117, MATCH($D63, Option4!$G$106:$G$117,0)))*conv_2026*P$7</f>
        <v>0</v>
      </c>
      <c r="Q63" s="31">
        <f>(INDEX(Option4!Q$106:Q$117, MATCH($D63, Option4!$G$106:$G$117,0)))*conv_2026*Q$7</f>
        <v>0</v>
      </c>
      <c r="R63" s="31">
        <f>(INDEX(Option4!R$106:R$117, MATCH($D63, Option4!$G$106:$G$117,0)))*conv_2026*R$7</f>
        <v>0</v>
      </c>
      <c r="S63" s="31">
        <f>(INDEX(Option4!S$106:S$117, MATCH($D63, Option4!$G$106:$G$117,0)))*conv_2026*S$7</f>
        <v>0</v>
      </c>
      <c r="T63" s="31">
        <f>(INDEX(Option4!T$106:T$117, MATCH($D63, Option4!$G$106:$G$117,0)))*conv_2026*T$7</f>
        <v>0</v>
      </c>
      <c r="U63" s="31">
        <f>(INDEX(Option4!U$106:U$117, MATCH($D63, Option4!$G$106:$G$117,0)))*conv_2026*U$7</f>
        <v>0</v>
      </c>
      <c r="V63" s="31">
        <f>(INDEX(Option4!V$106:V$117, MATCH($D63, Option4!$G$106:$G$117,0)))*conv_2026*V$7</f>
        <v>0</v>
      </c>
      <c r="W63" s="31">
        <f>(INDEX(Option4!W$106:W$117, MATCH($D63, Option4!$G$106:$G$117,0)))*conv_2026*W$7</f>
        <v>0</v>
      </c>
      <c r="X63" s="31">
        <f>(INDEX(Option4!X$106:X$117, MATCH($D63, Option4!$G$106:$G$117,0)))*conv_2026*X$7</f>
        <v>0</v>
      </c>
      <c r="Y63" s="31">
        <f>(INDEX(Option4!Y$106:Y$117, MATCH($D63, Option4!$G$106:$G$117,0)))*conv_2026*Y$7</f>
        <v>0</v>
      </c>
      <c r="Z63" s="31">
        <f>(INDEX(Option4!Z$106:Z$117, MATCH($D63, Option4!$G$106:$G$117,0)))*conv_2026*Z$7</f>
        <v>0</v>
      </c>
      <c r="AA63" s="31">
        <f>(INDEX(Option4!AA$106:AA$117, MATCH($D63, Option4!$G$106:$G$117,0)))*conv_2026*AA$7</f>
        <v>0</v>
      </c>
      <c r="AB63" s="31">
        <f>(INDEX(Option4!AB$106:AB$117, MATCH($D63, Option4!$G$106:$G$117,0)))*conv_2026*AB$7</f>
        <v>0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0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0</v>
      </c>
      <c r="L64" s="31">
        <f>(INDEX(Option4!L$106:L$117, MATCH($D64, Option4!$G$106:$G$117,0)))*conv_2026*L$7</f>
        <v>0</v>
      </c>
      <c r="M64" s="31">
        <f>(INDEX(Option4!M$106:M$117, MATCH($D64, Option4!$G$106:$G$117,0)))*conv_2026*M$7</f>
        <v>0</v>
      </c>
      <c r="N64" s="31">
        <f>(INDEX(Option4!N$106:N$117, MATCH($D64, Option4!$G$106:$G$117,0)))*conv_2026*N$7</f>
        <v>0</v>
      </c>
      <c r="O64" s="31">
        <f>(INDEX(Option4!O$106:O$117, MATCH($D64, Option4!$G$106:$G$117,0)))*conv_2026*O$7</f>
        <v>0</v>
      </c>
      <c r="P64" s="31">
        <f>(INDEX(Option4!P$106:P$117, MATCH($D64, Option4!$G$106:$G$117,0)))*conv_2026*P$7</f>
        <v>0</v>
      </c>
      <c r="Q64" s="31">
        <f>(INDEX(Option4!Q$106:Q$117, MATCH($D64, Option4!$G$106:$G$117,0)))*conv_2026*Q$7</f>
        <v>0</v>
      </c>
      <c r="R64" s="31">
        <f>(INDEX(Option4!R$106:R$117, MATCH($D64, Option4!$G$106:$G$117,0)))*conv_2026*R$7</f>
        <v>0</v>
      </c>
      <c r="S64" s="31">
        <f>(INDEX(Option4!S$106:S$117, MATCH($D64, Option4!$G$106:$G$117,0)))*conv_2026*S$7</f>
        <v>0</v>
      </c>
      <c r="T64" s="31">
        <f>(INDEX(Option4!T$106:T$117, MATCH($D64, Option4!$G$106:$G$117,0)))*conv_2026*T$7</f>
        <v>0</v>
      </c>
      <c r="U64" s="31">
        <f>(INDEX(Option4!U$106:U$117, MATCH($D64, Option4!$G$106:$G$117,0)))*conv_2026*U$7</f>
        <v>0</v>
      </c>
      <c r="V64" s="31">
        <f>(INDEX(Option4!V$106:V$117, MATCH($D64, Option4!$G$106:$G$117,0)))*conv_2026*V$7</f>
        <v>0</v>
      </c>
      <c r="W64" s="31">
        <f>(INDEX(Option4!W$106:W$117, MATCH($D64, Option4!$G$106:$G$117,0)))*conv_2026*W$7</f>
        <v>0</v>
      </c>
      <c r="X64" s="31">
        <f>(INDEX(Option4!X$106:X$117, MATCH($D64, Option4!$G$106:$G$117,0)))*conv_2026*X$7</f>
        <v>0</v>
      </c>
      <c r="Y64" s="31">
        <f>(INDEX(Option4!Y$106:Y$117, MATCH($D64, Option4!$G$106:$G$117,0)))*conv_2026*Y$7</f>
        <v>0</v>
      </c>
      <c r="Z64" s="31">
        <f>(INDEX(Option4!Z$106:Z$117, MATCH($D64, Option4!$G$106:$G$117,0)))*conv_2026*Z$7</f>
        <v>0</v>
      </c>
      <c r="AA64" s="31">
        <f>(INDEX(Option4!AA$106:AA$117, MATCH($D64, Option4!$G$106:$G$117,0)))*conv_2026*AA$7</f>
        <v>0</v>
      </c>
      <c r="AB64" s="31">
        <f>(INDEX(Option4!AB$106:AB$117, MATCH($D64, Option4!$G$106:$G$117,0)))*conv_2026*AB$7</f>
        <v>0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0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0</v>
      </c>
      <c r="L65" s="31">
        <f>(INDEX(Option4!L$106:L$117, MATCH($D65, Option4!$G$106:$G$117,0)))*conv_2026*L$7</f>
        <v>0</v>
      </c>
      <c r="M65" s="31">
        <f>(INDEX(Option4!M$106:M$117, MATCH($D65, Option4!$G$106:$G$117,0)))*conv_2026*M$7</f>
        <v>0</v>
      </c>
      <c r="N65" s="31">
        <f>(INDEX(Option4!N$106:N$117, MATCH($D65, Option4!$G$106:$G$117,0)))*conv_2026*N$7</f>
        <v>0</v>
      </c>
      <c r="O65" s="31">
        <f>(INDEX(Option4!O$106:O$117, MATCH($D65, Option4!$G$106:$G$117,0)))*conv_2026*O$7</f>
        <v>0</v>
      </c>
      <c r="P65" s="31">
        <f>(INDEX(Option4!P$106:P$117, MATCH($D65, Option4!$G$106:$G$117,0)))*conv_2026*P$7</f>
        <v>0</v>
      </c>
      <c r="Q65" s="31">
        <f>(INDEX(Option4!Q$106:Q$117, MATCH($D65, Option4!$G$106:$G$117,0)))*conv_2026*Q$7</f>
        <v>0</v>
      </c>
      <c r="R65" s="31">
        <f>(INDEX(Option4!R$106:R$117, MATCH($D65, Option4!$G$106:$G$117,0)))*conv_2026*R$7</f>
        <v>0</v>
      </c>
      <c r="S65" s="31">
        <f>(INDEX(Option4!S$106:S$117, MATCH($D65, Option4!$G$106:$G$117,0)))*conv_2026*S$7</f>
        <v>0</v>
      </c>
      <c r="T65" s="31">
        <f>(INDEX(Option4!T$106:T$117, MATCH($D65, Option4!$G$106:$G$117,0)))*conv_2026*T$7</f>
        <v>0</v>
      </c>
      <c r="U65" s="31">
        <f>(INDEX(Option4!U$106:U$117, MATCH($D65, Option4!$G$106:$G$117,0)))*conv_2026*U$7</f>
        <v>0</v>
      </c>
      <c r="V65" s="31">
        <f>(INDEX(Option4!V$106:V$117, MATCH($D65, Option4!$G$106:$G$117,0)))*conv_2026*V$7</f>
        <v>0</v>
      </c>
      <c r="W65" s="31">
        <f>(INDEX(Option4!W$106:W$117, MATCH($D65, Option4!$G$106:$G$117,0)))*conv_2026*W$7</f>
        <v>0</v>
      </c>
      <c r="X65" s="31">
        <f>(INDEX(Option4!X$106:X$117, MATCH($D65, Option4!$G$106:$G$117,0)))*conv_2026*X$7</f>
        <v>0</v>
      </c>
      <c r="Y65" s="31">
        <f>(INDEX(Option4!Y$106:Y$117, MATCH($D65, Option4!$G$106:$G$117,0)))*conv_2026*Y$7</f>
        <v>0</v>
      </c>
      <c r="Z65" s="31">
        <f>(INDEX(Option4!Z$106:Z$117, MATCH($D65, Option4!$G$106:$G$117,0)))*conv_2026*Z$7</f>
        <v>0</v>
      </c>
      <c r="AA65" s="31">
        <f>(INDEX(Option4!AA$106:AA$117, MATCH($D65, Option4!$G$106:$G$117,0)))*conv_2026*AA$7</f>
        <v>0</v>
      </c>
      <c r="AB65" s="31">
        <f>(INDEX(Option4!AB$106:AB$117, MATCH($D65, Option4!$G$106:$G$117,0)))*conv_2026*AB$7</f>
        <v>0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155</v>
      </c>
      <c r="B70" s="253" t="s">
        <v>119</v>
      </c>
      <c r="C70" s="253" t="s">
        <v>189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155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155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155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155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155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155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155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155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160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0</v>
      </c>
      <c r="D88" s="275" t="b">
        <v>0</v>
      </c>
      <c r="E88" s="276" t="b">
        <v>0</v>
      </c>
      <c r="F88" s="275" t="b">
        <v>1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229</v>
      </c>
      <c r="K89" s="283" t="s">
        <v>230</v>
      </c>
    </row>
    <row r="90" spans="1:34" s="8" customFormat="1" x14ac:dyDescent="0.2">
      <c r="A90" s="261" t="s">
        <v>119</v>
      </c>
      <c r="B90" s="261" t="s">
        <v>220</v>
      </c>
      <c r="C90" s="105">
        <f t="shared" ref="C90:G98" si="10">IF(OR($B90=0,C$88),"", INDEX($F$14:$F$81, MATCH(C$89&amp;$A90,$D$14:$D$81,0))/10^6)</f>
        <v>0</v>
      </c>
      <c r="D90" s="105">
        <f t="shared" si="10"/>
        <v>0.97542666755609808</v>
      </c>
      <c r="E90" s="105">
        <f t="shared" si="10"/>
        <v>0.32094618523470458</v>
      </c>
      <c r="F90" s="105" t="str">
        <f t="shared" si="10"/>
        <v/>
      </c>
      <c r="G90" s="105" t="str">
        <f t="shared" si="10"/>
        <v/>
      </c>
      <c r="H90" s="186"/>
      <c r="I90" s="105">
        <f t="shared" ref="I90:I98" si="11">_xlfn.MAXIFS(C90:G90,_xlfn.ANCHORARRAY( C$88),FALSE)</f>
        <v>0.97542666755609808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>
        <f t="shared" si="10"/>
        <v>0</v>
      </c>
      <c r="D91" s="105">
        <f t="shared" si="10"/>
        <v>0.53554663341352715</v>
      </c>
      <c r="E91" s="105">
        <f t="shared" si="10"/>
        <v>0.26809915862691502</v>
      </c>
      <c r="F91" s="105" t="str">
        <f t="shared" si="10"/>
        <v/>
      </c>
      <c r="G91" s="105" t="str">
        <f t="shared" si="10"/>
        <v/>
      </c>
      <c r="H91" s="186"/>
      <c r="I91" s="105">
        <f t="shared" si="11"/>
        <v>0.53554663341352715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>
        <f t="shared" si="10"/>
        <v>0</v>
      </c>
      <c r="D92" s="105">
        <f t="shared" si="10"/>
        <v>1.4153067016986691</v>
      </c>
      <c r="E92" s="105">
        <f t="shared" si="10"/>
        <v>0.37379321184249409</v>
      </c>
      <c r="F92" s="105" t="str">
        <f t="shared" si="10"/>
        <v/>
      </c>
      <c r="G92" s="105" t="str">
        <f t="shared" si="10"/>
        <v/>
      </c>
      <c r="H92" s="186"/>
      <c r="I92" s="105">
        <f t="shared" si="11"/>
        <v>1.4153067016986691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>
        <f t="shared" si="10"/>
        <v>0</v>
      </c>
      <c r="D93" s="105">
        <f t="shared" si="10"/>
        <v>1.5128493684542792</v>
      </c>
      <c r="E93" s="105">
        <f t="shared" si="10"/>
        <v>0.40588783036596443</v>
      </c>
      <c r="F93" s="105" t="str">
        <f t="shared" si="10"/>
        <v/>
      </c>
      <c r="G93" s="105" t="str">
        <f t="shared" si="10"/>
        <v/>
      </c>
      <c r="H93" s="186"/>
      <c r="I93" s="105">
        <f t="shared" si="11"/>
        <v>1.5128493684542792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>
        <f t="shared" si="10"/>
        <v>0</v>
      </c>
      <c r="D94" s="105">
        <f t="shared" si="10"/>
        <v>0.43800396665791735</v>
      </c>
      <c r="E94" s="105">
        <f t="shared" si="10"/>
        <v>0.23600454010344457</v>
      </c>
      <c r="F94" s="105" t="str">
        <f t="shared" si="10"/>
        <v/>
      </c>
      <c r="G94" s="105" t="str">
        <f t="shared" si="10"/>
        <v/>
      </c>
      <c r="H94" s="186"/>
      <c r="I94" s="105">
        <f t="shared" si="11"/>
        <v>0.43800396665791735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>
        <f t="shared" si="10"/>
        <v>0</v>
      </c>
      <c r="D95" s="105">
        <f t="shared" si="10"/>
        <v>-1.876067484653835E-3</v>
      </c>
      <c r="E95" s="105">
        <f t="shared" si="10"/>
        <v>0.18315751349565504</v>
      </c>
      <c r="F95" s="105" t="str">
        <f t="shared" si="10"/>
        <v/>
      </c>
      <c r="G95" s="105" t="str">
        <f t="shared" si="10"/>
        <v/>
      </c>
      <c r="H95" s="186"/>
      <c r="I95" s="105">
        <f t="shared" si="11"/>
        <v>0.18315751349565504</v>
      </c>
      <c r="K95" s="8" t="str">
        <f t="shared" si="12"/>
        <v>Option 3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F5163-69F2-4B23-A1D3-4374371C1F1C}">
  <sheetPr codeName="Sheet4">
    <tabColor rgb="FFFFFF00"/>
  </sheetPr>
  <dimension ref="A1:AR47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31.75" style="1" bestFit="1" customWidth="1"/>
    <col min="5" max="5" width="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MNA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248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6"/>
      <c r="E9" s="335"/>
      <c r="F9" s="335"/>
      <c r="G9" s="335"/>
      <c r="H9" s="335"/>
      <c r="I9" s="335"/>
      <c r="J9" s="335"/>
      <c r="K9" s="335"/>
      <c r="L9" s="335"/>
      <c r="M9" s="335"/>
      <c r="N9" s="335"/>
      <c r="O9" s="335"/>
      <c r="P9" s="335"/>
      <c r="Q9" s="335"/>
      <c r="R9" s="335"/>
      <c r="S9" s="335"/>
      <c r="T9" s="335"/>
      <c r="U9" s="335"/>
      <c r="V9" s="335"/>
      <c r="W9" s="335"/>
      <c r="X9" s="335"/>
      <c r="Y9" s="335"/>
      <c r="Z9" s="335"/>
      <c r="AA9" s="335"/>
      <c r="AB9" s="335"/>
      <c r="AC9" s="335"/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35"/>
      <c r="E10" s="337" t="s">
        <v>19</v>
      </c>
      <c r="F10" s="337" t="s">
        <v>21</v>
      </c>
      <c r="G10" s="337" t="s">
        <v>20</v>
      </c>
      <c r="H10" s="337" t="s">
        <v>22</v>
      </c>
      <c r="I10" s="337" t="s">
        <v>93</v>
      </c>
      <c r="J10" s="337" t="s">
        <v>94</v>
      </c>
      <c r="K10" s="337" t="s">
        <v>250</v>
      </c>
      <c r="L10" s="337" t="s">
        <v>251</v>
      </c>
      <c r="M10" s="337" t="s">
        <v>252</v>
      </c>
      <c r="N10" s="337" t="s">
        <v>253</v>
      </c>
      <c r="O10" s="337" t="s">
        <v>254</v>
      </c>
      <c r="P10" s="337" t="s">
        <v>255</v>
      </c>
      <c r="Q10" s="337" t="s">
        <v>256</v>
      </c>
      <c r="R10" s="337" t="s">
        <v>257</v>
      </c>
      <c r="S10" s="337" t="s">
        <v>258</v>
      </c>
      <c r="T10" s="337" t="s">
        <v>259</v>
      </c>
      <c r="U10" s="337" t="s">
        <v>260</v>
      </c>
      <c r="V10" s="337" t="s">
        <v>261</v>
      </c>
      <c r="W10" s="337" t="s">
        <v>262</v>
      </c>
      <c r="X10" s="337" t="s">
        <v>263</v>
      </c>
      <c r="Y10" s="337" t="s">
        <v>264</v>
      </c>
      <c r="Z10" s="337" t="s">
        <v>265</v>
      </c>
      <c r="AA10" s="337" t="s">
        <v>266</v>
      </c>
      <c r="AB10" s="337" t="s">
        <v>267</v>
      </c>
      <c r="AC10" s="337" t="s">
        <v>268</v>
      </c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8" t="s">
        <v>2</v>
      </c>
      <c r="E11" s="335"/>
      <c r="F11" s="335"/>
      <c r="G11" s="335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  <c r="U11" s="335"/>
      <c r="V11" s="335"/>
      <c r="W11" s="335"/>
      <c r="X11" s="335"/>
      <c r="Y11" s="335"/>
      <c r="Z11" s="335"/>
      <c r="AA11" s="335"/>
      <c r="AB11" s="335"/>
      <c r="AC11" s="335"/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9" t="s">
        <v>269</v>
      </c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340"/>
      <c r="AC12" s="340"/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41" t="s">
        <v>270</v>
      </c>
      <c r="E13" s="342">
        <f>E12</f>
        <v>0</v>
      </c>
      <c r="F13" s="342">
        <f t="shared" ref="F13:AC13" si="0">F12</f>
        <v>0</v>
      </c>
      <c r="G13" s="342">
        <f t="shared" si="0"/>
        <v>0</v>
      </c>
      <c r="H13" s="342">
        <f t="shared" si="0"/>
        <v>0</v>
      </c>
      <c r="I13" s="342">
        <f t="shared" si="0"/>
        <v>0</v>
      </c>
      <c r="J13" s="342">
        <f t="shared" si="0"/>
        <v>0</v>
      </c>
      <c r="K13" s="342">
        <f t="shared" si="0"/>
        <v>0</v>
      </c>
      <c r="L13" s="342">
        <f t="shared" si="0"/>
        <v>0</v>
      </c>
      <c r="M13" s="342">
        <f t="shared" si="0"/>
        <v>0</v>
      </c>
      <c r="N13" s="342">
        <f t="shared" si="0"/>
        <v>0</v>
      </c>
      <c r="O13" s="342">
        <f t="shared" si="0"/>
        <v>0</v>
      </c>
      <c r="P13" s="342">
        <f t="shared" si="0"/>
        <v>0</v>
      </c>
      <c r="Q13" s="342">
        <f t="shared" si="0"/>
        <v>0</v>
      </c>
      <c r="R13" s="342">
        <f t="shared" si="0"/>
        <v>0</v>
      </c>
      <c r="S13" s="342">
        <f t="shared" si="0"/>
        <v>0</v>
      </c>
      <c r="T13" s="342">
        <f t="shared" si="0"/>
        <v>0</v>
      </c>
      <c r="U13" s="342">
        <f t="shared" si="0"/>
        <v>0</v>
      </c>
      <c r="V13" s="342">
        <f t="shared" si="0"/>
        <v>0</v>
      </c>
      <c r="W13" s="342">
        <f t="shared" si="0"/>
        <v>0</v>
      </c>
      <c r="X13" s="342">
        <f t="shared" si="0"/>
        <v>0</v>
      </c>
      <c r="Y13" s="342">
        <f t="shared" si="0"/>
        <v>0</v>
      </c>
      <c r="Z13" s="342">
        <f t="shared" si="0"/>
        <v>0</v>
      </c>
      <c r="AA13" s="342">
        <f t="shared" si="0"/>
        <v>0</v>
      </c>
      <c r="AB13" s="342">
        <f t="shared" si="0"/>
        <v>0</v>
      </c>
      <c r="AC13" s="342">
        <f t="shared" si="0"/>
        <v>0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  <c r="U14" s="335"/>
      <c r="V14" s="335"/>
      <c r="W14" s="335"/>
      <c r="X14" s="335"/>
      <c r="Y14" s="335"/>
      <c r="Z14" s="335"/>
      <c r="AA14" s="335"/>
      <c r="AB14" s="335"/>
      <c r="AC14" s="335"/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  <c r="U15" s="335"/>
      <c r="V15" s="335"/>
      <c r="W15" s="335"/>
      <c r="X15" s="335"/>
      <c r="Y15" s="335"/>
      <c r="Z15" s="335"/>
      <c r="AA15" s="335"/>
      <c r="AB15" s="335"/>
      <c r="AC15" s="335"/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43"/>
      <c r="B16" s="333" t="str">
        <f>Assumptions!C15&amp;" - "&amp;Assumptions!E15</f>
        <v>Option 2 - Replace transformer #1 completed in 2028-2029</v>
      </c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3"/>
      <c r="O16" s="343"/>
      <c r="P16" s="343"/>
      <c r="Q16" s="343"/>
      <c r="R16" s="343"/>
      <c r="S16" s="343"/>
      <c r="T16" s="343"/>
      <c r="U16" s="343"/>
      <c r="V16" s="343"/>
      <c r="W16" s="343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5"/>
      <c r="B19" s="335"/>
      <c r="C19" s="335"/>
      <c r="D19" s="335"/>
      <c r="E19" s="337" t="s">
        <v>19</v>
      </c>
      <c r="F19" s="337" t="s">
        <v>21</v>
      </c>
      <c r="G19" s="337" t="s">
        <v>20</v>
      </c>
      <c r="H19" s="337" t="s">
        <v>22</v>
      </c>
      <c r="I19" s="337" t="s">
        <v>93</v>
      </c>
      <c r="J19" s="337" t="s">
        <v>94</v>
      </c>
      <c r="K19" s="337" t="s">
        <v>250</v>
      </c>
      <c r="L19" s="337" t="s">
        <v>251</v>
      </c>
      <c r="M19" s="337" t="s">
        <v>252</v>
      </c>
      <c r="N19" s="337" t="s">
        <v>253</v>
      </c>
      <c r="O19" s="337" t="s">
        <v>254</v>
      </c>
      <c r="P19" s="337" t="s">
        <v>255</v>
      </c>
      <c r="Q19" s="337" t="s">
        <v>256</v>
      </c>
      <c r="R19" s="337" t="s">
        <v>257</v>
      </c>
      <c r="S19" s="337" t="s">
        <v>258</v>
      </c>
      <c r="T19" s="337" t="s">
        <v>259</v>
      </c>
      <c r="U19" s="337" t="s">
        <v>260</v>
      </c>
      <c r="V19" s="337" t="s">
        <v>261</v>
      </c>
      <c r="W19" s="337" t="s">
        <v>262</v>
      </c>
      <c r="X19" s="337" t="s">
        <v>263</v>
      </c>
      <c r="Y19" s="337" t="s">
        <v>264</v>
      </c>
      <c r="Z19" s="337" t="s">
        <v>265</v>
      </c>
      <c r="AA19" s="337" t="s">
        <v>266</v>
      </c>
      <c r="AB19" s="337" t="s">
        <v>267</v>
      </c>
      <c r="AC19" s="337" t="s">
        <v>268</v>
      </c>
      <c r="AD19" s="335"/>
      <c r="AE19" s="335"/>
      <c r="AF19" s="335"/>
      <c r="AG19" s="335"/>
      <c r="AH19" s="335"/>
      <c r="AI19" s="335"/>
      <c r="AJ19" s="335"/>
      <c r="AK19" s="335"/>
      <c r="AL19" s="335"/>
      <c r="AM19" s="335"/>
      <c r="AN19" s="335"/>
      <c r="AO19" s="335"/>
      <c r="AP19" s="335"/>
      <c r="AQ19" s="335"/>
      <c r="AR19" s="335"/>
    </row>
    <row r="20" spans="1:44" x14ac:dyDescent="0.2">
      <c r="A20" s="335"/>
      <c r="B20" s="335"/>
      <c r="C20" s="335"/>
      <c r="D20" s="338" t="s">
        <v>271</v>
      </c>
      <c r="E20" s="340"/>
      <c r="F20" s="340">
        <v>2490440.3166666669</v>
      </c>
      <c r="G20" s="340">
        <v>4980880.6333333338</v>
      </c>
      <c r="H20" s="340"/>
      <c r="I20" s="340"/>
      <c r="J20" s="340"/>
      <c r="K20" s="340"/>
      <c r="L20" s="340"/>
      <c r="M20" s="340"/>
      <c r="N20" s="340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44" t="s">
        <v>272</v>
      </c>
      <c r="E21" s="345">
        <f>E20</f>
        <v>0</v>
      </c>
      <c r="F21" s="345">
        <f t="shared" ref="F21:AC21" si="1">F20</f>
        <v>2490440.3166666669</v>
      </c>
      <c r="G21" s="345">
        <f t="shared" si="1"/>
        <v>4980880.6333333338</v>
      </c>
      <c r="H21" s="345">
        <f t="shared" si="1"/>
        <v>0</v>
      </c>
      <c r="I21" s="345">
        <f t="shared" si="1"/>
        <v>0</v>
      </c>
      <c r="J21" s="345">
        <f t="shared" si="1"/>
        <v>0</v>
      </c>
      <c r="K21" s="345">
        <f t="shared" si="1"/>
        <v>0</v>
      </c>
      <c r="L21" s="345">
        <f t="shared" si="1"/>
        <v>0</v>
      </c>
      <c r="M21" s="345">
        <f t="shared" si="1"/>
        <v>0</v>
      </c>
      <c r="N21" s="345">
        <f t="shared" si="1"/>
        <v>0</v>
      </c>
      <c r="O21" s="345">
        <f t="shared" si="1"/>
        <v>0</v>
      </c>
      <c r="P21" s="345">
        <f t="shared" si="1"/>
        <v>0</v>
      </c>
      <c r="Q21" s="345">
        <f t="shared" si="1"/>
        <v>0</v>
      </c>
      <c r="R21" s="345">
        <f t="shared" si="1"/>
        <v>0</v>
      </c>
      <c r="S21" s="345">
        <f t="shared" si="1"/>
        <v>0</v>
      </c>
      <c r="T21" s="345">
        <f t="shared" si="1"/>
        <v>0</v>
      </c>
      <c r="U21" s="345">
        <f t="shared" si="1"/>
        <v>0</v>
      </c>
      <c r="V21" s="345">
        <f t="shared" si="1"/>
        <v>0</v>
      </c>
      <c r="W21" s="345">
        <f t="shared" si="1"/>
        <v>0</v>
      </c>
      <c r="X21" s="345">
        <f t="shared" si="1"/>
        <v>0</v>
      </c>
      <c r="Y21" s="345">
        <f t="shared" si="1"/>
        <v>0</v>
      </c>
      <c r="Z21" s="345">
        <f t="shared" si="1"/>
        <v>0</v>
      </c>
      <c r="AA21" s="345">
        <f t="shared" si="1"/>
        <v>0</v>
      </c>
      <c r="AB21" s="345">
        <f t="shared" si="1"/>
        <v>0</v>
      </c>
      <c r="AC21" s="345">
        <f t="shared" si="1"/>
        <v>0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35"/>
      <c r="E22" s="335"/>
      <c r="F22" s="335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  <c r="U22" s="335"/>
      <c r="V22" s="335"/>
      <c r="W22" s="335"/>
      <c r="X22" s="335"/>
      <c r="Y22" s="335"/>
      <c r="Z22" s="335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/>
      <c r="E23" s="337" t="s">
        <v>19</v>
      </c>
      <c r="F23" s="337" t="s">
        <v>21</v>
      </c>
      <c r="G23" s="337" t="s">
        <v>20</v>
      </c>
      <c r="H23" s="337" t="s">
        <v>22</v>
      </c>
      <c r="I23" s="337" t="s">
        <v>93</v>
      </c>
      <c r="J23" s="337" t="s">
        <v>94</v>
      </c>
      <c r="K23" s="337" t="s">
        <v>250</v>
      </c>
      <c r="L23" s="337" t="s">
        <v>251</v>
      </c>
      <c r="M23" s="337" t="s">
        <v>252</v>
      </c>
      <c r="N23" s="337" t="s">
        <v>253</v>
      </c>
      <c r="O23" s="337" t="s">
        <v>254</v>
      </c>
      <c r="P23" s="337" t="s">
        <v>255</v>
      </c>
      <c r="Q23" s="337" t="s">
        <v>256</v>
      </c>
      <c r="R23" s="337" t="s">
        <v>257</v>
      </c>
      <c r="S23" s="337" t="s">
        <v>258</v>
      </c>
      <c r="T23" s="337" t="s">
        <v>259</v>
      </c>
      <c r="U23" s="337" t="s">
        <v>260</v>
      </c>
      <c r="V23" s="337" t="s">
        <v>261</v>
      </c>
      <c r="W23" s="337" t="s">
        <v>262</v>
      </c>
      <c r="X23" s="337" t="s">
        <v>263</v>
      </c>
      <c r="Y23" s="337" t="s">
        <v>264</v>
      </c>
      <c r="Z23" s="337" t="s">
        <v>265</v>
      </c>
      <c r="AA23" s="337" t="s">
        <v>266</v>
      </c>
      <c r="AB23" s="337" t="s">
        <v>267</v>
      </c>
      <c r="AC23" s="337" t="s">
        <v>268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8" t="s">
        <v>2</v>
      </c>
      <c r="E24" s="335"/>
      <c r="F24" s="335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9" t="s">
        <v>273</v>
      </c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346"/>
      <c r="Z25" s="346"/>
      <c r="AA25" s="346"/>
      <c r="AB25" s="346"/>
      <c r="AC25" s="346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41" t="s">
        <v>270</v>
      </c>
      <c r="E26" s="342">
        <f>E25</f>
        <v>0</v>
      </c>
      <c r="F26" s="342">
        <f t="shared" ref="F26:AC26" si="2">F25</f>
        <v>0</v>
      </c>
      <c r="G26" s="342">
        <f t="shared" si="2"/>
        <v>0</v>
      </c>
      <c r="H26" s="342">
        <f t="shared" si="2"/>
        <v>0</v>
      </c>
      <c r="I26" s="342">
        <f t="shared" si="2"/>
        <v>0</v>
      </c>
      <c r="J26" s="342">
        <f t="shared" si="2"/>
        <v>0</v>
      </c>
      <c r="K26" s="342">
        <f t="shared" si="2"/>
        <v>0</v>
      </c>
      <c r="L26" s="342">
        <f t="shared" si="2"/>
        <v>0</v>
      </c>
      <c r="M26" s="342">
        <f t="shared" si="2"/>
        <v>0</v>
      </c>
      <c r="N26" s="342">
        <f t="shared" si="2"/>
        <v>0</v>
      </c>
      <c r="O26" s="342">
        <f t="shared" si="2"/>
        <v>0</v>
      </c>
      <c r="P26" s="342">
        <f t="shared" si="2"/>
        <v>0</v>
      </c>
      <c r="Q26" s="342">
        <f t="shared" si="2"/>
        <v>0</v>
      </c>
      <c r="R26" s="342">
        <f t="shared" si="2"/>
        <v>0</v>
      </c>
      <c r="S26" s="342">
        <f t="shared" si="2"/>
        <v>0</v>
      </c>
      <c r="T26" s="342">
        <f t="shared" si="2"/>
        <v>0</v>
      </c>
      <c r="U26" s="342">
        <f t="shared" si="2"/>
        <v>0</v>
      </c>
      <c r="V26" s="342">
        <f t="shared" si="2"/>
        <v>0</v>
      </c>
      <c r="W26" s="342">
        <f t="shared" si="2"/>
        <v>0</v>
      </c>
      <c r="X26" s="342">
        <f t="shared" si="2"/>
        <v>0</v>
      </c>
      <c r="Y26" s="342">
        <f t="shared" si="2"/>
        <v>0</v>
      </c>
      <c r="Z26" s="342">
        <f t="shared" si="2"/>
        <v>0</v>
      </c>
      <c r="AA26" s="342">
        <f t="shared" si="2"/>
        <v>0</v>
      </c>
      <c r="AB26" s="342">
        <f t="shared" si="2"/>
        <v>0</v>
      </c>
      <c r="AC26" s="342">
        <f t="shared" si="2"/>
        <v>0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  <c r="U27" s="335"/>
      <c r="V27" s="335"/>
      <c r="W27" s="335"/>
      <c r="X27" s="335"/>
      <c r="Y27" s="335"/>
      <c r="Z27" s="335"/>
      <c r="AA27" s="335"/>
      <c r="AB27" s="335"/>
      <c r="AC27" s="335"/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35"/>
      <c r="E28" s="335"/>
      <c r="F28" s="335"/>
      <c r="G28" s="335"/>
      <c r="H28" s="335"/>
      <c r="I28" s="335"/>
      <c r="J28" s="335"/>
      <c r="K28" s="335"/>
      <c r="L28" s="335"/>
      <c r="M28" s="335"/>
      <c r="N28" s="335"/>
      <c r="O28" s="335"/>
      <c r="P28" s="335"/>
      <c r="Q28" s="335"/>
      <c r="R28" s="335"/>
      <c r="S28" s="335"/>
      <c r="T28" s="335"/>
      <c r="U28" s="335"/>
      <c r="V28" s="335"/>
      <c r="W28" s="335"/>
      <c r="X28" s="335"/>
      <c r="Y28" s="335"/>
      <c r="Z28" s="335"/>
      <c r="AA28" s="335"/>
      <c r="AB28" s="335"/>
      <c r="AC28" s="335"/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29" spans="1:44" x14ac:dyDescent="0.2">
      <c r="A29" s="335"/>
      <c r="B29" s="335"/>
      <c r="C29" s="335"/>
      <c r="D29" s="335"/>
      <c r="E29" s="335"/>
      <c r="F29" s="335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  <c r="AA29" s="335"/>
      <c r="AB29" s="335"/>
      <c r="AC29" s="335"/>
      <c r="AD29" s="335"/>
      <c r="AE29" s="335"/>
      <c r="AF29" s="335"/>
      <c r="AG29" s="335"/>
      <c r="AH29" s="335"/>
      <c r="AI29" s="335"/>
      <c r="AJ29" s="335"/>
      <c r="AK29" s="335"/>
      <c r="AL29" s="335"/>
      <c r="AM29" s="335"/>
      <c r="AN29" s="335"/>
      <c r="AO29" s="335"/>
      <c r="AP29" s="335"/>
      <c r="AQ29" s="335"/>
      <c r="AR29" s="335"/>
    </row>
    <row r="30" spans="1:44" x14ac:dyDescent="0.2">
      <c r="A30" s="343"/>
      <c r="B30" s="333" t="str">
        <f>Assumptions!C16&amp;" - "&amp;Assumptions!E16</f>
        <v>Option 3 - Refurbish transformer #1 completed in 2027-2028</v>
      </c>
      <c r="C30" s="343"/>
      <c r="D30" s="343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343"/>
      <c r="U30" s="343"/>
      <c r="V30" s="343"/>
      <c r="W30" s="343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43"/>
      <c r="AK30" s="343"/>
      <c r="AL30" s="343"/>
      <c r="AM30" s="343"/>
      <c r="AN30" s="343"/>
      <c r="AO30" s="343"/>
      <c r="AP30" s="343"/>
      <c r="AQ30" s="343"/>
      <c r="AR30" s="343"/>
    </row>
    <row r="31" spans="1:44" x14ac:dyDescent="0.2">
      <c r="A31" s="335"/>
      <c r="B31" s="335"/>
      <c r="C31" s="335"/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  <c r="U31" s="335"/>
      <c r="V31" s="335"/>
      <c r="W31" s="335"/>
      <c r="X31" s="335"/>
      <c r="Y31" s="335"/>
      <c r="Z31" s="335"/>
      <c r="AA31" s="335"/>
      <c r="AB31" s="335"/>
      <c r="AC31" s="335"/>
      <c r="AD31" s="335"/>
      <c r="AE31" s="335"/>
      <c r="AF31" s="335"/>
      <c r="AG31" s="335"/>
      <c r="AH31" s="335"/>
      <c r="AI31" s="335"/>
      <c r="AJ31" s="335"/>
      <c r="AK31" s="335"/>
      <c r="AL31" s="335"/>
      <c r="AM31" s="335"/>
      <c r="AN31" s="335"/>
      <c r="AO31" s="335"/>
      <c r="AP31" s="335"/>
      <c r="AQ31" s="335"/>
      <c r="AR31" s="335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38" t="s">
        <v>271</v>
      </c>
      <c r="E34" s="340"/>
      <c r="F34" s="340">
        <v>500000</v>
      </c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/>
      <c r="Y34" s="340"/>
      <c r="Z34" s="340"/>
      <c r="AA34" s="340"/>
      <c r="AB34" s="340"/>
      <c r="AC34" s="340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44" t="s">
        <v>272</v>
      </c>
      <c r="E35" s="345">
        <f>E34</f>
        <v>0</v>
      </c>
      <c r="F35" s="345">
        <f t="shared" ref="F35:AC35" si="3">F34</f>
        <v>500000</v>
      </c>
      <c r="G35" s="345">
        <f t="shared" si="3"/>
        <v>0</v>
      </c>
      <c r="H35" s="345">
        <f t="shared" si="3"/>
        <v>0</v>
      </c>
      <c r="I35" s="345">
        <f t="shared" si="3"/>
        <v>0</v>
      </c>
      <c r="J35" s="345">
        <f t="shared" si="3"/>
        <v>0</v>
      </c>
      <c r="K35" s="345">
        <f t="shared" si="3"/>
        <v>0</v>
      </c>
      <c r="L35" s="345">
        <f t="shared" si="3"/>
        <v>0</v>
      </c>
      <c r="M35" s="345">
        <f t="shared" si="3"/>
        <v>0</v>
      </c>
      <c r="N35" s="345">
        <f t="shared" si="3"/>
        <v>0</v>
      </c>
      <c r="O35" s="345">
        <f t="shared" si="3"/>
        <v>0</v>
      </c>
      <c r="P35" s="345">
        <f t="shared" si="3"/>
        <v>0</v>
      </c>
      <c r="Q35" s="345">
        <f t="shared" si="3"/>
        <v>0</v>
      </c>
      <c r="R35" s="345">
        <f t="shared" si="3"/>
        <v>0</v>
      </c>
      <c r="S35" s="345">
        <f t="shared" si="3"/>
        <v>0</v>
      </c>
      <c r="T35" s="345">
        <f t="shared" si="3"/>
        <v>0</v>
      </c>
      <c r="U35" s="345">
        <f t="shared" si="3"/>
        <v>0</v>
      </c>
      <c r="V35" s="345">
        <f t="shared" si="3"/>
        <v>0</v>
      </c>
      <c r="W35" s="345">
        <f t="shared" si="3"/>
        <v>0</v>
      </c>
      <c r="X35" s="345">
        <f t="shared" si="3"/>
        <v>0</v>
      </c>
      <c r="Y35" s="345">
        <f t="shared" si="3"/>
        <v>0</v>
      </c>
      <c r="Z35" s="345">
        <f t="shared" si="3"/>
        <v>0</v>
      </c>
      <c r="AA35" s="345">
        <f t="shared" si="3"/>
        <v>0</v>
      </c>
      <c r="AB35" s="345">
        <f t="shared" si="3"/>
        <v>0</v>
      </c>
      <c r="AC35" s="345">
        <f t="shared" si="3"/>
        <v>0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/>
      <c r="E37" s="337" t="s">
        <v>19</v>
      </c>
      <c r="F37" s="337" t="s">
        <v>21</v>
      </c>
      <c r="G37" s="337" t="s">
        <v>20</v>
      </c>
      <c r="H37" s="337" t="s">
        <v>22</v>
      </c>
      <c r="I37" s="337" t="s">
        <v>93</v>
      </c>
      <c r="J37" s="337" t="s">
        <v>94</v>
      </c>
      <c r="K37" s="337" t="s">
        <v>250</v>
      </c>
      <c r="L37" s="337" t="s">
        <v>251</v>
      </c>
      <c r="M37" s="337" t="s">
        <v>252</v>
      </c>
      <c r="N37" s="337" t="s">
        <v>253</v>
      </c>
      <c r="O37" s="337" t="s">
        <v>254</v>
      </c>
      <c r="P37" s="337" t="s">
        <v>255</v>
      </c>
      <c r="Q37" s="337" t="s">
        <v>256</v>
      </c>
      <c r="R37" s="337" t="s">
        <v>257</v>
      </c>
      <c r="S37" s="337" t="s">
        <v>258</v>
      </c>
      <c r="T37" s="337" t="s">
        <v>259</v>
      </c>
      <c r="U37" s="337" t="s">
        <v>260</v>
      </c>
      <c r="V37" s="337" t="s">
        <v>261</v>
      </c>
      <c r="W37" s="337" t="s">
        <v>262</v>
      </c>
      <c r="X37" s="337" t="s">
        <v>263</v>
      </c>
      <c r="Y37" s="337" t="s">
        <v>264</v>
      </c>
      <c r="Z37" s="337" t="s">
        <v>265</v>
      </c>
      <c r="AA37" s="337" t="s">
        <v>266</v>
      </c>
      <c r="AB37" s="337" t="s">
        <v>267</v>
      </c>
      <c r="AC37" s="337" t="s">
        <v>268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8" t="s">
        <v>2</v>
      </c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5"/>
      <c r="Y38" s="335"/>
      <c r="Z38" s="335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9" t="s">
        <v>273</v>
      </c>
      <c r="E39" s="346"/>
      <c r="F39" s="346"/>
      <c r="G39" s="346"/>
      <c r="H39" s="346"/>
      <c r="I39" s="346"/>
      <c r="J39" s="346"/>
      <c r="K39" s="346"/>
      <c r="L39" s="346"/>
      <c r="M39" s="346"/>
      <c r="N39" s="346"/>
      <c r="O39" s="346"/>
      <c r="P39" s="346"/>
      <c r="Q39" s="346"/>
      <c r="R39" s="346"/>
      <c r="S39" s="346"/>
      <c r="T39" s="346"/>
      <c r="U39" s="346"/>
      <c r="V39" s="346"/>
      <c r="W39" s="346"/>
      <c r="X39" s="346"/>
      <c r="Y39" s="346"/>
      <c r="Z39" s="346"/>
      <c r="AA39" s="346"/>
      <c r="AB39" s="346"/>
      <c r="AC39" s="346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41" t="s">
        <v>270</v>
      </c>
      <c r="E40" s="342">
        <v>0</v>
      </c>
      <c r="F40" s="342">
        <v>0</v>
      </c>
      <c r="G40" s="342">
        <v>0</v>
      </c>
      <c r="H40" s="342">
        <v>0</v>
      </c>
      <c r="I40" s="342">
        <v>0</v>
      </c>
      <c r="J40" s="342">
        <v>0</v>
      </c>
      <c r="K40" s="342">
        <v>0</v>
      </c>
      <c r="L40" s="342">
        <v>0</v>
      </c>
      <c r="M40" s="342">
        <v>0</v>
      </c>
      <c r="N40" s="342">
        <v>0</v>
      </c>
      <c r="O40" s="342">
        <v>0</v>
      </c>
      <c r="P40" s="342">
        <v>0</v>
      </c>
      <c r="Q40" s="342">
        <v>0</v>
      </c>
      <c r="R40" s="342">
        <v>0</v>
      </c>
      <c r="S40" s="342">
        <v>0</v>
      </c>
      <c r="T40" s="342">
        <v>0</v>
      </c>
      <c r="U40" s="342">
        <v>0</v>
      </c>
      <c r="V40" s="342">
        <v>0</v>
      </c>
      <c r="W40" s="342">
        <v>0</v>
      </c>
      <c r="X40" s="342">
        <v>0</v>
      </c>
      <c r="Y40" s="342">
        <v>0</v>
      </c>
      <c r="Z40" s="342">
        <v>0</v>
      </c>
      <c r="AA40" s="342">
        <v>0</v>
      </c>
      <c r="AB40" s="342">
        <v>0</v>
      </c>
      <c r="AC40" s="342">
        <v>0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  <row r="41" spans="1:44" x14ac:dyDescent="0.2">
      <c r="A41" s="335"/>
      <c r="B41" s="335"/>
      <c r="C41" s="335"/>
      <c r="D41" s="335"/>
      <c r="E41" s="335"/>
      <c r="F41" s="335"/>
      <c r="G41" s="335"/>
      <c r="H41" s="335"/>
      <c r="I41" s="335"/>
      <c r="J41" s="335"/>
      <c r="K41" s="335"/>
      <c r="L41" s="335"/>
      <c r="M41" s="335"/>
      <c r="N41" s="335"/>
      <c r="O41" s="335"/>
      <c r="P41" s="335"/>
      <c r="Q41" s="335"/>
      <c r="R41" s="335"/>
      <c r="S41" s="335"/>
      <c r="T41" s="335"/>
      <c r="U41" s="335"/>
      <c r="V41" s="335"/>
      <c r="W41" s="335"/>
      <c r="X41" s="335"/>
      <c r="Y41" s="335"/>
      <c r="Z41" s="335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5"/>
      <c r="AO41" s="335"/>
      <c r="AP41" s="335"/>
      <c r="AQ41" s="335"/>
      <c r="AR41" s="335"/>
    </row>
    <row r="42" spans="1:44" x14ac:dyDescent="0.2">
      <c r="A42" s="335"/>
      <c r="B42" s="335"/>
      <c r="C42" s="335"/>
      <c r="D42" s="335"/>
      <c r="E42" s="335"/>
      <c r="F42" s="335"/>
      <c r="G42" s="335"/>
      <c r="H42" s="335"/>
      <c r="I42" s="335"/>
      <c r="J42" s="335"/>
      <c r="K42" s="335"/>
      <c r="L42" s="335"/>
      <c r="M42" s="335"/>
      <c r="N42" s="335"/>
      <c r="O42" s="335"/>
      <c r="P42" s="335"/>
      <c r="Q42" s="335"/>
      <c r="R42" s="335"/>
      <c r="S42" s="335"/>
      <c r="T42" s="335"/>
      <c r="U42" s="335"/>
      <c r="V42" s="335"/>
      <c r="W42" s="335"/>
      <c r="X42" s="335"/>
      <c r="Y42" s="335"/>
      <c r="Z42" s="335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5"/>
      <c r="AO42" s="335"/>
      <c r="AP42" s="335"/>
      <c r="AQ42" s="335"/>
      <c r="AR42" s="335"/>
    </row>
    <row r="43" spans="1:44" x14ac:dyDescent="0.2">
      <c r="A43" s="335"/>
      <c r="B43" s="335"/>
      <c r="C43" s="335"/>
      <c r="D43" s="335"/>
      <c r="E43" s="335"/>
      <c r="F43" s="347"/>
      <c r="G43" s="335"/>
      <c r="H43" s="335"/>
      <c r="I43" s="335"/>
      <c r="J43" s="348"/>
      <c r="K43" s="348"/>
      <c r="L43" s="348"/>
      <c r="M43" s="348"/>
      <c r="N43" s="348"/>
      <c r="O43" s="348"/>
      <c r="P43" s="348"/>
      <c r="Q43" s="348"/>
      <c r="R43" s="348"/>
      <c r="S43" s="348"/>
      <c r="T43" s="348"/>
      <c r="U43" s="348"/>
      <c r="V43" s="348"/>
      <c r="W43" s="348"/>
      <c r="X43" s="348"/>
      <c r="Y43" s="348"/>
      <c r="Z43" s="348"/>
      <c r="AA43" s="348"/>
      <c r="AB43" s="348"/>
      <c r="AC43" s="348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5"/>
      <c r="AO43" s="335"/>
      <c r="AP43" s="335"/>
      <c r="AQ43" s="335"/>
      <c r="AR43" s="335"/>
    </row>
    <row r="44" spans="1:44" x14ac:dyDescent="0.2">
      <c r="A44" s="335"/>
      <c r="B44" s="335"/>
      <c r="C44" s="335"/>
      <c r="D44" s="335"/>
      <c r="E44" s="335"/>
      <c r="F44" s="347"/>
      <c r="G44" s="335"/>
      <c r="H44" s="335"/>
      <c r="I44" s="335"/>
      <c r="J44" s="348"/>
      <c r="K44" s="348"/>
      <c r="L44" s="348"/>
      <c r="M44" s="348"/>
      <c r="N44" s="348"/>
      <c r="O44" s="348"/>
      <c r="P44" s="348"/>
      <c r="Q44" s="348"/>
      <c r="R44" s="348"/>
      <c r="S44" s="348"/>
      <c r="T44" s="348"/>
      <c r="U44" s="348"/>
      <c r="V44" s="348"/>
      <c r="W44" s="348"/>
      <c r="X44" s="348"/>
      <c r="Y44" s="348"/>
      <c r="Z44" s="348"/>
      <c r="AA44" s="348"/>
      <c r="AB44" s="348"/>
      <c r="AC44" s="348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5"/>
      <c r="AO44" s="335"/>
      <c r="AP44" s="335"/>
      <c r="AQ44" s="335"/>
      <c r="AR44" s="335"/>
    </row>
    <row r="45" spans="1:44" x14ac:dyDescent="0.2">
      <c r="A45" s="335"/>
      <c r="B45" s="335"/>
      <c r="C45" s="335"/>
      <c r="D45" s="335"/>
      <c r="E45" s="335"/>
      <c r="F45" s="347"/>
      <c r="G45" s="335"/>
      <c r="H45" s="335"/>
      <c r="I45" s="335"/>
      <c r="J45" s="348"/>
      <c r="K45" s="348"/>
      <c r="L45" s="348"/>
      <c r="M45" s="348"/>
      <c r="N45" s="348"/>
      <c r="O45" s="348"/>
      <c r="P45" s="348"/>
      <c r="Q45" s="348"/>
      <c r="R45" s="348"/>
      <c r="S45" s="348"/>
      <c r="T45" s="348"/>
      <c r="U45" s="348"/>
      <c r="V45" s="348"/>
      <c r="W45" s="348"/>
      <c r="X45" s="348"/>
      <c r="Y45" s="348"/>
      <c r="Z45" s="348"/>
      <c r="AA45" s="348"/>
      <c r="AB45" s="348"/>
      <c r="AC45" s="348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5"/>
      <c r="AO45" s="335"/>
      <c r="AP45" s="335"/>
      <c r="AQ45" s="335"/>
      <c r="AR45" s="335"/>
    </row>
    <row r="46" spans="1:44" x14ac:dyDescent="0.2">
      <c r="A46" s="335"/>
      <c r="B46" s="335"/>
      <c r="C46" s="335"/>
      <c r="D46" s="335"/>
      <c r="E46" s="335"/>
      <c r="F46" s="347"/>
      <c r="G46" s="335"/>
      <c r="H46" s="335"/>
      <c r="I46" s="335"/>
      <c r="J46" s="348"/>
      <c r="K46" s="348"/>
      <c r="L46" s="348"/>
      <c r="M46" s="348"/>
      <c r="N46" s="348"/>
      <c r="O46" s="348"/>
      <c r="P46" s="348"/>
      <c r="Q46" s="348"/>
      <c r="R46" s="348"/>
      <c r="S46" s="348"/>
      <c r="T46" s="348"/>
      <c r="U46" s="348"/>
      <c r="V46" s="348"/>
      <c r="W46" s="348"/>
      <c r="X46" s="348"/>
      <c r="Y46" s="348"/>
      <c r="Z46" s="348"/>
      <c r="AA46" s="348"/>
      <c r="AB46" s="348"/>
      <c r="AC46" s="348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5"/>
      <c r="AO46" s="335"/>
      <c r="AP46" s="335"/>
      <c r="AQ46" s="335"/>
      <c r="AR46" s="335"/>
    </row>
    <row r="47" spans="1:44" x14ac:dyDescent="0.2">
      <c r="A47" s="335"/>
      <c r="B47" s="335"/>
      <c r="C47" s="335"/>
      <c r="D47" s="335"/>
      <c r="E47" s="335"/>
      <c r="F47" s="347"/>
      <c r="G47" s="335"/>
      <c r="H47" s="335"/>
      <c r="I47" s="335"/>
      <c r="J47" s="348"/>
      <c r="K47" s="348"/>
      <c r="L47" s="348"/>
      <c r="M47" s="348"/>
      <c r="N47" s="348"/>
      <c r="O47" s="348"/>
      <c r="P47" s="348"/>
      <c r="Q47" s="348"/>
      <c r="R47" s="348"/>
      <c r="S47" s="348"/>
      <c r="T47" s="348"/>
      <c r="U47" s="348"/>
      <c r="V47" s="348"/>
      <c r="W47" s="348"/>
      <c r="X47" s="348"/>
      <c r="Y47" s="348"/>
      <c r="Z47" s="348"/>
      <c r="AA47" s="348"/>
      <c r="AB47" s="348"/>
      <c r="AC47" s="348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5"/>
      <c r="AO47" s="335"/>
      <c r="AP47" s="335"/>
      <c r="AQ47" s="335"/>
      <c r="AR47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5710-E35D-4694-9BC6-D8FD8F8BE172}">
  <sheetPr codeName="Sheet10">
    <tabColor rgb="FFFFFF00"/>
  </sheetPr>
  <dimension ref="A1:AR40"/>
  <sheetViews>
    <sheetView showGridLines="0" zoomScale="90" zoomScaleNormal="90" workbookViewId="0">
      <pane xSplit="4" ySplit="5" topLeftCell="E6" activePane="bottomRight" state="frozen"/>
      <selection activeCell="F23" sqref="F23:G23"/>
      <selection pane="topRight" activeCell="F23" sqref="F23:G23"/>
      <selection pane="bottomLeft" activeCell="F23" sqref="F23:G23"/>
      <selection pane="bottomRight" activeCell="E6" sqref="E6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23.875" style="1" bestFit="1" customWidth="1"/>
    <col min="5" max="5" width="12.125" style="1" customWidth="1"/>
    <col min="6" max="6" width="15.125" style="1" customWidth="1"/>
    <col min="7" max="7" width="14" style="1" customWidth="1"/>
    <col min="8" max="8" width="14.75" style="1" customWidth="1"/>
    <col min="9" max="28" width="8.625" style="1" customWidth="1"/>
    <col min="29" max="16384" width="8" style="1"/>
  </cols>
  <sheetData>
    <row r="1" spans="1:44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44" ht="18.75" x14ac:dyDescent="0.3">
      <c r="A2" s="56" t="str">
        <f>proj</f>
        <v>MNA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44" ht="18.75" x14ac:dyDescent="0.3">
      <c r="A3" s="5" t="s">
        <v>274</v>
      </c>
      <c r="B3" s="330"/>
      <c r="C3" s="5"/>
      <c r="D3" s="5"/>
    </row>
    <row r="5" spans="1:44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</row>
    <row r="6" spans="1:44" x14ac:dyDescent="0.2">
      <c r="C6" s="3"/>
      <c r="D6" s="3"/>
    </row>
    <row r="7" spans="1:44" x14ac:dyDescent="0.2">
      <c r="A7" s="332"/>
      <c r="B7" s="333" t="s">
        <v>249</v>
      </c>
      <c r="C7" s="334"/>
      <c r="D7" s="334"/>
      <c r="E7" s="334"/>
      <c r="F7" s="334"/>
      <c r="G7" s="334"/>
      <c r="H7" s="334"/>
      <c r="I7" s="334"/>
      <c r="J7" s="334"/>
      <c r="K7" s="334"/>
      <c r="L7" s="334"/>
      <c r="M7" s="334"/>
      <c r="N7" s="334"/>
      <c r="O7" s="334"/>
      <c r="P7" s="334"/>
      <c r="Q7" s="334"/>
      <c r="R7" s="334"/>
      <c r="S7" s="334"/>
      <c r="T7" s="334"/>
      <c r="U7" s="334"/>
      <c r="V7" s="334"/>
      <c r="W7" s="334"/>
      <c r="X7" s="334"/>
      <c r="Y7" s="334"/>
      <c r="Z7" s="334"/>
      <c r="AA7" s="334"/>
      <c r="AB7" s="334"/>
      <c r="AC7" s="334"/>
      <c r="AD7" s="334"/>
      <c r="AE7" s="334"/>
      <c r="AF7" s="334"/>
      <c r="AG7" s="334"/>
      <c r="AH7" s="334"/>
      <c r="AI7" s="334"/>
      <c r="AJ7" s="334"/>
      <c r="AK7" s="334"/>
      <c r="AL7" s="334"/>
      <c r="AM7" s="334"/>
      <c r="AN7" s="334"/>
      <c r="AO7" s="334"/>
      <c r="AP7" s="334"/>
      <c r="AQ7" s="334"/>
      <c r="AR7" s="332"/>
    </row>
    <row r="8" spans="1:44" x14ac:dyDescent="0.2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5"/>
      <c r="AI8" s="335"/>
      <c r="AJ8" s="335"/>
      <c r="AK8" s="335"/>
      <c r="AL8" s="335"/>
      <c r="AM8" s="335"/>
      <c r="AN8" s="335"/>
      <c r="AO8" s="335"/>
      <c r="AP8" s="335"/>
      <c r="AQ8" s="335"/>
      <c r="AR8" s="335"/>
    </row>
    <row r="9" spans="1:44" x14ac:dyDescent="0.2">
      <c r="A9" s="335"/>
      <c r="B9" s="335"/>
      <c r="C9" s="335"/>
      <c r="D9" s="335"/>
      <c r="E9" s="337" t="s">
        <v>19</v>
      </c>
      <c r="F9" s="337" t="s">
        <v>21</v>
      </c>
      <c r="G9" s="337" t="s">
        <v>20</v>
      </c>
      <c r="H9" s="337" t="s">
        <v>22</v>
      </c>
      <c r="I9" s="337" t="s">
        <v>93</v>
      </c>
      <c r="J9" s="337" t="s">
        <v>94</v>
      </c>
      <c r="K9" s="337" t="s">
        <v>250</v>
      </c>
      <c r="L9" s="337" t="s">
        <v>251</v>
      </c>
      <c r="M9" s="337" t="s">
        <v>252</v>
      </c>
      <c r="N9" s="337" t="s">
        <v>253</v>
      </c>
      <c r="O9" s="337" t="s">
        <v>254</v>
      </c>
      <c r="P9" s="337" t="s">
        <v>255</v>
      </c>
      <c r="Q9" s="337" t="s">
        <v>256</v>
      </c>
      <c r="R9" s="337" t="s">
        <v>257</v>
      </c>
      <c r="S9" s="337" t="s">
        <v>258</v>
      </c>
      <c r="T9" s="337" t="s">
        <v>259</v>
      </c>
      <c r="U9" s="337" t="s">
        <v>260</v>
      </c>
      <c r="V9" s="337" t="s">
        <v>261</v>
      </c>
      <c r="W9" s="337" t="s">
        <v>262</v>
      </c>
      <c r="X9" s="337" t="s">
        <v>263</v>
      </c>
      <c r="Y9" s="337" t="s">
        <v>264</v>
      </c>
      <c r="Z9" s="337" t="s">
        <v>265</v>
      </c>
      <c r="AA9" s="337" t="s">
        <v>266</v>
      </c>
      <c r="AB9" s="337" t="s">
        <v>267</v>
      </c>
      <c r="AC9" s="337" t="s">
        <v>268</v>
      </c>
      <c r="AD9" s="335"/>
      <c r="AE9" s="335"/>
      <c r="AF9" s="335"/>
      <c r="AG9" s="335"/>
      <c r="AH9" s="335"/>
      <c r="AI9" s="335"/>
      <c r="AJ9" s="335"/>
      <c r="AK9" s="335"/>
      <c r="AL9" s="335"/>
      <c r="AM9" s="335"/>
      <c r="AN9" s="335"/>
      <c r="AO9" s="335"/>
      <c r="AP9" s="335"/>
      <c r="AQ9" s="335"/>
      <c r="AR9" s="335"/>
    </row>
    <row r="10" spans="1:44" x14ac:dyDescent="0.2">
      <c r="A10" s="335"/>
      <c r="B10" s="335"/>
      <c r="C10" s="335"/>
      <c r="D10" s="349" t="s">
        <v>275</v>
      </c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5"/>
      <c r="AE10" s="335"/>
      <c r="AF10" s="335"/>
      <c r="AG10" s="335"/>
      <c r="AH10" s="335"/>
      <c r="AI10" s="335"/>
      <c r="AJ10" s="335"/>
      <c r="AK10" s="335"/>
      <c r="AL10" s="335"/>
      <c r="AM10" s="335"/>
      <c r="AN10" s="335"/>
      <c r="AO10" s="335"/>
      <c r="AP10" s="335"/>
      <c r="AQ10" s="335"/>
      <c r="AR10" s="335"/>
    </row>
    <row r="11" spans="1:44" x14ac:dyDescent="0.2">
      <c r="A11" s="335"/>
      <c r="B11" s="335"/>
      <c r="C11" s="335"/>
      <c r="D11" s="335" t="s">
        <v>276</v>
      </c>
      <c r="E11" s="350">
        <f>'Tx risks'!F17</f>
        <v>255517.5525304614</v>
      </c>
      <c r="F11" s="350">
        <f>'Tx risks'!G17</f>
        <v>270179.15515788418</v>
      </c>
      <c r="G11" s="350">
        <f>'Tx risks'!H17</f>
        <v>286940.1517312444</v>
      </c>
      <c r="H11" s="350">
        <f>'Tx risks'!I17</f>
        <v>303122.92686900287</v>
      </c>
      <c r="I11" s="350">
        <f>'Tx risks'!J17</f>
        <v>315530.58737326239</v>
      </c>
      <c r="J11" s="350">
        <f>'Tx risks'!K17</f>
        <v>329556.2167797173</v>
      </c>
      <c r="K11" s="350">
        <f>'Tx risks'!L17</f>
        <v>349893.16931505507</v>
      </c>
      <c r="L11" s="350">
        <f>'Tx risks'!M17</f>
        <v>372270.0973913052</v>
      </c>
      <c r="M11" s="350">
        <f>'Tx risks'!N17</f>
        <v>386745.86246526311</v>
      </c>
      <c r="N11" s="350">
        <f>'Tx risks'!O17</f>
        <v>398594.81531678984</v>
      </c>
      <c r="O11" s="350">
        <f>'Tx risks'!P17</f>
        <v>410592.30961934361</v>
      </c>
      <c r="P11" s="350">
        <f>'Tx risks'!Q17</f>
        <v>422737.6613702465</v>
      </c>
      <c r="Q11" s="350">
        <f>'Tx risks'!R17</f>
        <v>435030.203869074</v>
      </c>
      <c r="R11" s="350">
        <f>'Tx risks'!S17</f>
        <v>447469.2870648033</v>
      </c>
      <c r="S11" s="350">
        <f>'Tx risks'!T17</f>
        <v>460054.27693834133</v>
      </c>
      <c r="T11" s="350">
        <f>'Tx risks'!U17</f>
        <v>472784.55491798231</v>
      </c>
      <c r="U11" s="350">
        <f>'Tx risks'!V17</f>
        <v>485659.5173255296</v>
      </c>
      <c r="V11" s="350">
        <f>'Tx risks'!W17</f>
        <v>498678.57485101366</v>
      </c>
      <c r="W11" s="350">
        <f>'Tx risks'!X17</f>
        <v>511841.15205410629</v>
      </c>
      <c r="X11" s="350">
        <f>'Tx risks'!Y17</f>
        <v>525146.68689049152</v>
      </c>
      <c r="Y11" s="350">
        <f>'Tx risks'!Z17</f>
        <v>538594.63026157347</v>
      </c>
      <c r="Z11" s="350">
        <f>'Tx risks'!AA17</f>
        <v>552184.44558605272</v>
      </c>
      <c r="AA11" s="350">
        <f>'Tx risks'!AB17</f>
        <v>565915.6083919931</v>
      </c>
      <c r="AB11" s="350">
        <f>'Tx risks'!AC17</f>
        <v>579787.60592812486</v>
      </c>
      <c r="AC11" s="350">
        <f>'Tx risks'!AD17</f>
        <v>593799.93679320847</v>
      </c>
      <c r="AD11" s="335"/>
      <c r="AE11" s="335"/>
      <c r="AF11" s="335"/>
      <c r="AG11" s="335"/>
      <c r="AH11" s="335"/>
      <c r="AI11" s="335"/>
      <c r="AJ11" s="335"/>
      <c r="AK11" s="335"/>
      <c r="AL11" s="335"/>
      <c r="AM11" s="335"/>
      <c r="AN11" s="335"/>
      <c r="AO11" s="335"/>
      <c r="AP11" s="335"/>
      <c r="AQ11" s="335"/>
      <c r="AR11" s="335"/>
    </row>
    <row r="12" spans="1:44" x14ac:dyDescent="0.2">
      <c r="A12" s="335"/>
      <c r="B12" s="335"/>
      <c r="C12" s="335"/>
      <c r="D12" s="335" t="s">
        <v>328</v>
      </c>
      <c r="E12" s="350">
        <f>'Tx risks'!F18</f>
        <v>352.04445299952562</v>
      </c>
      <c r="F12" s="350">
        <f>'Tx risks'!G18</f>
        <v>364.60342016644267</v>
      </c>
      <c r="G12" s="350">
        <f>'Tx risks'!H18</f>
        <v>377.34309701416021</v>
      </c>
      <c r="H12" s="350">
        <f>'Tx risks'!I18</f>
        <v>390.26239151129232</v>
      </c>
      <c r="I12" s="350">
        <f>'Tx risks'!J18</f>
        <v>403.36023966062885</v>
      </c>
      <c r="J12" s="350">
        <f>'Tx risks'!K18</f>
        <v>416.63560425040606</v>
      </c>
      <c r="K12" s="350">
        <f>'Tx risks'!L18</f>
        <v>430.08747368386952</v>
      </c>
      <c r="L12" s="350">
        <f>'Tx risks'!M18</f>
        <v>443.71486088085931</v>
      </c>
      <c r="M12" s="350">
        <f>'Tx risks'!N18</f>
        <v>457.51680224574108</v>
      </c>
      <c r="N12" s="350">
        <f>'Tx risks'!O18</f>
        <v>471.49235669655809</v>
      </c>
      <c r="O12" s="350">
        <f>'Tx risks'!P18</f>
        <v>485.64060475075831</v>
      </c>
      <c r="P12" s="350">
        <f>'Tx risks'!Q18</f>
        <v>499.9606476632685</v>
      </c>
      <c r="Q12" s="350">
        <f>'Tx risks'!R18</f>
        <v>514.45160661307796</v>
      </c>
      <c r="R12" s="350">
        <f>'Tx risks'!S18</f>
        <v>529.11262193484367</v>
      </c>
      <c r="S12" s="350">
        <f>'Tx risks'!T18</f>
        <v>543.94285239230419</v>
      </c>
      <c r="T12" s="350">
        <f>'Tx risks'!U18</f>
        <v>558.94147449060438</v>
      </c>
      <c r="U12" s="350">
        <f>'Tx risks'!V18</f>
        <v>574.10768182484969</v>
      </c>
      <c r="V12" s="350">
        <f>'Tx risks'!W18</f>
        <v>589.44068446244296</v>
      </c>
      <c r="W12" s="350">
        <f>'Tx risks'!X18</f>
        <v>604.93970835695484</v>
      </c>
      <c r="X12" s="350">
        <f>'Tx risks'!Y18</f>
        <v>620.60399479146929</v>
      </c>
      <c r="Y12" s="350">
        <f>'Tx risks'!Z18</f>
        <v>636.43279984949004</v>
      </c>
      <c r="Z12" s="350">
        <f>'Tx risks'!AA18</f>
        <v>652.42539391166656</v>
      </c>
      <c r="AA12" s="350">
        <f>'Tx risks'!AB18</f>
        <v>652.42539391166656</v>
      </c>
      <c r="AB12" s="350">
        <f>'Tx risks'!AC18</f>
        <v>652.42539391166656</v>
      </c>
      <c r="AC12" s="350">
        <f>'Tx risks'!AD18</f>
        <v>652.42539391166656</v>
      </c>
      <c r="AD12" s="335"/>
      <c r="AE12" s="335"/>
      <c r="AF12" s="335"/>
      <c r="AG12" s="335"/>
      <c r="AH12" s="335"/>
      <c r="AI12" s="335"/>
      <c r="AJ12" s="335"/>
      <c r="AK12" s="335"/>
      <c r="AL12" s="335"/>
      <c r="AM12" s="335"/>
      <c r="AN12" s="335"/>
      <c r="AO12" s="335"/>
      <c r="AP12" s="335"/>
      <c r="AQ12" s="335"/>
      <c r="AR12" s="335"/>
    </row>
    <row r="13" spans="1:44" x14ac:dyDescent="0.2">
      <c r="A13" s="335"/>
      <c r="B13" s="335"/>
      <c r="C13" s="335"/>
      <c r="D13" s="335" t="s">
        <v>329</v>
      </c>
      <c r="E13" s="350">
        <f>'Tx risks'!F19</f>
        <v>17784.06669458099</v>
      </c>
      <c r="F13" s="350">
        <f>'Tx risks'!G19</f>
        <v>18418.502226254623</v>
      </c>
      <c r="G13" s="350">
        <f>'Tx risks'!H19</f>
        <v>19062.066585234945</v>
      </c>
      <c r="H13" s="350">
        <f>'Tx risks'!I19</f>
        <v>19714.704605877865</v>
      </c>
      <c r="I13" s="350">
        <f>'Tx risks'!J19</f>
        <v>20376.362538728776</v>
      </c>
      <c r="J13" s="350">
        <f>'Tx risks'!K19</f>
        <v>21046.987987441058</v>
      </c>
      <c r="K13" s="350">
        <f>'Tx risks'!L19</f>
        <v>21726.529849649669</v>
      </c>
      <c r="L13" s="350">
        <f>'Tx risks'!M19</f>
        <v>22414.938261483025</v>
      </c>
      <c r="M13" s="350">
        <f>'Tx risks'!N19</f>
        <v>23112.164545426444</v>
      </c>
      <c r="N13" s="350">
        <f>'Tx risks'!O19</f>
        <v>23818.161161278287</v>
      </c>
      <c r="O13" s="350">
        <f>'Tx risks'!P19</f>
        <v>24532.881659964034</v>
      </c>
      <c r="P13" s="350">
        <f>'Tx risks'!Q19</f>
        <v>25256.280639994791</v>
      </c>
      <c r="Q13" s="350">
        <f>'Tx risks'!R19</f>
        <v>25988.31370637631</v>
      </c>
      <c r="R13" s="350">
        <f>'Tx risks'!S19</f>
        <v>26728.937431792336</v>
      </c>
      <c r="S13" s="350">
        <f>'Tx risks'!T19</f>
        <v>27478.109319899999</v>
      </c>
      <c r="T13" s="350">
        <f>'Tx risks'!U19</f>
        <v>28235.787770590847</v>
      </c>
      <c r="U13" s="350">
        <f>'Tx risks'!V19</f>
        <v>29001.932047082049</v>
      </c>
      <c r="V13" s="350">
        <f>'Tx risks'!W19</f>
        <v>29776.502244714196</v>
      </c>
      <c r="W13" s="350">
        <f>'Tx risks'!X19</f>
        <v>30559.459261342083</v>
      </c>
      <c r="X13" s="350">
        <f>'Tx risks'!Y19</f>
        <v>31350.764769214402</v>
      </c>
      <c r="Y13" s="350">
        <f>'Tx risks'!Z19</f>
        <v>32150.381188245843</v>
      </c>
      <c r="Z13" s="350">
        <f>'Tx risks'!AA19</f>
        <v>32958.271660593353</v>
      </c>
      <c r="AA13" s="350">
        <f>'Tx risks'!AB19</f>
        <v>32958.271660593353</v>
      </c>
      <c r="AB13" s="350">
        <f>'Tx risks'!AC19</f>
        <v>32958.271660593353</v>
      </c>
      <c r="AC13" s="350">
        <f>'Tx risks'!AD19</f>
        <v>32958.271660593353</v>
      </c>
      <c r="AD13" s="335"/>
      <c r="AE13" s="335"/>
      <c r="AF13" s="335"/>
      <c r="AG13" s="335"/>
      <c r="AH13" s="335"/>
      <c r="AI13" s="335"/>
      <c r="AJ13" s="335"/>
      <c r="AK13" s="335"/>
      <c r="AL13" s="335"/>
      <c r="AM13" s="335"/>
      <c r="AN13" s="335"/>
      <c r="AO13" s="335"/>
      <c r="AP13" s="335"/>
      <c r="AQ13" s="335"/>
      <c r="AR13" s="335"/>
    </row>
    <row r="14" spans="1:44" x14ac:dyDescent="0.2">
      <c r="A14" s="335"/>
      <c r="B14" s="335"/>
      <c r="C14" s="335"/>
      <c r="D14" s="335" t="s">
        <v>330</v>
      </c>
      <c r="E14" s="350">
        <f>'Tx risks'!F20</f>
        <v>1301.2366253258433</v>
      </c>
      <c r="F14" s="350">
        <f>'Tx risks'!G20</f>
        <v>1347.6574335920066</v>
      </c>
      <c r="G14" s="350">
        <f>'Tx risks'!H20</f>
        <v>1394.7461860714784</v>
      </c>
      <c r="H14" s="350">
        <f>'Tx risks'!I20</f>
        <v>1442.498846367085</v>
      </c>
      <c r="I14" s="350">
        <f>'Tx risks'!J20</f>
        <v>1490.9114817023617</v>
      </c>
      <c r="J14" s="350">
        <f>'Tx risks'!K20</f>
        <v>1539.9802583059661</v>
      </c>
      <c r="K14" s="350">
        <f>'Tx risks'!L20</f>
        <v>1589.7014370854752</v>
      </c>
      <c r="L14" s="350">
        <f>'Tx risks'!M20</f>
        <v>1640.0713695673924</v>
      </c>
      <c r="M14" s="350">
        <f>'Tx risks'!N20</f>
        <v>1691.0864940823869</v>
      </c>
      <c r="N14" s="350">
        <f>'Tx risks'!O20</f>
        <v>1742.7433321768171</v>
      </c>
      <c r="O14" s="350">
        <f>'Tx risks'!P20</f>
        <v>1795.0384852333693</v>
      </c>
      <c r="P14" s="350">
        <f>'Tx risks'!Q20</f>
        <v>1847.9686312851838</v>
      </c>
      <c r="Q14" s="350">
        <f>'Tx risks'!R20</f>
        <v>1901.5305220092816</v>
      </c>
      <c r="R14" s="350">
        <f>'Tx risks'!S20</f>
        <v>1955.7209798864028</v>
      </c>
      <c r="S14" s="350">
        <f>'Tx risks'!T20</f>
        <v>2010.5368955153772</v>
      </c>
      <c r="T14" s="350">
        <f>'Tx risks'!U20</f>
        <v>2065.9752250713213</v>
      </c>
      <c r="U14" s="350">
        <f>'Tx risks'!V20</f>
        <v>2122.032987897745</v>
      </c>
      <c r="V14" s="350">
        <f>'Tx risks'!W20</f>
        <v>2178.7072642235275</v>
      </c>
      <c r="W14" s="350">
        <f>'Tx risks'!X20</f>
        <v>2235.99519299645</v>
      </c>
      <c r="X14" s="350">
        <f>'Tx risks'!Y20</f>
        <v>2293.8939698256713</v>
      </c>
      <c r="Y14" s="350">
        <f>'Tx risks'!Z20</f>
        <v>2352.4008450260808</v>
      </c>
      <c r="Z14" s="350">
        <f>'Tx risks'!AA20</f>
        <v>2411.5131217580788</v>
      </c>
      <c r="AA14" s="350">
        <f>'Tx risks'!AB20</f>
        <v>2411.5131217580788</v>
      </c>
      <c r="AB14" s="350">
        <f>'Tx risks'!AC20</f>
        <v>2411.5131217580788</v>
      </c>
      <c r="AC14" s="350">
        <f>'Tx risks'!AD20</f>
        <v>2411.5131217580788</v>
      </c>
      <c r="AD14" s="335"/>
      <c r="AE14" s="335"/>
      <c r="AF14" s="335"/>
      <c r="AG14" s="335"/>
      <c r="AH14" s="335"/>
      <c r="AI14" s="335"/>
      <c r="AJ14" s="335"/>
      <c r="AK14" s="335"/>
      <c r="AL14" s="335"/>
      <c r="AM14" s="335"/>
      <c r="AN14" s="335"/>
      <c r="AO14" s="335"/>
      <c r="AP14" s="335"/>
      <c r="AQ14" s="335"/>
      <c r="AR14" s="335"/>
    </row>
    <row r="15" spans="1:44" x14ac:dyDescent="0.2">
      <c r="A15" s="335"/>
      <c r="B15" s="335"/>
      <c r="C15" s="335"/>
      <c r="D15" s="335" t="s">
        <v>331</v>
      </c>
      <c r="E15" s="350">
        <f>'Tx risks'!F21</f>
        <v>72556.25</v>
      </c>
      <c r="F15" s="350">
        <f>'Tx risks'!G21</f>
        <v>72556.25</v>
      </c>
      <c r="G15" s="350">
        <f>'Tx risks'!H21</f>
        <v>72556.25</v>
      </c>
      <c r="H15" s="350">
        <f>'Tx risks'!I21</f>
        <v>72556.25</v>
      </c>
      <c r="I15" s="350">
        <f>'Tx risks'!J21</f>
        <v>72556.25</v>
      </c>
      <c r="J15" s="350">
        <f>'Tx risks'!K21</f>
        <v>72556.25</v>
      </c>
      <c r="K15" s="350">
        <f>'Tx risks'!L21</f>
        <v>72556.25</v>
      </c>
      <c r="L15" s="350">
        <f>'Tx risks'!M21</f>
        <v>72556.25</v>
      </c>
      <c r="M15" s="350">
        <f>'Tx risks'!N21</f>
        <v>72556.25</v>
      </c>
      <c r="N15" s="350">
        <f>'Tx risks'!O21</f>
        <v>72556.25</v>
      </c>
      <c r="O15" s="350">
        <f>'Tx risks'!P21</f>
        <v>72556.25</v>
      </c>
      <c r="P15" s="350">
        <f>'Tx risks'!Q21</f>
        <v>72556.25</v>
      </c>
      <c r="Q15" s="350">
        <f>'Tx risks'!R21</f>
        <v>72556.25</v>
      </c>
      <c r="R15" s="350">
        <f>'Tx risks'!S21</f>
        <v>72556.25</v>
      </c>
      <c r="S15" s="350">
        <f>'Tx risks'!T21</f>
        <v>72556.25</v>
      </c>
      <c r="T15" s="350">
        <f>'Tx risks'!U21</f>
        <v>72556.25</v>
      </c>
      <c r="U15" s="350">
        <f>'Tx risks'!V21</f>
        <v>72556.25</v>
      </c>
      <c r="V15" s="350">
        <f>'Tx risks'!W21</f>
        <v>72556.25</v>
      </c>
      <c r="W15" s="350">
        <f>'Tx risks'!X21</f>
        <v>72556.25</v>
      </c>
      <c r="X15" s="350">
        <f>'Tx risks'!Y21</f>
        <v>72556.25</v>
      </c>
      <c r="Y15" s="350">
        <f>'Tx risks'!Z21</f>
        <v>72556.25</v>
      </c>
      <c r="Z15" s="350">
        <f>'Tx risks'!AA21</f>
        <v>72556.25</v>
      </c>
      <c r="AA15" s="350">
        <f>'Tx risks'!AB21</f>
        <v>72556.25</v>
      </c>
      <c r="AB15" s="350">
        <f>'Tx risks'!AC21</f>
        <v>72556.25</v>
      </c>
      <c r="AC15" s="350">
        <f>'Tx risks'!AD21</f>
        <v>72556.25</v>
      </c>
      <c r="AD15" s="335"/>
      <c r="AE15" s="335"/>
      <c r="AF15" s="335"/>
      <c r="AG15" s="335"/>
      <c r="AH15" s="335"/>
      <c r="AI15" s="335"/>
      <c r="AJ15" s="335"/>
      <c r="AK15" s="335"/>
      <c r="AL15" s="335"/>
      <c r="AM15" s="335"/>
      <c r="AN15" s="335"/>
      <c r="AO15" s="335"/>
      <c r="AP15" s="335"/>
      <c r="AQ15" s="335"/>
      <c r="AR15" s="335"/>
    </row>
    <row r="16" spans="1:44" x14ac:dyDescent="0.2">
      <c r="A16" s="335"/>
      <c r="B16" s="335"/>
      <c r="C16" s="335"/>
      <c r="D16" s="351" t="s">
        <v>281</v>
      </c>
      <c r="E16" s="345">
        <f>SUM(E11:E15)</f>
        <v>347511.15030336776</v>
      </c>
      <c r="F16" s="345">
        <f t="shared" ref="F16:AC16" si="0">SUM(F11:F15)</f>
        <v>362866.16823789722</v>
      </c>
      <c r="G16" s="345">
        <f t="shared" si="0"/>
        <v>380330.55759956501</v>
      </c>
      <c r="H16" s="345">
        <f t="shared" si="0"/>
        <v>397226.64271275909</v>
      </c>
      <c r="I16" s="345">
        <f t="shared" si="0"/>
        <v>410357.47163335409</v>
      </c>
      <c r="J16" s="345">
        <f t="shared" si="0"/>
        <v>425116.07062971476</v>
      </c>
      <c r="K16" s="345">
        <f t="shared" si="0"/>
        <v>446195.7380754741</v>
      </c>
      <c r="L16" s="345">
        <f t="shared" si="0"/>
        <v>469325.07188323652</v>
      </c>
      <c r="M16" s="345">
        <f t="shared" si="0"/>
        <v>484562.88030701771</v>
      </c>
      <c r="N16" s="345">
        <f t="shared" si="0"/>
        <v>497183.46216694149</v>
      </c>
      <c r="O16" s="345">
        <f t="shared" si="0"/>
        <v>509962.12036929181</v>
      </c>
      <c r="P16" s="345">
        <f t="shared" si="0"/>
        <v>522898.12128918973</v>
      </c>
      <c r="Q16" s="345">
        <f t="shared" si="0"/>
        <v>535990.74970407272</v>
      </c>
      <c r="R16" s="345">
        <f t="shared" si="0"/>
        <v>549239.30809841689</v>
      </c>
      <c r="S16" s="345">
        <f t="shared" si="0"/>
        <v>562643.11600614898</v>
      </c>
      <c r="T16" s="345">
        <f t="shared" si="0"/>
        <v>576201.50938813505</v>
      </c>
      <c r="U16" s="345">
        <f t="shared" si="0"/>
        <v>589913.84004233428</v>
      </c>
      <c r="V16" s="345">
        <f t="shared" si="0"/>
        <v>603779.47504441382</v>
      </c>
      <c r="W16" s="345">
        <f t="shared" si="0"/>
        <v>617797.79621680186</v>
      </c>
      <c r="X16" s="345">
        <f t="shared" si="0"/>
        <v>631968.19962432317</v>
      </c>
      <c r="Y16" s="345">
        <f t="shared" si="0"/>
        <v>646290.09509469499</v>
      </c>
      <c r="Z16" s="345">
        <f t="shared" si="0"/>
        <v>660762.90576231584</v>
      </c>
      <c r="AA16" s="345">
        <f t="shared" si="0"/>
        <v>674494.06856825622</v>
      </c>
      <c r="AB16" s="345">
        <f t="shared" si="0"/>
        <v>688366.06610438798</v>
      </c>
      <c r="AC16" s="345">
        <f t="shared" si="0"/>
        <v>702378.39696947159</v>
      </c>
      <c r="AD16" s="335"/>
      <c r="AE16" s="335"/>
      <c r="AF16" s="335"/>
      <c r="AG16" s="335"/>
      <c r="AH16" s="335"/>
      <c r="AI16" s="335"/>
      <c r="AJ16" s="335"/>
      <c r="AK16" s="335"/>
      <c r="AL16" s="335"/>
      <c r="AM16" s="335"/>
      <c r="AN16" s="335"/>
      <c r="AO16" s="335"/>
      <c r="AP16" s="335"/>
      <c r="AQ16" s="335"/>
      <c r="AR16" s="335"/>
    </row>
    <row r="17" spans="1:44" x14ac:dyDescent="0.2">
      <c r="A17" s="335"/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</row>
    <row r="18" spans="1:44" x14ac:dyDescent="0.2">
      <c r="A18" s="335"/>
      <c r="B18" s="335"/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  <c r="U18" s="335"/>
      <c r="V18" s="335"/>
      <c r="W18" s="335"/>
      <c r="X18" s="335"/>
      <c r="Y18" s="335"/>
      <c r="Z18" s="335"/>
      <c r="AA18" s="335"/>
      <c r="AB18" s="335"/>
      <c r="AC18" s="335"/>
      <c r="AD18" s="335"/>
      <c r="AE18" s="33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</row>
    <row r="19" spans="1:44" x14ac:dyDescent="0.2">
      <c r="A19" s="332"/>
      <c r="B19" s="333" t="str">
        <f>Workings_costs!B16</f>
        <v>Option 2 - Replace transformer #1 completed in 2028-2029</v>
      </c>
      <c r="C19" s="334"/>
      <c r="D19" s="334"/>
      <c r="E19" s="334"/>
      <c r="F19" s="334"/>
      <c r="G19" s="334"/>
      <c r="H19" s="334"/>
      <c r="I19" s="334"/>
      <c r="J19" s="334"/>
      <c r="K19" s="334"/>
      <c r="L19" s="334"/>
      <c r="M19" s="334"/>
      <c r="N19" s="334"/>
      <c r="O19" s="334"/>
      <c r="P19" s="334"/>
      <c r="Q19" s="334"/>
      <c r="R19" s="334"/>
      <c r="S19" s="334"/>
      <c r="T19" s="334"/>
      <c r="U19" s="334"/>
      <c r="V19" s="334"/>
      <c r="W19" s="334"/>
      <c r="X19" s="334"/>
      <c r="Y19" s="334"/>
      <c r="Z19" s="334"/>
      <c r="AA19" s="334"/>
      <c r="AB19" s="334"/>
      <c r="AC19" s="334"/>
      <c r="AD19" s="334"/>
      <c r="AE19" s="334"/>
      <c r="AF19" s="334"/>
      <c r="AG19" s="334"/>
      <c r="AH19" s="334"/>
      <c r="AI19" s="334"/>
      <c r="AJ19" s="334"/>
      <c r="AK19" s="334"/>
      <c r="AL19" s="334"/>
      <c r="AM19" s="334"/>
      <c r="AN19" s="334"/>
      <c r="AO19" s="334"/>
      <c r="AP19" s="334"/>
      <c r="AQ19" s="334"/>
      <c r="AR19" s="332"/>
    </row>
    <row r="20" spans="1:44" x14ac:dyDescent="0.2">
      <c r="A20" s="335"/>
      <c r="B20" s="335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</row>
    <row r="21" spans="1:44" x14ac:dyDescent="0.2">
      <c r="A21" s="335"/>
      <c r="B21" s="335"/>
      <c r="C21" s="335"/>
      <c r="D21" s="335"/>
      <c r="E21" s="337" t="s">
        <v>19</v>
      </c>
      <c r="F21" s="337" t="s">
        <v>21</v>
      </c>
      <c r="G21" s="337" t="s">
        <v>20</v>
      </c>
      <c r="H21" s="337" t="s">
        <v>22</v>
      </c>
      <c r="I21" s="337" t="s">
        <v>93</v>
      </c>
      <c r="J21" s="337" t="s">
        <v>94</v>
      </c>
      <c r="K21" s="337" t="s">
        <v>250</v>
      </c>
      <c r="L21" s="337" t="s">
        <v>251</v>
      </c>
      <c r="M21" s="337" t="s">
        <v>252</v>
      </c>
      <c r="N21" s="337" t="s">
        <v>253</v>
      </c>
      <c r="O21" s="337" t="s">
        <v>254</v>
      </c>
      <c r="P21" s="337" t="s">
        <v>255</v>
      </c>
      <c r="Q21" s="337" t="s">
        <v>256</v>
      </c>
      <c r="R21" s="337" t="s">
        <v>257</v>
      </c>
      <c r="S21" s="337" t="s">
        <v>258</v>
      </c>
      <c r="T21" s="337" t="s">
        <v>259</v>
      </c>
      <c r="U21" s="337" t="s">
        <v>260</v>
      </c>
      <c r="V21" s="337" t="s">
        <v>261</v>
      </c>
      <c r="W21" s="337" t="s">
        <v>262</v>
      </c>
      <c r="X21" s="337" t="s">
        <v>263</v>
      </c>
      <c r="Y21" s="337" t="s">
        <v>264</v>
      </c>
      <c r="Z21" s="337" t="s">
        <v>265</v>
      </c>
      <c r="AA21" s="337" t="s">
        <v>266</v>
      </c>
      <c r="AB21" s="337" t="s">
        <v>267</v>
      </c>
      <c r="AC21" s="337" t="s">
        <v>268</v>
      </c>
      <c r="AD21" s="335"/>
      <c r="AE21" s="335"/>
      <c r="AF21" s="335"/>
      <c r="AG21" s="335"/>
      <c r="AH21" s="335"/>
      <c r="AI21" s="335"/>
      <c r="AJ21" s="335"/>
      <c r="AK21" s="335"/>
      <c r="AL21" s="335"/>
      <c r="AM21" s="335"/>
      <c r="AN21" s="335"/>
      <c r="AO21" s="335"/>
      <c r="AP21" s="335"/>
      <c r="AQ21" s="335"/>
      <c r="AR21" s="335"/>
    </row>
    <row r="22" spans="1:44" x14ac:dyDescent="0.2">
      <c r="A22" s="335"/>
      <c r="B22" s="335"/>
      <c r="C22" s="335"/>
      <c r="D22" s="349" t="s">
        <v>275</v>
      </c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335"/>
      <c r="AP22" s="335"/>
      <c r="AQ22" s="335"/>
      <c r="AR22" s="335"/>
    </row>
    <row r="23" spans="1:44" x14ac:dyDescent="0.2">
      <c r="A23" s="335"/>
      <c r="B23" s="335"/>
      <c r="C23" s="335"/>
      <c r="D23" s="335" t="s">
        <v>276</v>
      </c>
      <c r="E23" s="350">
        <f>'Tx risks'!F39</f>
        <v>255517.5525304614</v>
      </c>
      <c r="F23" s="350">
        <f>'Tx risks'!G39</f>
        <v>270179.15515788418</v>
      </c>
      <c r="G23" s="350">
        <f>'Tx risks'!H39</f>
        <v>286940.1517312444</v>
      </c>
      <c r="H23" s="350">
        <f>'Tx risks'!I39</f>
        <v>9761.5621657893189</v>
      </c>
      <c r="I23" s="350">
        <f>'Tx risks'!J39</f>
        <v>18036.328631489363</v>
      </c>
      <c r="J23" s="350">
        <f>'Tx risks'!K39</f>
        <v>26206.60921355653</v>
      </c>
      <c r="K23" s="350">
        <f>'Tx risks'!L39</f>
        <v>35072.811152807815</v>
      </c>
      <c r="L23" s="350">
        <f>'Tx risks'!M39</f>
        <v>44553.322574122343</v>
      </c>
      <c r="M23" s="350">
        <f>'Tx risks'!N39</f>
        <v>53301.184373551179</v>
      </c>
      <c r="N23" s="350">
        <f>'Tx risks'!O39</f>
        <v>61749.07699511473</v>
      </c>
      <c r="O23" s="350">
        <f>'Tx risks'!P39</f>
        <v>70277.530384174461</v>
      </c>
      <c r="P23" s="350">
        <f>'Tx risks'!Q39</f>
        <v>78902.734099624737</v>
      </c>
      <c r="Q23" s="350">
        <f>'Tx risks'!R39</f>
        <v>87636.413488367776</v>
      </c>
      <c r="R23" s="350">
        <f>'Tx risks'!S39</f>
        <v>96487.276936740542</v>
      </c>
      <c r="S23" s="350">
        <f>'Tx risks'!T39</f>
        <v>105461.91119456824</v>
      </c>
      <c r="T23" s="350">
        <f>'Tx risks'!U39</f>
        <v>114565.36363418403</v>
      </c>
      <c r="U23" s="350">
        <f>'Tx risks'!V39</f>
        <v>123801.53638984337</v>
      </c>
      <c r="V23" s="350">
        <f>'Tx risks'!W39</f>
        <v>133173.46204126521</v>
      </c>
      <c r="W23" s="350">
        <f>'Tx risks'!X39</f>
        <v>142683.5017608518</v>
      </c>
      <c r="X23" s="350">
        <f>'Tx risks'!Y39</f>
        <v>152333.49102791856</v>
      </c>
      <c r="Y23" s="350">
        <f>'Tx risks'!Z39</f>
        <v>162124.84888816858</v>
      </c>
      <c r="Z23" s="350">
        <f>'Tx risks'!AA39</f>
        <v>172058.66125528328</v>
      </c>
      <c r="AA23" s="350">
        <f>'Tx risks'!AB39</f>
        <v>182135.74534235979</v>
      </c>
      <c r="AB23" s="350">
        <f>'Tx risks'!AC39</f>
        <v>192356.70012528729</v>
      </c>
      <c r="AC23" s="350">
        <f>'Tx risks'!AD39</f>
        <v>202721.94630102772</v>
      </c>
      <c r="AD23" s="335"/>
      <c r="AE23" s="335"/>
      <c r="AF23" s="335"/>
      <c r="AG23" s="335"/>
      <c r="AH23" s="335"/>
      <c r="AI23" s="335"/>
      <c r="AJ23" s="335"/>
      <c r="AK23" s="335"/>
      <c r="AL23" s="335"/>
      <c r="AM23" s="335"/>
      <c r="AN23" s="335"/>
      <c r="AO23" s="335"/>
      <c r="AP23" s="335"/>
      <c r="AQ23" s="335"/>
      <c r="AR23" s="335"/>
    </row>
    <row r="24" spans="1:44" x14ac:dyDescent="0.2">
      <c r="A24" s="335"/>
      <c r="B24" s="335"/>
      <c r="C24" s="335"/>
      <c r="D24" s="335" t="s">
        <v>328</v>
      </c>
      <c r="E24" s="350">
        <f>'Tx risks'!F40</f>
        <v>352.04445299952562</v>
      </c>
      <c r="F24" s="350">
        <f>'Tx risks'!G40</f>
        <v>364.60342016644267</v>
      </c>
      <c r="G24" s="350">
        <f>'Tx risks'!H40</f>
        <v>377.34309701416021</v>
      </c>
      <c r="H24" s="350">
        <f>'Tx risks'!I40</f>
        <v>195.37523540844373</v>
      </c>
      <c r="I24" s="350">
        <f>'Tx risks'!J40</f>
        <v>202.47300153920045</v>
      </c>
      <c r="J24" s="350">
        <f>'Tx risks'!K40</f>
        <v>209.89746182850922</v>
      </c>
      <c r="K24" s="350">
        <f>'Tx risks'!L40</f>
        <v>217.61981711421353</v>
      </c>
      <c r="L24" s="350">
        <f>'Tx risks'!M40</f>
        <v>225.62192274685964</v>
      </c>
      <c r="M24" s="350">
        <f>'Tx risks'!N40</f>
        <v>233.89073064062188</v>
      </c>
      <c r="N24" s="350">
        <f>'Tx risks'!O40</f>
        <v>242.41615132761808</v>
      </c>
      <c r="O24" s="350">
        <f>'Tx risks'!P40</f>
        <v>251.19001187283703</v>
      </c>
      <c r="P24" s="350">
        <f>'Tx risks'!Q40</f>
        <v>260.20547347554691</v>
      </c>
      <c r="Q24" s="350">
        <f>'Tx risks'!R40</f>
        <v>269.45667489438847</v>
      </c>
      <c r="R24" s="350">
        <f>'Tx risks'!S40</f>
        <v>278.9384992941653</v>
      </c>
      <c r="S24" s="350">
        <f>'Tx risks'!T40</f>
        <v>288.64641399488556</v>
      </c>
      <c r="T24" s="350">
        <f>'Tx risks'!U40</f>
        <v>298.57635591796532</v>
      </c>
      <c r="U24" s="350">
        <f>'Tx risks'!V40</f>
        <v>308.72464705682268</v>
      </c>
      <c r="V24" s="350">
        <f>'Tx risks'!W40</f>
        <v>319.08793044407565</v>
      </c>
      <c r="W24" s="350">
        <f>'Tx risks'!X40</f>
        <v>329.66312056294009</v>
      </c>
      <c r="X24" s="350">
        <f>'Tx risks'!Y40</f>
        <v>340.44736421456173</v>
      </c>
      <c r="Y24" s="350">
        <f>'Tx risks'!Z40</f>
        <v>351.4380091302217</v>
      </c>
      <c r="Z24" s="350">
        <f>'Tx risks'!AA40</f>
        <v>362.63257843570108</v>
      </c>
      <c r="AA24" s="350">
        <f>'Tx risks'!AB40</f>
        <v>362.63257843570108</v>
      </c>
      <c r="AB24" s="350">
        <f>'Tx risks'!AC40</f>
        <v>362.63257843570108</v>
      </c>
      <c r="AC24" s="350">
        <f>'Tx risks'!AD40</f>
        <v>362.63257843570108</v>
      </c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5"/>
      <c r="AP24" s="335"/>
      <c r="AQ24" s="335"/>
      <c r="AR24" s="335"/>
    </row>
    <row r="25" spans="1:44" x14ac:dyDescent="0.2">
      <c r="A25" s="335"/>
      <c r="B25" s="335"/>
      <c r="C25" s="335"/>
      <c r="D25" s="335" t="s">
        <v>329</v>
      </c>
      <c r="E25" s="350">
        <f>'Tx risks'!F41</f>
        <v>17784.06669458099</v>
      </c>
      <c r="F25" s="350">
        <f>'Tx risks'!G41</f>
        <v>18418.502226254623</v>
      </c>
      <c r="G25" s="350">
        <f>'Tx risks'!H41</f>
        <v>19062.066585234945</v>
      </c>
      <c r="H25" s="350">
        <f>'Tx risks'!I41</f>
        <v>9869.6803411298388</v>
      </c>
      <c r="I25" s="350">
        <f>'Tx risks'!J41</f>
        <v>10228.2349076808</v>
      </c>
      <c r="J25" s="350">
        <f>'Tx risks'!K41</f>
        <v>10603.29293183468</v>
      </c>
      <c r="K25" s="350">
        <f>'Tx risks'!L41</f>
        <v>10993.399579646002</v>
      </c>
      <c r="L25" s="350">
        <f>'Tx risks'!M41</f>
        <v>11397.638246256245</v>
      </c>
      <c r="M25" s="350">
        <f>'Tx risks'!N41</f>
        <v>11815.349787552832</v>
      </c>
      <c r="N25" s="350">
        <f>'Tx risks'!O41</f>
        <v>12246.024518556491</v>
      </c>
      <c r="O25" s="350">
        <f>'Tx risks'!P41</f>
        <v>12689.249570891958</v>
      </c>
      <c r="P25" s="350">
        <f>'Tx risks'!Q41</f>
        <v>13144.67947202789</v>
      </c>
      <c r="Q25" s="350">
        <f>'Tx risks'!R41</f>
        <v>13612.018132347308</v>
      </c>
      <c r="R25" s="350">
        <f>'Tx risks'!S41</f>
        <v>14091.007067054836</v>
      </c>
      <c r="S25" s="350">
        <f>'Tx risks'!T41</f>
        <v>14581.417300853194</v>
      </c>
      <c r="T25" s="350">
        <f>'Tx risks'!U41</f>
        <v>15083.043581082082</v>
      </c>
      <c r="U25" s="350">
        <f>'Tx risks'!V41</f>
        <v>15595.700107585308</v>
      </c>
      <c r="V25" s="350">
        <f>'Tx risks'!W41</f>
        <v>16119.217297995343</v>
      </c>
      <c r="W25" s="350">
        <f>'Tx risks'!X41</f>
        <v>16653.439282688887</v>
      </c>
      <c r="X25" s="350">
        <f>'Tx risks'!Y41</f>
        <v>17198.221927939965</v>
      </c>
      <c r="Y25" s="350">
        <f>'Tx risks'!Z41</f>
        <v>17753.431250317266</v>
      </c>
      <c r="Z25" s="350">
        <f>'Tx risks'!AA41</f>
        <v>18318.942126712253</v>
      </c>
      <c r="AA25" s="350">
        <f>'Tx risks'!AB41</f>
        <v>18318.942126712253</v>
      </c>
      <c r="AB25" s="350">
        <f>'Tx risks'!AC41</f>
        <v>18318.942126712253</v>
      </c>
      <c r="AC25" s="350">
        <f>'Tx risks'!AD41</f>
        <v>18318.942126712253</v>
      </c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5"/>
      <c r="AP25" s="335"/>
      <c r="AQ25" s="335"/>
      <c r="AR25" s="335"/>
    </row>
    <row r="26" spans="1:44" x14ac:dyDescent="0.2">
      <c r="A26" s="335"/>
      <c r="B26" s="335"/>
      <c r="C26" s="335"/>
      <c r="D26" s="335" t="s">
        <v>330</v>
      </c>
      <c r="E26" s="350">
        <f>'Tx risks'!F42</f>
        <v>1301.2366253258433</v>
      </c>
      <c r="F26" s="350">
        <f>'Tx risks'!G42</f>
        <v>1347.6574335920066</v>
      </c>
      <c r="G26" s="350">
        <f>'Tx risks'!H42</f>
        <v>1394.7461860714784</v>
      </c>
      <c r="H26" s="350">
        <f>'Tx risks'!I42</f>
        <v>722.15144942354243</v>
      </c>
      <c r="I26" s="350">
        <f>'Tx risks'!J42</f>
        <v>748.38641256142319</v>
      </c>
      <c r="J26" s="350">
        <f>'Tx risks'!K42</f>
        <v>775.82891185209905</v>
      </c>
      <c r="K26" s="350">
        <f>'Tx risks'!L42</f>
        <v>804.3724990210485</v>
      </c>
      <c r="L26" s="350">
        <f>'Tx risks'!M42</f>
        <v>833.95010730377112</v>
      </c>
      <c r="M26" s="350">
        <f>'Tx risks'!N42</f>
        <v>864.51350799783461</v>
      </c>
      <c r="N26" s="350">
        <f>'Tx risks'!O42</f>
        <v>896.02540812780205</v>
      </c>
      <c r="O26" s="350">
        <f>'Tx risks'!P42</f>
        <v>928.45559866102883</v>
      </c>
      <c r="P26" s="350">
        <f>'Tx risks'!Q42</f>
        <v>961.77880182958086</v>
      </c>
      <c r="Q26" s="350">
        <f>'Tx risks'!R42</f>
        <v>995.97335314801705</v>
      </c>
      <c r="R26" s="350">
        <f>'Tx risks'!S42</f>
        <v>1031.0203396259278</v>
      </c>
      <c r="S26" s="350">
        <f>'Tx risks'!T42</f>
        <v>1066.9030074438281</v>
      </c>
      <c r="T26" s="350">
        <f>'Tx risks'!U42</f>
        <v>1103.6063385361867</v>
      </c>
      <c r="U26" s="350">
        <f>'Tx risks'!V42</f>
        <v>1141.1167381514556</v>
      </c>
      <c r="V26" s="350">
        <f>'Tx risks'!W42</f>
        <v>1179.4217981722211</v>
      </c>
      <c r="W26" s="350">
        <f>'Tx risks'!X42</f>
        <v>1218.5101138244179</v>
      </c>
      <c r="X26" s="350">
        <f>'Tx risks'!Y42</f>
        <v>1258.3711390340573</v>
      </c>
      <c r="Y26" s="350">
        <f>'Tx risks'!Z42</f>
        <v>1298.9950704107782</v>
      </c>
      <c r="Z26" s="350">
        <f>'Tx risks'!AA42</f>
        <v>1340.3727528623119</v>
      </c>
      <c r="AA26" s="350">
        <f>'Tx risks'!AB42</f>
        <v>1340.3727528623119</v>
      </c>
      <c r="AB26" s="350">
        <f>'Tx risks'!AC42</f>
        <v>1340.3727528623119</v>
      </c>
      <c r="AC26" s="350">
        <f>'Tx risks'!AD42</f>
        <v>1340.3727528623119</v>
      </c>
      <c r="AD26" s="335"/>
      <c r="AE26" s="335"/>
      <c r="AF26" s="335"/>
      <c r="AG26" s="335"/>
      <c r="AH26" s="335"/>
      <c r="AI26" s="335"/>
      <c r="AJ26" s="335"/>
      <c r="AK26" s="335"/>
      <c r="AL26" s="335"/>
      <c r="AM26" s="335"/>
      <c r="AN26" s="335"/>
      <c r="AO26" s="335"/>
      <c r="AP26" s="335"/>
      <c r="AQ26" s="335"/>
      <c r="AR26" s="335"/>
    </row>
    <row r="27" spans="1:44" x14ac:dyDescent="0.2">
      <c r="A27" s="335"/>
      <c r="B27" s="335"/>
      <c r="C27" s="335"/>
      <c r="D27" s="335" t="s">
        <v>331</v>
      </c>
      <c r="E27" s="350">
        <f>'Tx risks'!F43</f>
        <v>72556.25</v>
      </c>
      <c r="F27" s="350">
        <f>'Tx risks'!G43</f>
        <v>72556.25</v>
      </c>
      <c r="G27" s="350">
        <f>'Tx risks'!H43</f>
        <v>72556.25</v>
      </c>
      <c r="H27" s="350">
        <f>'Tx risks'!I43</f>
        <v>23793.75</v>
      </c>
      <c r="I27" s="350">
        <f>'Tx risks'!J43</f>
        <v>23793.75</v>
      </c>
      <c r="J27" s="350">
        <f>'Tx risks'!K43</f>
        <v>23793.75</v>
      </c>
      <c r="K27" s="350">
        <f>'Tx risks'!L43</f>
        <v>23793.75</v>
      </c>
      <c r="L27" s="350">
        <f>'Tx risks'!M43</f>
        <v>23793.75</v>
      </c>
      <c r="M27" s="350">
        <f>'Tx risks'!N43</f>
        <v>23793.75</v>
      </c>
      <c r="N27" s="350">
        <f>'Tx risks'!O43</f>
        <v>23793.75</v>
      </c>
      <c r="O27" s="350">
        <f>'Tx risks'!P43</f>
        <v>23793.75</v>
      </c>
      <c r="P27" s="350">
        <f>'Tx risks'!Q43</f>
        <v>23793.75</v>
      </c>
      <c r="Q27" s="350">
        <f>'Tx risks'!R43</f>
        <v>23793.75</v>
      </c>
      <c r="R27" s="350">
        <f>'Tx risks'!S43</f>
        <v>23793.75</v>
      </c>
      <c r="S27" s="350">
        <f>'Tx risks'!T43</f>
        <v>23793.75</v>
      </c>
      <c r="T27" s="350">
        <f>'Tx risks'!U43</f>
        <v>23793.75</v>
      </c>
      <c r="U27" s="350">
        <f>'Tx risks'!V43</f>
        <v>23793.75</v>
      </c>
      <c r="V27" s="350">
        <f>'Tx risks'!W43</f>
        <v>23793.75</v>
      </c>
      <c r="W27" s="350">
        <f>'Tx risks'!X43</f>
        <v>23793.75</v>
      </c>
      <c r="X27" s="350">
        <f>'Tx risks'!Y43</f>
        <v>23793.75</v>
      </c>
      <c r="Y27" s="350">
        <f>'Tx risks'!Z43</f>
        <v>23793.75</v>
      </c>
      <c r="Z27" s="350">
        <f>'Tx risks'!AA43</f>
        <v>23793.75</v>
      </c>
      <c r="AA27" s="350">
        <f>'Tx risks'!AB43</f>
        <v>23793.75</v>
      </c>
      <c r="AB27" s="350">
        <f>'Tx risks'!AC43</f>
        <v>23793.75</v>
      </c>
      <c r="AC27" s="350">
        <f>'Tx risks'!AD43</f>
        <v>23793.75</v>
      </c>
      <c r="AD27" s="335"/>
      <c r="AE27" s="335"/>
      <c r="AF27" s="335"/>
      <c r="AG27" s="335"/>
      <c r="AH27" s="335"/>
      <c r="AI27" s="335"/>
      <c r="AJ27" s="335"/>
      <c r="AK27" s="335"/>
      <c r="AL27" s="335"/>
      <c r="AM27" s="335"/>
      <c r="AN27" s="335"/>
      <c r="AO27" s="335"/>
      <c r="AP27" s="335"/>
      <c r="AQ27" s="335"/>
      <c r="AR27" s="335"/>
    </row>
    <row r="28" spans="1:44" x14ac:dyDescent="0.2">
      <c r="A28" s="335"/>
      <c r="B28" s="335"/>
      <c r="C28" s="335"/>
      <c r="D28" s="351" t="s">
        <v>281</v>
      </c>
      <c r="E28" s="345">
        <f>SUM(E23:E27)</f>
        <v>347511.15030336776</v>
      </c>
      <c r="F28" s="345">
        <f t="shared" ref="F28:AC28" si="1">SUM(F23:F27)</f>
        <v>362866.16823789722</v>
      </c>
      <c r="G28" s="345">
        <f t="shared" si="1"/>
        <v>380330.55759956501</v>
      </c>
      <c r="H28" s="345">
        <f t="shared" si="1"/>
        <v>44342.51919175114</v>
      </c>
      <c r="I28" s="345">
        <f t="shared" si="1"/>
        <v>53009.172953270783</v>
      </c>
      <c r="J28" s="345">
        <f t="shared" si="1"/>
        <v>61589.378519071819</v>
      </c>
      <c r="K28" s="345">
        <f t="shared" si="1"/>
        <v>70881.953048589086</v>
      </c>
      <c r="L28" s="345">
        <f t="shared" si="1"/>
        <v>80804.282850429212</v>
      </c>
      <c r="M28" s="345">
        <f t="shared" si="1"/>
        <v>90008.688399742474</v>
      </c>
      <c r="N28" s="345">
        <f t="shared" si="1"/>
        <v>98927.293073126639</v>
      </c>
      <c r="O28" s="345">
        <f t="shared" si="1"/>
        <v>107940.17556560029</v>
      </c>
      <c r="P28" s="345">
        <f t="shared" si="1"/>
        <v>117063.14784695776</v>
      </c>
      <c r="Q28" s="345">
        <f t="shared" si="1"/>
        <v>126307.61164875749</v>
      </c>
      <c r="R28" s="345">
        <f t="shared" si="1"/>
        <v>135681.99284271547</v>
      </c>
      <c r="S28" s="345">
        <f t="shared" si="1"/>
        <v>145192.62791686016</v>
      </c>
      <c r="T28" s="345">
        <f t="shared" si="1"/>
        <v>154844.33990972026</v>
      </c>
      <c r="U28" s="345">
        <f t="shared" si="1"/>
        <v>164640.82788263698</v>
      </c>
      <c r="V28" s="345">
        <f t="shared" si="1"/>
        <v>174584.93906787687</v>
      </c>
      <c r="W28" s="345">
        <f t="shared" si="1"/>
        <v>184678.86427792805</v>
      </c>
      <c r="X28" s="345">
        <f t="shared" si="1"/>
        <v>194924.28145910715</v>
      </c>
      <c r="Y28" s="345">
        <f t="shared" si="1"/>
        <v>205322.46321802682</v>
      </c>
      <c r="Z28" s="345">
        <f t="shared" si="1"/>
        <v>215874.35871329354</v>
      </c>
      <c r="AA28" s="345">
        <f t="shared" si="1"/>
        <v>225951.44280037007</v>
      </c>
      <c r="AB28" s="345">
        <f t="shared" si="1"/>
        <v>236172.39758329754</v>
      </c>
      <c r="AC28" s="345">
        <f t="shared" si="1"/>
        <v>246537.64375903798</v>
      </c>
      <c r="AD28" s="335"/>
      <c r="AE28" s="335"/>
      <c r="AF28" s="335"/>
      <c r="AG28" s="335"/>
      <c r="AH28" s="335"/>
      <c r="AI28" s="335"/>
      <c r="AJ28" s="335"/>
      <c r="AK28" s="335"/>
      <c r="AL28" s="335"/>
      <c r="AM28" s="335"/>
      <c r="AN28" s="335"/>
      <c r="AO28" s="335"/>
      <c r="AP28" s="335"/>
      <c r="AQ28" s="335"/>
      <c r="AR28" s="335"/>
    </row>
    <row r="31" spans="1:44" x14ac:dyDescent="0.2">
      <c r="A31" s="332"/>
      <c r="B31" s="333" t="str">
        <f>Workings_costs!B30</f>
        <v>Option 3 - Refurbish transformer #1 completed in 2027-2028</v>
      </c>
      <c r="C31" s="334"/>
      <c r="D31" s="334"/>
      <c r="E31" s="334"/>
      <c r="F31" s="334"/>
      <c r="G31" s="334"/>
      <c r="H31" s="334"/>
      <c r="I31" s="334"/>
      <c r="J31" s="334"/>
      <c r="K31" s="334"/>
      <c r="L31" s="334"/>
      <c r="M31" s="334"/>
      <c r="N31" s="334"/>
      <c r="O31" s="334"/>
      <c r="P31" s="334"/>
      <c r="Q31" s="334"/>
      <c r="R31" s="334"/>
      <c r="S31" s="334"/>
      <c r="T31" s="334"/>
      <c r="U31" s="334"/>
      <c r="V31" s="334"/>
      <c r="W31" s="334"/>
      <c r="X31" s="334"/>
      <c r="Y31" s="334"/>
      <c r="Z31" s="334"/>
      <c r="AA31" s="334"/>
      <c r="AB31" s="334"/>
      <c r="AC31" s="334"/>
      <c r="AD31" s="334"/>
      <c r="AE31" s="334"/>
      <c r="AF31" s="334"/>
      <c r="AG31" s="334"/>
      <c r="AH31" s="334"/>
      <c r="AI31" s="334"/>
      <c r="AJ31" s="334"/>
      <c r="AK31" s="334"/>
      <c r="AL31" s="334"/>
      <c r="AM31" s="334"/>
      <c r="AN31" s="334"/>
      <c r="AO31" s="334"/>
      <c r="AP31" s="334"/>
      <c r="AQ31" s="334"/>
      <c r="AR31" s="332"/>
    </row>
    <row r="32" spans="1:44" x14ac:dyDescent="0.2">
      <c r="A32" s="335"/>
      <c r="B32" s="335"/>
      <c r="C32" s="335"/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5"/>
      <c r="U32" s="335"/>
      <c r="V32" s="335"/>
      <c r="W32" s="335"/>
      <c r="X32" s="335"/>
      <c r="Y32" s="335"/>
      <c r="Z32" s="335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5"/>
      <c r="AO32" s="335"/>
      <c r="AP32" s="335"/>
      <c r="AQ32" s="335"/>
      <c r="AR32" s="335"/>
    </row>
    <row r="33" spans="1:44" x14ac:dyDescent="0.2">
      <c r="A33" s="335"/>
      <c r="B33" s="335"/>
      <c r="C33" s="335"/>
      <c r="D33" s="335"/>
      <c r="E33" s="337" t="s">
        <v>19</v>
      </c>
      <c r="F33" s="337" t="s">
        <v>21</v>
      </c>
      <c r="G33" s="337" t="s">
        <v>20</v>
      </c>
      <c r="H33" s="337" t="s">
        <v>22</v>
      </c>
      <c r="I33" s="337" t="s">
        <v>93</v>
      </c>
      <c r="J33" s="337" t="s">
        <v>94</v>
      </c>
      <c r="K33" s="337" t="s">
        <v>250</v>
      </c>
      <c r="L33" s="337" t="s">
        <v>251</v>
      </c>
      <c r="M33" s="337" t="s">
        <v>252</v>
      </c>
      <c r="N33" s="337" t="s">
        <v>253</v>
      </c>
      <c r="O33" s="337" t="s">
        <v>254</v>
      </c>
      <c r="P33" s="337" t="s">
        <v>255</v>
      </c>
      <c r="Q33" s="337" t="s">
        <v>256</v>
      </c>
      <c r="R33" s="337" t="s">
        <v>257</v>
      </c>
      <c r="S33" s="337" t="s">
        <v>258</v>
      </c>
      <c r="T33" s="337" t="s">
        <v>259</v>
      </c>
      <c r="U33" s="337" t="s">
        <v>260</v>
      </c>
      <c r="V33" s="337" t="s">
        <v>261</v>
      </c>
      <c r="W33" s="337" t="s">
        <v>262</v>
      </c>
      <c r="X33" s="337" t="s">
        <v>263</v>
      </c>
      <c r="Y33" s="337" t="s">
        <v>264</v>
      </c>
      <c r="Z33" s="337" t="s">
        <v>265</v>
      </c>
      <c r="AA33" s="337" t="s">
        <v>266</v>
      </c>
      <c r="AB33" s="337" t="s">
        <v>267</v>
      </c>
      <c r="AC33" s="337" t="s">
        <v>268</v>
      </c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5"/>
      <c r="AO33" s="335"/>
      <c r="AP33" s="335"/>
      <c r="AQ33" s="335"/>
      <c r="AR33" s="335"/>
    </row>
    <row r="34" spans="1:44" x14ac:dyDescent="0.2">
      <c r="A34" s="335"/>
      <c r="B34" s="335"/>
      <c r="C34" s="335"/>
      <c r="D34" s="349" t="s">
        <v>275</v>
      </c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5"/>
      <c r="AO34" s="335"/>
      <c r="AP34" s="335"/>
      <c r="AQ34" s="335"/>
      <c r="AR34" s="335"/>
    </row>
    <row r="35" spans="1:44" x14ac:dyDescent="0.2">
      <c r="A35" s="335"/>
      <c r="B35" s="335"/>
      <c r="C35" s="335"/>
      <c r="D35" s="335" t="s">
        <v>276</v>
      </c>
      <c r="E35" s="350">
        <f>E11</f>
        <v>255517.5525304614</v>
      </c>
      <c r="F35" s="350">
        <f t="shared" ref="F35:F39" si="2">F11</f>
        <v>270179.15515788418</v>
      </c>
      <c r="G35" s="350">
        <f>'Tx risks'!H61</f>
        <v>272181.99623974785</v>
      </c>
      <c r="H35" s="350">
        <f>'Tx risks'!I61</f>
        <v>287531.24217261892</v>
      </c>
      <c r="I35" s="350">
        <f>'Tx risks'!J61</f>
        <v>299299.42290441605</v>
      </c>
      <c r="J35" s="350">
        <f>'Tx risks'!K61</f>
        <v>312602.21878366527</v>
      </c>
      <c r="K35" s="350">
        <f>'Tx risks'!L61</f>
        <v>331891.49342711049</v>
      </c>
      <c r="L35" s="350">
        <f>'Tx risks'!M61</f>
        <v>353115.535437527</v>
      </c>
      <c r="M35" s="350">
        <f>'Tx risks'!N61</f>
        <v>366844.83578079991</v>
      </c>
      <c r="N35" s="350">
        <f>'Tx risks'!O61</f>
        <v>378082.36060041457</v>
      </c>
      <c r="O35" s="350">
        <f>'Tx risks'!P61</f>
        <v>389460.6589654822</v>
      </c>
      <c r="P35" s="350">
        <f>'Tx risks'!Q61</f>
        <v>400979.07839485048</v>
      </c>
      <c r="Q35" s="350">
        <f>'Tx risks'!R61</f>
        <v>412636.98279695143</v>
      </c>
      <c r="R35" s="350">
        <f>'Tx risks'!S61</f>
        <v>424433.75185070391</v>
      </c>
      <c r="S35" s="350">
        <f>'Tx risks'!T61</f>
        <v>436368.78041997587</v>
      </c>
      <c r="T35" s="350">
        <f>'Tx risks'!U61</f>
        <v>448441.4779992766</v>
      </c>
      <c r="U35" s="350">
        <f>'Tx risks'!V61</f>
        <v>460651.26818853663</v>
      </c>
      <c r="V35" s="350">
        <f>'Tx risks'!W61</f>
        <v>472997.58819500846</v>
      </c>
      <c r="W35" s="350">
        <f>'Tx risks'!X61</f>
        <v>485479.88836048887</v>
      </c>
      <c r="X35" s="350">
        <f>'Tx risks'!Y61</f>
        <v>498097.63171220908</v>
      </c>
      <c r="Y35" s="350">
        <f>'Tx risks'!Z61</f>
        <v>510850.29353586514</v>
      </c>
      <c r="Z35" s="350">
        <f>'Tx risks'!AA61</f>
        <v>523737.360969381</v>
      </c>
      <c r="AA35" s="350">
        <f>'Tx risks'!AB61</f>
        <v>536758.33261611452</v>
      </c>
      <c r="AB35" s="350">
        <f>'Tx risks'!AC61</f>
        <v>549912.71817629936</v>
      </c>
      <c r="AC35" s="350">
        <f>'Tx risks'!AD61</f>
        <v>563200.03809562558</v>
      </c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5"/>
      <c r="AO35" s="335"/>
      <c r="AP35" s="335"/>
      <c r="AQ35" s="335"/>
      <c r="AR35" s="335"/>
    </row>
    <row r="36" spans="1:44" x14ac:dyDescent="0.2">
      <c r="A36" s="335"/>
      <c r="B36" s="335"/>
      <c r="C36" s="335"/>
      <c r="D36" s="335" t="s">
        <v>328</v>
      </c>
      <c r="E36" s="350">
        <f t="shared" ref="E36:E39" si="3">E12</f>
        <v>352.04445299952562</v>
      </c>
      <c r="F36" s="350">
        <f t="shared" si="2"/>
        <v>364.60342016644267</v>
      </c>
      <c r="G36" s="350">
        <f>'Tx risks'!H62</f>
        <v>373.56966604401862</v>
      </c>
      <c r="H36" s="350">
        <f>'Tx risks'!I62</f>
        <v>386.35976759617938</v>
      </c>
      <c r="I36" s="350">
        <f>'Tx risks'!J62</f>
        <v>399.32663726402257</v>
      </c>
      <c r="J36" s="350">
        <f>'Tx risks'!K62</f>
        <v>412.46924820790201</v>
      </c>
      <c r="K36" s="350">
        <f>'Tx risks'!L62</f>
        <v>425.78659894703088</v>
      </c>
      <c r="L36" s="350">
        <f>'Tx risks'!M62</f>
        <v>439.27771227205068</v>
      </c>
      <c r="M36" s="350">
        <f>'Tx risks'!N62</f>
        <v>452.9416342232837</v>
      </c>
      <c r="N36" s="350">
        <f>'Tx risks'!O62</f>
        <v>466.77743312959251</v>
      </c>
      <c r="O36" s="350">
        <f>'Tx risks'!P62</f>
        <v>480.78419870325075</v>
      </c>
      <c r="P36" s="350">
        <f>'Tx risks'!Q62</f>
        <v>494.96104118663578</v>
      </c>
      <c r="Q36" s="350">
        <f>'Tx risks'!R62</f>
        <v>509.30709054694717</v>
      </c>
      <c r="R36" s="350">
        <f>'Tx risks'!S62</f>
        <v>523.82149571549519</v>
      </c>
      <c r="S36" s="350">
        <f>'Tx risks'!T62</f>
        <v>538.50342386838122</v>
      </c>
      <c r="T36" s="350">
        <f>'Tx risks'!U62</f>
        <v>553.3520597456984</v>
      </c>
      <c r="U36" s="350">
        <f>'Tx risks'!V62</f>
        <v>568.36660500660128</v>
      </c>
      <c r="V36" s="350">
        <f>'Tx risks'!W62</f>
        <v>583.54627761781865</v>
      </c>
      <c r="W36" s="350">
        <f>'Tx risks'!X62</f>
        <v>598.89031127338535</v>
      </c>
      <c r="X36" s="350">
        <f>'Tx risks'!Y62</f>
        <v>614.39795484355443</v>
      </c>
      <c r="Y36" s="350">
        <f>'Tx risks'!Z62</f>
        <v>630.06847185099514</v>
      </c>
      <c r="Z36" s="350">
        <f>'Tx risks'!AA62</f>
        <v>645.90113997254991</v>
      </c>
      <c r="AA36" s="350">
        <f>'Tx risks'!AB62</f>
        <v>645.90113997254991</v>
      </c>
      <c r="AB36" s="350">
        <f>'Tx risks'!AC62</f>
        <v>645.90113997254991</v>
      </c>
      <c r="AC36" s="350">
        <f>'Tx risks'!AD62</f>
        <v>645.90113997254991</v>
      </c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5"/>
      <c r="AO36" s="335"/>
      <c r="AP36" s="335"/>
      <c r="AQ36" s="335"/>
      <c r="AR36" s="335"/>
    </row>
    <row r="37" spans="1:44" x14ac:dyDescent="0.2">
      <c r="A37" s="335"/>
      <c r="B37" s="335"/>
      <c r="C37" s="335"/>
      <c r="D37" s="335" t="s">
        <v>329</v>
      </c>
      <c r="E37" s="350">
        <f t="shared" si="3"/>
        <v>17784.06669458099</v>
      </c>
      <c r="F37" s="350">
        <f t="shared" si="2"/>
        <v>18418.502226254623</v>
      </c>
      <c r="G37" s="350">
        <f>'Tx risks'!H63</f>
        <v>18108.963255973198</v>
      </c>
      <c r="H37" s="350">
        <f>'Tx risks'!I63</f>
        <v>18728.969375583969</v>
      </c>
      <c r="I37" s="350">
        <f>'Tx risks'!J63</f>
        <v>19357.544411792336</v>
      </c>
      <c r="J37" s="350">
        <f>'Tx risks'!K63</f>
        <v>19994.638588069007</v>
      </c>
      <c r="K37" s="350">
        <f>'Tx risks'!L63</f>
        <v>20640.203357167182</v>
      </c>
      <c r="L37" s="350">
        <f>'Tx risks'!M63</f>
        <v>21294.191348408869</v>
      </c>
      <c r="M37" s="350">
        <f>'Tx risks'!N63</f>
        <v>21956.556318155122</v>
      </c>
      <c r="N37" s="350">
        <f>'Tx risks'!O63</f>
        <v>22627.253103214374</v>
      </c>
      <c r="O37" s="350">
        <f>'Tx risks'!P63</f>
        <v>23306.237576965832</v>
      </c>
      <c r="P37" s="350">
        <f>'Tx risks'!Q63</f>
        <v>23993.466607995055</v>
      </c>
      <c r="Q37" s="350">
        <f>'Tx risks'!R63</f>
        <v>24688.898021057495</v>
      </c>
      <c r="R37" s="350">
        <f>'Tx risks'!S63</f>
        <v>25392.490560202717</v>
      </c>
      <c r="S37" s="350">
        <f>'Tx risks'!T63</f>
        <v>26104.203853904997</v>
      </c>
      <c r="T37" s="350">
        <f>'Tx risks'!U63</f>
        <v>26823.998382061305</v>
      </c>
      <c r="U37" s="350">
        <f>'Tx risks'!V63</f>
        <v>27551.835444727949</v>
      </c>
      <c r="V37" s="350">
        <f>'Tx risks'!W63</f>
        <v>28287.677132478486</v>
      </c>
      <c r="W37" s="350">
        <f>'Tx risks'!X63</f>
        <v>29031.486298274976</v>
      </c>
      <c r="X37" s="350">
        <f>'Tx risks'!Y63</f>
        <v>29783.22653075368</v>
      </c>
      <c r="Y37" s="350">
        <f>'Tx risks'!Z63</f>
        <v>30542.862128833553</v>
      </c>
      <c r="Z37" s="350">
        <f>'Tx risks'!AA63</f>
        <v>31310.358077563687</v>
      </c>
      <c r="AA37" s="350">
        <f>'Tx risks'!AB63</f>
        <v>31310.358077563687</v>
      </c>
      <c r="AB37" s="350">
        <f>'Tx risks'!AC63</f>
        <v>31310.358077563687</v>
      </c>
      <c r="AC37" s="350">
        <f>'Tx risks'!AD63</f>
        <v>31310.358077563687</v>
      </c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5"/>
      <c r="AO37" s="335"/>
      <c r="AP37" s="335"/>
      <c r="AQ37" s="335"/>
      <c r="AR37" s="335"/>
    </row>
    <row r="38" spans="1:44" x14ac:dyDescent="0.2">
      <c r="A38" s="335"/>
      <c r="B38" s="335"/>
      <c r="C38" s="335"/>
      <c r="D38" s="335" t="s">
        <v>330</v>
      </c>
      <c r="E38" s="350">
        <f t="shared" si="3"/>
        <v>1301.2366253258433</v>
      </c>
      <c r="F38" s="350">
        <f t="shared" si="2"/>
        <v>1347.6574335920066</v>
      </c>
      <c r="G38" s="350">
        <f>'Tx risks'!H64</f>
        <v>1394.7461860714784</v>
      </c>
      <c r="H38" s="350">
        <f>'Tx risks'!I64</f>
        <v>1442.498846367085</v>
      </c>
      <c r="I38" s="350">
        <f>'Tx risks'!J64</f>
        <v>1490.9114817023617</v>
      </c>
      <c r="J38" s="350">
        <f>'Tx risks'!K64</f>
        <v>1539.9802583059661</v>
      </c>
      <c r="K38" s="350">
        <f>'Tx risks'!L64</f>
        <v>1589.7014370854752</v>
      </c>
      <c r="L38" s="350">
        <f>'Tx risks'!M64</f>
        <v>1640.0713695673924</v>
      </c>
      <c r="M38" s="350">
        <f>'Tx risks'!N64</f>
        <v>1691.0864940823869</v>
      </c>
      <c r="N38" s="350">
        <f>'Tx risks'!O64</f>
        <v>1742.7433321768171</v>
      </c>
      <c r="O38" s="350">
        <f>'Tx risks'!P64</f>
        <v>1795.0384852333693</v>
      </c>
      <c r="P38" s="350">
        <f>'Tx risks'!Q64</f>
        <v>1847.9686312851838</v>
      </c>
      <c r="Q38" s="350">
        <f>'Tx risks'!R64</f>
        <v>1901.5305220092816</v>
      </c>
      <c r="R38" s="350">
        <f>'Tx risks'!S64</f>
        <v>1955.7209798864028</v>
      </c>
      <c r="S38" s="350">
        <f>'Tx risks'!T64</f>
        <v>2010.5368955153772</v>
      </c>
      <c r="T38" s="350">
        <f>'Tx risks'!U64</f>
        <v>2065.9752250713213</v>
      </c>
      <c r="U38" s="350">
        <f>'Tx risks'!V64</f>
        <v>2122.032987897745</v>
      </c>
      <c r="V38" s="350">
        <f>'Tx risks'!W64</f>
        <v>2178.7072642235275</v>
      </c>
      <c r="W38" s="350">
        <f>'Tx risks'!X64</f>
        <v>2235.99519299645</v>
      </c>
      <c r="X38" s="350">
        <f>'Tx risks'!Y64</f>
        <v>2293.8939698256713</v>
      </c>
      <c r="Y38" s="350">
        <f>'Tx risks'!Z64</f>
        <v>2352.4008450260808</v>
      </c>
      <c r="Z38" s="350">
        <f>'Tx risks'!AA64</f>
        <v>2411.5131217580788</v>
      </c>
      <c r="AA38" s="350">
        <f>'Tx risks'!AB64</f>
        <v>2411.5131217580788</v>
      </c>
      <c r="AB38" s="350">
        <f>'Tx risks'!AC64</f>
        <v>2411.5131217580788</v>
      </c>
      <c r="AC38" s="350">
        <f>'Tx risks'!AD64</f>
        <v>2411.5131217580788</v>
      </c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5"/>
      <c r="AO38" s="335"/>
      <c r="AP38" s="335"/>
      <c r="AQ38" s="335"/>
      <c r="AR38" s="335"/>
    </row>
    <row r="39" spans="1:44" x14ac:dyDescent="0.2">
      <c r="A39" s="335"/>
      <c r="B39" s="335"/>
      <c r="C39" s="335"/>
      <c r="D39" s="335" t="s">
        <v>331</v>
      </c>
      <c r="E39" s="350">
        <f t="shared" si="3"/>
        <v>72556.25</v>
      </c>
      <c r="F39" s="350">
        <f t="shared" si="2"/>
        <v>72556.25</v>
      </c>
      <c r="G39" s="350">
        <f>'Tx risks'!H65</f>
        <v>35984.375</v>
      </c>
      <c r="H39" s="350">
        <f>'Tx risks'!I65</f>
        <v>35984.375</v>
      </c>
      <c r="I39" s="350">
        <f>'Tx risks'!J65</f>
        <v>35984.375</v>
      </c>
      <c r="J39" s="350">
        <f>'Tx risks'!K65</f>
        <v>35984.375</v>
      </c>
      <c r="K39" s="350">
        <f>'Tx risks'!L65</f>
        <v>35984.375</v>
      </c>
      <c r="L39" s="350">
        <f>'Tx risks'!M65</f>
        <v>35984.375</v>
      </c>
      <c r="M39" s="350">
        <f>'Tx risks'!N65</f>
        <v>35984.375</v>
      </c>
      <c r="N39" s="350">
        <f>'Tx risks'!O65</f>
        <v>35984.375</v>
      </c>
      <c r="O39" s="350">
        <f>'Tx risks'!P65</f>
        <v>35984.375</v>
      </c>
      <c r="P39" s="350">
        <f>'Tx risks'!Q65</f>
        <v>35984.375</v>
      </c>
      <c r="Q39" s="350">
        <f>'Tx risks'!R65</f>
        <v>35984.375</v>
      </c>
      <c r="R39" s="350">
        <f>'Tx risks'!S65</f>
        <v>35984.375</v>
      </c>
      <c r="S39" s="350">
        <f>'Tx risks'!T65</f>
        <v>35984.375</v>
      </c>
      <c r="T39" s="350">
        <f>'Tx risks'!U65</f>
        <v>35984.375</v>
      </c>
      <c r="U39" s="350">
        <f>'Tx risks'!V65</f>
        <v>35984.375</v>
      </c>
      <c r="V39" s="350">
        <f>'Tx risks'!W65</f>
        <v>35984.375</v>
      </c>
      <c r="W39" s="350">
        <f>'Tx risks'!X65</f>
        <v>35984.375</v>
      </c>
      <c r="X39" s="350">
        <f>'Tx risks'!Y65</f>
        <v>35984.375</v>
      </c>
      <c r="Y39" s="350">
        <f>'Tx risks'!Z65</f>
        <v>35984.375</v>
      </c>
      <c r="Z39" s="350">
        <f>'Tx risks'!AA65</f>
        <v>35984.375</v>
      </c>
      <c r="AA39" s="350">
        <f>'Tx risks'!AB65</f>
        <v>35984.375</v>
      </c>
      <c r="AB39" s="350">
        <f>'Tx risks'!AC65</f>
        <v>35984.375</v>
      </c>
      <c r="AC39" s="350">
        <f>'Tx risks'!AD65</f>
        <v>35984.375</v>
      </c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5"/>
      <c r="AO39" s="335"/>
      <c r="AP39" s="335"/>
      <c r="AQ39" s="335"/>
      <c r="AR39" s="335"/>
    </row>
    <row r="40" spans="1:44" x14ac:dyDescent="0.2">
      <c r="A40" s="335"/>
      <c r="B40" s="335"/>
      <c r="C40" s="335"/>
      <c r="D40" s="351" t="s">
        <v>281</v>
      </c>
      <c r="E40" s="345">
        <f t="shared" ref="E40:F40" si="4">SUM(E35:E39)</f>
        <v>347511.15030336776</v>
      </c>
      <c r="F40" s="345">
        <f t="shared" si="4"/>
        <v>362866.16823789722</v>
      </c>
      <c r="G40" s="345">
        <f>SUM(G35:G39)</f>
        <v>328043.65034783655</v>
      </c>
      <c r="H40" s="345">
        <f t="shared" ref="H40:AC40" si="5">SUM(H35:H39)</f>
        <v>344073.44516216614</v>
      </c>
      <c r="I40" s="345">
        <f t="shared" si="5"/>
        <v>356531.58043517481</v>
      </c>
      <c r="J40" s="345">
        <f t="shared" si="5"/>
        <v>370533.68187824817</v>
      </c>
      <c r="K40" s="345">
        <f t="shared" si="5"/>
        <v>390531.55982031015</v>
      </c>
      <c r="L40" s="345">
        <f t="shared" si="5"/>
        <v>412473.45086777536</v>
      </c>
      <c r="M40" s="345">
        <f t="shared" si="5"/>
        <v>426929.79522726074</v>
      </c>
      <c r="N40" s="345">
        <f t="shared" si="5"/>
        <v>438903.50946893537</v>
      </c>
      <c r="O40" s="345">
        <f t="shared" si="5"/>
        <v>451027.09422638465</v>
      </c>
      <c r="P40" s="345">
        <f t="shared" si="5"/>
        <v>463299.84967531735</v>
      </c>
      <c r="Q40" s="345">
        <f t="shared" si="5"/>
        <v>475721.09343056515</v>
      </c>
      <c r="R40" s="345">
        <f t="shared" si="5"/>
        <v>488290.15988650854</v>
      </c>
      <c r="S40" s="345">
        <f t="shared" si="5"/>
        <v>501006.39959326468</v>
      </c>
      <c r="T40" s="345">
        <f t="shared" si="5"/>
        <v>513869.17866615491</v>
      </c>
      <c r="U40" s="345">
        <f t="shared" si="5"/>
        <v>526877.87822616892</v>
      </c>
      <c r="V40" s="345">
        <f t="shared" si="5"/>
        <v>540031.89386932831</v>
      </c>
      <c r="W40" s="345">
        <f t="shared" si="5"/>
        <v>553330.63516303373</v>
      </c>
      <c r="X40" s="345">
        <f t="shared" si="5"/>
        <v>566773.52516763203</v>
      </c>
      <c r="Y40" s="345">
        <f t="shared" si="5"/>
        <v>580359.99998157588</v>
      </c>
      <c r="Z40" s="345">
        <f t="shared" si="5"/>
        <v>594089.50830867537</v>
      </c>
      <c r="AA40" s="345">
        <f t="shared" si="5"/>
        <v>607110.47995540884</v>
      </c>
      <c r="AB40" s="345">
        <f t="shared" si="5"/>
        <v>620264.86551559367</v>
      </c>
      <c r="AC40" s="345">
        <f t="shared" si="5"/>
        <v>633552.1854349199</v>
      </c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5"/>
      <c r="AO40" s="335"/>
      <c r="AP40" s="335"/>
      <c r="AQ40" s="335"/>
      <c r="AR40" s="335"/>
    </row>
  </sheetData>
  <pageMargins left="0.7" right="0.7" top="0.75" bottom="0.75" header="0.3" footer="0.3"/>
  <pageSetup paperSize="9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5D41-0DA1-4029-A2C0-179BECD38DA6}">
  <sheetPr codeName="Sheet12"/>
  <dimension ref="A1:AJ69"/>
  <sheetViews>
    <sheetView showGridLines="0" zoomScale="85" zoomScaleNormal="85" workbookViewId="0"/>
  </sheetViews>
  <sheetFormatPr defaultRowHeight="12.75" x14ac:dyDescent="0.2"/>
  <cols>
    <col min="1" max="1" width="27.875" bestFit="1" customWidth="1"/>
    <col min="3" max="3" width="19.125" bestFit="1" customWidth="1"/>
    <col min="4" max="4" width="9.875" bestFit="1" customWidth="1"/>
    <col min="5" max="5" width="10.125" bestFit="1" customWidth="1"/>
    <col min="6" max="6" width="12.125" bestFit="1" customWidth="1"/>
    <col min="7" max="7" width="9.875" bestFit="1" customWidth="1"/>
  </cols>
  <sheetData>
    <row r="1" spans="1:36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36" ht="18.75" x14ac:dyDescent="0.3">
      <c r="A2" s="56" t="str">
        <f>proj</f>
        <v>MNA transformer replacement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5" spans="1:36" x14ac:dyDescent="0.2">
      <c r="A5" s="352" t="s">
        <v>282</v>
      </c>
      <c r="B5" s="352"/>
      <c r="C5" s="353" t="s">
        <v>283</v>
      </c>
      <c r="D5" s="353"/>
      <c r="E5" s="206"/>
      <c r="F5" s="354" t="s">
        <v>284</v>
      </c>
      <c r="G5" s="355" t="s">
        <v>285</v>
      </c>
      <c r="H5" s="353" t="s">
        <v>286</v>
      </c>
      <c r="I5" s="353" t="s">
        <v>287</v>
      </c>
      <c r="J5" s="206"/>
      <c r="K5" s="206"/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</row>
    <row r="6" spans="1:36" x14ac:dyDescent="0.2">
      <c r="A6" s="356" t="s">
        <v>288</v>
      </c>
      <c r="B6" s="357" t="s">
        <v>289</v>
      </c>
      <c r="C6" s="358" t="s">
        <v>290</v>
      </c>
      <c r="D6" s="359"/>
      <c r="E6" s="206"/>
      <c r="F6" s="358" t="s">
        <v>291</v>
      </c>
      <c r="G6" s="360">
        <v>9.5692675779087398E-4</v>
      </c>
      <c r="H6" s="355">
        <v>1</v>
      </c>
      <c r="I6" s="361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</row>
    <row r="7" spans="1:36" x14ac:dyDescent="0.2">
      <c r="A7" s="356" t="s">
        <v>292</v>
      </c>
      <c r="B7" s="357" t="s">
        <v>293</v>
      </c>
      <c r="C7" s="358" t="s">
        <v>294</v>
      </c>
      <c r="D7" s="359"/>
      <c r="E7" s="206"/>
      <c r="F7" s="358" t="s">
        <v>295</v>
      </c>
      <c r="G7" s="360">
        <v>9.5692675779087398E-4</v>
      </c>
      <c r="H7" s="355">
        <v>1</v>
      </c>
      <c r="I7" s="361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</row>
    <row r="8" spans="1:36" x14ac:dyDescent="0.2">
      <c r="A8" s="362" t="s">
        <v>8</v>
      </c>
      <c r="B8" s="363">
        <v>48.576000000000001</v>
      </c>
      <c r="C8" s="362" t="s">
        <v>296</v>
      </c>
      <c r="D8" s="364">
        <v>8965585.1400000006</v>
      </c>
      <c r="E8" s="206"/>
      <c r="F8" s="358" t="s">
        <v>297</v>
      </c>
      <c r="G8" s="360" t="b">
        <v>1</v>
      </c>
      <c r="H8" s="355">
        <v>1</v>
      </c>
      <c r="I8" s="361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6"/>
    </row>
    <row r="9" spans="1:36" x14ac:dyDescent="0.2">
      <c r="A9" s="362" t="s">
        <v>298</v>
      </c>
      <c r="B9" s="365">
        <v>0.5</v>
      </c>
      <c r="C9" s="362" t="s">
        <v>299</v>
      </c>
      <c r="D9" s="364">
        <v>164000</v>
      </c>
      <c r="E9" s="206"/>
      <c r="F9" s="358" t="s">
        <v>300</v>
      </c>
      <c r="G9" s="366">
        <v>0</v>
      </c>
      <c r="H9" s="355">
        <v>1</v>
      </c>
      <c r="I9" s="361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</row>
    <row r="10" spans="1:36" ht="19.5" customHeight="1" x14ac:dyDescent="0.2">
      <c r="A10" s="367" t="s">
        <v>301</v>
      </c>
      <c r="B10" s="368" t="s">
        <v>302</v>
      </c>
      <c r="C10" s="353" t="s">
        <v>303</v>
      </c>
      <c r="D10" s="352" t="s">
        <v>304</v>
      </c>
      <c r="E10" s="353">
        <v>2025</v>
      </c>
      <c r="F10" s="353">
        <v>2026</v>
      </c>
      <c r="G10" s="353">
        <v>2027</v>
      </c>
      <c r="H10" s="353">
        <v>2028</v>
      </c>
      <c r="I10" s="353">
        <v>2029</v>
      </c>
      <c r="J10" s="353">
        <v>2030</v>
      </c>
      <c r="K10" s="353">
        <v>2031</v>
      </c>
      <c r="L10" s="353">
        <v>2032</v>
      </c>
      <c r="M10" s="353">
        <v>2033</v>
      </c>
      <c r="N10" s="353">
        <v>2034</v>
      </c>
      <c r="O10" s="353">
        <v>2035</v>
      </c>
      <c r="P10" s="353">
        <v>2036</v>
      </c>
      <c r="Q10" s="353">
        <v>2037</v>
      </c>
      <c r="R10" s="353">
        <v>2038</v>
      </c>
      <c r="S10" s="353">
        <v>2039</v>
      </c>
      <c r="T10" s="353">
        <v>2040</v>
      </c>
      <c r="U10" s="353">
        <v>2041</v>
      </c>
      <c r="V10" s="353">
        <v>2042</v>
      </c>
      <c r="W10" s="353">
        <v>2043</v>
      </c>
      <c r="X10" s="353">
        <v>2044</v>
      </c>
      <c r="Y10" s="353">
        <v>2045</v>
      </c>
      <c r="Z10" s="353">
        <v>2046</v>
      </c>
      <c r="AA10" s="353">
        <v>2047</v>
      </c>
      <c r="AB10" s="369">
        <v>2048</v>
      </c>
      <c r="AC10" s="369">
        <v>2049</v>
      </c>
      <c r="AD10" s="369">
        <v>2050</v>
      </c>
      <c r="AE10" s="369">
        <v>2051</v>
      </c>
      <c r="AF10" s="369">
        <v>2052</v>
      </c>
      <c r="AG10" s="369">
        <v>2053</v>
      </c>
      <c r="AH10" s="369">
        <v>2054</v>
      </c>
      <c r="AI10" s="369">
        <v>2055</v>
      </c>
      <c r="AJ10" s="369">
        <v>2056</v>
      </c>
    </row>
    <row r="11" spans="1:36" x14ac:dyDescent="0.2">
      <c r="A11" s="356" t="s">
        <v>305</v>
      </c>
      <c r="B11" s="370" t="b">
        <v>1</v>
      </c>
      <c r="C11" s="371">
        <v>0</v>
      </c>
      <c r="D11" s="356" t="s">
        <v>23</v>
      </c>
      <c r="E11" s="372">
        <v>4656.2648002018468</v>
      </c>
      <c r="F11" s="372">
        <v>4888.5144649373478</v>
      </c>
      <c r="G11" s="372">
        <v>5171.271651636448</v>
      </c>
      <c r="H11" s="372">
        <v>5492.8156176440816</v>
      </c>
      <c r="I11" s="372">
        <v>5810.3764109270787</v>
      </c>
      <c r="J11" s="372">
        <v>6044.4364530734656</v>
      </c>
      <c r="K11" s="372">
        <v>6306.1473075917083</v>
      </c>
      <c r="L11" s="372">
        <v>6703.7264396153632</v>
      </c>
      <c r="M11" s="372">
        <v>7143.9393352527322</v>
      </c>
      <c r="N11" s="372">
        <v>7419.2439747169728</v>
      </c>
      <c r="O11" s="372">
        <v>7646.5515704996851</v>
      </c>
      <c r="P11" s="372">
        <v>7876.7087514534742</v>
      </c>
      <c r="Q11" s="372">
        <v>8109.7023958284581</v>
      </c>
      <c r="R11" s="372">
        <v>8345.5197137972154</v>
      </c>
      <c r="S11" s="372">
        <v>8584.1482349306316</v>
      </c>
      <c r="T11" s="372">
        <v>8825.5757963524738</v>
      </c>
      <c r="U11" s="372">
        <v>9069.7905315256467</v>
      </c>
      <c r="V11" s="372">
        <v>9316.7808596267132</v>
      </c>
      <c r="W11" s="372">
        <v>9566.5354754690234</v>
      </c>
      <c r="X11" s="372">
        <v>9819.0433399379599</v>
      </c>
      <c r="Y11" s="372">
        <v>10074.293670904925</v>
      </c>
      <c r="Z11" s="372">
        <v>10332.275934589054</v>
      </c>
      <c r="AA11" s="372">
        <v>10592.979837338436</v>
      </c>
      <c r="AB11" s="372">
        <v>10856.395317804412</v>
      </c>
      <c r="AC11" s="372">
        <v>11122.5125394849</v>
      </c>
      <c r="AD11" s="372">
        <v>11391.321883614215</v>
      </c>
      <c r="AE11" s="372">
        <v>11662.813942378563</v>
      </c>
      <c r="AF11" s="372">
        <v>11936.979512438242</v>
      </c>
      <c r="AG11" s="372">
        <v>11936.979512438242</v>
      </c>
      <c r="AH11" s="372">
        <v>11936.979512438242</v>
      </c>
      <c r="AI11" s="372">
        <v>11936.979512438242</v>
      </c>
      <c r="AJ11" s="372">
        <v>11936.979512438242</v>
      </c>
    </row>
    <row r="12" spans="1:36" x14ac:dyDescent="0.2">
      <c r="A12" s="356" t="s">
        <v>306</v>
      </c>
      <c r="B12" s="370" t="b">
        <v>0</v>
      </c>
      <c r="C12" s="371">
        <v>0</v>
      </c>
      <c r="D12" s="356" t="s">
        <v>23</v>
      </c>
      <c r="E12" s="373">
        <v>5837.2087933859466</v>
      </c>
      <c r="F12" s="373">
        <v>6127.3343129874675</v>
      </c>
      <c r="G12" s="373">
        <v>6473.6612684562842</v>
      </c>
      <c r="H12" s="373">
        <v>6873.5482351620249</v>
      </c>
      <c r="I12" s="373">
        <v>7243.051142743142</v>
      </c>
      <c r="J12" s="373">
        <v>7548.3370232292182</v>
      </c>
      <c r="K12" s="373">
        <v>7900.130973472149</v>
      </c>
      <c r="L12" s="373">
        <v>8367.9882001760798</v>
      </c>
      <c r="M12" s="373">
        <v>8876.3517914772347</v>
      </c>
      <c r="N12" s="373">
        <v>9227.3156664585349</v>
      </c>
      <c r="O12" s="373">
        <v>9510.0181814596381</v>
      </c>
      <c r="P12" s="373">
        <v>9796.2647261968068</v>
      </c>
      <c r="Q12" s="373">
        <v>10086.038981143793</v>
      </c>
      <c r="R12" s="373">
        <v>10379.325039586394</v>
      </c>
      <c r="S12" s="373">
        <v>10676.107392046144</v>
      </c>
      <c r="T12" s="373">
        <v>10976.370911548147</v>
      </c>
      <c r="U12" s="373">
        <v>11280.100839674564</v>
      </c>
      <c r="V12" s="373">
        <v>11587.282773349705</v>
      </c>
      <c r="W12" s="373">
        <v>11897.902652307404</v>
      </c>
      <c r="X12" s="373">
        <v>12211.946747195314</v>
      </c>
      <c r="Y12" s="373">
        <v>12529.401648274677</v>
      </c>
      <c r="Z12" s="373">
        <v>12850.254254676865</v>
      </c>
      <c r="AA12" s="373">
        <v>13174.491764181656</v>
      </c>
      <c r="AB12" s="373">
        <v>13502.101663484449</v>
      </c>
      <c r="AC12" s="373">
        <v>13833.071718922371</v>
      </c>
      <c r="AD12" s="373">
        <v>14167.389967631318</v>
      </c>
      <c r="AE12" s="373">
        <v>14505.044709108161</v>
      </c>
      <c r="AF12" s="373">
        <v>14846.02449715418</v>
      </c>
      <c r="AG12" s="373">
        <v>14846.02449715418</v>
      </c>
      <c r="AH12" s="373">
        <v>14846.02449715418</v>
      </c>
      <c r="AI12" s="373">
        <v>14846.02449715418</v>
      </c>
      <c r="AJ12" s="373">
        <v>14846.02449715418</v>
      </c>
    </row>
    <row r="13" spans="1:36" x14ac:dyDescent="0.2">
      <c r="A13" s="356" t="s">
        <v>307</v>
      </c>
      <c r="B13" s="370" t="b">
        <v>0</v>
      </c>
      <c r="C13" s="371">
        <v>300000</v>
      </c>
      <c r="D13" s="356" t="s">
        <v>23</v>
      </c>
      <c r="E13" s="373">
        <v>4656.2648002018468</v>
      </c>
      <c r="F13" s="373">
        <v>4888.5144649373478</v>
      </c>
      <c r="G13" s="373">
        <v>5171.271651636448</v>
      </c>
      <c r="H13" s="373">
        <v>5492.8156176440816</v>
      </c>
      <c r="I13" s="373">
        <v>5810.3764109270787</v>
      </c>
      <c r="J13" s="373">
        <v>6044.4364530734656</v>
      </c>
      <c r="K13" s="373">
        <v>6306.1473075917083</v>
      </c>
      <c r="L13" s="373">
        <v>6703.7264396153632</v>
      </c>
      <c r="M13" s="373">
        <v>7143.9393352527322</v>
      </c>
      <c r="N13" s="373">
        <v>7419.2439747169728</v>
      </c>
      <c r="O13" s="373">
        <v>7646.5515704996851</v>
      </c>
      <c r="P13" s="373">
        <v>7876.7087514534742</v>
      </c>
      <c r="Q13" s="373">
        <v>8109.7023958284581</v>
      </c>
      <c r="R13" s="373">
        <v>8345.5197137972154</v>
      </c>
      <c r="S13" s="373">
        <v>8584.1482349306316</v>
      </c>
      <c r="T13" s="373">
        <v>8825.5757963524738</v>
      </c>
      <c r="U13" s="373">
        <v>9069.7905315256467</v>
      </c>
      <c r="V13" s="373">
        <v>9316.7808596267132</v>
      </c>
      <c r="W13" s="373">
        <v>9566.5354754690234</v>
      </c>
      <c r="X13" s="373">
        <v>9819.0433399379599</v>
      </c>
      <c r="Y13" s="373">
        <v>10074.293670904925</v>
      </c>
      <c r="Z13" s="373">
        <v>10332.275934589054</v>
      </c>
      <c r="AA13" s="373">
        <v>10592.979837338436</v>
      </c>
      <c r="AB13" s="373">
        <v>10856.395317804412</v>
      </c>
      <c r="AC13" s="373">
        <v>11122.5125394849</v>
      </c>
      <c r="AD13" s="373">
        <v>11391.321883614215</v>
      </c>
      <c r="AE13" s="373">
        <v>11662.813942378563</v>
      </c>
      <c r="AF13" s="373">
        <v>11936.979512438242</v>
      </c>
      <c r="AG13" s="373">
        <v>11936.979512438242</v>
      </c>
      <c r="AH13" s="373">
        <v>11936.979512438242</v>
      </c>
      <c r="AI13" s="373">
        <v>11936.979512438242</v>
      </c>
      <c r="AJ13" s="373">
        <v>11936.979512438242</v>
      </c>
    </row>
    <row r="14" spans="1:36" x14ac:dyDescent="0.2">
      <c r="A14" s="356" t="s">
        <v>308</v>
      </c>
      <c r="B14" s="370" t="b">
        <v>0</v>
      </c>
      <c r="C14" s="371">
        <v>4000</v>
      </c>
      <c r="D14" s="356" t="s">
        <v>309</v>
      </c>
      <c r="E14" s="374">
        <v>1.913853515581748E-3</v>
      </c>
      <c r="F14" s="374">
        <v>1.9835924166552491E-3</v>
      </c>
      <c r="G14" s="374">
        <v>2.054355843890254E-3</v>
      </c>
      <c r="H14" s="374">
        <v>2.1261374787674976E-3</v>
      </c>
      <c r="I14" s="374">
        <v>2.1989311682425075E-3</v>
      </c>
      <c r="J14" s="374">
        <v>2.2727309172292098E-3</v>
      </c>
      <c r="K14" s="374">
        <v>2.3475308815639729E-3</v>
      </c>
      <c r="L14" s="374">
        <v>2.4233253614107855E-3</v>
      </c>
      <c r="M14" s="374">
        <v>2.5001087950722446E-3</v>
      </c>
      <c r="N14" s="374">
        <v>2.5778757531743704E-3</v>
      </c>
      <c r="O14" s="374">
        <v>2.6566209331963676E-3</v>
      </c>
      <c r="P14" s="374">
        <v>2.7363391543191607E-3</v>
      </c>
      <c r="Q14" s="374">
        <v>2.8170253525688776E-3</v>
      </c>
      <c r="R14" s="374">
        <v>2.898674576233661E-3</v>
      </c>
      <c r="S14" s="374">
        <v>2.9812819815341505E-3</v>
      </c>
      <c r="T14" s="374">
        <v>3.0648428285295383E-3</v>
      </c>
      <c r="U14" s="374">
        <v>3.1493524772428678E-3</v>
      </c>
      <c r="V14" s="374">
        <v>3.2348063839904651E-3</v>
      </c>
      <c r="W14" s="374">
        <v>3.3212000979017187E-3</v>
      </c>
      <c r="X14" s="374">
        <v>3.4085292576165396E-3</v>
      </c>
      <c r="Y14" s="374">
        <v>3.4967895881488891E-3</v>
      </c>
      <c r="Z14" s="374">
        <v>3.5859768979056108E-3</v>
      </c>
      <c r="AA14" s="374">
        <v>3.6760870758507295E-3</v>
      </c>
      <c r="AB14" s="374">
        <v>3.6760870758507295E-3</v>
      </c>
      <c r="AC14" s="374">
        <v>3.6760870758507295E-3</v>
      </c>
      <c r="AD14" s="374">
        <v>3.6760870758507295E-3</v>
      </c>
      <c r="AE14" s="374">
        <v>3.6760870758507295E-3</v>
      </c>
      <c r="AF14" s="374">
        <v>3.6760870758507295E-3</v>
      </c>
      <c r="AG14" s="374">
        <v>3.6760870758507295E-3</v>
      </c>
      <c r="AH14" s="374">
        <v>3.6760870758507295E-3</v>
      </c>
      <c r="AI14" s="374">
        <v>3.6760870758507295E-3</v>
      </c>
      <c r="AJ14" s="374">
        <v>3.6760870758507295E-3</v>
      </c>
    </row>
    <row r="15" spans="1:36" x14ac:dyDescent="0.2">
      <c r="A15" s="356" t="s">
        <v>310</v>
      </c>
      <c r="B15" s="370" t="b">
        <v>0</v>
      </c>
      <c r="C15" s="371">
        <v>650</v>
      </c>
      <c r="D15" s="356" t="s">
        <v>311</v>
      </c>
      <c r="E15" s="374">
        <v>7.6554140623269918E-3</v>
      </c>
      <c r="F15" s="374">
        <v>7.9343696666209964E-3</v>
      </c>
      <c r="G15" s="374">
        <v>8.2174233755610161E-3</v>
      </c>
      <c r="H15" s="374">
        <v>8.5045499150699904E-3</v>
      </c>
      <c r="I15" s="374">
        <v>8.79572467297003E-3</v>
      </c>
      <c r="J15" s="374">
        <v>9.0909236689168393E-3</v>
      </c>
      <c r="K15" s="374">
        <v>9.3901235262558915E-3</v>
      </c>
      <c r="L15" s="374">
        <v>9.6933014456431418E-3</v>
      </c>
      <c r="M15" s="374">
        <v>1.0000435180288978E-2</v>
      </c>
      <c r="N15" s="374">
        <v>1.0311503012697482E-2</v>
      </c>
      <c r="O15" s="374">
        <v>1.062648373278547E-2</v>
      </c>
      <c r="P15" s="374">
        <v>1.0945356617276643E-2</v>
      </c>
      <c r="Q15" s="374">
        <v>1.1268101410275511E-2</v>
      </c>
      <c r="R15" s="374">
        <v>1.1594698304934644E-2</v>
      </c>
      <c r="S15" s="374">
        <v>1.1925127926136602E-2</v>
      </c>
      <c r="T15" s="374">
        <v>1.2259371314118153E-2</v>
      </c>
      <c r="U15" s="374">
        <v>1.2597409908971471E-2</v>
      </c>
      <c r="V15" s="374">
        <v>1.293922553596186E-2</v>
      </c>
      <c r="W15" s="374">
        <v>1.3284800391606875E-2</v>
      </c>
      <c r="X15" s="374">
        <v>1.3634117030466159E-2</v>
      </c>
      <c r="Y15" s="374">
        <v>1.3987158352595556E-2</v>
      </c>
      <c r="Z15" s="374">
        <v>1.4343907591622443E-2</v>
      </c>
      <c r="AA15" s="374">
        <v>1.4704348303402918E-2</v>
      </c>
      <c r="AB15" s="374">
        <v>1.4704348303402918E-2</v>
      </c>
      <c r="AC15" s="374">
        <v>1.4704348303402918E-2</v>
      </c>
      <c r="AD15" s="374">
        <v>1.4704348303402918E-2</v>
      </c>
      <c r="AE15" s="374">
        <v>1.4704348303402918E-2</v>
      </c>
      <c r="AF15" s="374">
        <v>1.4704348303402918E-2</v>
      </c>
      <c r="AG15" s="374">
        <v>1.4704348303402918E-2</v>
      </c>
      <c r="AH15" s="374">
        <v>1.4704348303402918E-2</v>
      </c>
      <c r="AI15" s="374">
        <v>1.4704348303402918E-2</v>
      </c>
      <c r="AJ15" s="374">
        <v>1.4704348303402918E-2</v>
      </c>
    </row>
    <row r="16" spans="1:36" x14ac:dyDescent="0.2">
      <c r="A16" s="356" t="s">
        <v>312</v>
      </c>
      <c r="B16" s="375" t="b">
        <v>0</v>
      </c>
      <c r="C16" s="371">
        <v>300000</v>
      </c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6"/>
      <c r="W16" s="356"/>
      <c r="X16" s="356"/>
      <c r="Y16" s="356"/>
      <c r="Z16" s="356"/>
      <c r="AA16" s="356"/>
      <c r="AB16" s="356"/>
      <c r="AC16" s="356"/>
      <c r="AD16" s="356"/>
      <c r="AE16" s="356"/>
      <c r="AF16" s="356"/>
      <c r="AG16" s="356"/>
      <c r="AH16" s="356"/>
      <c r="AI16" s="356"/>
      <c r="AJ16" s="356"/>
    </row>
    <row r="17" spans="1:36" x14ac:dyDescent="0.2">
      <c r="A17" s="356" t="s">
        <v>313</v>
      </c>
      <c r="B17" s="375" t="b">
        <v>0</v>
      </c>
      <c r="C17" s="371">
        <v>500000</v>
      </c>
      <c r="D17" s="356" t="s">
        <v>276</v>
      </c>
      <c r="E17" s="376">
        <v>243392.37955847813</v>
      </c>
      <c r="F17" s="376">
        <v>255517.5525304614</v>
      </c>
      <c r="G17" s="376">
        <v>270179.15515788418</v>
      </c>
      <c r="H17" s="376">
        <v>286940.1517312444</v>
      </c>
      <c r="I17" s="376">
        <v>303122.92686900287</v>
      </c>
      <c r="J17" s="376">
        <v>315530.58737326239</v>
      </c>
      <c r="K17" s="376">
        <v>329556.2167797173</v>
      </c>
      <c r="L17" s="376">
        <v>349893.16931505507</v>
      </c>
      <c r="M17" s="376">
        <v>372270.0973913052</v>
      </c>
      <c r="N17" s="376">
        <v>386745.86246526311</v>
      </c>
      <c r="O17" s="376">
        <v>398594.81531678984</v>
      </c>
      <c r="P17" s="376">
        <v>410592.30961934361</v>
      </c>
      <c r="Q17" s="376">
        <v>422737.6613702465</v>
      </c>
      <c r="R17" s="376">
        <v>435030.203869074</v>
      </c>
      <c r="S17" s="376">
        <v>447469.2870648033</v>
      </c>
      <c r="T17" s="376">
        <v>460054.27693834133</v>
      </c>
      <c r="U17" s="376">
        <v>472784.55491798231</v>
      </c>
      <c r="V17" s="376">
        <v>485659.5173255296</v>
      </c>
      <c r="W17" s="376">
        <v>498678.57485101366</v>
      </c>
      <c r="X17" s="376">
        <v>511841.15205410629</v>
      </c>
      <c r="Y17" s="376">
        <v>525146.68689049152</v>
      </c>
      <c r="Z17" s="376">
        <v>538594.63026157347</v>
      </c>
      <c r="AA17" s="376">
        <v>552184.44558605272</v>
      </c>
      <c r="AB17" s="376">
        <v>565915.6083919931</v>
      </c>
      <c r="AC17" s="376">
        <v>579787.60592812486</v>
      </c>
      <c r="AD17" s="376">
        <v>593799.93679320847</v>
      </c>
      <c r="AE17" s="376">
        <v>607952.11058237811</v>
      </c>
      <c r="AF17" s="376">
        <v>622243.64754946856</v>
      </c>
      <c r="AG17" s="376">
        <v>622243.64754946856</v>
      </c>
      <c r="AH17" s="376">
        <v>622243.64754946856</v>
      </c>
      <c r="AI17" s="376">
        <v>622243.64754946856</v>
      </c>
      <c r="AJ17" s="376">
        <v>622243.64754946856</v>
      </c>
    </row>
    <row r="18" spans="1:36" x14ac:dyDescent="0.2">
      <c r="A18" s="356" t="s">
        <v>314</v>
      </c>
      <c r="B18" s="370" t="b">
        <v>0</v>
      </c>
      <c r="C18" s="371">
        <v>7471320.9500000002</v>
      </c>
      <c r="D18" s="356" t="s">
        <v>277</v>
      </c>
      <c r="E18" s="376">
        <v>339.66731691296644</v>
      </c>
      <c r="F18" s="376">
        <v>352.04445299952562</v>
      </c>
      <c r="G18" s="376">
        <v>364.60342016644267</v>
      </c>
      <c r="H18" s="376">
        <v>377.34309701416021</v>
      </c>
      <c r="I18" s="376">
        <v>390.26239151129232</v>
      </c>
      <c r="J18" s="376">
        <v>403.36023966062885</v>
      </c>
      <c r="K18" s="376">
        <v>416.63560425040606</v>
      </c>
      <c r="L18" s="376">
        <v>430.08747368386952</v>
      </c>
      <c r="M18" s="376">
        <v>443.71486088085931</v>
      </c>
      <c r="N18" s="376">
        <v>457.51680224574108</v>
      </c>
      <c r="O18" s="376">
        <v>471.49235669655809</v>
      </c>
      <c r="P18" s="376">
        <v>485.64060475075831</v>
      </c>
      <c r="Q18" s="376">
        <v>499.9606476632685</v>
      </c>
      <c r="R18" s="376">
        <v>514.45160661307796</v>
      </c>
      <c r="S18" s="376">
        <v>529.11262193484367</v>
      </c>
      <c r="T18" s="376">
        <v>543.94285239230419</v>
      </c>
      <c r="U18" s="376">
        <v>558.94147449060438</v>
      </c>
      <c r="V18" s="376">
        <v>574.10768182484969</v>
      </c>
      <c r="W18" s="376">
        <v>589.44068446244296</v>
      </c>
      <c r="X18" s="376">
        <v>604.93970835695484</v>
      </c>
      <c r="Y18" s="376">
        <v>620.60399479146929</v>
      </c>
      <c r="Z18" s="376">
        <v>636.43279984949004</v>
      </c>
      <c r="AA18" s="376">
        <v>652.42539391166656</v>
      </c>
      <c r="AB18" s="376">
        <v>652.42539391166656</v>
      </c>
      <c r="AC18" s="376">
        <v>652.42539391166656</v>
      </c>
      <c r="AD18" s="376">
        <v>652.42539391166656</v>
      </c>
      <c r="AE18" s="376">
        <v>652.42539391166656</v>
      </c>
      <c r="AF18" s="376">
        <v>652.42539391166656</v>
      </c>
      <c r="AG18" s="376">
        <v>652.42539391166656</v>
      </c>
      <c r="AH18" s="376">
        <v>652.42539391166656</v>
      </c>
      <c r="AI18" s="376">
        <v>652.42539391166656</v>
      </c>
      <c r="AJ18" s="376">
        <v>652.42539391166656</v>
      </c>
    </row>
    <row r="19" spans="1:36" x14ac:dyDescent="0.2">
      <c r="A19" s="356" t="s">
        <v>315</v>
      </c>
      <c r="B19" s="370" t="b">
        <v>0</v>
      </c>
      <c r="C19" s="371">
        <v>0</v>
      </c>
      <c r="D19" s="356" t="s">
        <v>278</v>
      </c>
      <c r="E19" s="376">
        <v>17158.816639436478</v>
      </c>
      <c r="F19" s="376">
        <v>17784.06669458099</v>
      </c>
      <c r="G19" s="376">
        <v>18418.502226254623</v>
      </c>
      <c r="H19" s="376">
        <v>19062.066585234945</v>
      </c>
      <c r="I19" s="376">
        <v>19714.704605877865</v>
      </c>
      <c r="J19" s="376">
        <v>20376.362538728776</v>
      </c>
      <c r="K19" s="376">
        <v>21046.987987441058</v>
      </c>
      <c r="L19" s="376">
        <v>21726.529849649669</v>
      </c>
      <c r="M19" s="376">
        <v>22414.938261483025</v>
      </c>
      <c r="N19" s="376">
        <v>23112.164545426444</v>
      </c>
      <c r="O19" s="376">
        <v>23818.161161278287</v>
      </c>
      <c r="P19" s="376">
        <v>24532.881659964034</v>
      </c>
      <c r="Q19" s="376">
        <v>25256.280639994791</v>
      </c>
      <c r="R19" s="376">
        <v>25988.31370637631</v>
      </c>
      <c r="S19" s="376">
        <v>26728.937431792336</v>
      </c>
      <c r="T19" s="376">
        <v>27478.109319899999</v>
      </c>
      <c r="U19" s="376">
        <v>28235.787770590847</v>
      </c>
      <c r="V19" s="376">
        <v>29001.932047082049</v>
      </c>
      <c r="W19" s="376">
        <v>29776.502244714196</v>
      </c>
      <c r="X19" s="376">
        <v>30559.459261342083</v>
      </c>
      <c r="Y19" s="376">
        <v>31350.764769214402</v>
      </c>
      <c r="Z19" s="376">
        <v>32150.381188245843</v>
      </c>
      <c r="AA19" s="376">
        <v>32958.271660593353</v>
      </c>
      <c r="AB19" s="376">
        <v>32958.271660593353</v>
      </c>
      <c r="AC19" s="376">
        <v>32958.271660593353</v>
      </c>
      <c r="AD19" s="376">
        <v>32958.271660593353</v>
      </c>
      <c r="AE19" s="376">
        <v>32958.271660593353</v>
      </c>
      <c r="AF19" s="376">
        <v>32958.271660593353</v>
      </c>
      <c r="AG19" s="376">
        <v>32958.271660593353</v>
      </c>
      <c r="AH19" s="376">
        <v>32958.271660593353</v>
      </c>
      <c r="AI19" s="376">
        <v>32958.271660593353</v>
      </c>
      <c r="AJ19" s="376">
        <v>32958.271660593353</v>
      </c>
    </row>
    <row r="20" spans="1:36" x14ac:dyDescent="0.2">
      <c r="A20" s="356" t="s">
        <v>316</v>
      </c>
      <c r="B20" s="370" t="b">
        <v>0</v>
      </c>
      <c r="C20" s="371">
        <v>0</v>
      </c>
      <c r="D20" s="356" t="s">
        <v>279</v>
      </c>
      <c r="E20" s="376">
        <v>1255.4879062216266</v>
      </c>
      <c r="F20" s="376">
        <v>1301.2366253258433</v>
      </c>
      <c r="G20" s="376">
        <v>1347.6574335920066</v>
      </c>
      <c r="H20" s="376">
        <v>1394.7461860714784</v>
      </c>
      <c r="I20" s="376">
        <v>1442.498846367085</v>
      </c>
      <c r="J20" s="376">
        <v>1490.9114817023617</v>
      </c>
      <c r="K20" s="376">
        <v>1539.9802583059661</v>
      </c>
      <c r="L20" s="376">
        <v>1589.7014370854752</v>
      </c>
      <c r="M20" s="376">
        <v>1640.0713695673924</v>
      </c>
      <c r="N20" s="376">
        <v>1691.0864940823869</v>
      </c>
      <c r="O20" s="376">
        <v>1742.7433321768171</v>
      </c>
      <c r="P20" s="376">
        <v>1795.0384852333693</v>
      </c>
      <c r="Q20" s="376">
        <v>1847.9686312851838</v>
      </c>
      <c r="R20" s="376">
        <v>1901.5305220092816</v>
      </c>
      <c r="S20" s="376">
        <v>1955.7209798864028</v>
      </c>
      <c r="T20" s="376">
        <v>2010.5368955153772</v>
      </c>
      <c r="U20" s="376">
        <v>2065.9752250713213</v>
      </c>
      <c r="V20" s="376">
        <v>2122.032987897745</v>
      </c>
      <c r="W20" s="376">
        <v>2178.7072642235275</v>
      </c>
      <c r="X20" s="376">
        <v>2235.99519299645</v>
      </c>
      <c r="Y20" s="376">
        <v>2293.8939698256713</v>
      </c>
      <c r="Z20" s="376">
        <v>2352.4008450260808</v>
      </c>
      <c r="AA20" s="376">
        <v>2411.5131217580788</v>
      </c>
      <c r="AB20" s="376">
        <v>2411.5131217580788</v>
      </c>
      <c r="AC20" s="376">
        <v>2411.5131217580788</v>
      </c>
      <c r="AD20" s="376">
        <v>2411.5131217580788</v>
      </c>
      <c r="AE20" s="376">
        <v>2411.5131217580788</v>
      </c>
      <c r="AF20" s="376">
        <v>2411.5131217580788</v>
      </c>
      <c r="AG20" s="376">
        <v>2411.5131217580788</v>
      </c>
      <c r="AH20" s="376">
        <v>2411.5131217580788</v>
      </c>
      <c r="AI20" s="376">
        <v>2411.5131217580788</v>
      </c>
      <c r="AJ20" s="376">
        <v>2411.5131217580788</v>
      </c>
    </row>
    <row r="21" spans="1:36" x14ac:dyDescent="0.2">
      <c r="A21" s="356" t="s">
        <v>317</v>
      </c>
      <c r="B21" s="370" t="b">
        <v>0</v>
      </c>
      <c r="C21" s="371" t="s">
        <v>136</v>
      </c>
      <c r="D21" s="356" t="s">
        <v>280</v>
      </c>
      <c r="E21" s="377">
        <v>72556.25</v>
      </c>
      <c r="F21" s="377">
        <v>72556.25</v>
      </c>
      <c r="G21" s="377">
        <v>72556.25</v>
      </c>
      <c r="H21" s="377">
        <v>72556.25</v>
      </c>
      <c r="I21" s="377">
        <v>72556.25</v>
      </c>
      <c r="J21" s="377">
        <v>72556.25</v>
      </c>
      <c r="K21" s="377">
        <v>72556.25</v>
      </c>
      <c r="L21" s="377">
        <v>72556.25</v>
      </c>
      <c r="M21" s="377">
        <v>72556.25</v>
      </c>
      <c r="N21" s="377">
        <v>72556.25</v>
      </c>
      <c r="O21" s="377">
        <v>72556.25</v>
      </c>
      <c r="P21" s="377">
        <v>72556.25</v>
      </c>
      <c r="Q21" s="377">
        <v>72556.25</v>
      </c>
      <c r="R21" s="377">
        <v>72556.25</v>
      </c>
      <c r="S21" s="377">
        <v>72556.25</v>
      </c>
      <c r="T21" s="377">
        <v>72556.25</v>
      </c>
      <c r="U21" s="377">
        <v>72556.25</v>
      </c>
      <c r="V21" s="377">
        <v>72556.25</v>
      </c>
      <c r="W21" s="377">
        <v>72556.25</v>
      </c>
      <c r="X21" s="377">
        <v>72556.25</v>
      </c>
      <c r="Y21" s="377">
        <v>72556.25</v>
      </c>
      <c r="Z21" s="377">
        <v>72556.25</v>
      </c>
      <c r="AA21" s="377">
        <v>72556.25</v>
      </c>
      <c r="AB21" s="377">
        <v>72556.25</v>
      </c>
      <c r="AC21" s="377">
        <v>72556.25</v>
      </c>
      <c r="AD21" s="377">
        <v>72556.25</v>
      </c>
      <c r="AE21" s="377">
        <v>72556.25</v>
      </c>
      <c r="AF21" s="377">
        <v>72556.25</v>
      </c>
      <c r="AG21" s="377">
        <v>72556.25</v>
      </c>
      <c r="AH21" s="377">
        <v>72556.25</v>
      </c>
      <c r="AI21" s="377">
        <v>72556.25</v>
      </c>
      <c r="AJ21" s="377">
        <v>72556.25</v>
      </c>
    </row>
    <row r="22" spans="1:36" x14ac:dyDescent="0.2">
      <c r="A22" s="356" t="s">
        <v>318</v>
      </c>
      <c r="B22" s="370" t="b">
        <v>1</v>
      </c>
      <c r="C22" s="371">
        <v>0</v>
      </c>
      <c r="D22" s="356" t="s">
        <v>319</v>
      </c>
      <c r="E22" s="378">
        <v>0</v>
      </c>
      <c r="F22" s="378">
        <v>0</v>
      </c>
      <c r="G22" s="378">
        <v>0</v>
      </c>
      <c r="H22" s="378">
        <v>0</v>
      </c>
      <c r="I22" s="378">
        <v>0</v>
      </c>
      <c r="J22" s="378">
        <v>0</v>
      </c>
      <c r="K22" s="378">
        <v>0</v>
      </c>
      <c r="L22" s="378">
        <v>0</v>
      </c>
      <c r="M22" s="378">
        <v>0</v>
      </c>
      <c r="N22" s="378">
        <v>0</v>
      </c>
      <c r="O22" s="378">
        <v>0</v>
      </c>
      <c r="P22" s="378">
        <v>0</v>
      </c>
      <c r="Q22" s="378">
        <v>0</v>
      </c>
      <c r="R22" s="378">
        <v>0</v>
      </c>
      <c r="S22" s="378">
        <v>0</v>
      </c>
      <c r="T22" s="378">
        <v>0</v>
      </c>
      <c r="U22" s="378">
        <v>0</v>
      </c>
      <c r="V22" s="378">
        <v>0</v>
      </c>
      <c r="W22" s="378">
        <v>0</v>
      </c>
      <c r="X22" s="378">
        <v>0</v>
      </c>
      <c r="Y22" s="378">
        <v>0</v>
      </c>
      <c r="Z22" s="378">
        <v>0</v>
      </c>
      <c r="AA22" s="378">
        <v>0</v>
      </c>
      <c r="AB22" s="378">
        <v>0</v>
      </c>
      <c r="AC22" s="378">
        <v>0</v>
      </c>
      <c r="AD22" s="378">
        <v>0</v>
      </c>
      <c r="AE22" s="378">
        <v>0</v>
      </c>
      <c r="AF22" s="378">
        <v>0</v>
      </c>
      <c r="AG22" s="378">
        <v>0</v>
      </c>
      <c r="AH22" s="378">
        <v>0</v>
      </c>
      <c r="AI22" s="378">
        <v>0</v>
      </c>
      <c r="AJ22" s="378">
        <v>0</v>
      </c>
    </row>
    <row r="23" spans="1:36" x14ac:dyDescent="0.2">
      <c r="A23" s="356" t="s">
        <v>320</v>
      </c>
      <c r="B23" s="375">
        <v>0</v>
      </c>
      <c r="C23" s="371">
        <v>0</v>
      </c>
      <c r="D23" s="356" t="s">
        <v>18</v>
      </c>
      <c r="E23" s="377">
        <v>0</v>
      </c>
      <c r="F23" s="377">
        <v>0</v>
      </c>
      <c r="G23" s="377">
        <v>0</v>
      </c>
      <c r="H23" s="377">
        <v>0</v>
      </c>
      <c r="I23" s="377">
        <v>0</v>
      </c>
      <c r="J23" s="377">
        <v>0</v>
      </c>
      <c r="K23" s="377">
        <v>0</v>
      </c>
      <c r="L23" s="377">
        <v>0</v>
      </c>
      <c r="M23" s="377">
        <v>0</v>
      </c>
      <c r="N23" s="377">
        <v>0</v>
      </c>
      <c r="O23" s="377">
        <v>0</v>
      </c>
      <c r="P23" s="377">
        <v>0</v>
      </c>
      <c r="Q23" s="377">
        <v>0</v>
      </c>
      <c r="R23" s="377">
        <v>0</v>
      </c>
      <c r="S23" s="377">
        <v>0</v>
      </c>
      <c r="T23" s="377">
        <v>0</v>
      </c>
      <c r="U23" s="377">
        <v>0</v>
      </c>
      <c r="V23" s="377">
        <v>0</v>
      </c>
      <c r="W23" s="377">
        <v>0</v>
      </c>
      <c r="X23" s="377">
        <v>0</v>
      </c>
      <c r="Y23" s="377">
        <v>0</v>
      </c>
      <c r="Z23" s="377">
        <v>0</v>
      </c>
      <c r="AA23" s="377">
        <v>0</v>
      </c>
      <c r="AB23" s="377">
        <v>0</v>
      </c>
      <c r="AC23" s="377">
        <v>0</v>
      </c>
      <c r="AD23" s="377">
        <v>0</v>
      </c>
      <c r="AE23" s="377">
        <v>0</v>
      </c>
      <c r="AF23" s="377">
        <v>0</v>
      </c>
      <c r="AG23" s="377">
        <v>0</v>
      </c>
      <c r="AH23" s="377">
        <v>0</v>
      </c>
      <c r="AI23" s="377">
        <v>0</v>
      </c>
      <c r="AJ23" s="377">
        <v>0</v>
      </c>
    </row>
    <row r="24" spans="1:36" x14ac:dyDescent="0.2">
      <c r="A24" s="379"/>
      <c r="B24" s="379"/>
      <c r="C24" s="371">
        <v>0</v>
      </c>
      <c r="D24" s="380" t="s">
        <v>321</v>
      </c>
      <c r="E24" s="381">
        <v>0</v>
      </c>
      <c r="F24" s="381">
        <v>0</v>
      </c>
      <c r="G24" s="381">
        <v>0</v>
      </c>
      <c r="H24" s="381">
        <v>0</v>
      </c>
      <c r="I24" s="381">
        <v>0</v>
      </c>
      <c r="J24" s="381">
        <v>0</v>
      </c>
      <c r="K24" s="381">
        <v>0</v>
      </c>
      <c r="L24" s="381">
        <v>0</v>
      </c>
      <c r="M24" s="381">
        <v>0</v>
      </c>
      <c r="N24" s="381">
        <v>0</v>
      </c>
      <c r="O24" s="381">
        <v>0</v>
      </c>
      <c r="P24" s="381">
        <v>0</v>
      </c>
      <c r="Q24" s="381">
        <v>0</v>
      </c>
      <c r="R24" s="381">
        <v>0</v>
      </c>
      <c r="S24" s="381">
        <v>0</v>
      </c>
      <c r="T24" s="381">
        <v>0</v>
      </c>
      <c r="U24" s="381">
        <v>0</v>
      </c>
      <c r="V24" s="381">
        <v>0</v>
      </c>
      <c r="W24" s="381">
        <v>0</v>
      </c>
      <c r="X24" s="381">
        <v>0</v>
      </c>
      <c r="Y24" s="381">
        <v>0</v>
      </c>
      <c r="Z24" s="381">
        <v>0</v>
      </c>
      <c r="AA24" s="381">
        <v>0</v>
      </c>
      <c r="AB24" s="381">
        <v>0</v>
      </c>
      <c r="AC24" s="381">
        <v>0</v>
      </c>
      <c r="AD24" s="381">
        <v>0</v>
      </c>
      <c r="AE24" s="381">
        <v>0</v>
      </c>
      <c r="AF24" s="381">
        <v>0</v>
      </c>
      <c r="AG24" s="381">
        <v>0</v>
      </c>
      <c r="AH24" s="381">
        <v>0</v>
      </c>
      <c r="AI24" s="381">
        <v>0</v>
      </c>
      <c r="AJ24" s="381">
        <v>0</v>
      </c>
    </row>
    <row r="25" spans="1:36" x14ac:dyDescent="0.2">
      <c r="A25" s="382"/>
      <c r="B25" s="382"/>
      <c r="C25" s="382"/>
      <c r="D25" s="383" t="s">
        <v>322</v>
      </c>
      <c r="E25" s="384">
        <v>334702.60142104921</v>
      </c>
      <c r="F25" s="384">
        <v>347511.15030336776</v>
      </c>
      <c r="G25" s="384">
        <v>362866.16823789722</v>
      </c>
      <c r="H25" s="384">
        <v>380330.55759956501</v>
      </c>
      <c r="I25" s="384">
        <v>397226.64271275909</v>
      </c>
      <c r="J25" s="384">
        <v>410357.47163335409</v>
      </c>
      <c r="K25" s="384">
        <v>425116.07062971476</v>
      </c>
      <c r="L25" s="384">
        <v>446195.7380754741</v>
      </c>
      <c r="M25" s="384">
        <v>469325.07188323652</v>
      </c>
      <c r="N25" s="384">
        <v>484562.88030701771</v>
      </c>
      <c r="O25" s="384">
        <v>497183.46216694149</v>
      </c>
      <c r="P25" s="384">
        <v>509962.12036929181</v>
      </c>
      <c r="Q25" s="384">
        <v>522898.12128918973</v>
      </c>
      <c r="R25" s="384">
        <v>535990.74970407272</v>
      </c>
      <c r="S25" s="384">
        <v>549239.30809841689</v>
      </c>
      <c r="T25" s="384">
        <v>562643.11600614898</v>
      </c>
      <c r="U25" s="384">
        <v>576201.50938813505</v>
      </c>
      <c r="V25" s="384">
        <v>589913.84004233428</v>
      </c>
      <c r="W25" s="384">
        <v>603779.47504441382</v>
      </c>
      <c r="X25" s="384">
        <v>617797.79621680186</v>
      </c>
      <c r="Y25" s="384">
        <v>631968.19962432317</v>
      </c>
      <c r="Z25" s="384">
        <v>646290.09509469499</v>
      </c>
      <c r="AA25" s="384">
        <v>660762.90576231584</v>
      </c>
      <c r="AB25" s="384">
        <v>674494.06856825622</v>
      </c>
      <c r="AC25" s="384">
        <v>688366.06610438798</v>
      </c>
      <c r="AD25" s="384">
        <v>702378.39696947159</v>
      </c>
      <c r="AE25" s="384">
        <v>716530.57075864123</v>
      </c>
      <c r="AF25" s="384">
        <v>730822.10772573168</v>
      </c>
      <c r="AG25" s="384">
        <v>730822.10772573168</v>
      </c>
      <c r="AH25" s="384">
        <v>730822.10772573168</v>
      </c>
      <c r="AI25" s="384">
        <v>730822.10772573168</v>
      </c>
      <c r="AJ25" s="384">
        <v>730822.10772573168</v>
      </c>
    </row>
    <row r="27" spans="1:36" x14ac:dyDescent="0.2">
      <c r="A27" s="352" t="s">
        <v>282</v>
      </c>
      <c r="B27" s="352"/>
      <c r="C27" s="353" t="s">
        <v>283</v>
      </c>
      <c r="D27" s="353"/>
      <c r="F27" s="385" t="s">
        <v>284</v>
      </c>
      <c r="G27" s="386" t="s">
        <v>285</v>
      </c>
      <c r="H27" s="387" t="s">
        <v>286</v>
      </c>
      <c r="I27" s="387" t="s">
        <v>287</v>
      </c>
    </row>
    <row r="28" spans="1:36" x14ac:dyDescent="0.2">
      <c r="A28" s="356" t="s">
        <v>288</v>
      </c>
      <c r="B28" s="357" t="s">
        <v>289</v>
      </c>
      <c r="C28" s="358" t="s">
        <v>290</v>
      </c>
      <c r="D28" s="359"/>
      <c r="F28" s="388" t="s">
        <v>291</v>
      </c>
      <c r="G28" s="389">
        <v>9.5692675779087398E-4</v>
      </c>
      <c r="H28" s="386">
        <v>1</v>
      </c>
      <c r="I28" s="390"/>
    </row>
    <row r="29" spans="1:36" x14ac:dyDescent="0.2">
      <c r="A29" s="356" t="s">
        <v>292</v>
      </c>
      <c r="B29" s="357" t="s">
        <v>293</v>
      </c>
      <c r="C29" s="358" t="s">
        <v>294</v>
      </c>
      <c r="D29" s="359"/>
      <c r="F29" s="388" t="s">
        <v>295</v>
      </c>
      <c r="G29" s="389">
        <v>9.5692675779087398E-4</v>
      </c>
      <c r="H29" s="386">
        <v>1</v>
      </c>
      <c r="I29" s="390"/>
    </row>
    <row r="30" spans="1:36" x14ac:dyDescent="0.2">
      <c r="A30" s="362" t="s">
        <v>8</v>
      </c>
      <c r="B30" s="363">
        <v>48.576000000000001</v>
      </c>
      <c r="C30" s="362" t="s">
        <v>296</v>
      </c>
      <c r="D30" s="364">
        <v>8965585.1400000006</v>
      </c>
      <c r="F30" s="388" t="s">
        <v>297</v>
      </c>
      <c r="G30" s="389" t="b">
        <v>1</v>
      </c>
      <c r="H30" s="386">
        <v>1</v>
      </c>
      <c r="I30" s="390"/>
    </row>
    <row r="31" spans="1:36" x14ac:dyDescent="0.2">
      <c r="A31" s="362" t="s">
        <v>298</v>
      </c>
      <c r="B31" s="365">
        <v>0.5</v>
      </c>
      <c r="C31" s="362" t="s">
        <v>299</v>
      </c>
      <c r="D31" s="364">
        <v>164000</v>
      </c>
      <c r="F31" s="388" t="s">
        <v>300</v>
      </c>
      <c r="G31" s="391">
        <v>0</v>
      </c>
      <c r="H31" s="386">
        <v>1</v>
      </c>
      <c r="I31" s="390"/>
    </row>
    <row r="32" spans="1:36" x14ac:dyDescent="0.2">
      <c r="A32" s="392" t="s">
        <v>323</v>
      </c>
      <c r="B32" s="393" t="s">
        <v>302</v>
      </c>
      <c r="C32" s="394" t="s">
        <v>303</v>
      </c>
      <c r="D32" s="395" t="s">
        <v>304</v>
      </c>
      <c r="E32" s="394">
        <v>2025</v>
      </c>
      <c r="F32" s="394">
        <v>2026</v>
      </c>
      <c r="G32" s="394">
        <v>2027</v>
      </c>
      <c r="H32" s="394">
        <v>2028</v>
      </c>
      <c r="I32" s="394">
        <v>2029</v>
      </c>
      <c r="J32" s="394">
        <v>2030</v>
      </c>
      <c r="K32" s="394">
        <v>2031</v>
      </c>
      <c r="L32" s="394">
        <v>2032</v>
      </c>
      <c r="M32" s="394">
        <v>2033</v>
      </c>
      <c r="N32" s="394">
        <v>2034</v>
      </c>
      <c r="O32" s="394">
        <v>2035</v>
      </c>
      <c r="P32" s="394">
        <v>2036</v>
      </c>
      <c r="Q32" s="394">
        <v>2037</v>
      </c>
      <c r="R32" s="394">
        <v>2038</v>
      </c>
      <c r="S32" s="394">
        <v>2039</v>
      </c>
      <c r="T32" s="394">
        <v>2040</v>
      </c>
      <c r="U32" s="394">
        <v>2041</v>
      </c>
      <c r="V32" s="394">
        <v>2042</v>
      </c>
      <c r="W32" s="394">
        <v>2043</v>
      </c>
      <c r="X32" s="394">
        <v>2044</v>
      </c>
      <c r="Y32" s="394">
        <v>2045</v>
      </c>
      <c r="Z32" s="394">
        <v>2046</v>
      </c>
      <c r="AA32" s="394">
        <v>2047</v>
      </c>
      <c r="AB32" s="396">
        <v>2048</v>
      </c>
      <c r="AC32" s="396">
        <v>2049</v>
      </c>
      <c r="AD32" s="396">
        <v>2050</v>
      </c>
      <c r="AE32" s="396">
        <v>2051</v>
      </c>
      <c r="AF32" s="396">
        <v>2052</v>
      </c>
      <c r="AG32" s="396">
        <v>2053</v>
      </c>
      <c r="AH32" s="396">
        <v>2054</v>
      </c>
      <c r="AI32" s="396">
        <v>2055</v>
      </c>
      <c r="AJ32" s="396">
        <v>2056</v>
      </c>
    </row>
    <row r="33" spans="1:36" x14ac:dyDescent="0.2">
      <c r="A33" s="397" t="s">
        <v>305</v>
      </c>
      <c r="B33" s="398" t="b">
        <v>1</v>
      </c>
      <c r="C33" s="399">
        <v>0</v>
      </c>
      <c r="D33" s="397" t="s">
        <v>23</v>
      </c>
      <c r="E33" s="400">
        <v>4656.2648002018468</v>
      </c>
      <c r="F33" s="400">
        <v>4888.5144649373478</v>
      </c>
      <c r="G33" s="400">
        <v>5171.271651636448</v>
      </c>
      <c r="H33" s="400">
        <v>5492.8156176440816</v>
      </c>
      <c r="I33" s="400">
        <v>185.88137770270816</v>
      </c>
      <c r="J33" s="400">
        <v>343.24587493740455</v>
      </c>
      <c r="K33" s="400">
        <v>498.18772403733772</v>
      </c>
      <c r="L33" s="400">
        <v>667.67499836050035</v>
      </c>
      <c r="M33" s="400">
        <v>849.72722184090674</v>
      </c>
      <c r="N33" s="400">
        <v>1016.2792098266059</v>
      </c>
      <c r="O33" s="400">
        <v>1177.4438003107939</v>
      </c>
      <c r="P33" s="400">
        <v>1340.1736726511153</v>
      </c>
      <c r="Q33" s="400">
        <v>1504.7781057910565</v>
      </c>
      <c r="R33" s="400">
        <v>1671.4810455264571</v>
      </c>
      <c r="S33" s="400">
        <v>1840.4487414180294</v>
      </c>
      <c r="T33" s="400">
        <v>2011.8068523145841</v>
      </c>
      <c r="U33" s="400">
        <v>2185.6515762896261</v>
      </c>
      <c r="V33" s="400">
        <v>2362.0571885205786</v>
      </c>
      <c r="W33" s="400">
        <v>2541.0813163608659</v>
      </c>
      <c r="X33" s="400">
        <v>2722.7687326007608</v>
      </c>
      <c r="Y33" s="400">
        <v>2907.1541461925758</v>
      </c>
      <c r="Z33" s="400">
        <v>3094.2642956061777</v>
      </c>
      <c r="AA33" s="400">
        <v>3284.1195453712662</v>
      </c>
      <c r="AB33" s="400">
        <v>3476.7351212837739</v>
      </c>
      <c r="AC33" s="400">
        <v>3672.1220780185413</v>
      </c>
      <c r="AD33" s="400">
        <v>3870.2880654008377</v>
      </c>
      <c r="AE33" s="400">
        <v>4071.2379410482627</v>
      </c>
      <c r="AF33" s="400">
        <v>4274.9742643217924</v>
      </c>
      <c r="AG33" s="400">
        <v>4274.9742643217924</v>
      </c>
      <c r="AH33" s="400">
        <v>4274.9742643217924</v>
      </c>
      <c r="AI33" s="400">
        <v>4274.9742643217924</v>
      </c>
      <c r="AJ33" s="400">
        <v>4274.9742643217924</v>
      </c>
    </row>
    <row r="34" spans="1:36" x14ac:dyDescent="0.2">
      <c r="A34" s="397" t="s">
        <v>306</v>
      </c>
      <c r="B34" s="398" t="b">
        <v>0</v>
      </c>
      <c r="C34" s="399">
        <v>0</v>
      </c>
      <c r="D34" s="397" t="s">
        <v>23</v>
      </c>
      <c r="E34" s="401">
        <v>5837.2087933859466</v>
      </c>
      <c r="F34" s="401">
        <v>6127.3343129874675</v>
      </c>
      <c r="G34" s="401">
        <v>6473.6612684562842</v>
      </c>
      <c r="H34" s="401">
        <v>6873.5482351620249</v>
      </c>
      <c r="I34" s="401">
        <v>236.12486985950483</v>
      </c>
      <c r="J34" s="401">
        <v>436.76373084224076</v>
      </c>
      <c r="K34" s="401">
        <v>635.88551243207417</v>
      </c>
      <c r="L34" s="401">
        <v>848.82278275664589</v>
      </c>
      <c r="M34" s="401">
        <v>1074.596364763232</v>
      </c>
      <c r="N34" s="401">
        <v>1286.2620186906527</v>
      </c>
      <c r="O34" s="401">
        <v>1489.9140840735306</v>
      </c>
      <c r="P34" s="401">
        <v>1695.4419849503226</v>
      </c>
      <c r="Q34" s="401">
        <v>1903.2350140529127</v>
      </c>
      <c r="R34" s="401">
        <v>2113.5752361332457</v>
      </c>
      <c r="S34" s="401">
        <v>2326.6723136634691</v>
      </c>
      <c r="T34" s="401">
        <v>2542.6850319736063</v>
      </c>
      <c r="U34" s="401">
        <v>2761.7352845913356</v>
      </c>
      <c r="V34" s="401">
        <v>2983.9175310949458</v>
      </c>
      <c r="W34" s="401">
        <v>3209.3054062900346</v>
      </c>
      <c r="X34" s="401">
        <v>3437.9564663264159</v>
      </c>
      <c r="Y34" s="401">
        <v>3669.9156760610977</v>
      </c>
      <c r="Z34" s="401">
        <v>3905.2180220556515</v>
      </c>
      <c r="AA34" s="401">
        <v>4143.8905035487387</v>
      </c>
      <c r="AB34" s="401">
        <v>4385.9536716570165</v>
      </c>
      <c r="AC34" s="401">
        <v>4631.4228344592148</v>
      </c>
      <c r="AD34" s="401">
        <v>4880.3090110061194</v>
      </c>
      <c r="AE34" s="401">
        <v>5132.6196939782258</v>
      </c>
      <c r="AF34" s="401">
        <v>5388.3594646653901</v>
      </c>
      <c r="AG34" s="401">
        <v>5388.3594646653901</v>
      </c>
      <c r="AH34" s="401">
        <v>5388.3594646653901</v>
      </c>
      <c r="AI34" s="401">
        <v>5388.3594646653901</v>
      </c>
      <c r="AJ34" s="401">
        <v>5388.3594646653901</v>
      </c>
    </row>
    <row r="35" spans="1:36" x14ac:dyDescent="0.2">
      <c r="A35" s="397" t="s">
        <v>307</v>
      </c>
      <c r="B35" s="398" t="b">
        <v>0</v>
      </c>
      <c r="C35" s="399">
        <v>300000</v>
      </c>
      <c r="D35" s="397" t="s">
        <v>23</v>
      </c>
      <c r="E35" s="401">
        <v>4656.2648002018468</v>
      </c>
      <c r="F35" s="401">
        <v>4888.5144649373478</v>
      </c>
      <c r="G35" s="401">
        <v>5171.271651636448</v>
      </c>
      <c r="H35" s="401">
        <v>5492.8156176440816</v>
      </c>
      <c r="I35" s="401">
        <v>185.88137770270816</v>
      </c>
      <c r="J35" s="401">
        <v>343.24587493740455</v>
      </c>
      <c r="K35" s="401">
        <v>498.18772403733772</v>
      </c>
      <c r="L35" s="401">
        <v>667.67499836050035</v>
      </c>
      <c r="M35" s="401">
        <v>849.72722184090674</v>
      </c>
      <c r="N35" s="401">
        <v>1016.2792098266059</v>
      </c>
      <c r="O35" s="401">
        <v>1177.4438003107939</v>
      </c>
      <c r="P35" s="401">
        <v>1340.1736726511153</v>
      </c>
      <c r="Q35" s="401">
        <v>1504.7781057910565</v>
      </c>
      <c r="R35" s="401">
        <v>1671.4810455264571</v>
      </c>
      <c r="S35" s="401">
        <v>1840.4487414180294</v>
      </c>
      <c r="T35" s="401">
        <v>2011.8068523145841</v>
      </c>
      <c r="U35" s="401">
        <v>2185.6515762896261</v>
      </c>
      <c r="V35" s="401">
        <v>2362.0571885205786</v>
      </c>
      <c r="W35" s="401">
        <v>2541.0813163608659</v>
      </c>
      <c r="X35" s="401">
        <v>2722.7687326007608</v>
      </c>
      <c r="Y35" s="401">
        <v>2907.1541461925758</v>
      </c>
      <c r="Z35" s="401">
        <v>3094.2642956061777</v>
      </c>
      <c r="AA35" s="401">
        <v>3284.1195453712662</v>
      </c>
      <c r="AB35" s="401">
        <v>3476.7351212837739</v>
      </c>
      <c r="AC35" s="401">
        <v>3672.1220780185413</v>
      </c>
      <c r="AD35" s="401">
        <v>3870.2880654008377</v>
      </c>
      <c r="AE35" s="401">
        <v>4071.2379410482627</v>
      </c>
      <c r="AF35" s="401">
        <v>4274.9742643217924</v>
      </c>
      <c r="AG35" s="401">
        <v>4274.9742643217924</v>
      </c>
      <c r="AH35" s="401">
        <v>4274.9742643217924</v>
      </c>
      <c r="AI35" s="401">
        <v>4274.9742643217924</v>
      </c>
      <c r="AJ35" s="401">
        <v>4274.9742643217924</v>
      </c>
    </row>
    <row r="36" spans="1:36" x14ac:dyDescent="0.2">
      <c r="A36" s="397" t="s">
        <v>308</v>
      </c>
      <c r="B36" s="398" t="b">
        <v>0</v>
      </c>
      <c r="C36" s="399">
        <v>4000</v>
      </c>
      <c r="D36" s="397" t="s">
        <v>309</v>
      </c>
      <c r="E36" s="402">
        <v>1.913853515581748E-3</v>
      </c>
      <c r="F36" s="402">
        <v>1.9835924166552491E-3</v>
      </c>
      <c r="G36" s="402">
        <v>2.054355843890254E-3</v>
      </c>
      <c r="H36" s="402">
        <v>2.1261374787674976E-3</v>
      </c>
      <c r="I36" s="402">
        <v>1.1008406241212537E-3</v>
      </c>
      <c r="J36" s="402">
        <v>1.1408329459777792E-3</v>
      </c>
      <c r="K36" s="402">
        <v>1.1826660241647852E-3</v>
      </c>
      <c r="L36" s="402">
        <v>1.2261775899711105E-3</v>
      </c>
      <c r="M36" s="402">
        <v>1.2712654074752609E-3</v>
      </c>
      <c r="N36" s="402">
        <v>1.3178559573137722E-3</v>
      </c>
      <c r="O36" s="402">
        <v>1.3658923904387226E-3</v>
      </c>
      <c r="P36" s="402">
        <v>1.4153286564954708E-3</v>
      </c>
      <c r="Q36" s="402">
        <v>1.4661262223011904E-3</v>
      </c>
      <c r="R36" s="402">
        <v>1.5182520627256358E-3</v>
      </c>
      <c r="S36" s="402">
        <v>1.5716773469907437E-3</v>
      </c>
      <c r="T36" s="402">
        <v>1.6263765357375428E-3</v>
      </c>
      <c r="U36" s="402">
        <v>1.6823267355734553E-3</v>
      </c>
      <c r="V36" s="402">
        <v>1.7395072227918531E-3</v>
      </c>
      <c r="W36" s="402">
        <v>1.7978990825796052E-3</v>
      </c>
      <c r="X36" s="402">
        <v>1.8574849296103932E-3</v>
      </c>
      <c r="Y36" s="402">
        <v>1.9182486875519164E-3</v>
      </c>
      <c r="Z36" s="402">
        <v>1.980175412211552E-3</v>
      </c>
      <c r="AA36" s="402">
        <v>2.0432511476559632E-3</v>
      </c>
      <c r="AB36" s="402">
        <v>2.0432511476559632E-3</v>
      </c>
      <c r="AC36" s="402">
        <v>2.0432511476559632E-3</v>
      </c>
      <c r="AD36" s="402">
        <v>2.0432511476559632E-3</v>
      </c>
      <c r="AE36" s="402">
        <v>2.0432511476559632E-3</v>
      </c>
      <c r="AF36" s="402">
        <v>2.0432511476559632E-3</v>
      </c>
      <c r="AG36" s="402">
        <v>2.0432511476559632E-3</v>
      </c>
      <c r="AH36" s="402">
        <v>2.0432511476559632E-3</v>
      </c>
      <c r="AI36" s="402">
        <v>2.0432511476559632E-3</v>
      </c>
      <c r="AJ36" s="402">
        <v>2.0432511476559632E-3</v>
      </c>
    </row>
    <row r="37" spans="1:36" x14ac:dyDescent="0.2">
      <c r="A37" s="397" t="s">
        <v>310</v>
      </c>
      <c r="B37" s="398" t="b">
        <v>0</v>
      </c>
      <c r="C37" s="399">
        <v>650</v>
      </c>
      <c r="D37" s="397" t="s">
        <v>311</v>
      </c>
      <c r="E37" s="402">
        <v>7.6554140623269918E-3</v>
      </c>
      <c r="F37" s="402">
        <v>7.9343696666209964E-3</v>
      </c>
      <c r="G37" s="402">
        <v>8.2174233755610161E-3</v>
      </c>
      <c r="H37" s="402">
        <v>8.5045499150699904E-3</v>
      </c>
      <c r="I37" s="402">
        <v>4.4033624964850146E-3</v>
      </c>
      <c r="J37" s="402">
        <v>4.5633317839111169E-3</v>
      </c>
      <c r="K37" s="402">
        <v>4.7306640966591406E-3</v>
      </c>
      <c r="L37" s="402">
        <v>4.9047103598844422E-3</v>
      </c>
      <c r="M37" s="402">
        <v>5.0850616299010437E-3</v>
      </c>
      <c r="N37" s="402">
        <v>5.271423829255089E-3</v>
      </c>
      <c r="O37" s="402">
        <v>5.4635695617548906E-3</v>
      </c>
      <c r="P37" s="402">
        <v>5.6613146259818833E-3</v>
      </c>
      <c r="Q37" s="402">
        <v>5.8645048892047615E-3</v>
      </c>
      <c r="R37" s="402">
        <v>6.0730082509025431E-3</v>
      </c>
      <c r="S37" s="402">
        <v>6.2867093879629748E-3</v>
      </c>
      <c r="T37" s="402">
        <v>6.5055061429501711E-3</v>
      </c>
      <c r="U37" s="402">
        <v>6.7293069422938211E-3</v>
      </c>
      <c r="V37" s="402">
        <v>6.9580288911674122E-3</v>
      </c>
      <c r="W37" s="402">
        <v>7.1915963303184208E-3</v>
      </c>
      <c r="X37" s="402">
        <v>7.4299397184415727E-3</v>
      </c>
      <c r="Y37" s="402">
        <v>7.6729947502076658E-3</v>
      </c>
      <c r="Z37" s="402">
        <v>7.9207016488462081E-3</v>
      </c>
      <c r="AA37" s="402">
        <v>8.173004590623853E-3</v>
      </c>
      <c r="AB37" s="402">
        <v>8.173004590623853E-3</v>
      </c>
      <c r="AC37" s="402">
        <v>8.173004590623853E-3</v>
      </c>
      <c r="AD37" s="402">
        <v>8.173004590623853E-3</v>
      </c>
      <c r="AE37" s="402">
        <v>8.173004590623853E-3</v>
      </c>
      <c r="AF37" s="402">
        <v>8.173004590623853E-3</v>
      </c>
      <c r="AG37" s="402">
        <v>8.173004590623853E-3</v>
      </c>
      <c r="AH37" s="402">
        <v>8.173004590623853E-3</v>
      </c>
      <c r="AI37" s="402">
        <v>8.173004590623853E-3</v>
      </c>
      <c r="AJ37" s="402">
        <v>8.173004590623853E-3</v>
      </c>
    </row>
    <row r="38" spans="1:36" x14ac:dyDescent="0.2">
      <c r="A38" s="397" t="s">
        <v>312</v>
      </c>
      <c r="B38" s="403" t="b">
        <v>0</v>
      </c>
      <c r="C38" s="399">
        <v>300000</v>
      </c>
      <c r="D38" s="397"/>
      <c r="E38" s="397"/>
      <c r="F38" s="397"/>
      <c r="G38" s="397"/>
      <c r="H38" s="397"/>
      <c r="I38" s="397"/>
      <c r="J38" s="397"/>
      <c r="K38" s="397"/>
      <c r="L38" s="397"/>
      <c r="M38" s="397"/>
      <c r="N38" s="397"/>
      <c r="O38" s="397"/>
      <c r="P38" s="397"/>
      <c r="Q38" s="397"/>
      <c r="R38" s="397"/>
      <c r="S38" s="397"/>
      <c r="T38" s="397"/>
      <c r="U38" s="397"/>
      <c r="V38" s="397"/>
      <c r="W38" s="397"/>
      <c r="X38" s="397"/>
      <c r="Y38" s="397"/>
      <c r="Z38" s="397"/>
      <c r="AA38" s="397"/>
      <c r="AB38" s="397"/>
      <c r="AC38" s="397"/>
      <c r="AD38" s="397"/>
      <c r="AE38" s="397"/>
      <c r="AF38" s="397"/>
      <c r="AG38" s="397"/>
      <c r="AH38" s="397"/>
      <c r="AI38" s="397"/>
      <c r="AJ38" s="397"/>
    </row>
    <row r="39" spans="1:36" x14ac:dyDescent="0.2">
      <c r="A39" s="397" t="s">
        <v>313</v>
      </c>
      <c r="B39" s="403" t="b">
        <v>0</v>
      </c>
      <c r="C39" s="399">
        <v>500000</v>
      </c>
      <c r="D39" s="397" t="s">
        <v>276</v>
      </c>
      <c r="E39" s="404">
        <v>243392.37955847813</v>
      </c>
      <c r="F39" s="404">
        <v>255517.5525304614</v>
      </c>
      <c r="G39" s="404">
        <v>270179.15515788418</v>
      </c>
      <c r="H39" s="404">
        <v>286940.1517312444</v>
      </c>
      <c r="I39" s="404">
        <v>9761.5621657893189</v>
      </c>
      <c r="J39" s="404">
        <v>18036.328631489363</v>
      </c>
      <c r="K39" s="404">
        <v>26206.60921355653</v>
      </c>
      <c r="L39" s="404">
        <v>35072.811152807815</v>
      </c>
      <c r="M39" s="404">
        <v>44553.322574122343</v>
      </c>
      <c r="N39" s="404">
        <v>53301.184373551179</v>
      </c>
      <c r="O39" s="404">
        <v>61749.07699511473</v>
      </c>
      <c r="P39" s="404">
        <v>70277.530384174461</v>
      </c>
      <c r="Q39" s="404">
        <v>78902.734099624737</v>
      </c>
      <c r="R39" s="404">
        <v>87636.413488367776</v>
      </c>
      <c r="S39" s="404">
        <v>96487.276936740542</v>
      </c>
      <c r="T39" s="404">
        <v>105461.91119456824</v>
      </c>
      <c r="U39" s="404">
        <v>114565.36363418403</v>
      </c>
      <c r="V39" s="404">
        <v>123801.53638984337</v>
      </c>
      <c r="W39" s="404">
        <v>133173.46204126521</v>
      </c>
      <c r="X39" s="404">
        <v>142683.5017608518</v>
      </c>
      <c r="Y39" s="404">
        <v>152333.49102791856</v>
      </c>
      <c r="Z39" s="404">
        <v>162124.84888816858</v>
      </c>
      <c r="AA39" s="404">
        <v>172058.66125528328</v>
      </c>
      <c r="AB39" s="404">
        <v>182135.74534235979</v>
      </c>
      <c r="AC39" s="404">
        <v>192356.70012528729</v>
      </c>
      <c r="AD39" s="404">
        <v>202721.94630102772</v>
      </c>
      <c r="AE39" s="404">
        <v>213231.75823345815</v>
      </c>
      <c r="AF39" s="404">
        <v>223886.28971126257</v>
      </c>
      <c r="AG39" s="404">
        <v>223886.28971126257</v>
      </c>
      <c r="AH39" s="404">
        <v>223886.28971126257</v>
      </c>
      <c r="AI39" s="404">
        <v>223886.28971126257</v>
      </c>
      <c r="AJ39" s="404">
        <v>223886.28971126257</v>
      </c>
    </row>
    <row r="40" spans="1:36" x14ac:dyDescent="0.2">
      <c r="A40" s="397" t="s">
        <v>314</v>
      </c>
      <c r="B40" s="398" t="b">
        <v>1</v>
      </c>
      <c r="C40" s="399">
        <v>7471320.9500000002</v>
      </c>
      <c r="D40" s="397" t="s">
        <v>277</v>
      </c>
      <c r="E40" s="405">
        <v>339.66731691296644</v>
      </c>
      <c r="F40" s="405">
        <v>352.04445299952562</v>
      </c>
      <c r="G40" s="405">
        <v>364.60342016644267</v>
      </c>
      <c r="H40" s="405">
        <v>377.34309701416021</v>
      </c>
      <c r="I40" s="405">
        <v>195.37523540844373</v>
      </c>
      <c r="J40" s="405">
        <v>202.47300153920045</v>
      </c>
      <c r="K40" s="405">
        <v>209.89746182850922</v>
      </c>
      <c r="L40" s="405">
        <v>217.61981711421353</v>
      </c>
      <c r="M40" s="405">
        <v>225.62192274685964</v>
      </c>
      <c r="N40" s="405">
        <v>233.89073064062188</v>
      </c>
      <c r="O40" s="405">
        <v>242.41615132761808</v>
      </c>
      <c r="P40" s="405">
        <v>251.19001187283703</v>
      </c>
      <c r="Q40" s="405">
        <v>260.20547347554691</v>
      </c>
      <c r="R40" s="405">
        <v>269.45667489438847</v>
      </c>
      <c r="S40" s="405">
        <v>278.9384992941653</v>
      </c>
      <c r="T40" s="405">
        <v>288.64641399488556</v>
      </c>
      <c r="U40" s="405">
        <v>298.57635591796532</v>
      </c>
      <c r="V40" s="405">
        <v>308.72464705682268</v>
      </c>
      <c r="W40" s="405">
        <v>319.08793044407565</v>
      </c>
      <c r="X40" s="405">
        <v>329.66312056294009</v>
      </c>
      <c r="Y40" s="405">
        <v>340.44736421456173</v>
      </c>
      <c r="Z40" s="405">
        <v>351.4380091302217</v>
      </c>
      <c r="AA40" s="405">
        <v>362.63257843570108</v>
      </c>
      <c r="AB40" s="405">
        <v>362.63257843570108</v>
      </c>
      <c r="AC40" s="405">
        <v>362.63257843570108</v>
      </c>
      <c r="AD40" s="405">
        <v>362.63257843570108</v>
      </c>
      <c r="AE40" s="405">
        <v>362.63257843570108</v>
      </c>
      <c r="AF40" s="405">
        <v>362.63257843570108</v>
      </c>
      <c r="AG40" s="405">
        <v>362.63257843570108</v>
      </c>
      <c r="AH40" s="405">
        <v>362.63257843570108</v>
      </c>
      <c r="AI40" s="405">
        <v>362.63257843570108</v>
      </c>
      <c r="AJ40" s="405">
        <v>362.63257843570108</v>
      </c>
    </row>
    <row r="41" spans="1:36" x14ac:dyDescent="0.2">
      <c r="A41" s="397" t="s">
        <v>315</v>
      </c>
      <c r="B41" s="398" t="b">
        <v>0</v>
      </c>
      <c r="C41" s="399">
        <v>0</v>
      </c>
      <c r="D41" s="397" t="s">
        <v>278</v>
      </c>
      <c r="E41" s="405">
        <v>17158.816639436478</v>
      </c>
      <c r="F41" s="405">
        <v>17784.06669458099</v>
      </c>
      <c r="G41" s="405">
        <v>18418.502226254623</v>
      </c>
      <c r="H41" s="405">
        <v>19062.066585234945</v>
      </c>
      <c r="I41" s="405">
        <v>9869.6803411298388</v>
      </c>
      <c r="J41" s="405">
        <v>10228.2349076808</v>
      </c>
      <c r="K41" s="405">
        <v>10603.29293183468</v>
      </c>
      <c r="L41" s="405">
        <v>10993.399579646002</v>
      </c>
      <c r="M41" s="405">
        <v>11397.638246256245</v>
      </c>
      <c r="N41" s="405">
        <v>11815.349787552832</v>
      </c>
      <c r="O41" s="405">
        <v>12246.024518556491</v>
      </c>
      <c r="P41" s="405">
        <v>12689.249570891958</v>
      </c>
      <c r="Q41" s="405">
        <v>13144.67947202789</v>
      </c>
      <c r="R41" s="405">
        <v>13612.018132347308</v>
      </c>
      <c r="S41" s="405">
        <v>14091.007067054836</v>
      </c>
      <c r="T41" s="405">
        <v>14581.417300853194</v>
      </c>
      <c r="U41" s="405">
        <v>15083.043581082082</v>
      </c>
      <c r="V41" s="405">
        <v>15595.700107585308</v>
      </c>
      <c r="W41" s="405">
        <v>16119.217297995343</v>
      </c>
      <c r="X41" s="405">
        <v>16653.439282688887</v>
      </c>
      <c r="Y41" s="405">
        <v>17198.221927939965</v>
      </c>
      <c r="Z41" s="405">
        <v>17753.431250317266</v>
      </c>
      <c r="AA41" s="405">
        <v>18318.942126712253</v>
      </c>
      <c r="AB41" s="405">
        <v>18318.942126712253</v>
      </c>
      <c r="AC41" s="405">
        <v>18318.942126712253</v>
      </c>
      <c r="AD41" s="405">
        <v>18318.942126712253</v>
      </c>
      <c r="AE41" s="405">
        <v>18318.942126712253</v>
      </c>
      <c r="AF41" s="405">
        <v>18318.942126712253</v>
      </c>
      <c r="AG41" s="405">
        <v>18318.942126712253</v>
      </c>
      <c r="AH41" s="405">
        <v>18318.942126712253</v>
      </c>
      <c r="AI41" s="405">
        <v>18318.942126712253</v>
      </c>
      <c r="AJ41" s="405">
        <v>18318.942126712253</v>
      </c>
    </row>
    <row r="42" spans="1:36" x14ac:dyDescent="0.2">
      <c r="A42" s="397" t="s">
        <v>316</v>
      </c>
      <c r="B42" s="398" t="b">
        <v>0</v>
      </c>
      <c r="C42" s="399">
        <v>0</v>
      </c>
      <c r="D42" s="397" t="s">
        <v>279</v>
      </c>
      <c r="E42" s="405">
        <v>1255.4879062216266</v>
      </c>
      <c r="F42" s="405">
        <v>1301.2366253258433</v>
      </c>
      <c r="G42" s="405">
        <v>1347.6574335920066</v>
      </c>
      <c r="H42" s="405">
        <v>1394.7461860714784</v>
      </c>
      <c r="I42" s="405">
        <v>722.15144942354243</v>
      </c>
      <c r="J42" s="405">
        <v>748.38641256142319</v>
      </c>
      <c r="K42" s="405">
        <v>775.82891185209905</v>
      </c>
      <c r="L42" s="405">
        <v>804.3724990210485</v>
      </c>
      <c r="M42" s="405">
        <v>833.95010730377112</v>
      </c>
      <c r="N42" s="405">
        <v>864.51350799783461</v>
      </c>
      <c r="O42" s="405">
        <v>896.02540812780205</v>
      </c>
      <c r="P42" s="405">
        <v>928.45559866102883</v>
      </c>
      <c r="Q42" s="405">
        <v>961.77880182958086</v>
      </c>
      <c r="R42" s="405">
        <v>995.97335314801705</v>
      </c>
      <c r="S42" s="405">
        <v>1031.0203396259278</v>
      </c>
      <c r="T42" s="405">
        <v>1066.9030074438281</v>
      </c>
      <c r="U42" s="405">
        <v>1103.6063385361867</v>
      </c>
      <c r="V42" s="405">
        <v>1141.1167381514556</v>
      </c>
      <c r="W42" s="405">
        <v>1179.4217981722211</v>
      </c>
      <c r="X42" s="405">
        <v>1218.5101138244179</v>
      </c>
      <c r="Y42" s="405">
        <v>1258.3711390340573</v>
      </c>
      <c r="Z42" s="405">
        <v>1298.9950704107782</v>
      </c>
      <c r="AA42" s="405">
        <v>1340.3727528623119</v>
      </c>
      <c r="AB42" s="405">
        <v>1340.3727528623119</v>
      </c>
      <c r="AC42" s="405">
        <v>1340.3727528623119</v>
      </c>
      <c r="AD42" s="405">
        <v>1340.3727528623119</v>
      </c>
      <c r="AE42" s="405">
        <v>1340.3727528623119</v>
      </c>
      <c r="AF42" s="405">
        <v>1340.3727528623119</v>
      </c>
      <c r="AG42" s="405">
        <v>1340.3727528623119</v>
      </c>
      <c r="AH42" s="405">
        <v>1340.3727528623119</v>
      </c>
      <c r="AI42" s="405">
        <v>1340.3727528623119</v>
      </c>
      <c r="AJ42" s="405">
        <v>1340.3727528623119</v>
      </c>
    </row>
    <row r="43" spans="1:36" x14ac:dyDescent="0.2">
      <c r="A43" s="397" t="s">
        <v>317</v>
      </c>
      <c r="B43" s="398" t="b">
        <v>0</v>
      </c>
      <c r="C43" s="399" t="s">
        <v>136</v>
      </c>
      <c r="D43" s="397" t="s">
        <v>280</v>
      </c>
      <c r="E43" s="406">
        <v>72556.25</v>
      </c>
      <c r="F43" s="406">
        <v>72556.25</v>
      </c>
      <c r="G43" s="406">
        <v>72556.25</v>
      </c>
      <c r="H43" s="406">
        <v>72556.25</v>
      </c>
      <c r="I43" s="406">
        <v>23793.75</v>
      </c>
      <c r="J43" s="406">
        <v>23793.75</v>
      </c>
      <c r="K43" s="406">
        <v>23793.75</v>
      </c>
      <c r="L43" s="406">
        <v>23793.75</v>
      </c>
      <c r="M43" s="406">
        <v>23793.75</v>
      </c>
      <c r="N43" s="406">
        <v>23793.75</v>
      </c>
      <c r="O43" s="406">
        <v>23793.75</v>
      </c>
      <c r="P43" s="406">
        <v>23793.75</v>
      </c>
      <c r="Q43" s="406">
        <v>23793.75</v>
      </c>
      <c r="R43" s="406">
        <v>23793.75</v>
      </c>
      <c r="S43" s="406">
        <v>23793.75</v>
      </c>
      <c r="T43" s="406">
        <v>23793.75</v>
      </c>
      <c r="U43" s="406">
        <v>23793.75</v>
      </c>
      <c r="V43" s="406">
        <v>23793.75</v>
      </c>
      <c r="W43" s="406">
        <v>23793.75</v>
      </c>
      <c r="X43" s="406">
        <v>23793.75</v>
      </c>
      <c r="Y43" s="406">
        <v>23793.75</v>
      </c>
      <c r="Z43" s="406">
        <v>23793.75</v>
      </c>
      <c r="AA43" s="406">
        <v>23793.75</v>
      </c>
      <c r="AB43" s="406">
        <v>23793.75</v>
      </c>
      <c r="AC43" s="406">
        <v>23793.75</v>
      </c>
      <c r="AD43" s="406">
        <v>23793.75</v>
      </c>
      <c r="AE43" s="406">
        <v>23793.75</v>
      </c>
      <c r="AF43" s="406">
        <v>23793.75</v>
      </c>
      <c r="AG43" s="406">
        <v>23793.75</v>
      </c>
      <c r="AH43" s="406">
        <v>23793.75</v>
      </c>
      <c r="AI43" s="406">
        <v>23793.75</v>
      </c>
      <c r="AJ43" s="406">
        <v>23793.75</v>
      </c>
    </row>
    <row r="44" spans="1:36" x14ac:dyDescent="0.2">
      <c r="A44" s="397" t="s">
        <v>318</v>
      </c>
      <c r="B44" s="398" t="b">
        <v>1</v>
      </c>
      <c r="C44" s="399">
        <v>0</v>
      </c>
      <c r="D44" s="397" t="s">
        <v>319</v>
      </c>
      <c r="E44" s="407">
        <v>0</v>
      </c>
      <c r="F44" s="407">
        <v>0</v>
      </c>
      <c r="G44" s="407">
        <v>0</v>
      </c>
      <c r="H44" s="407">
        <v>0</v>
      </c>
      <c r="I44" s="407">
        <v>0</v>
      </c>
      <c r="J44" s="407">
        <v>0</v>
      </c>
      <c r="K44" s="407">
        <v>0</v>
      </c>
      <c r="L44" s="407">
        <v>0</v>
      </c>
      <c r="M44" s="407">
        <v>0</v>
      </c>
      <c r="N44" s="407">
        <v>0</v>
      </c>
      <c r="O44" s="407">
        <v>0</v>
      </c>
      <c r="P44" s="407">
        <v>0</v>
      </c>
      <c r="Q44" s="407">
        <v>0</v>
      </c>
      <c r="R44" s="407">
        <v>0</v>
      </c>
      <c r="S44" s="407">
        <v>0</v>
      </c>
      <c r="T44" s="407">
        <v>0</v>
      </c>
      <c r="U44" s="407">
        <v>0</v>
      </c>
      <c r="V44" s="407">
        <v>0</v>
      </c>
      <c r="W44" s="407">
        <v>0</v>
      </c>
      <c r="X44" s="407">
        <v>0</v>
      </c>
      <c r="Y44" s="407">
        <v>0</v>
      </c>
      <c r="Z44" s="407">
        <v>0</v>
      </c>
      <c r="AA44" s="407">
        <v>0</v>
      </c>
      <c r="AB44" s="407">
        <v>0</v>
      </c>
      <c r="AC44" s="407">
        <v>0</v>
      </c>
      <c r="AD44" s="407">
        <v>0</v>
      </c>
      <c r="AE44" s="407">
        <v>0</v>
      </c>
      <c r="AF44" s="407">
        <v>0</v>
      </c>
      <c r="AG44" s="407">
        <v>0</v>
      </c>
      <c r="AH44" s="407">
        <v>0</v>
      </c>
      <c r="AI44" s="407">
        <v>0</v>
      </c>
      <c r="AJ44" s="407">
        <v>0</v>
      </c>
    </row>
    <row r="45" spans="1:36" x14ac:dyDescent="0.2">
      <c r="A45" s="397" t="s">
        <v>320</v>
      </c>
      <c r="B45" s="403">
        <v>0</v>
      </c>
      <c r="C45" s="399">
        <v>0</v>
      </c>
      <c r="D45" s="397" t="s">
        <v>18</v>
      </c>
      <c r="E45" s="406">
        <v>0</v>
      </c>
      <c r="F45" s="406">
        <v>0</v>
      </c>
      <c r="G45" s="406">
        <v>0</v>
      </c>
      <c r="H45" s="406">
        <v>0</v>
      </c>
      <c r="I45" s="406">
        <v>0</v>
      </c>
      <c r="J45" s="406">
        <v>0</v>
      </c>
      <c r="K45" s="406">
        <v>0</v>
      </c>
      <c r="L45" s="406">
        <v>0</v>
      </c>
      <c r="M45" s="406">
        <v>0</v>
      </c>
      <c r="N45" s="406">
        <v>0</v>
      </c>
      <c r="O45" s="406">
        <v>0</v>
      </c>
      <c r="P45" s="406">
        <v>0</v>
      </c>
      <c r="Q45" s="406">
        <v>0</v>
      </c>
      <c r="R45" s="406">
        <v>0</v>
      </c>
      <c r="S45" s="406">
        <v>0</v>
      </c>
      <c r="T45" s="406">
        <v>0</v>
      </c>
      <c r="U45" s="406">
        <v>0</v>
      </c>
      <c r="V45" s="406">
        <v>0</v>
      </c>
      <c r="W45" s="406">
        <v>0</v>
      </c>
      <c r="X45" s="406">
        <v>0</v>
      </c>
      <c r="Y45" s="406">
        <v>0</v>
      </c>
      <c r="Z45" s="406">
        <v>0</v>
      </c>
      <c r="AA45" s="406">
        <v>0</v>
      </c>
      <c r="AB45" s="406">
        <v>0</v>
      </c>
      <c r="AC45" s="406">
        <v>0</v>
      </c>
      <c r="AD45" s="406">
        <v>0</v>
      </c>
      <c r="AE45" s="406">
        <v>0</v>
      </c>
      <c r="AF45" s="406">
        <v>0</v>
      </c>
      <c r="AG45" s="406">
        <v>0</v>
      </c>
      <c r="AH45" s="406">
        <v>0</v>
      </c>
      <c r="AI45" s="406">
        <v>0</v>
      </c>
      <c r="AJ45" s="406">
        <v>0</v>
      </c>
    </row>
    <row r="46" spans="1:36" x14ac:dyDescent="0.2">
      <c r="A46" s="408"/>
      <c r="B46" s="408"/>
      <c r="C46" s="399">
        <v>0</v>
      </c>
      <c r="D46" s="409" t="s">
        <v>321</v>
      </c>
      <c r="E46" s="410">
        <v>0</v>
      </c>
      <c r="F46" s="410">
        <v>0</v>
      </c>
      <c r="G46" s="410">
        <v>0</v>
      </c>
      <c r="H46" s="410">
        <v>0</v>
      </c>
      <c r="I46" s="410">
        <v>318530.12746076536</v>
      </c>
      <c r="J46" s="410">
        <v>318530.12746076536</v>
      </c>
      <c r="K46" s="410">
        <v>318530.12746076536</v>
      </c>
      <c r="L46" s="410">
        <v>318530.12746076536</v>
      </c>
      <c r="M46" s="410">
        <v>318530.12746076536</v>
      </c>
      <c r="N46" s="410">
        <v>318530.12746076536</v>
      </c>
      <c r="O46" s="410">
        <v>318530.12746076536</v>
      </c>
      <c r="P46" s="410">
        <v>318530.12746076536</v>
      </c>
      <c r="Q46" s="410">
        <v>318530.12746076536</v>
      </c>
      <c r="R46" s="410">
        <v>318530.12746076536</v>
      </c>
      <c r="S46" s="410">
        <v>318530.12746076536</v>
      </c>
      <c r="T46" s="410">
        <v>318530.12746076536</v>
      </c>
      <c r="U46" s="410">
        <v>318530.12746076536</v>
      </c>
      <c r="V46" s="410">
        <v>318530.12746076536</v>
      </c>
      <c r="W46" s="410">
        <v>318530.12746076536</v>
      </c>
      <c r="X46" s="410">
        <v>318530.12746076536</v>
      </c>
      <c r="Y46" s="410">
        <v>318530.12746076536</v>
      </c>
      <c r="Z46" s="410">
        <v>318530.12746076536</v>
      </c>
      <c r="AA46" s="410">
        <v>318530.12746076536</v>
      </c>
      <c r="AB46" s="410">
        <v>318530.12746076536</v>
      </c>
      <c r="AC46" s="410">
        <v>318530.12746076536</v>
      </c>
      <c r="AD46" s="410">
        <v>318530.12746076536</v>
      </c>
      <c r="AE46" s="410">
        <v>318530.12746076536</v>
      </c>
      <c r="AF46" s="410">
        <v>318530.12746076536</v>
      </c>
      <c r="AG46" s="410">
        <v>318530.12746076536</v>
      </c>
      <c r="AH46" s="410">
        <v>318530.12746076536</v>
      </c>
      <c r="AI46" s="410">
        <v>318530.12746076536</v>
      </c>
      <c r="AJ46" s="410">
        <v>318530.12746076536</v>
      </c>
    </row>
    <row r="47" spans="1:36" x14ac:dyDescent="0.2">
      <c r="A47" s="326"/>
      <c r="B47" s="326"/>
      <c r="C47" s="326"/>
      <c r="D47" s="411" t="s">
        <v>322</v>
      </c>
      <c r="E47" s="412">
        <v>334702.60142104921</v>
      </c>
      <c r="F47" s="412">
        <v>347511.15030336776</v>
      </c>
      <c r="G47" s="412">
        <v>362866.16823789722</v>
      </c>
      <c r="H47" s="412">
        <v>380330.55759956501</v>
      </c>
      <c r="I47" s="412">
        <v>362872.6466525165</v>
      </c>
      <c r="J47" s="412">
        <v>371539.30041403614</v>
      </c>
      <c r="K47" s="412">
        <v>380119.50597983715</v>
      </c>
      <c r="L47" s="412">
        <v>389412.08050935448</v>
      </c>
      <c r="M47" s="412">
        <v>399334.4103111946</v>
      </c>
      <c r="N47" s="412">
        <v>408538.81586050784</v>
      </c>
      <c r="O47" s="412">
        <v>417457.420533892</v>
      </c>
      <c r="P47" s="412">
        <v>426470.30302636564</v>
      </c>
      <c r="Q47" s="412">
        <v>435593.27530772309</v>
      </c>
      <c r="R47" s="412">
        <v>444837.73910952284</v>
      </c>
      <c r="S47" s="412">
        <v>454212.12030348083</v>
      </c>
      <c r="T47" s="412">
        <v>463722.75537762552</v>
      </c>
      <c r="U47" s="412">
        <v>473374.46737048565</v>
      </c>
      <c r="V47" s="412">
        <v>483170.95534340234</v>
      </c>
      <c r="W47" s="412">
        <v>493115.0665286422</v>
      </c>
      <c r="X47" s="412">
        <v>503208.99173869344</v>
      </c>
      <c r="Y47" s="412">
        <v>513454.40891987248</v>
      </c>
      <c r="Z47" s="412">
        <v>523852.59067879221</v>
      </c>
      <c r="AA47" s="412">
        <v>534404.48617405887</v>
      </c>
      <c r="AB47" s="412">
        <v>544481.57026113546</v>
      </c>
      <c r="AC47" s="412">
        <v>554702.52504406287</v>
      </c>
      <c r="AD47" s="412">
        <v>565067.77121980337</v>
      </c>
      <c r="AE47" s="412">
        <v>575577.58315223374</v>
      </c>
      <c r="AF47" s="412">
        <v>586232.11463003815</v>
      </c>
      <c r="AG47" s="412">
        <v>586232.11463003815</v>
      </c>
      <c r="AH47" s="412">
        <v>586232.11463003815</v>
      </c>
      <c r="AI47" s="412">
        <v>586232.11463003815</v>
      </c>
      <c r="AJ47" s="412">
        <v>586232.11463003815</v>
      </c>
    </row>
    <row r="49" spans="1:36" x14ac:dyDescent="0.2">
      <c r="A49" s="395" t="s">
        <v>282</v>
      </c>
      <c r="B49" s="395"/>
      <c r="C49" s="394" t="s">
        <v>283</v>
      </c>
      <c r="D49" s="394"/>
      <c r="F49" s="413" t="s">
        <v>284</v>
      </c>
      <c r="G49" s="414" t="s">
        <v>285</v>
      </c>
      <c r="H49" s="394" t="s">
        <v>286</v>
      </c>
      <c r="I49" s="394" t="s">
        <v>287</v>
      </c>
    </row>
    <row r="50" spans="1:36" x14ac:dyDescent="0.2">
      <c r="A50" s="397" t="s">
        <v>288</v>
      </c>
      <c r="B50" s="415" t="s">
        <v>289</v>
      </c>
      <c r="C50" s="416" t="s">
        <v>290</v>
      </c>
      <c r="D50" s="417"/>
      <c r="F50" s="416" t="s">
        <v>291</v>
      </c>
      <c r="G50" s="418">
        <v>8.6123408201178658E-4</v>
      </c>
      <c r="H50" s="414">
        <v>0.9</v>
      </c>
      <c r="I50" s="419"/>
    </row>
    <row r="51" spans="1:36" x14ac:dyDescent="0.2">
      <c r="A51" s="397" t="s">
        <v>292</v>
      </c>
      <c r="B51" s="415" t="s">
        <v>293</v>
      </c>
      <c r="C51" s="416" t="s">
        <v>294</v>
      </c>
      <c r="D51" s="417"/>
      <c r="F51" s="416" t="s">
        <v>295</v>
      </c>
      <c r="G51" s="418">
        <v>9.5692675779087398E-4</v>
      </c>
      <c r="H51" s="414">
        <v>1</v>
      </c>
      <c r="I51" s="419"/>
    </row>
    <row r="52" spans="1:36" x14ac:dyDescent="0.2">
      <c r="A52" s="420" t="s">
        <v>8</v>
      </c>
      <c r="B52" s="421">
        <v>48.576000000000001</v>
      </c>
      <c r="C52" s="420" t="s">
        <v>296</v>
      </c>
      <c r="D52" s="422">
        <v>8965585.1400000006</v>
      </c>
      <c r="F52" s="416" t="s">
        <v>297</v>
      </c>
      <c r="G52" s="418" t="b">
        <v>1</v>
      </c>
      <c r="H52" s="414">
        <v>1</v>
      </c>
      <c r="I52" s="419"/>
    </row>
    <row r="53" spans="1:36" x14ac:dyDescent="0.2">
      <c r="A53" s="420" t="s">
        <v>298</v>
      </c>
      <c r="B53" s="423">
        <v>0.5</v>
      </c>
      <c r="C53" s="420" t="s">
        <v>299</v>
      </c>
      <c r="D53" s="422">
        <v>164000</v>
      </c>
      <c r="F53" s="416" t="s">
        <v>300</v>
      </c>
      <c r="G53" s="424">
        <v>0</v>
      </c>
      <c r="H53" s="414">
        <v>1</v>
      </c>
      <c r="I53" s="419"/>
    </row>
    <row r="54" spans="1:36" x14ac:dyDescent="0.2">
      <c r="A54" s="392" t="s">
        <v>324</v>
      </c>
      <c r="B54" s="393" t="s">
        <v>302</v>
      </c>
      <c r="C54" s="394" t="s">
        <v>303</v>
      </c>
      <c r="D54" s="395" t="s">
        <v>304</v>
      </c>
      <c r="E54" s="394">
        <v>2025</v>
      </c>
      <c r="F54" s="394">
        <v>2026</v>
      </c>
      <c r="G54" s="394">
        <v>2027</v>
      </c>
      <c r="H54" s="394">
        <v>2028</v>
      </c>
      <c r="I54" s="394">
        <v>2029</v>
      </c>
      <c r="J54" s="394">
        <v>2030</v>
      </c>
      <c r="K54" s="394">
        <v>2031</v>
      </c>
      <c r="L54" s="394">
        <v>2032</v>
      </c>
      <c r="M54" s="394">
        <v>2033</v>
      </c>
      <c r="N54" s="394">
        <v>2034</v>
      </c>
      <c r="O54" s="394">
        <v>2035</v>
      </c>
      <c r="P54" s="394">
        <v>2036</v>
      </c>
      <c r="Q54" s="394">
        <v>2037</v>
      </c>
      <c r="R54" s="394">
        <v>2038</v>
      </c>
      <c r="S54" s="394">
        <v>2039</v>
      </c>
      <c r="T54" s="394">
        <v>2040</v>
      </c>
      <c r="U54" s="394">
        <v>2041</v>
      </c>
      <c r="V54" s="394">
        <v>2042</v>
      </c>
      <c r="W54" s="394">
        <v>2043</v>
      </c>
      <c r="X54" s="394">
        <v>2044</v>
      </c>
      <c r="Y54" s="394">
        <v>2045</v>
      </c>
      <c r="Z54" s="394">
        <v>2046</v>
      </c>
      <c r="AA54" s="394">
        <v>2047</v>
      </c>
      <c r="AB54" s="396">
        <v>2048</v>
      </c>
      <c r="AC54" s="396">
        <v>2049</v>
      </c>
      <c r="AD54" s="396">
        <v>2050</v>
      </c>
      <c r="AE54" s="396">
        <v>2051</v>
      </c>
      <c r="AF54" s="396">
        <v>2052</v>
      </c>
      <c r="AG54" s="396">
        <v>2053</v>
      </c>
      <c r="AH54" s="396">
        <v>2054</v>
      </c>
      <c r="AI54" s="396">
        <v>2055</v>
      </c>
      <c r="AJ54" s="396">
        <v>2056</v>
      </c>
    </row>
    <row r="55" spans="1:36" x14ac:dyDescent="0.2">
      <c r="A55" s="397" t="s">
        <v>305</v>
      </c>
      <c r="B55" s="398" t="b">
        <v>1</v>
      </c>
      <c r="C55" s="399">
        <v>0</v>
      </c>
      <c r="D55" s="397" t="s">
        <v>23</v>
      </c>
      <c r="E55" s="400">
        <v>4416.833629478112</v>
      </c>
      <c r="F55" s="400">
        <v>4637.1221253202839</v>
      </c>
      <c r="G55" s="400">
        <v>4905.3185445837171</v>
      </c>
      <c r="H55" s="400">
        <v>5210.3043466274057</v>
      </c>
      <c r="I55" s="400">
        <v>5511.5090243448913</v>
      </c>
      <c r="J55" s="400">
        <v>5733.5054494960941</v>
      </c>
      <c r="K55" s="400">
        <v>5981.7279722187022</v>
      </c>
      <c r="L55" s="400">
        <v>6358.8259923055784</v>
      </c>
      <c r="M55" s="400">
        <v>6776.3604698131248</v>
      </c>
      <c r="N55" s="400">
        <v>7037.468371775326</v>
      </c>
      <c r="O55" s="400">
        <v>7253.046506869</v>
      </c>
      <c r="P55" s="400">
        <v>7471.3252098384219</v>
      </c>
      <c r="Q55" s="400">
        <v>7692.2919636331353</v>
      </c>
      <c r="R55" s="400">
        <v>7915.9345656167652</v>
      </c>
      <c r="S55" s="400">
        <v>8142.2411156903954</v>
      </c>
      <c r="T55" s="400">
        <v>8371.2000050597344</v>
      </c>
      <c r="U55" s="400">
        <v>8602.799905601416</v>
      </c>
      <c r="V55" s="400">
        <v>8837.029759787285</v>
      </c>
      <c r="W55" s="400">
        <v>9073.8787711289697</v>
      </c>
      <c r="X55" s="400">
        <v>9313.3363951082429</v>
      </c>
      <c r="Y55" s="400">
        <v>9555.392330561368</v>
      </c>
      <c r="Z55" s="400">
        <v>9800.0365114882425</v>
      </c>
      <c r="AA55" s="400">
        <v>10047.259099259218</v>
      </c>
      <c r="AB55" s="400">
        <v>10297.050475194941</v>
      </c>
      <c r="AC55" s="400">
        <v>10549.401233496019</v>
      </c>
      <c r="AD55" s="400">
        <v>10804.302174501465</v>
      </c>
      <c r="AE55" s="400">
        <v>11061.744298255899</v>
      </c>
      <c r="AF55" s="400">
        <v>11321.718798367685</v>
      </c>
      <c r="AG55" s="400">
        <v>11321.718798367685</v>
      </c>
      <c r="AH55" s="400">
        <v>11321.718798367685</v>
      </c>
      <c r="AI55" s="400">
        <v>11321.718798367685</v>
      </c>
      <c r="AJ55" s="400">
        <v>11321.718798367685</v>
      </c>
    </row>
    <row r="56" spans="1:36" x14ac:dyDescent="0.2">
      <c r="A56" s="397" t="s">
        <v>306</v>
      </c>
      <c r="B56" s="398" t="b">
        <v>0</v>
      </c>
      <c r="C56" s="399">
        <v>0</v>
      </c>
      <c r="D56" s="397" t="s">
        <v>23</v>
      </c>
      <c r="E56" s="401">
        <v>5537.0519519840809</v>
      </c>
      <c r="F56" s="401">
        <v>5812.2355402199864</v>
      </c>
      <c r="G56" s="401">
        <v>6140.7276218921843</v>
      </c>
      <c r="H56" s="401">
        <v>6520.0219230694775</v>
      </c>
      <c r="I56" s="401">
        <v>6870.4914989579702</v>
      </c>
      <c r="J56" s="401">
        <v>7160.0440824076686</v>
      </c>
      <c r="K56" s="401">
        <v>7493.7092527666828</v>
      </c>
      <c r="L56" s="401">
        <v>7937.4630438587983</v>
      </c>
      <c r="M56" s="401">
        <v>8419.6307580133798</v>
      </c>
      <c r="N56" s="401">
        <v>8752.4972031215111</v>
      </c>
      <c r="O56" s="401">
        <v>9020.6116613174272</v>
      </c>
      <c r="P56" s="401">
        <v>9292.084814881453</v>
      </c>
      <c r="Q56" s="401">
        <v>9566.9010963603632</v>
      </c>
      <c r="R56" s="401">
        <v>9845.0453293376322</v>
      </c>
      <c r="S56" s="401">
        <v>10126.502713662463</v>
      </c>
      <c r="T56" s="401">
        <v>10411.25881147952</v>
      </c>
      <c r="U56" s="401">
        <v>10699.2995340038</v>
      </c>
      <c r="V56" s="401">
        <v>10990.611128989463</v>
      </c>
      <c r="W56" s="401">
        <v>11285.180168845789</v>
      </c>
      <c r="X56" s="401">
        <v>11582.993539357178</v>
      </c>
      <c r="Y56" s="401">
        <v>11884.038428967993</v>
      </c>
      <c r="Z56" s="401">
        <v>12188.302318595475</v>
      </c>
      <c r="AA56" s="401">
        <v>12495.772971937442</v>
      </c>
      <c r="AB56" s="401">
        <v>12806.438426243814</v>
      </c>
      <c r="AC56" s="401">
        <v>13120.286983523247</v>
      </c>
      <c r="AD56" s="401">
        <v>13437.307202158639</v>
      </c>
      <c r="AE56" s="401">
        <v>13757.487888906711</v>
      </c>
      <c r="AF56" s="401">
        <v>14080.818091259327</v>
      </c>
      <c r="AG56" s="401">
        <v>14080.818091259327</v>
      </c>
      <c r="AH56" s="401">
        <v>14080.818091259327</v>
      </c>
      <c r="AI56" s="401">
        <v>14080.818091259327</v>
      </c>
      <c r="AJ56" s="401">
        <v>14080.818091259327</v>
      </c>
    </row>
    <row r="57" spans="1:36" x14ac:dyDescent="0.2">
      <c r="A57" s="397" t="s">
        <v>307</v>
      </c>
      <c r="B57" s="398" t="b">
        <v>0</v>
      </c>
      <c r="C57" s="399">
        <v>300000</v>
      </c>
      <c r="D57" s="397" t="s">
        <v>23</v>
      </c>
      <c r="E57" s="401">
        <v>4416.833629478112</v>
      </c>
      <c r="F57" s="401">
        <v>4637.1221253202839</v>
      </c>
      <c r="G57" s="401">
        <v>4905.3185445837171</v>
      </c>
      <c r="H57" s="401">
        <v>5210.3043466274057</v>
      </c>
      <c r="I57" s="401">
        <v>5511.5090243448913</v>
      </c>
      <c r="J57" s="401">
        <v>5733.5054494960941</v>
      </c>
      <c r="K57" s="401">
        <v>5981.7279722187022</v>
      </c>
      <c r="L57" s="401">
        <v>6358.8259923055784</v>
      </c>
      <c r="M57" s="401">
        <v>6776.3604698131248</v>
      </c>
      <c r="N57" s="401">
        <v>7037.468371775326</v>
      </c>
      <c r="O57" s="401">
        <v>7253.046506869</v>
      </c>
      <c r="P57" s="401">
        <v>7471.3252098384219</v>
      </c>
      <c r="Q57" s="401">
        <v>7692.2919636331353</v>
      </c>
      <c r="R57" s="401">
        <v>7915.9345656167652</v>
      </c>
      <c r="S57" s="401">
        <v>8142.2411156903954</v>
      </c>
      <c r="T57" s="401">
        <v>8371.2000050597344</v>
      </c>
      <c r="U57" s="401">
        <v>8602.799905601416</v>
      </c>
      <c r="V57" s="401">
        <v>8837.029759787285</v>
      </c>
      <c r="W57" s="401">
        <v>9073.8787711289697</v>
      </c>
      <c r="X57" s="401">
        <v>9313.3363951082429</v>
      </c>
      <c r="Y57" s="401">
        <v>9555.392330561368</v>
      </c>
      <c r="Z57" s="401">
        <v>9800.0365114882425</v>
      </c>
      <c r="AA57" s="401">
        <v>10047.259099259218</v>
      </c>
      <c r="AB57" s="401">
        <v>10297.050475194941</v>
      </c>
      <c r="AC57" s="401">
        <v>10549.401233496019</v>
      </c>
      <c r="AD57" s="401">
        <v>10804.302174501465</v>
      </c>
      <c r="AE57" s="401">
        <v>11061.744298255899</v>
      </c>
      <c r="AF57" s="401">
        <v>11321.718798367685</v>
      </c>
      <c r="AG57" s="401">
        <v>11321.718798367685</v>
      </c>
      <c r="AH57" s="401">
        <v>11321.718798367685</v>
      </c>
      <c r="AI57" s="401">
        <v>11321.718798367685</v>
      </c>
      <c r="AJ57" s="401">
        <v>11321.718798367685</v>
      </c>
    </row>
    <row r="58" spans="1:36" x14ac:dyDescent="0.2">
      <c r="A58" s="397" t="s">
        <v>308</v>
      </c>
      <c r="B58" s="398" t="b">
        <v>0</v>
      </c>
      <c r="C58" s="399">
        <v>4000</v>
      </c>
      <c r="D58" s="397" t="s">
        <v>309</v>
      </c>
      <c r="E58" s="402">
        <v>1.8181608398026607E-3</v>
      </c>
      <c r="F58" s="402">
        <v>1.8844127958224867E-3</v>
      </c>
      <c r="G58" s="402">
        <v>1.9516380516957413E-3</v>
      </c>
      <c r="H58" s="402">
        <v>2.0198306048291228E-3</v>
      </c>
      <c r="I58" s="402">
        <v>2.0889846098303818E-3</v>
      </c>
      <c r="J58" s="402">
        <v>2.1590943713677493E-3</v>
      </c>
      <c r="K58" s="402">
        <v>2.2301543374857744E-3</v>
      </c>
      <c r="L58" s="402">
        <v>2.3021590933402459E-3</v>
      </c>
      <c r="M58" s="402">
        <v>2.3751033553186321E-3</v>
      </c>
      <c r="N58" s="402">
        <v>2.4489819655156521E-3</v>
      </c>
      <c r="O58" s="402">
        <v>2.5237898865365493E-3</v>
      </c>
      <c r="P58" s="402">
        <v>2.5995221966032024E-3</v>
      </c>
      <c r="Q58" s="402">
        <v>2.6761740849404339E-3</v>
      </c>
      <c r="R58" s="402">
        <v>2.7537408474219783E-3</v>
      </c>
      <c r="S58" s="402">
        <v>2.8322178824574428E-3</v>
      </c>
      <c r="T58" s="402">
        <v>2.9116006871030614E-3</v>
      </c>
      <c r="U58" s="402">
        <v>2.9918848533807248E-3</v>
      </c>
      <c r="V58" s="402">
        <v>3.0730660647909419E-3</v>
      </c>
      <c r="W58" s="402">
        <v>3.1551400930066326E-3</v>
      </c>
      <c r="X58" s="402">
        <v>3.2381027947357127E-3</v>
      </c>
      <c r="Y58" s="402">
        <v>3.3219501087414444E-3</v>
      </c>
      <c r="Z58" s="402">
        <v>3.4066780530103303E-3</v>
      </c>
      <c r="AA58" s="402">
        <v>3.4922827220581929E-3</v>
      </c>
      <c r="AB58" s="402">
        <v>3.4922827220581929E-3</v>
      </c>
      <c r="AC58" s="402">
        <v>3.4922827220581929E-3</v>
      </c>
      <c r="AD58" s="402">
        <v>3.4922827220581929E-3</v>
      </c>
      <c r="AE58" s="402">
        <v>3.4922827220581929E-3</v>
      </c>
      <c r="AF58" s="402">
        <v>3.4922827220581929E-3</v>
      </c>
      <c r="AG58" s="402">
        <v>3.4922827220581929E-3</v>
      </c>
      <c r="AH58" s="402">
        <v>3.4922827220581929E-3</v>
      </c>
      <c r="AI58" s="402">
        <v>3.4922827220581929E-3</v>
      </c>
      <c r="AJ58" s="402">
        <v>3.4922827220581929E-3</v>
      </c>
    </row>
    <row r="59" spans="1:36" x14ac:dyDescent="0.2">
      <c r="A59" s="397" t="s">
        <v>310</v>
      </c>
      <c r="B59" s="398" t="b">
        <v>0</v>
      </c>
      <c r="C59" s="399">
        <v>650</v>
      </c>
      <c r="D59" s="397" t="s">
        <v>311</v>
      </c>
      <c r="E59" s="402">
        <v>7.6554140623269918E-3</v>
      </c>
      <c r="F59" s="402">
        <v>7.9343696666209964E-3</v>
      </c>
      <c r="G59" s="402">
        <v>8.2174233755610161E-3</v>
      </c>
      <c r="H59" s="402">
        <v>8.5045499150699904E-3</v>
      </c>
      <c r="I59" s="402">
        <v>8.79572467297003E-3</v>
      </c>
      <c r="J59" s="402">
        <v>9.0909236689168393E-3</v>
      </c>
      <c r="K59" s="402">
        <v>9.3901235262558915E-3</v>
      </c>
      <c r="L59" s="402">
        <v>9.6933014456431418E-3</v>
      </c>
      <c r="M59" s="402">
        <v>1.0000435180288978E-2</v>
      </c>
      <c r="N59" s="402">
        <v>1.0311503012697482E-2</v>
      </c>
      <c r="O59" s="402">
        <v>1.062648373278547E-2</v>
      </c>
      <c r="P59" s="402">
        <v>1.0945356617276643E-2</v>
      </c>
      <c r="Q59" s="402">
        <v>1.1268101410275511E-2</v>
      </c>
      <c r="R59" s="402">
        <v>1.1594698304934644E-2</v>
      </c>
      <c r="S59" s="402">
        <v>1.1925127926136602E-2</v>
      </c>
      <c r="T59" s="402">
        <v>1.2259371314118153E-2</v>
      </c>
      <c r="U59" s="402">
        <v>1.2597409908971471E-2</v>
      </c>
      <c r="V59" s="402">
        <v>1.293922553596186E-2</v>
      </c>
      <c r="W59" s="402">
        <v>1.3284800391606875E-2</v>
      </c>
      <c r="X59" s="402">
        <v>1.3634117030466159E-2</v>
      </c>
      <c r="Y59" s="402">
        <v>1.3987158352595556E-2</v>
      </c>
      <c r="Z59" s="402">
        <v>1.4343907591622443E-2</v>
      </c>
      <c r="AA59" s="402">
        <v>1.4704348303402918E-2</v>
      </c>
      <c r="AB59" s="402">
        <v>1.4704348303402918E-2</v>
      </c>
      <c r="AC59" s="402">
        <v>1.4704348303402918E-2</v>
      </c>
      <c r="AD59" s="402">
        <v>1.4704348303402918E-2</v>
      </c>
      <c r="AE59" s="402">
        <v>1.4704348303402918E-2</v>
      </c>
      <c r="AF59" s="402">
        <v>1.4704348303402918E-2</v>
      </c>
      <c r="AG59" s="402">
        <v>1.4704348303402918E-2</v>
      </c>
      <c r="AH59" s="402">
        <v>1.4704348303402918E-2</v>
      </c>
      <c r="AI59" s="402">
        <v>1.4704348303402918E-2</v>
      </c>
      <c r="AJ59" s="402">
        <v>1.4704348303402918E-2</v>
      </c>
    </row>
    <row r="60" spans="1:36" x14ac:dyDescent="0.2">
      <c r="A60" s="397" t="s">
        <v>312</v>
      </c>
      <c r="B60" s="403" t="b">
        <v>0</v>
      </c>
      <c r="C60" s="399">
        <v>300000</v>
      </c>
      <c r="D60" s="397"/>
      <c r="E60" s="397"/>
      <c r="F60" s="397"/>
      <c r="G60" s="397"/>
      <c r="H60" s="397"/>
      <c r="I60" s="397"/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</row>
    <row r="61" spans="1:36" x14ac:dyDescent="0.2">
      <c r="A61" s="397" t="s">
        <v>313</v>
      </c>
      <c r="B61" s="403" t="b">
        <v>1</v>
      </c>
      <c r="C61" s="399">
        <v>500000</v>
      </c>
      <c r="D61" s="397" t="s">
        <v>276</v>
      </c>
      <c r="E61" s="404">
        <v>230876.82795574373</v>
      </c>
      <c r="F61" s="404">
        <v>242377.5371322085</v>
      </c>
      <c r="G61" s="404">
        <v>256284.12302349944</v>
      </c>
      <c r="H61" s="404">
        <v>272181.99623974785</v>
      </c>
      <c r="I61" s="404">
        <v>287531.24217261892</v>
      </c>
      <c r="J61" s="404">
        <v>299299.42290441605</v>
      </c>
      <c r="K61" s="404">
        <v>312602.21878366527</v>
      </c>
      <c r="L61" s="404">
        <v>331891.49342711049</v>
      </c>
      <c r="M61" s="404">
        <v>353115.535437527</v>
      </c>
      <c r="N61" s="404">
        <v>366844.83578079991</v>
      </c>
      <c r="O61" s="404">
        <v>378082.36060041457</v>
      </c>
      <c r="P61" s="404">
        <v>389460.6589654822</v>
      </c>
      <c r="Q61" s="404">
        <v>400979.07839485048</v>
      </c>
      <c r="R61" s="404">
        <v>412636.98279695143</v>
      </c>
      <c r="S61" s="404">
        <v>424433.75185070391</v>
      </c>
      <c r="T61" s="404">
        <v>436368.78041997587</v>
      </c>
      <c r="U61" s="404">
        <v>448441.4779992766</v>
      </c>
      <c r="V61" s="404">
        <v>460651.26818853663</v>
      </c>
      <c r="W61" s="404">
        <v>472997.58819500846</v>
      </c>
      <c r="X61" s="404">
        <v>485479.88836048887</v>
      </c>
      <c r="Y61" s="404">
        <v>498097.63171220908</v>
      </c>
      <c r="Z61" s="404">
        <v>510850.29353586514</v>
      </c>
      <c r="AA61" s="404">
        <v>523737.360969381</v>
      </c>
      <c r="AB61" s="404">
        <v>536758.33261611452</v>
      </c>
      <c r="AC61" s="404">
        <v>549912.71817629936</v>
      </c>
      <c r="AD61" s="404">
        <v>563200.03809562558</v>
      </c>
      <c r="AE61" s="404">
        <v>576619.82322991465</v>
      </c>
      <c r="AF61" s="404">
        <v>590171.61452495994</v>
      </c>
      <c r="AG61" s="404">
        <v>590171.61452495994</v>
      </c>
      <c r="AH61" s="404">
        <v>590171.61452495994</v>
      </c>
      <c r="AI61" s="404">
        <v>590171.61452495994</v>
      </c>
      <c r="AJ61" s="404">
        <v>590171.61452495994</v>
      </c>
    </row>
    <row r="62" spans="1:36" x14ac:dyDescent="0.2">
      <c r="A62" s="397" t="s">
        <v>314</v>
      </c>
      <c r="B62" s="398" t="b">
        <v>0</v>
      </c>
      <c r="C62" s="399">
        <v>7471320.9500000002</v>
      </c>
      <c r="D62" s="397" t="s">
        <v>277</v>
      </c>
      <c r="E62" s="405">
        <v>336.27064374383679</v>
      </c>
      <c r="F62" s="405">
        <v>348.52400846953032</v>
      </c>
      <c r="G62" s="405">
        <v>360.95738596477827</v>
      </c>
      <c r="H62" s="405">
        <v>373.56966604401862</v>
      </c>
      <c r="I62" s="405">
        <v>386.35976759617938</v>
      </c>
      <c r="J62" s="405">
        <v>399.32663726402257</v>
      </c>
      <c r="K62" s="405">
        <v>412.46924820790201</v>
      </c>
      <c r="L62" s="405">
        <v>425.78659894703088</v>
      </c>
      <c r="M62" s="405">
        <v>439.27771227205068</v>
      </c>
      <c r="N62" s="405">
        <v>452.9416342232837</v>
      </c>
      <c r="O62" s="405">
        <v>466.77743312959251</v>
      </c>
      <c r="P62" s="405">
        <v>480.78419870325075</v>
      </c>
      <c r="Q62" s="405">
        <v>494.96104118663578</v>
      </c>
      <c r="R62" s="405">
        <v>509.30709054694717</v>
      </c>
      <c r="S62" s="405">
        <v>523.82149571549519</v>
      </c>
      <c r="T62" s="405">
        <v>538.50342386838122</v>
      </c>
      <c r="U62" s="405">
        <v>553.3520597456984</v>
      </c>
      <c r="V62" s="405">
        <v>568.36660500660128</v>
      </c>
      <c r="W62" s="405">
        <v>583.54627761781865</v>
      </c>
      <c r="X62" s="405">
        <v>598.89031127338535</v>
      </c>
      <c r="Y62" s="405">
        <v>614.39795484355443</v>
      </c>
      <c r="Z62" s="405">
        <v>630.06847185099514</v>
      </c>
      <c r="AA62" s="405">
        <v>645.90113997254991</v>
      </c>
      <c r="AB62" s="405">
        <v>645.90113997254991</v>
      </c>
      <c r="AC62" s="405">
        <v>645.90113997254991</v>
      </c>
      <c r="AD62" s="405">
        <v>645.90113997254991</v>
      </c>
      <c r="AE62" s="405">
        <v>645.90113997254991</v>
      </c>
      <c r="AF62" s="405">
        <v>645.90113997254991</v>
      </c>
      <c r="AG62" s="405">
        <v>645.90113997254991</v>
      </c>
      <c r="AH62" s="405">
        <v>645.90113997254991</v>
      </c>
      <c r="AI62" s="405">
        <v>645.90113997254991</v>
      </c>
      <c r="AJ62" s="405">
        <v>645.90113997254991</v>
      </c>
    </row>
    <row r="63" spans="1:36" x14ac:dyDescent="0.2">
      <c r="A63" s="397" t="s">
        <v>315</v>
      </c>
      <c r="B63" s="398" t="b">
        <v>0</v>
      </c>
      <c r="C63" s="399">
        <v>0</v>
      </c>
      <c r="D63" s="397" t="s">
        <v>278</v>
      </c>
      <c r="E63" s="405">
        <v>16300.875807464656</v>
      </c>
      <c r="F63" s="405">
        <v>16894.863359851941</v>
      </c>
      <c r="G63" s="405">
        <v>17497.577114941891</v>
      </c>
      <c r="H63" s="405">
        <v>18108.963255973198</v>
      </c>
      <c r="I63" s="405">
        <v>18728.969375583969</v>
      </c>
      <c r="J63" s="405">
        <v>19357.544411792336</v>
      </c>
      <c r="K63" s="405">
        <v>19994.638588069007</v>
      </c>
      <c r="L63" s="405">
        <v>20640.203357167182</v>
      </c>
      <c r="M63" s="405">
        <v>21294.191348408869</v>
      </c>
      <c r="N63" s="405">
        <v>21956.556318155122</v>
      </c>
      <c r="O63" s="405">
        <v>22627.253103214374</v>
      </c>
      <c r="P63" s="405">
        <v>23306.237576965832</v>
      </c>
      <c r="Q63" s="405">
        <v>23993.466607995055</v>
      </c>
      <c r="R63" s="405">
        <v>24688.898021057495</v>
      </c>
      <c r="S63" s="405">
        <v>25392.490560202717</v>
      </c>
      <c r="T63" s="405">
        <v>26104.203853904997</v>
      </c>
      <c r="U63" s="405">
        <v>26823.998382061305</v>
      </c>
      <c r="V63" s="405">
        <v>27551.835444727949</v>
      </c>
      <c r="W63" s="405">
        <v>28287.677132478486</v>
      </c>
      <c r="X63" s="405">
        <v>29031.486298274976</v>
      </c>
      <c r="Y63" s="405">
        <v>29783.22653075368</v>
      </c>
      <c r="Z63" s="405">
        <v>30542.862128833553</v>
      </c>
      <c r="AA63" s="405">
        <v>31310.358077563687</v>
      </c>
      <c r="AB63" s="405">
        <v>31310.358077563687</v>
      </c>
      <c r="AC63" s="405">
        <v>31310.358077563687</v>
      </c>
      <c r="AD63" s="405">
        <v>31310.358077563687</v>
      </c>
      <c r="AE63" s="405">
        <v>31310.358077563687</v>
      </c>
      <c r="AF63" s="405">
        <v>31310.358077563687</v>
      </c>
      <c r="AG63" s="405">
        <v>31310.358077563687</v>
      </c>
      <c r="AH63" s="405">
        <v>31310.358077563687</v>
      </c>
      <c r="AI63" s="405">
        <v>31310.358077563687</v>
      </c>
      <c r="AJ63" s="405">
        <v>31310.358077563687</v>
      </c>
    </row>
    <row r="64" spans="1:36" x14ac:dyDescent="0.2">
      <c r="A64" s="397" t="s">
        <v>316</v>
      </c>
      <c r="B64" s="398" t="b">
        <v>0</v>
      </c>
      <c r="C64" s="399">
        <v>0</v>
      </c>
      <c r="D64" s="397" t="s">
        <v>279</v>
      </c>
      <c r="E64" s="405">
        <v>1255.4879062216266</v>
      </c>
      <c r="F64" s="405">
        <v>1301.2366253258433</v>
      </c>
      <c r="G64" s="405">
        <v>1347.6574335920066</v>
      </c>
      <c r="H64" s="405">
        <v>1394.7461860714784</v>
      </c>
      <c r="I64" s="405">
        <v>1442.498846367085</v>
      </c>
      <c r="J64" s="405">
        <v>1490.9114817023617</v>
      </c>
      <c r="K64" s="405">
        <v>1539.9802583059661</v>
      </c>
      <c r="L64" s="405">
        <v>1589.7014370854752</v>
      </c>
      <c r="M64" s="405">
        <v>1640.0713695673924</v>
      </c>
      <c r="N64" s="405">
        <v>1691.0864940823869</v>
      </c>
      <c r="O64" s="405">
        <v>1742.7433321768171</v>
      </c>
      <c r="P64" s="405">
        <v>1795.0384852333693</v>
      </c>
      <c r="Q64" s="405">
        <v>1847.9686312851838</v>
      </c>
      <c r="R64" s="405">
        <v>1901.5305220092816</v>
      </c>
      <c r="S64" s="405">
        <v>1955.7209798864028</v>
      </c>
      <c r="T64" s="405">
        <v>2010.5368955153772</v>
      </c>
      <c r="U64" s="405">
        <v>2065.9752250713213</v>
      </c>
      <c r="V64" s="405">
        <v>2122.032987897745</v>
      </c>
      <c r="W64" s="405">
        <v>2178.7072642235275</v>
      </c>
      <c r="X64" s="405">
        <v>2235.99519299645</v>
      </c>
      <c r="Y64" s="405">
        <v>2293.8939698256713</v>
      </c>
      <c r="Z64" s="405">
        <v>2352.4008450260808</v>
      </c>
      <c r="AA64" s="405">
        <v>2411.5131217580788</v>
      </c>
      <c r="AB64" s="405">
        <v>2411.5131217580788</v>
      </c>
      <c r="AC64" s="405">
        <v>2411.5131217580788</v>
      </c>
      <c r="AD64" s="405">
        <v>2411.5131217580788</v>
      </c>
      <c r="AE64" s="405">
        <v>2411.5131217580788</v>
      </c>
      <c r="AF64" s="405">
        <v>2411.5131217580788</v>
      </c>
      <c r="AG64" s="405">
        <v>2411.5131217580788</v>
      </c>
      <c r="AH64" s="405">
        <v>2411.5131217580788</v>
      </c>
      <c r="AI64" s="405">
        <v>2411.5131217580788</v>
      </c>
      <c r="AJ64" s="405">
        <v>2411.5131217580788</v>
      </c>
    </row>
    <row r="65" spans="1:36" x14ac:dyDescent="0.2">
      <c r="A65" s="397" t="s">
        <v>317</v>
      </c>
      <c r="B65" s="398" t="b">
        <v>0</v>
      </c>
      <c r="C65" s="399" t="s">
        <v>136</v>
      </c>
      <c r="D65" s="397" t="s">
        <v>280</v>
      </c>
      <c r="E65" s="406">
        <v>35984.375</v>
      </c>
      <c r="F65" s="406">
        <v>35984.375</v>
      </c>
      <c r="G65" s="406">
        <v>35984.375</v>
      </c>
      <c r="H65" s="406">
        <v>35984.375</v>
      </c>
      <c r="I65" s="406">
        <v>35984.375</v>
      </c>
      <c r="J65" s="406">
        <v>35984.375</v>
      </c>
      <c r="K65" s="406">
        <v>35984.375</v>
      </c>
      <c r="L65" s="406">
        <v>35984.375</v>
      </c>
      <c r="M65" s="406">
        <v>35984.375</v>
      </c>
      <c r="N65" s="406">
        <v>35984.375</v>
      </c>
      <c r="O65" s="406">
        <v>35984.375</v>
      </c>
      <c r="P65" s="406">
        <v>35984.375</v>
      </c>
      <c r="Q65" s="406">
        <v>35984.375</v>
      </c>
      <c r="R65" s="406">
        <v>35984.375</v>
      </c>
      <c r="S65" s="406">
        <v>35984.375</v>
      </c>
      <c r="T65" s="406">
        <v>35984.375</v>
      </c>
      <c r="U65" s="406">
        <v>35984.375</v>
      </c>
      <c r="V65" s="406">
        <v>35984.375</v>
      </c>
      <c r="W65" s="406">
        <v>35984.375</v>
      </c>
      <c r="X65" s="406">
        <v>35984.375</v>
      </c>
      <c r="Y65" s="406">
        <v>35984.375</v>
      </c>
      <c r="Z65" s="406">
        <v>35984.375</v>
      </c>
      <c r="AA65" s="406">
        <v>35984.375</v>
      </c>
      <c r="AB65" s="406">
        <v>35984.375</v>
      </c>
      <c r="AC65" s="406">
        <v>35984.375</v>
      </c>
      <c r="AD65" s="406">
        <v>35984.375</v>
      </c>
      <c r="AE65" s="406">
        <v>35984.375</v>
      </c>
      <c r="AF65" s="406">
        <v>35984.375</v>
      </c>
      <c r="AG65" s="406">
        <v>35984.375</v>
      </c>
      <c r="AH65" s="406">
        <v>35984.375</v>
      </c>
      <c r="AI65" s="406">
        <v>35984.375</v>
      </c>
      <c r="AJ65" s="406">
        <v>35984.375</v>
      </c>
    </row>
    <row r="66" spans="1:36" x14ac:dyDescent="0.2">
      <c r="A66" s="397" t="s">
        <v>318</v>
      </c>
      <c r="B66" s="398" t="b">
        <v>1</v>
      </c>
      <c r="C66" s="399">
        <v>0</v>
      </c>
      <c r="D66" s="397" t="s">
        <v>319</v>
      </c>
      <c r="E66" s="407">
        <v>0</v>
      </c>
      <c r="F66" s="407">
        <v>0</v>
      </c>
      <c r="G66" s="407">
        <v>0</v>
      </c>
      <c r="H66" s="407">
        <v>0</v>
      </c>
      <c r="I66" s="407">
        <v>0</v>
      </c>
      <c r="J66" s="407">
        <v>0</v>
      </c>
      <c r="K66" s="407">
        <v>0</v>
      </c>
      <c r="L66" s="407">
        <v>0</v>
      </c>
      <c r="M66" s="407">
        <v>0</v>
      </c>
      <c r="N66" s="407">
        <v>0</v>
      </c>
      <c r="O66" s="407">
        <v>0</v>
      </c>
      <c r="P66" s="407">
        <v>0</v>
      </c>
      <c r="Q66" s="407">
        <v>0</v>
      </c>
      <c r="R66" s="407">
        <v>0</v>
      </c>
      <c r="S66" s="407">
        <v>0</v>
      </c>
      <c r="T66" s="407">
        <v>0</v>
      </c>
      <c r="U66" s="407">
        <v>0</v>
      </c>
      <c r="V66" s="407">
        <v>0</v>
      </c>
      <c r="W66" s="407">
        <v>0</v>
      </c>
      <c r="X66" s="407">
        <v>0</v>
      </c>
      <c r="Y66" s="407">
        <v>0</v>
      </c>
      <c r="Z66" s="407">
        <v>0</v>
      </c>
      <c r="AA66" s="407">
        <v>0</v>
      </c>
      <c r="AB66" s="407">
        <v>0</v>
      </c>
      <c r="AC66" s="407">
        <v>0</v>
      </c>
      <c r="AD66" s="407">
        <v>0</v>
      </c>
      <c r="AE66" s="407">
        <v>0</v>
      </c>
      <c r="AF66" s="407">
        <v>0</v>
      </c>
      <c r="AG66" s="407">
        <v>0</v>
      </c>
      <c r="AH66" s="407">
        <v>0</v>
      </c>
      <c r="AI66" s="407">
        <v>0</v>
      </c>
      <c r="AJ66" s="407">
        <v>0</v>
      </c>
    </row>
    <row r="67" spans="1:36" x14ac:dyDescent="0.2">
      <c r="A67" s="397" t="s">
        <v>320</v>
      </c>
      <c r="B67" s="403">
        <v>0</v>
      </c>
      <c r="C67" s="399">
        <v>0</v>
      </c>
      <c r="D67" s="397" t="s">
        <v>18</v>
      </c>
      <c r="E67" s="406">
        <v>0</v>
      </c>
      <c r="F67" s="406">
        <v>0</v>
      </c>
      <c r="G67" s="406">
        <v>0</v>
      </c>
      <c r="H67" s="406">
        <v>0</v>
      </c>
      <c r="I67" s="406">
        <v>0</v>
      </c>
      <c r="J67" s="406">
        <v>0</v>
      </c>
      <c r="K67" s="406">
        <v>0</v>
      </c>
      <c r="L67" s="406">
        <v>0</v>
      </c>
      <c r="M67" s="406">
        <v>0</v>
      </c>
      <c r="N67" s="406">
        <v>0</v>
      </c>
      <c r="O67" s="406">
        <v>0</v>
      </c>
      <c r="P67" s="406">
        <v>0</v>
      </c>
      <c r="Q67" s="406">
        <v>0</v>
      </c>
      <c r="R67" s="406">
        <v>0</v>
      </c>
      <c r="S67" s="406">
        <v>0</v>
      </c>
      <c r="T67" s="406">
        <v>0</v>
      </c>
      <c r="U67" s="406">
        <v>0</v>
      </c>
      <c r="V67" s="406">
        <v>0</v>
      </c>
      <c r="W67" s="406">
        <v>0</v>
      </c>
      <c r="X67" s="406">
        <v>0</v>
      </c>
      <c r="Y67" s="406">
        <v>0</v>
      </c>
      <c r="Z67" s="406">
        <v>0</v>
      </c>
      <c r="AA67" s="406">
        <v>0</v>
      </c>
      <c r="AB67" s="406">
        <v>0</v>
      </c>
      <c r="AC67" s="406">
        <v>0</v>
      </c>
      <c r="AD67" s="406">
        <v>0</v>
      </c>
      <c r="AE67" s="406">
        <v>0</v>
      </c>
      <c r="AF67" s="406">
        <v>0</v>
      </c>
      <c r="AG67" s="406">
        <v>0</v>
      </c>
      <c r="AH67" s="406">
        <v>0</v>
      </c>
      <c r="AI67" s="406">
        <v>0</v>
      </c>
      <c r="AJ67" s="406">
        <v>0</v>
      </c>
    </row>
    <row r="68" spans="1:36" x14ac:dyDescent="0.2">
      <c r="A68" s="408"/>
      <c r="B68" s="408"/>
      <c r="C68" s="399">
        <v>0</v>
      </c>
      <c r="D68" s="409" t="s">
        <v>321</v>
      </c>
      <c r="E68" s="410">
        <v>0</v>
      </c>
      <c r="F68" s="410">
        <v>0</v>
      </c>
      <c r="G68" s="410">
        <v>0</v>
      </c>
      <c r="H68" s="410">
        <v>60120.68393369564</v>
      </c>
      <c r="I68" s="410">
        <v>60120.68393369564</v>
      </c>
      <c r="J68" s="410">
        <v>60120.68393369564</v>
      </c>
      <c r="K68" s="410">
        <v>60120.68393369564</v>
      </c>
      <c r="L68" s="410">
        <v>60120.68393369564</v>
      </c>
      <c r="M68" s="410">
        <v>60120.68393369564</v>
      </c>
      <c r="N68" s="410">
        <v>60120.68393369564</v>
      </c>
      <c r="O68" s="410">
        <v>60120.68393369564</v>
      </c>
      <c r="P68" s="410">
        <v>60120.68393369564</v>
      </c>
      <c r="Q68" s="410">
        <v>60120.68393369564</v>
      </c>
      <c r="R68" s="410">
        <v>60120.68393369564</v>
      </c>
      <c r="S68" s="410">
        <v>60120.68393369564</v>
      </c>
      <c r="T68" s="410">
        <v>60120.68393369564</v>
      </c>
      <c r="U68" s="410">
        <v>60120.68393369564</v>
      </c>
      <c r="V68" s="410">
        <v>60120.68393369564</v>
      </c>
      <c r="W68" s="410">
        <v>60120.68393369564</v>
      </c>
      <c r="X68" s="410">
        <v>60120.68393369564</v>
      </c>
      <c r="Y68" s="410">
        <v>60120.68393369564</v>
      </c>
      <c r="Z68" s="410">
        <v>60120.68393369564</v>
      </c>
      <c r="AA68" s="410">
        <v>60120.68393369564</v>
      </c>
      <c r="AB68" s="410">
        <v>60120.68393369564</v>
      </c>
      <c r="AC68" s="410">
        <v>60120.68393369564</v>
      </c>
      <c r="AD68" s="410">
        <v>60120.68393369564</v>
      </c>
      <c r="AE68" s="410">
        <v>60120.68393369564</v>
      </c>
      <c r="AF68" s="410">
        <v>60120.68393369564</v>
      </c>
      <c r="AG68" s="410">
        <v>60120.68393369564</v>
      </c>
      <c r="AH68" s="410">
        <v>60120.68393369564</v>
      </c>
      <c r="AI68" s="410">
        <v>60120.68393369564</v>
      </c>
      <c r="AJ68" s="410">
        <v>60120.68393369564</v>
      </c>
    </row>
    <row r="69" spans="1:36" x14ac:dyDescent="0.2">
      <c r="A69" s="326"/>
      <c r="B69" s="326"/>
      <c r="C69" s="326"/>
      <c r="D69" s="411" t="s">
        <v>322</v>
      </c>
      <c r="E69" s="412">
        <v>284753.8373131738</v>
      </c>
      <c r="F69" s="412">
        <v>296906.53612585581</v>
      </c>
      <c r="G69" s="412">
        <v>311474.68995799811</v>
      </c>
      <c r="H69" s="412">
        <v>388164.33428153221</v>
      </c>
      <c r="I69" s="412">
        <v>404194.1290958618</v>
      </c>
      <c r="J69" s="412">
        <v>416652.26436887047</v>
      </c>
      <c r="K69" s="412">
        <v>430654.36581194383</v>
      </c>
      <c r="L69" s="412">
        <v>450652.24375400582</v>
      </c>
      <c r="M69" s="412">
        <v>472594.13480147102</v>
      </c>
      <c r="N69" s="412">
        <v>487050.4791609564</v>
      </c>
      <c r="O69" s="412">
        <v>499024.19340263103</v>
      </c>
      <c r="P69" s="412">
        <v>511147.77816008031</v>
      </c>
      <c r="Q69" s="412">
        <v>523420.53360901301</v>
      </c>
      <c r="R69" s="412">
        <v>535841.77736426075</v>
      </c>
      <c r="S69" s="412">
        <v>548410.84382020414</v>
      </c>
      <c r="T69" s="412">
        <v>561127.08352696034</v>
      </c>
      <c r="U69" s="412">
        <v>573989.86259985052</v>
      </c>
      <c r="V69" s="412">
        <v>586998.56215986458</v>
      </c>
      <c r="W69" s="412">
        <v>600152.57780302397</v>
      </c>
      <c r="X69" s="412">
        <v>613451.31909672939</v>
      </c>
      <c r="Y69" s="412">
        <v>626894.20910132769</v>
      </c>
      <c r="Z69" s="412">
        <v>640480.68391527154</v>
      </c>
      <c r="AA69" s="412">
        <v>654210.19224237103</v>
      </c>
      <c r="AB69" s="412">
        <v>667231.1638891045</v>
      </c>
      <c r="AC69" s="412">
        <v>680385.54944928933</v>
      </c>
      <c r="AD69" s="412">
        <v>693672.86936861556</v>
      </c>
      <c r="AE69" s="412">
        <v>707092.65450290462</v>
      </c>
      <c r="AF69" s="412">
        <v>720644.44579794991</v>
      </c>
      <c r="AG69" s="412">
        <v>720644.44579794991</v>
      </c>
      <c r="AH69" s="412">
        <v>720644.44579794991</v>
      </c>
      <c r="AI69" s="412">
        <v>720644.44579794991</v>
      </c>
      <c r="AJ69" s="412">
        <v>720644.44579794991</v>
      </c>
    </row>
  </sheetData>
  <dataValidations count="1">
    <dataValidation type="list" allowBlank="1" showInputMessage="1" showErrorMessage="1" sqref="G5 G27" xr:uid="{605D4BAC-E9DB-41C3-9244-8E061CE464ED}">
      <formula1>"WEIBULL, FIXED"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MNA transformer replacement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202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187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188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213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214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215</v>
      </c>
      <c r="D23" s="41">
        <f>D22/D21</f>
        <v>1</v>
      </c>
    </row>
    <row r="25" spans="1:34" x14ac:dyDescent="0.2">
      <c r="B25" s="81" t="s">
        <v>239</v>
      </c>
      <c r="C25" s="8" t="str">
        <f>start</f>
        <v>2026-27</v>
      </c>
    </row>
    <row r="28" spans="1:34" s="1" customFormat="1" ht="15" x14ac:dyDescent="0.2">
      <c r="A28" s="18" t="s">
        <v>211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194</v>
      </c>
      <c r="D31" s="194" t="s">
        <v>201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2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 t="str">
        <f>Option4!$G$92</f>
        <v>Not used</v>
      </c>
      <c r="D34" s="10" t="b">
        <f>NOT(Data!C12)</f>
        <v>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155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194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245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144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155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165</v>
      </c>
      <c r="B70" s="239" t="s">
        <v>212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210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zoomScale="80" zoomScaleNormal="80" workbookViewId="0"/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MNA transformer replacement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200</v>
      </c>
      <c r="F8" s="8" t="s">
        <v>228</v>
      </c>
      <c r="T8"/>
      <c r="U8"/>
      <c r="V8"/>
    </row>
    <row r="9" spans="1:27" x14ac:dyDescent="0.2">
      <c r="A9" s="27" t="s">
        <v>145</v>
      </c>
      <c r="B9" s="86" t="s">
        <v>144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0</v>
      </c>
      <c r="T9"/>
      <c r="U9"/>
      <c r="V9"/>
      <c r="W9"/>
    </row>
    <row r="10" spans="1:27" x14ac:dyDescent="0.2">
      <c r="A10" s="27" t="s">
        <v>146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147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148</v>
      </c>
      <c r="B12" s="86" t="s">
        <v>133</v>
      </c>
      <c r="C12" s="87" t="b">
        <f>SUM(Option4!I$17:AB$17, Option4!I$19:AB$19)=0</f>
        <v>1</v>
      </c>
      <c r="D12" s="8" t="str">
        <f>IF(C12, $C$8, "")</f>
        <v>Not used</v>
      </c>
      <c r="F12" s="8" t="b">
        <f>C12</f>
        <v>1</v>
      </c>
      <c r="T12"/>
      <c r="U12"/>
      <c r="V12"/>
      <c r="W12"/>
      <c r="Z12"/>
      <c r="AA12"/>
    </row>
    <row r="13" spans="1:27" x14ac:dyDescent="0.2">
      <c r="A13" s="27" t="s">
        <v>156</v>
      </c>
      <c r="B13" s="86" t="s">
        <v>155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224</v>
      </c>
      <c r="D16" s="23" t="s">
        <v>226</v>
      </c>
      <c r="E16" s="8" t="b">
        <f>Assumptions!E20=Data!D16</f>
        <v>0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222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141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189</v>
      </c>
      <c r="C35" s="23">
        <v>1</v>
      </c>
      <c r="T35"/>
      <c r="U35"/>
      <c r="V35"/>
      <c r="W35"/>
    </row>
    <row r="36" spans="1:23" x14ac:dyDescent="0.2">
      <c r="B36" s="23" t="s">
        <v>173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161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162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163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165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165</v>
      </c>
      <c r="C75" s="153" t="s">
        <v>164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192</v>
      </c>
      <c r="C78" s="8" t="s">
        <v>193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179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180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158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161</v>
      </c>
      <c r="R106" s="8" t="s">
        <v>27</v>
      </c>
      <c r="T106" s="8" t="s">
        <v>225</v>
      </c>
      <c r="U106"/>
      <c r="V106" s="8" t="s">
        <v>236</v>
      </c>
      <c r="W106"/>
      <c r="Y106"/>
    </row>
    <row r="107" spans="1:25" x14ac:dyDescent="0.2">
      <c r="B107" s="25" t="s">
        <v>42</v>
      </c>
      <c r="C107" s="130" t="s">
        <v>137</v>
      </c>
      <c r="D107" s="130" t="s">
        <v>231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227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138</v>
      </c>
      <c r="D108" s="130" t="s">
        <v>232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226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139</v>
      </c>
      <c r="D109" s="130" t="s">
        <v>233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237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7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36</vt:i4>
      </vt:variant>
    </vt:vector>
  </HeadingPairs>
  <TitlesOfParts>
    <vt:vector size="51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Workings_costs</vt:lpstr>
      <vt:lpstr>Workings_risks</vt:lpstr>
      <vt:lpstr>Tx risks</vt:lpstr>
      <vt:lpstr>Misc_calcs</vt:lpstr>
      <vt:lpstr>Data</vt:lpstr>
      <vt:lpstr>AssetType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IS_ADDITIONAL</vt:lpstr>
      <vt:lpstr>ISBUNDED</vt:lpstr>
      <vt:lpstr>ISMOREMAINT</vt:lpstr>
      <vt:lpstr>ISONLINEMONITOR</vt:lpstr>
      <vt:lpstr>ISREFURB</vt:lpstr>
      <vt:lpstr>ISREPLACE</vt:lpstr>
      <vt:lpstr>ISREPLACETWO</vt:lpstr>
      <vt:lpstr>ISSEPARATED</vt:lpstr>
      <vt:lpstr>ISSPAREREADY</vt:lpstr>
      <vt:lpstr>ISSTAGGEREDMAINT</vt:lpstr>
      <vt:lpstr>mill_conv</vt:lpstr>
      <vt:lpstr>NN_LOAD_TRANSFER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  <vt:lpstr>ZSS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2025-01-27T11:53:05Z</dcterms:modified>
</cp:coreProperties>
</file>