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1A95C5CC-F32A-41BC-BB58-FF1BC84625CC}" xr6:coauthVersionLast="47" xr6:coauthVersionMax="47" xr10:uidLastSave="{00000000-0000-0000-0000-000000000000}"/>
  <bookViews>
    <workbookView xWindow="-105" yWindow="0" windowWidth="14610" windowHeight="1558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7" r:id="rId11"/>
    <sheet name="Workings_risks" sheetId="88" r:id="rId12"/>
    <sheet name="Tx risks" sheetId="89" r:id="rId13"/>
    <sheet name="Misc_calcs" sheetId="62" r:id="rId14"/>
    <sheet name="Data" sheetId="47" r:id="rId15"/>
  </sheets>
  <definedNames>
    <definedName name="AssetType">'Tx risks'!$C$9</definedName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IS_ADDITIONAL">'Tx risks'!$C$31</definedName>
    <definedName name="ISBUNDED">'Tx risks'!$C$26</definedName>
    <definedName name="ISMOREMAINT">'Tx risks'!$C$24</definedName>
    <definedName name="ISONLINEMONITOR">'Tx risks'!$C$22</definedName>
    <definedName name="ISREFURB">'Tx risks'!$C$27</definedName>
    <definedName name="ISREPLACE">'Tx risks'!$C$28</definedName>
    <definedName name="ISREPLACETWO">'Tx risks'!$C$29</definedName>
    <definedName name="ISSEPARATED">'Tx risks'!$C$23</definedName>
    <definedName name="ISSPAREREADY">'Tx risks'!$C$21</definedName>
    <definedName name="ISSTAGGEREDMAINT">'Tx risks'!$C$25</definedName>
    <definedName name="list">list_start:OFFSET(list_start, 0,0,count, 1)</definedName>
    <definedName name="mill_conv">Data!$C$71</definedName>
    <definedName name="NN_LOAD_TRANSFER">'Tx risks'!$C$33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  <definedName name="ZSS">'Tx risks'!$C$8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81" l="1"/>
  <c r="J14" i="81"/>
  <c r="B31" i="88" l="1"/>
  <c r="B19" i="88"/>
  <c r="C33" i="72"/>
  <c r="C32" i="72"/>
  <c r="C31" i="72"/>
  <c r="C30" i="72"/>
  <c r="C31" i="81"/>
  <c r="C32" i="81"/>
  <c r="C33" i="81"/>
  <c r="C30" i="81"/>
  <c r="A2" i="89" l="1"/>
  <c r="A1" i="89"/>
  <c r="B30" i="87"/>
  <c r="B16" i="87"/>
  <c r="O28" i="72"/>
  <c r="R28" i="72"/>
  <c r="S28" i="72"/>
  <c r="T28" i="72"/>
  <c r="U28" i="72"/>
  <c r="V28" i="72"/>
  <c r="W28" i="72"/>
  <c r="AC28" i="72"/>
  <c r="L30" i="72"/>
  <c r="O30" i="72"/>
  <c r="P30" i="72"/>
  <c r="Q30" i="72"/>
  <c r="R30" i="72"/>
  <c r="S30" i="72"/>
  <c r="Y30" i="72"/>
  <c r="AD30" i="72"/>
  <c r="AE30" i="72"/>
  <c r="AF30" i="72"/>
  <c r="L31" i="72"/>
  <c r="M31" i="72"/>
  <c r="N31" i="72"/>
  <c r="O31" i="72"/>
  <c r="U31" i="72"/>
  <c r="W31" i="72"/>
  <c r="AC31" i="72"/>
  <c r="AD31" i="72"/>
  <c r="AE31" i="72"/>
  <c r="AF31" i="72"/>
  <c r="AG31" i="72"/>
  <c r="J32" i="72"/>
  <c r="K32" i="72"/>
  <c r="S32" i="72"/>
  <c r="T32" i="72"/>
  <c r="Z32" i="72"/>
  <c r="AC32" i="72"/>
  <c r="AD32" i="72"/>
  <c r="AE32" i="72"/>
  <c r="M33" i="72"/>
  <c r="O33" i="72"/>
  <c r="P33" i="72"/>
  <c r="Q33" i="72"/>
  <c r="W33" i="72"/>
  <c r="Z33" i="72"/>
  <c r="AA33" i="72"/>
  <c r="AC33" i="72"/>
  <c r="AG33" i="72"/>
  <c r="I33" i="72"/>
  <c r="I30" i="72"/>
  <c r="J14" i="72"/>
  <c r="K14" i="72"/>
  <c r="L14" i="72"/>
  <c r="M14" i="72"/>
  <c r="N14" i="72"/>
  <c r="O14" i="72"/>
  <c r="P14" i="72"/>
  <c r="Q14" i="72"/>
  <c r="R14" i="72"/>
  <c r="S14" i="72"/>
  <c r="T14" i="72"/>
  <c r="U14" i="72"/>
  <c r="V14" i="72"/>
  <c r="W14" i="72"/>
  <c r="X14" i="72"/>
  <c r="Y14" i="72"/>
  <c r="Z14" i="72"/>
  <c r="AA14" i="72"/>
  <c r="AB14" i="72"/>
  <c r="AC14" i="72"/>
  <c r="AD14" i="72"/>
  <c r="AE14" i="72"/>
  <c r="AF14" i="72"/>
  <c r="AG14" i="72"/>
  <c r="I14" i="72"/>
  <c r="L33" i="81"/>
  <c r="R33" i="81"/>
  <c r="U33" i="81"/>
  <c r="V33" i="81"/>
  <c r="W33" i="81"/>
  <c r="X33" i="81"/>
  <c r="Y33" i="81"/>
  <c r="Z33" i="81"/>
  <c r="AA33" i="81"/>
  <c r="AB33" i="81"/>
  <c r="AC33" i="81"/>
  <c r="AD33" i="81"/>
  <c r="AE33" i="81"/>
  <c r="AF33" i="81"/>
  <c r="M30" i="81"/>
  <c r="Q30" i="81"/>
  <c r="R30" i="81"/>
  <c r="S30" i="81"/>
  <c r="V30" i="81"/>
  <c r="W30" i="81"/>
  <c r="X30" i="81"/>
  <c r="Y30" i="81"/>
  <c r="Z30" i="81"/>
  <c r="AA30" i="81"/>
  <c r="AG30" i="81"/>
  <c r="J31" i="81"/>
  <c r="K31" i="81"/>
  <c r="M31" i="81"/>
  <c r="N31" i="81"/>
  <c r="O31" i="81"/>
  <c r="T31" i="81"/>
  <c r="U31" i="81"/>
  <c r="V31" i="81"/>
  <c r="AB31" i="81"/>
  <c r="AE31" i="81"/>
  <c r="AG31" i="81"/>
  <c r="J32" i="81"/>
  <c r="K32" i="81"/>
  <c r="L32" i="81"/>
  <c r="M32" i="81"/>
  <c r="N32" i="81"/>
  <c r="O32" i="81"/>
  <c r="Q32" i="81"/>
  <c r="W32" i="81"/>
  <c r="Z32" i="81"/>
  <c r="AA32" i="81"/>
  <c r="AC32" i="81"/>
  <c r="AD32" i="81"/>
  <c r="AE32" i="81"/>
  <c r="AF32" i="81"/>
  <c r="AG32" i="81"/>
  <c r="I33" i="81"/>
  <c r="I32" i="81"/>
  <c r="I31" i="81"/>
  <c r="J28" i="81"/>
  <c r="K28" i="81"/>
  <c r="R28" i="81"/>
  <c r="U28" i="81"/>
  <c r="V28" i="81"/>
  <c r="W28" i="81"/>
  <c r="X28" i="81"/>
  <c r="Y28" i="81"/>
  <c r="Z28" i="81"/>
  <c r="AA28" i="81"/>
  <c r="AB28" i="81"/>
  <c r="AC28" i="81"/>
  <c r="AD28" i="81"/>
  <c r="AE28" i="81"/>
  <c r="AF28" i="81"/>
  <c r="L14" i="81"/>
  <c r="M14" i="81"/>
  <c r="N14" i="81"/>
  <c r="O14" i="81"/>
  <c r="P14" i="81"/>
  <c r="Q14" i="81"/>
  <c r="R14" i="81"/>
  <c r="S14" i="81"/>
  <c r="T14" i="81"/>
  <c r="U14" i="81"/>
  <c r="V14" i="81"/>
  <c r="W14" i="81"/>
  <c r="X14" i="81"/>
  <c r="Y14" i="81"/>
  <c r="Z14" i="81"/>
  <c r="AA14" i="81"/>
  <c r="AB14" i="81"/>
  <c r="AC14" i="81"/>
  <c r="AD14" i="81"/>
  <c r="AE14" i="81"/>
  <c r="AF14" i="81"/>
  <c r="AG14" i="81"/>
  <c r="I14" i="81"/>
  <c r="K30" i="68"/>
  <c r="L30" i="68"/>
  <c r="R30" i="68"/>
  <c r="U30" i="68"/>
  <c r="V30" i="68"/>
  <c r="W30" i="68"/>
  <c r="AB30" i="68"/>
  <c r="AC30" i="68"/>
  <c r="AE30" i="68"/>
  <c r="AF30" i="68"/>
  <c r="M31" i="68"/>
  <c r="P31" i="68"/>
  <c r="Q31" i="68"/>
  <c r="R31" i="68"/>
  <c r="S31" i="68"/>
  <c r="X31" i="68"/>
  <c r="Y31" i="68"/>
  <c r="AA31" i="68"/>
  <c r="AF31" i="68"/>
  <c r="AG31" i="68"/>
  <c r="J32" i="68"/>
  <c r="K32" i="68"/>
  <c r="L32" i="68"/>
  <c r="M32" i="68"/>
  <c r="N32" i="68"/>
  <c r="T32" i="68"/>
  <c r="U32" i="68"/>
  <c r="AB32" i="68"/>
  <c r="AD32" i="68"/>
  <c r="AE32" i="68"/>
  <c r="AF32" i="68"/>
  <c r="AG32" i="68"/>
  <c r="J33" i="68"/>
  <c r="K33" i="68"/>
  <c r="Q33" i="68"/>
  <c r="W33" i="68"/>
  <c r="Z33" i="68"/>
  <c r="AA33" i="68"/>
  <c r="AB33" i="68"/>
  <c r="AC33" i="68"/>
  <c r="AD33" i="68"/>
  <c r="AE33" i="68"/>
  <c r="C31" i="68"/>
  <c r="C32" i="68"/>
  <c r="C33" i="68"/>
  <c r="C30" i="68"/>
  <c r="I32" i="68"/>
  <c r="I33" i="68"/>
  <c r="M28" i="68"/>
  <c r="N28" i="68"/>
  <c r="O28" i="68"/>
  <c r="P28" i="68"/>
  <c r="Q28" i="68"/>
  <c r="W28" i="68"/>
  <c r="Y28" i="68"/>
  <c r="AA28" i="68"/>
  <c r="AB28" i="68"/>
  <c r="AC28" i="68"/>
  <c r="AD28" i="68"/>
  <c r="AE28" i="68"/>
  <c r="I28" i="68"/>
  <c r="AF33" i="72"/>
  <c r="AE33" i="72"/>
  <c r="AD33" i="72"/>
  <c r="AB33" i="72"/>
  <c r="Y33" i="72"/>
  <c r="X33" i="72"/>
  <c r="V33" i="72"/>
  <c r="U33" i="72"/>
  <c r="T33" i="72"/>
  <c r="S33" i="72"/>
  <c r="R33" i="72"/>
  <c r="N33" i="72"/>
  <c r="L33" i="72"/>
  <c r="K33" i="72"/>
  <c r="AG32" i="72"/>
  <c r="AF32" i="72"/>
  <c r="AB32" i="72"/>
  <c r="AA32" i="72"/>
  <c r="Y32" i="72"/>
  <c r="X32" i="72"/>
  <c r="W32" i="72"/>
  <c r="V32" i="72"/>
  <c r="U32" i="72"/>
  <c r="R32" i="72"/>
  <c r="Q32" i="72"/>
  <c r="P32" i="72"/>
  <c r="O32" i="72"/>
  <c r="N32" i="72"/>
  <c r="M32" i="72"/>
  <c r="L32" i="72"/>
  <c r="AB31" i="72"/>
  <c r="AA31" i="72"/>
  <c r="Z31" i="72"/>
  <c r="Y31" i="72"/>
  <c r="X31" i="72"/>
  <c r="V31" i="72"/>
  <c r="T31" i="72"/>
  <c r="S31" i="72"/>
  <c r="R31" i="72"/>
  <c r="Q31" i="72"/>
  <c r="P31" i="72"/>
  <c r="K31" i="72"/>
  <c r="AG30" i="72"/>
  <c r="AC30" i="72"/>
  <c r="AB30" i="72"/>
  <c r="AA30" i="72"/>
  <c r="Z30" i="72"/>
  <c r="X30" i="72"/>
  <c r="W30" i="72"/>
  <c r="V30" i="72"/>
  <c r="U30" i="72"/>
  <c r="T30" i="72"/>
  <c r="M30" i="72"/>
  <c r="K30" i="72"/>
  <c r="AC40" i="88"/>
  <c r="AF28" i="72"/>
  <c r="AA40" i="88"/>
  <c r="Q28" i="72"/>
  <c r="L40" i="88"/>
  <c r="N28" i="72"/>
  <c r="I40" i="88"/>
  <c r="L28" i="72"/>
  <c r="G40" i="88"/>
  <c r="AG33" i="81"/>
  <c r="T33" i="81"/>
  <c r="S33" i="81"/>
  <c r="Q33" i="81"/>
  <c r="P33" i="81"/>
  <c r="O33" i="81"/>
  <c r="N33" i="81"/>
  <c r="M33" i="81"/>
  <c r="K33" i="81"/>
  <c r="J33" i="81"/>
  <c r="AB32" i="81"/>
  <c r="Y32" i="81"/>
  <c r="X32" i="81"/>
  <c r="V32" i="81"/>
  <c r="U32" i="81"/>
  <c r="T32" i="81"/>
  <c r="S32" i="81"/>
  <c r="R32" i="81"/>
  <c r="P32" i="81"/>
  <c r="AF31" i="81"/>
  <c r="AD31" i="81"/>
  <c r="AC31" i="81"/>
  <c r="AA31" i="81"/>
  <c r="Z31" i="81"/>
  <c r="Y31" i="81"/>
  <c r="X31" i="81"/>
  <c r="W31" i="81"/>
  <c r="S31" i="81"/>
  <c r="R31" i="81"/>
  <c r="Q31" i="81"/>
  <c r="P31" i="81"/>
  <c r="L31" i="81"/>
  <c r="AF30" i="81"/>
  <c r="AE30" i="81"/>
  <c r="AD30" i="81"/>
  <c r="AC30" i="81"/>
  <c r="X28" i="88"/>
  <c r="U30" i="81"/>
  <c r="T30" i="81"/>
  <c r="P30" i="81"/>
  <c r="O30" i="81"/>
  <c r="N30" i="81"/>
  <c r="L30" i="81"/>
  <c r="K30" i="81"/>
  <c r="J30" i="81"/>
  <c r="I30" i="81"/>
  <c r="AC28" i="88"/>
  <c r="I28" i="88"/>
  <c r="AG33" i="68"/>
  <c r="AF33" i="68"/>
  <c r="Y33" i="68"/>
  <c r="X33" i="68"/>
  <c r="V33" i="68"/>
  <c r="U33" i="68"/>
  <c r="T33" i="68"/>
  <c r="S33" i="68"/>
  <c r="R33" i="68"/>
  <c r="P33" i="68"/>
  <c r="O33" i="68"/>
  <c r="N33" i="68"/>
  <c r="M33" i="68"/>
  <c r="L33" i="68"/>
  <c r="J33" i="72"/>
  <c r="AC32" i="68"/>
  <c r="AA32" i="68"/>
  <c r="Z32" i="68"/>
  <c r="Y32" i="68"/>
  <c r="X32" i="68"/>
  <c r="W32" i="68"/>
  <c r="V32" i="68"/>
  <c r="S32" i="68"/>
  <c r="R32" i="68"/>
  <c r="Q32" i="68"/>
  <c r="P32" i="68"/>
  <c r="O32" i="68"/>
  <c r="I32" i="72"/>
  <c r="AE31" i="68"/>
  <c r="AD31" i="68"/>
  <c r="AC31" i="68"/>
  <c r="AB31" i="68"/>
  <c r="Z31" i="68"/>
  <c r="W31" i="68"/>
  <c r="V31" i="68"/>
  <c r="U31" i="68"/>
  <c r="T31" i="68"/>
  <c r="O31" i="68"/>
  <c r="N31" i="68"/>
  <c r="L31" i="68"/>
  <c r="K31" i="68"/>
  <c r="J31" i="72"/>
  <c r="AG30" i="68"/>
  <c r="AD30" i="68"/>
  <c r="AA30" i="68"/>
  <c r="Z30" i="68"/>
  <c r="Y30" i="68"/>
  <c r="X30" i="68"/>
  <c r="T30" i="68"/>
  <c r="S30" i="68"/>
  <c r="M16" i="88"/>
  <c r="L16" i="88"/>
  <c r="K16" i="88"/>
  <c r="J16" i="88"/>
  <c r="M30" i="68"/>
  <c r="AF28" i="68"/>
  <c r="Z28" i="68"/>
  <c r="O16" i="88"/>
  <c r="R28" i="68"/>
  <c r="L28" i="68"/>
  <c r="K28" i="68"/>
  <c r="A2" i="88"/>
  <c r="A1" i="88"/>
  <c r="AC35" i="87"/>
  <c r="AB35" i="87"/>
  <c r="AA35" i="87"/>
  <c r="Z35" i="87"/>
  <c r="Y35" i="87"/>
  <c r="X35" i="87"/>
  <c r="W35" i="87"/>
  <c r="V35" i="87"/>
  <c r="U35" i="87"/>
  <c r="T35" i="87"/>
  <c r="S35" i="87"/>
  <c r="R35" i="87"/>
  <c r="Q35" i="87"/>
  <c r="P35" i="87"/>
  <c r="O35" i="87"/>
  <c r="N35" i="87"/>
  <c r="M35" i="87"/>
  <c r="L35" i="87"/>
  <c r="K35" i="87"/>
  <c r="J35" i="87"/>
  <c r="I35" i="87"/>
  <c r="H35" i="87"/>
  <c r="G35" i="87"/>
  <c r="E35" i="87"/>
  <c r="F35" i="87"/>
  <c r="AC26" i="87"/>
  <c r="AB26" i="87"/>
  <c r="AA26" i="87"/>
  <c r="Z26" i="87"/>
  <c r="Y26" i="87"/>
  <c r="X26" i="87"/>
  <c r="W26" i="87"/>
  <c r="V26" i="87"/>
  <c r="U26" i="87"/>
  <c r="T26" i="87"/>
  <c r="S26" i="87"/>
  <c r="R26" i="87"/>
  <c r="Q26" i="87"/>
  <c r="P26" i="87"/>
  <c r="O26" i="87"/>
  <c r="N26" i="87"/>
  <c r="M26" i="87"/>
  <c r="L26" i="87"/>
  <c r="K26" i="87"/>
  <c r="J26" i="87"/>
  <c r="I26" i="87"/>
  <c r="H26" i="87"/>
  <c r="G26" i="87"/>
  <c r="F26" i="87"/>
  <c r="E26" i="87"/>
  <c r="AC21" i="87"/>
  <c r="AB21" i="87"/>
  <c r="AA21" i="87"/>
  <c r="Z21" i="87"/>
  <c r="Y21" i="87"/>
  <c r="X21" i="87"/>
  <c r="W21" i="87"/>
  <c r="V21" i="87"/>
  <c r="U21" i="87"/>
  <c r="T21" i="87"/>
  <c r="S21" i="87"/>
  <c r="R21" i="87"/>
  <c r="Q21" i="87"/>
  <c r="P21" i="87"/>
  <c r="O21" i="87"/>
  <c r="N21" i="87"/>
  <c r="M21" i="87"/>
  <c r="L21" i="87"/>
  <c r="K21" i="87"/>
  <c r="J21" i="87"/>
  <c r="I21" i="87"/>
  <c r="H21" i="87"/>
  <c r="E21" i="87"/>
  <c r="G21" i="87"/>
  <c r="F21" i="87"/>
  <c r="AC13" i="87"/>
  <c r="AB13" i="87"/>
  <c r="AA13" i="87"/>
  <c r="Z13" i="87"/>
  <c r="Y13" i="87"/>
  <c r="X13" i="87"/>
  <c r="W13" i="87"/>
  <c r="V13" i="87"/>
  <c r="U13" i="87"/>
  <c r="T13" i="87"/>
  <c r="S13" i="87"/>
  <c r="R13" i="87"/>
  <c r="Q13" i="87"/>
  <c r="P13" i="87"/>
  <c r="O13" i="87"/>
  <c r="N13" i="87"/>
  <c r="M13" i="87"/>
  <c r="L13" i="87"/>
  <c r="K13" i="87"/>
  <c r="J13" i="87"/>
  <c r="I13" i="87"/>
  <c r="H13" i="87"/>
  <c r="G13" i="87"/>
  <c r="F13" i="87"/>
  <c r="E13" i="87"/>
  <c r="A2" i="87"/>
  <c r="A1" i="87"/>
  <c r="A40" i="86"/>
  <c r="Z40" i="88" l="1"/>
  <c r="AD28" i="72"/>
  <c r="I31" i="72"/>
  <c r="I31" i="68"/>
  <c r="J28" i="88"/>
  <c r="N28" i="81"/>
  <c r="R16" i="88"/>
  <c r="V28" i="68"/>
  <c r="M28" i="88"/>
  <c r="Q28" i="81"/>
  <c r="T16" i="88"/>
  <c r="O28" i="88"/>
  <c r="U16" i="88"/>
  <c r="P28" i="88"/>
  <c r="T28" i="81"/>
  <c r="J40" i="88"/>
  <c r="S28" i="68"/>
  <c r="P28" i="72"/>
  <c r="M28" i="72"/>
  <c r="F16" i="88"/>
  <c r="Z16" i="88"/>
  <c r="S40" i="88"/>
  <c r="R28" i="88"/>
  <c r="T40" i="88"/>
  <c r="X28" i="72"/>
  <c r="I16" i="88"/>
  <c r="AC16" i="88"/>
  <c r="U40" i="88"/>
  <c r="Y28" i="72"/>
  <c r="Y28" i="88"/>
  <c r="T28" i="88"/>
  <c r="S28" i="81"/>
  <c r="P16" i="88"/>
  <c r="T28" i="68"/>
  <c r="K28" i="88"/>
  <c r="O28" i="81"/>
  <c r="Q16" i="88"/>
  <c r="U28" i="68"/>
  <c r="L28" i="88"/>
  <c r="P28" i="81"/>
  <c r="AG28" i="81"/>
  <c r="X28" i="68"/>
  <c r="AB30" i="81"/>
  <c r="Q30" i="68"/>
  <c r="R40" i="88"/>
  <c r="P30" i="68"/>
  <c r="N30" i="72"/>
  <c r="G16" i="88"/>
  <c r="AA16" i="88"/>
  <c r="O30" i="68"/>
  <c r="K28" i="72"/>
  <c r="N30" i="68"/>
  <c r="E28" i="88"/>
  <c r="I28" i="81"/>
  <c r="V40" i="88"/>
  <c r="Z28" i="72"/>
  <c r="J30" i="72"/>
  <c r="J30" i="68"/>
  <c r="F28" i="88"/>
  <c r="Z28" i="88"/>
  <c r="U28" i="88"/>
  <c r="W40" i="88"/>
  <c r="AA28" i="72"/>
  <c r="J28" i="68"/>
  <c r="AG28" i="72"/>
  <c r="G28" i="88"/>
  <c r="AA28" i="88"/>
  <c r="V28" i="88"/>
  <c r="X40" i="88"/>
  <c r="AB28" i="72"/>
  <c r="AG28" i="68"/>
  <c r="I30" i="68"/>
  <c r="M28" i="81"/>
  <c r="H16" i="88"/>
  <c r="AB16" i="88"/>
  <c r="H28" i="88"/>
  <c r="AB28" i="88"/>
  <c r="W28" i="88"/>
  <c r="Y40" i="88"/>
  <c r="J31" i="68"/>
  <c r="L28" i="81"/>
  <c r="AE28" i="72"/>
  <c r="S16" i="88"/>
  <c r="N16" i="88"/>
  <c r="N28" i="88"/>
  <c r="H40" i="88"/>
  <c r="AB40" i="88"/>
  <c r="V16" i="88"/>
  <c r="Q28" i="88"/>
  <c r="K40" i="88"/>
  <c r="W16" i="88"/>
  <c r="O40" i="88"/>
  <c r="X16" i="88"/>
  <c r="S28" i="88"/>
  <c r="P40" i="88"/>
  <c r="M40" i="88"/>
  <c r="E16" i="88"/>
  <c r="Y16" i="88"/>
  <c r="Q40" i="88"/>
  <c r="N40" i="88"/>
  <c r="E40" i="88" l="1"/>
  <c r="I28" i="72"/>
  <c r="F40" i="88"/>
  <c r="J28" i="72"/>
  <c r="I9" i="68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99" i="75"/>
  <c r="J99" i="75"/>
  <c r="AD99" i="75"/>
  <c r="K99" i="75"/>
  <c r="L99" i="75"/>
  <c r="I99" i="75"/>
  <c r="N99" i="75"/>
  <c r="M99" i="75"/>
  <c r="P99" i="75"/>
  <c r="Q99" i="75"/>
  <c r="R99" i="75"/>
  <c r="V99" i="75"/>
  <c r="S99" i="75"/>
  <c r="X99" i="75"/>
  <c r="AB99" i="75"/>
  <c r="Y99" i="75"/>
  <c r="T99" i="75"/>
  <c r="U99" i="75"/>
  <c r="Z99" i="75"/>
  <c r="AA99" i="75"/>
  <c r="O99" i="75"/>
  <c r="W99" i="75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72" l="1" a="1"/>
  <c r="P115" i="72" s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<sst xmlns="http://schemas.openxmlformats.org/spreadsheetml/2006/main" count="1129" uniqueCount="335">
  <si>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</si>
  <si>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</si>
  <si>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</si>
  <si>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</si>
  <si>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</si>
  <si>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</si>
  <si>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</si>
  <si>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</si>
  <si>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</si>
  <si>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</si>
  <si>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</si>
  <si>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</si>
  <si>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</si>
  <si>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</si>
  <si>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</si>
  <si>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</si>
  <si>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</si>
  <si>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</si>
  <si>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</si>
  <si>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</si>
  <si>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</si>
  <si>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</si>
  <si>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</si>
  <si>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</si>
  <si>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</si>
  <si>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</si>
  <si>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</si>
  <si>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</si>
  <si>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</si>
  <si>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</si>
  <si>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</si>
  <si>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</si>
  <si>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</si>
  <si>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</si>
  <si>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</si>
  <si>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</si>
  <si>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</si>
  <si>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</si>
  <si>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</si>
  <si>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</si>
  <si>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</si>
  <si>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</si>
  <si>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</si>
  <si>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</si>
  <si>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</si>
  <si>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</si>
  <si>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</si>
  <si>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</si>
  <si>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</si>
  <si>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</si>
  <si>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</si>
  <si>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</si>
  <si>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</si>
  <si>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</si>
  <si>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</si>
  <si>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</si>
  <si>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</si>
  <si>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</si>
  <si>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</si>
  <si>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</si>
  <si>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</si>
  <si>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</si>
  <si>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</si>
  <si>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</si>
  <si>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</si>
  <si>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</si>
  <si>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</si>
  <si>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</si>
  <si>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</si>
  <si>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</si>
  <si>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</si>
  <si>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</si>
  <si>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</si>
  <si>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</si>
  <si>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</si>
  <si>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</si>
  <si>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</si>
  <si>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</si>
  <si>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</si>
  <si>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</si>
  <si>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</si>
  <si>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</si>
  <si>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</si>
  <si>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</si>
  <si>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</si>
  <si>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</si>
  <si>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</si>
  <si>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</si>
  <si>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</si>
  <si>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</si>
  <si>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</si>
  <si>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</si>
  <si>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</si>
  <si>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</si>
  <si>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</si>
  <si>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</si>
  <si>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</si>
  <si>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</si>
  <si>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</si>
  <si>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</si>
  <si>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</si>
  <si>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</si>
  <si>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</si>
  <si>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</si>
  <si>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</si>
  <si>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</si>
  <si>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</si>
  <si>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</si>
  <si>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</si>
  <si>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</si>
  <si>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</si>
  <si>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</si>
  <si>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</si>
  <si>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</si>
  <si>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</si>
  <si>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</si>
  <si>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</si>
  <si>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</si>
  <si>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</si>
  <si>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</si>
  <si>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</si>
  <si>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</si>
  <si>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</si>
  <si>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</si>
  <si>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</si>
  <si>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</si>
  <si>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</si>
  <si>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</si>
  <si>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</si>
  <si>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</si>
  <si>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</si>
  <si>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</si>
  <si>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</si>
  <si>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</si>
  <si>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</si>
  <si>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</si>
  <si>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N/A</t>
  </si>
  <si>
    <t>CP</t>
  </si>
  <si>
    <t>PA</t>
  </si>
  <si>
    <t>UE</t>
  </si>
  <si>
    <t>Cohuna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</si>
  <si>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</si>
  <si>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</si>
  <si>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</si>
  <si>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</si>
  <si>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</si>
  <si>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</si>
  <si>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</si>
  <si>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</si>
  <si>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</si>
  <si>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</si>
  <si>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</si>
  <si>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</si>
  <si>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</si>
  <si>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</si>
  <si>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</si>
  <si>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</si>
  <si>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</si>
  <si>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</si>
  <si>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</si>
  <si>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</si>
  <si>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</si>
  <si>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</si>
  <si>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</si>
  <si>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</si>
  <si>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</si>
  <si>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</si>
  <si>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</si>
  <si>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</si>
  <si>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</si>
  <si>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</si>
  <si>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</si>
  <si>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</si>
  <si>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</si>
  <si>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</si>
  <si>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</si>
  <si>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</si>
  <si>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</si>
  <si>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</si>
  <si>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</si>
  <si>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</si>
  <si>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</si>
  <si>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</si>
  <si>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</si>
  <si>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</si>
  <si>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</si>
  <si>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</si>
  <si>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</si>
  <si>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</si>
  <si>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</si>
  <si>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</si>
  <si>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</si>
  <si>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</si>
  <si>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</si>
  <si>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</si>
  <si>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</si>
  <si>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</si>
  <si>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</si>
  <si>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</si>
  <si>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</si>
  <si>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</si>
  <si>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</si>
  <si>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</si>
  <si>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</si>
  <si>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</si>
  <si>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</si>
  <si>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</si>
  <si>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</si>
  <si>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</si>
  <si>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</si>
  <si>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</si>
  <si>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</si>
  <si>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</si>
  <si>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</si>
  <si>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</si>
  <si>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</si>
  <si>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</si>
  <si>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</si>
  <si>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</si>
  <si>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</si>
  <si>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</si>
  <si>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</si>
  <si>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</si>
  <si>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</si>
  <si>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</si>
  <si>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</si>
  <si>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</si>
  <si>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</si>
  <si>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</si>
  <si>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</si>
  <si>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</si>
  <si>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</si>
  <si>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</si>
  <si>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</si>
  <si>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</si>
  <si>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</si>
  <si>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</si>
  <si>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</si>
  <si>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</si>
  <si>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</si>
  <si>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</si>
  <si>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</si>
  <si>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</si>
  <si>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</si>
  <si>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</si>
  <si>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</si>
  <si>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</si>
  <si>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</si>
  <si>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WORKINGS - COSTS</t>
  </si>
  <si>
    <t>Option 1 - continue existing maintenance with no proactive replacement cost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</si>
  <si>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</si>
  <si>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</si>
  <si>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</si>
  <si>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</si>
  <si>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</si>
  <si>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</si>
  <si>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</si>
  <si>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</si>
  <si>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</si>
  <si>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</si>
  <si>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</si>
  <si>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</si>
  <si>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</si>
  <si>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</si>
  <si>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</si>
  <si>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</si>
  <si>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</si>
  <si>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</si>
  <si>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</si>
  <si>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Relay annual maintenance cost ($)</t>
  </si>
  <si>
    <t>Total opex cost ($)</t>
  </si>
  <si>
    <t>Tx capex profile ($)</t>
  </si>
  <si>
    <t>Total capex ($)</t>
  </si>
  <si>
    <t>SWBD online monitoring annual cost ($)</t>
  </si>
  <si>
    <t>WORKINGS - RISKS</t>
  </si>
  <si>
    <t>Transformer risks</t>
  </si>
  <si>
    <t>Energy at Risk ($, Weighted)</t>
  </si>
  <si>
    <t>Safety Risk</t>
  </si>
  <si>
    <t>Unplanned Replacement Risk</t>
  </si>
  <si>
    <t>Unplanned Fault Risk</t>
  </si>
  <si>
    <t>Unplanned Enviromental Risk</t>
  </si>
  <si>
    <t>Total transformer risks</t>
  </si>
  <si>
    <t>Input Data - Station Configuration</t>
  </si>
  <si>
    <t>Constants</t>
  </si>
  <si>
    <t>POF METHOD</t>
  </si>
  <si>
    <t>WEIBULL</t>
  </si>
  <si>
    <t>Modifier (x)</t>
  </si>
  <si>
    <t>Comment</t>
  </si>
  <si>
    <t>Substation:</t>
  </si>
  <si>
    <t>Major Failure CoC</t>
  </si>
  <si>
    <t>PoF (#1)</t>
  </si>
  <si>
    <t>Asset Type</t>
  </si>
  <si>
    <t>Transformer</t>
  </si>
  <si>
    <t>Minor Failure CoC</t>
  </si>
  <si>
    <t>PoF (#2)</t>
  </si>
  <si>
    <t>Major Failure CoC - used</t>
  </si>
  <si>
    <t>PoF (#3)</t>
  </si>
  <si>
    <t>Load Profile (PoE)</t>
  </si>
  <si>
    <t>Minor Failure CoC - used</t>
  </si>
  <si>
    <t>PoF (#4)</t>
  </si>
  <si>
    <t>Setting</t>
  </si>
  <si>
    <t>Unit Price</t>
  </si>
  <si>
    <t>Model Output</t>
  </si>
  <si>
    <t>Spare Available</t>
  </si>
  <si>
    <t>Online Monitoring</t>
  </si>
  <si>
    <t>Physical Separation</t>
  </si>
  <si>
    <t>More Frequent Maintenance</t>
  </si>
  <si>
    <t>Pr (Terminal Failure)</t>
  </si>
  <si>
    <t>Staggered Maintenance</t>
  </si>
  <si>
    <t>Pr (Repairable Failure)</t>
  </si>
  <si>
    <t>Bunded</t>
  </si>
  <si>
    <t>Refurbish Assets</t>
  </si>
  <si>
    <t>Replace 1 Asset</t>
  </si>
  <si>
    <t>Replace 2 Assets</t>
  </si>
  <si>
    <t>Replace 3 Assets</t>
  </si>
  <si>
    <t>Addiitonal Asset</t>
  </si>
  <si>
    <t>Load Transfers</t>
  </si>
  <si>
    <t>Unplanned Fire Risk</t>
  </si>
  <si>
    <t>Non-Network MW</t>
  </si>
  <si>
    <t>Option Capital Cost</t>
  </si>
  <si>
    <t>Total Life Cycle Cost</t>
  </si>
  <si>
    <t>Safety risk</t>
  </si>
  <si>
    <t>Unplanned replacement risk</t>
  </si>
  <si>
    <t>Unplanned fault risk</t>
  </si>
  <si>
    <t>Enviromental risk</t>
  </si>
  <si>
    <t>Replace 1 transformer</t>
  </si>
  <si>
    <t>Refurbish 1 transformer</t>
  </si>
  <si>
    <t>CHA transformer</t>
  </si>
  <si>
    <t>Refurb transformer #2 completed in 2026-2027</t>
  </si>
  <si>
    <t>CHA transformer replacement</t>
  </si>
  <si>
    <t>CHA</t>
  </si>
  <si>
    <t>Scenario #1: CHA - Transformer</t>
  </si>
  <si>
    <t>Scenario #2: CHA - Transformer</t>
  </si>
  <si>
    <t>Scenario #3: CHA - Transformer</t>
  </si>
  <si>
    <t>Replace transformer #2 completed in 2026-2027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</si>
</sst>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0.000%"/>
    <numFmt numFmtId="190" formatCode="\+0%;[Red]\ \ \-0%;\ &quot;-&quot;"/>
    <numFmt numFmtId="191" formatCode="#,##0.00_ ;[Red]\-#,##0.00\ "/>
    <numFmt numFmtId="192" formatCode="#,##0.0;[Red]\ \-#,##0.0;\ &quot;&quot;"/>
    <numFmt numFmtId="193" formatCode="0.000000000000000"/>
    <numFmt numFmtId="194" formatCode="0%;[Red]\ \ \-0%;\ &quot;-&quot;"/>
    <numFmt numFmtId="195" formatCode="dd\ mmmm\ yyyy"/>
    <numFmt numFmtId="196" formatCode="mmm\ yyyy"/>
    <numFmt numFmtId="197" formatCode="_-&quot;$&quot;* #,##0_-;\-&quot;$&quot;* #,##0_-;_-&quot;$&quot;* &quot;-&quot;??_-;_-@_-"/>
    <numFmt numFmtId="198" formatCode="_-* #,##0.0_-;\-* #,##0.0_-;_-* &quot;-&quot;??_-;_-@_-"/>
    <numFmt numFmtId="199" formatCode="#,##0.000_);\(#,##0.000\);\-\-_)"/>
    <numFmt numFmtId="200" formatCode="?0"/>
    <numFmt numFmtId="201" formatCode="0.0"/>
  </numFmts>
  <fonts count="105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sz val="10"/>
      <color rgb="FFFF0000"/>
      <name val="Calibri"/>
      <family val="2"/>
    </font>
    <font>
      <b/>
      <sz val="14"/>
      <color theme="1"/>
      <name val="Calibri"/>
      <family val="2"/>
    </font>
    <font>
      <b/>
      <sz val="10"/>
      <color rgb="FFFFFFFF"/>
      <name val="Calibri"/>
      <family val="2"/>
    </font>
    <font>
      <sz val="10"/>
      <name val="Verdana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rgb="FF000000"/>
      </patternFill>
    </fill>
    <fill>
      <patternFill patternType="solid">
        <fgColor rgb="FFFCCDD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49357"/>
        <bgColor rgb="FF000000"/>
      </patternFill>
    </fill>
    <fill>
      <patternFill patternType="solid">
        <fgColor rgb="FFD5E4FF"/>
        <bgColor rgb="FF000000"/>
      </patternFill>
    </fill>
    <fill>
      <patternFill patternType="solid">
        <fgColor rgb="FF95BDFF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6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8" fillId="0" borderId="0"/>
    <xf numFmtId="9" fontId="78" fillId="0" borderId="0" applyFont="0" applyFill="0" applyBorder="0" applyAlignment="0" applyProtection="0"/>
    <xf numFmtId="0" fontId="18" fillId="0" borderId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93" fillId="17" borderId="16" applyNumberFormat="0" applyProtection="0">
      <alignment horizontal="left" vertical="center" indent="1"/>
    </xf>
    <xf numFmtId="4" fontId="93" fillId="17" borderId="16" applyNumberFormat="0" applyProtection="0">
      <alignment horizontal="left" vertical="center" indent="1"/>
    </xf>
    <xf numFmtId="4" fontId="93" fillId="0" borderId="16" applyNumberFormat="0" applyProtection="0">
      <alignment horizontal="right" vertical="center"/>
    </xf>
    <xf numFmtId="44" fontId="78" fillId="0" borderId="0" applyFont="0" applyFill="0" applyBorder="0" applyAlignment="0" applyProtection="0"/>
    <xf numFmtId="9" fontId="78" fillId="0" borderId="0" applyFont="0" applyFill="0" applyBorder="0" applyAlignment="0" applyProtection="0"/>
  </cellStyleXfs>
  <cellXfs count="436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7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8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9" fillId="0" borderId="0" xfId="0" applyNumberFormat="1" applyFont="1"/>
    <xf numFmtId="0" fontId="58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60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1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1" fillId="10" borderId="0" xfId="18" applyNumberFormat="1" applyFont="1" applyFill="1" applyAlignment="1">
      <alignment horizontal="left" vertical="center"/>
    </xf>
    <xf numFmtId="0" fontId="62" fillId="0" borderId="0" xfId="18" applyFont="1"/>
    <xf numFmtId="0" fontId="63" fillId="0" borderId="7" xfId="18" applyFont="1" applyFill="1" applyBorder="1" applyAlignment="1">
      <alignment vertical="center"/>
    </xf>
    <xf numFmtId="0" fontId="64" fillId="0" borderId="0" xfId="18" applyFont="1"/>
    <xf numFmtId="0" fontId="59" fillId="0" borderId="0" xfId="0" applyFont="1"/>
    <xf numFmtId="168" fontId="64" fillId="0" borderId="0" xfId="18" applyNumberFormat="1" applyFont="1" applyFill="1" applyAlignment="1">
      <alignment horizontal="left"/>
    </xf>
    <xf numFmtId="0" fontId="63" fillId="0" borderId="0" xfId="18" applyFont="1" applyFill="1" applyBorder="1" applyAlignment="1">
      <alignment vertical="center"/>
    </xf>
    <xf numFmtId="168" fontId="65" fillId="0" borderId="0" xfId="18" applyNumberFormat="1" applyFont="1" applyFill="1" applyAlignment="1">
      <alignment horizontal="left"/>
    </xf>
    <xf numFmtId="168" fontId="66" fillId="0" borderId="0" xfId="18" applyNumberFormat="1" applyFont="1" applyAlignment="1">
      <alignment horizontal="left" vertical="center"/>
    </xf>
    <xf numFmtId="0" fontId="63" fillId="0" borderId="0" xfId="18" applyFont="1" applyFill="1" applyBorder="1" applyAlignment="1">
      <alignment horizontal="left" vertical="center"/>
    </xf>
    <xf numFmtId="0" fontId="64" fillId="0" borderId="0" xfId="18" applyFont="1" applyAlignment="1">
      <alignment horizontal="left"/>
    </xf>
    <xf numFmtId="0" fontId="67" fillId="0" borderId="0" xfId="18" applyFont="1" applyAlignment="1">
      <alignment horizontal="left" vertical="center"/>
    </xf>
    <xf numFmtId="0" fontId="66" fillId="0" borderId="0" xfId="18" applyFont="1" applyAlignment="1">
      <alignment horizontal="left" vertical="center"/>
    </xf>
    <xf numFmtId="168" fontId="66" fillId="0" borderId="11" xfId="18" applyNumberFormat="1" applyFont="1" applyBorder="1" applyAlignment="1">
      <alignment horizontal="left" vertical="center"/>
    </xf>
    <xf numFmtId="168" fontId="68" fillId="0" borderId="0" xfId="18" applyNumberFormat="1" applyFont="1" applyAlignment="1">
      <alignment horizontal="left" vertical="center"/>
    </xf>
    <xf numFmtId="168" fontId="66" fillId="0" borderId="0" xfId="18" applyNumberFormat="1" applyFont="1" applyBorder="1" applyAlignment="1">
      <alignment horizontal="left" vertical="center"/>
    </xf>
    <xf numFmtId="0" fontId="69" fillId="0" borderId="0" xfId="0" applyFont="1"/>
    <xf numFmtId="0" fontId="46" fillId="0" borderId="0" xfId="18" applyFont="1"/>
    <xf numFmtId="0" fontId="70" fillId="11" borderId="0" xfId="18" applyFont="1" applyFill="1" applyAlignment="1">
      <alignment horizontal="right" vertical="center"/>
    </xf>
    <xf numFmtId="167" fontId="66" fillId="0" borderId="0" xfId="18" applyNumberFormat="1" applyFont="1" applyAlignment="1">
      <alignment horizontal="right" vertical="center"/>
    </xf>
    <xf numFmtId="0" fontId="63" fillId="0" borderId="7" xfId="18" applyFont="1" applyBorder="1" applyAlignment="1">
      <alignment horizontal="right" vertical="center"/>
    </xf>
    <xf numFmtId="166" fontId="72" fillId="10" borderId="0" xfId="16" applyFont="1" applyFill="1" applyAlignment="1">
      <alignment horizontal="right"/>
    </xf>
    <xf numFmtId="0" fontId="71" fillId="0" borderId="0" xfId="8" applyFont="1" applyAlignment="1">
      <alignment horizontal="right"/>
    </xf>
    <xf numFmtId="168" fontId="66" fillId="0" borderId="0" xfId="18" applyNumberFormat="1" applyFont="1" applyAlignment="1">
      <alignment horizontal="right" vertical="center"/>
    </xf>
    <xf numFmtId="168" fontId="68" fillId="0" borderId="0" xfId="18" applyNumberFormat="1" applyFont="1" applyAlignment="1">
      <alignment horizontal="right" vertical="center"/>
    </xf>
    <xf numFmtId="168" fontId="66" fillId="0" borderId="4" xfId="18" applyNumberFormat="1" applyFont="1" applyBorder="1" applyAlignment="1">
      <alignment horizontal="right" vertical="center"/>
    </xf>
    <xf numFmtId="0" fontId="64" fillId="0" borderId="0" xfId="18" applyFont="1" applyAlignment="1">
      <alignment horizontal="right"/>
    </xf>
    <xf numFmtId="0" fontId="64" fillId="0" borderId="0" xfId="0" applyFont="1" applyAlignment="1">
      <alignment horizontal="right"/>
    </xf>
    <xf numFmtId="0" fontId="73" fillId="0" borderId="0" xfId="18" applyFont="1" applyAlignment="1">
      <alignment vertical="center"/>
    </xf>
    <xf numFmtId="0" fontId="26" fillId="0" borderId="0" xfId="18" applyFont="1"/>
    <xf numFmtId="178" fontId="73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4" fillId="0" borderId="0" xfId="18" applyNumberFormat="1" applyFont="1" applyAlignment="1">
      <alignment horizontal="left"/>
    </xf>
    <xf numFmtId="0" fontId="75" fillId="0" borderId="11" xfId="0" applyFont="1" applyFill="1" applyBorder="1" applyAlignment="1"/>
    <xf numFmtId="166" fontId="74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6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90" fontId="15" fillId="0" borderId="0" xfId="18" applyNumberFormat="1"/>
    <xf numFmtId="191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8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90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9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2" fontId="15" fillId="0" borderId="0" xfId="0" applyNumberFormat="1" applyFont="1" applyFill="1" applyAlignment="1">
      <alignment horizontal="center"/>
    </xf>
    <xf numFmtId="0" fontId="80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6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2" fontId="16" fillId="0" borderId="11" xfId="18" applyNumberFormat="1" applyFont="1" applyBorder="1" applyAlignment="1">
      <alignment horizontal="right" vertical="center"/>
    </xf>
    <xf numFmtId="192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1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2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2" fontId="82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3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9" fillId="0" borderId="7" xfId="18" applyFont="1" applyBorder="1"/>
    <xf numFmtId="183" fontId="15" fillId="0" borderId="0" xfId="18" applyNumberFormat="1" applyAlignment="1">
      <alignment horizontal="left"/>
    </xf>
    <xf numFmtId="194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90" fontId="27" fillId="2" borderId="0" xfId="23" applyNumberFormat="1" applyAlignment="1">
      <alignment horizontal="right"/>
    </xf>
    <xf numFmtId="190" fontId="37" fillId="2" borderId="0" xfId="23" applyNumberFormat="1" applyFont="1" applyAlignment="1">
      <alignment horizontal="right"/>
    </xf>
    <xf numFmtId="0" fontId="18" fillId="16" borderId="0" xfId="20" applyFill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195" fontId="89" fillId="0" borderId="0" xfId="20" applyNumberFormat="1" applyFont="1" applyAlignment="1">
      <alignment horizontal="left"/>
    </xf>
    <xf numFmtId="0" fontId="90" fillId="0" borderId="0" xfId="20" applyFont="1"/>
    <xf numFmtId="196" fontId="91" fillId="10" borderId="0" xfId="16" applyNumberFormat="1" applyFont="1" applyFill="1" applyAlignment="1">
      <alignment horizontal="right"/>
    </xf>
    <xf numFmtId="196" fontId="92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7" fillId="0" borderId="0" xfId="20" applyFont="1" applyAlignment="1">
      <alignment horizontal="left"/>
    </xf>
    <xf numFmtId="0" fontId="95" fillId="0" borderId="0" xfId="18" applyFont="1"/>
    <xf numFmtId="0" fontId="24" fillId="18" borderId="0" xfId="18" applyFont="1" applyFill="1" applyAlignment="1">
      <alignment vertical="center"/>
    </xf>
    <xf numFmtId="0" fontId="21" fillId="19" borderId="0" xfId="18" applyFont="1" applyFill="1"/>
    <xf numFmtId="0" fontId="96" fillId="19" borderId="0" xfId="18" applyFont="1" applyFill="1"/>
    <xf numFmtId="0" fontId="97" fillId="19" borderId="0" xfId="0" applyFont="1" applyFill="1"/>
    <xf numFmtId="0" fontId="98" fillId="0" borderId="0" xfId="18" applyFont="1"/>
    <xf numFmtId="0" fontId="94" fillId="0" borderId="0" xfId="18" applyFont="1"/>
    <xf numFmtId="0" fontId="98" fillId="20" borderId="0" xfId="18" applyFont="1" applyFill="1" applyAlignment="1">
      <alignment horizontal="right"/>
    </xf>
    <xf numFmtId="0" fontId="99" fillId="0" borderId="0" xfId="18" applyFont="1" applyAlignment="1">
      <alignment horizontal="right"/>
    </xf>
    <xf numFmtId="0" fontId="98" fillId="0" borderId="0" xfId="18" applyFont="1" applyAlignment="1">
      <alignment horizontal="right"/>
    </xf>
    <xf numFmtId="197" fontId="98" fillId="21" borderId="0" xfId="34" applyNumberFormat="1" applyFont="1" applyFill="1" applyBorder="1"/>
    <xf numFmtId="0" fontId="99" fillId="0" borderId="12" xfId="18" applyFont="1" applyBorder="1" applyAlignment="1">
      <alignment horizontal="right"/>
    </xf>
    <xf numFmtId="197" fontId="98" fillId="0" borderId="12" xfId="34" applyNumberFormat="1" applyFont="1" applyFill="1" applyBorder="1"/>
    <xf numFmtId="0" fontId="98" fillId="19" borderId="0" xfId="18" applyFont="1" applyFill="1"/>
    <xf numFmtId="0" fontId="98" fillId="0" borderId="12" xfId="18" applyFont="1" applyBorder="1" applyAlignment="1">
      <alignment horizontal="right"/>
    </xf>
    <xf numFmtId="197" fontId="98" fillId="0" borderId="12" xfId="18" applyNumberFormat="1" applyFont="1" applyBorder="1"/>
    <xf numFmtId="0" fontId="98" fillId="21" borderId="0" xfId="18" applyFont="1" applyFill="1"/>
    <xf numFmtId="199" fontId="98" fillId="0" borderId="0" xfId="18" applyNumberFormat="1" applyFont="1"/>
    <xf numFmtId="0" fontId="98" fillId="0" borderId="0" xfId="18" applyFont="1" applyAlignment="1">
      <alignment horizontal="left"/>
    </xf>
    <xf numFmtId="0" fontId="99" fillId="0" borderId="0" xfId="18" applyFont="1"/>
    <xf numFmtId="197" fontId="98" fillId="21" borderId="0" xfId="18" applyNumberFormat="1" applyFont="1" applyFill="1"/>
    <xf numFmtId="0" fontId="98" fillId="0" borderId="12" xfId="18" applyFont="1" applyBorder="1"/>
    <xf numFmtId="0" fontId="100" fillId="19" borderId="0" xfId="20" applyFont="1" applyFill="1" applyAlignment="1">
      <alignment horizontal="left" vertical="center"/>
    </xf>
    <xf numFmtId="0" fontId="100" fillId="19" borderId="0" xfId="20" applyFont="1" applyFill="1" applyAlignment="1">
      <alignment vertical="center"/>
    </xf>
    <xf numFmtId="0" fontId="100" fillId="22" borderId="0" xfId="20" applyFont="1" applyFill="1" applyAlignment="1">
      <alignment vertical="center"/>
    </xf>
    <xf numFmtId="9" fontId="93" fillId="23" borderId="17" xfId="19" applyFont="1" applyFill="1" applyBorder="1" applyAlignment="1" applyProtection="1">
      <alignment horizontal="center" vertical="center"/>
      <protection locked="0"/>
    </xf>
    <xf numFmtId="0" fontId="93" fillId="0" borderId="0" xfId="20" applyFont="1" applyAlignment="1">
      <alignment horizontal="left"/>
    </xf>
    <xf numFmtId="200" fontId="93" fillId="23" borderId="17" xfId="20" applyNumberFormat="1" applyFont="1" applyFill="1" applyBorder="1" applyAlignment="1" applyProtection="1">
      <alignment horizontal="left" vertical="center"/>
      <protection locked="0"/>
    </xf>
    <xf numFmtId="0" fontId="93" fillId="0" borderId="0" xfId="20" applyFont="1"/>
    <xf numFmtId="197" fontId="101" fillId="23" borderId="17" xfId="29" applyNumberFormat="1" applyFont="1" applyFill="1" applyBorder="1"/>
    <xf numFmtId="189" fontId="101" fillId="21" borderId="17" xfId="19" applyNumberFormat="1" applyFont="1" applyFill="1" applyBorder="1" applyAlignment="1" applyProtection="1">
      <alignment horizontal="center" vertical="center"/>
      <protection locked="0"/>
    </xf>
    <xf numFmtId="9" fontId="101" fillId="21" borderId="17" xfId="19" applyFont="1" applyFill="1" applyBorder="1" applyAlignment="1" applyProtection="1">
      <alignment horizontal="center" vertical="center"/>
      <protection locked="0"/>
    </xf>
    <xf numFmtId="9" fontId="101" fillId="24" borderId="17" xfId="19" applyFont="1" applyFill="1" applyBorder="1" applyAlignment="1" applyProtection="1">
      <alignment horizontal="left" vertical="center"/>
      <protection locked="0"/>
    </xf>
    <xf numFmtId="44" fontId="101" fillId="24" borderId="17" xfId="19" applyNumberFormat="1" applyFont="1" applyFill="1" applyBorder="1" applyAlignment="1" applyProtection="1">
      <alignment horizontal="left" vertical="center"/>
      <protection locked="0"/>
    </xf>
    <xf numFmtId="197" fontId="101" fillId="24" borderId="17" xfId="19" applyNumberFormat="1" applyFont="1" applyFill="1" applyBorder="1" applyAlignment="1" applyProtection="1">
      <alignment horizontal="left" vertical="center"/>
      <protection locked="0"/>
    </xf>
    <xf numFmtId="9" fontId="101" fillId="24" borderId="17" xfId="35" applyFont="1" applyFill="1" applyBorder="1" applyAlignment="1" applyProtection="1">
      <alignment horizontal="right" vertical="center"/>
      <protection locked="0"/>
    </xf>
    <xf numFmtId="10" fontId="101" fillId="21" borderId="17" xfId="19" applyNumberFormat="1" applyFont="1" applyFill="1" applyBorder="1" applyAlignment="1" applyProtection="1">
      <alignment horizontal="center" vertical="center"/>
      <protection locked="0"/>
    </xf>
    <xf numFmtId="0" fontId="100" fillId="19" borderId="0" xfId="20" applyFont="1" applyFill="1" applyAlignment="1">
      <alignment horizontal="left" vertical="center" wrapText="1"/>
    </xf>
    <xf numFmtId="0" fontId="100" fillId="19" borderId="0" xfId="20" applyFont="1" applyFill="1" applyAlignment="1">
      <alignment horizontal="center" vertical="center"/>
    </xf>
    <xf numFmtId="0" fontId="100" fillId="25" borderId="0" xfId="20" applyFont="1" applyFill="1" applyAlignment="1">
      <alignment vertical="center"/>
    </xf>
    <xf numFmtId="9" fontId="101" fillId="0" borderId="0" xfId="20" applyNumberFormat="1" applyFont="1" applyAlignment="1">
      <alignment horizontal="center"/>
    </xf>
    <xf numFmtId="197" fontId="101" fillId="0" borderId="0" xfId="20" applyNumberFormat="1" applyFont="1" applyAlignment="1">
      <alignment horizontal="left"/>
    </xf>
    <xf numFmtId="198" fontId="101" fillId="0" borderId="0" xfId="30" applyNumberFormat="1" applyFont="1" applyFill="1" applyBorder="1"/>
    <xf numFmtId="198" fontId="101" fillId="21" borderId="17" xfId="30" applyNumberFormat="1" applyFont="1" applyFill="1" applyBorder="1"/>
    <xf numFmtId="10" fontId="101" fillId="21" borderId="17" xfId="30" applyNumberFormat="1" applyFont="1" applyFill="1" applyBorder="1"/>
    <xf numFmtId="201" fontId="101" fillId="0" borderId="0" xfId="20" applyNumberFormat="1" applyFont="1" applyAlignment="1">
      <alignment horizontal="center"/>
    </xf>
    <xf numFmtId="197" fontId="101" fillId="0" borderId="0" xfId="34" applyNumberFormat="1" applyFont="1" applyFill="1" applyBorder="1"/>
    <xf numFmtId="44" fontId="93" fillId="0" borderId="0" xfId="20" applyNumberFormat="1" applyFont="1" applyAlignment="1">
      <alignment horizontal="left"/>
    </xf>
    <xf numFmtId="197" fontId="93" fillId="0" borderId="0" xfId="20" applyNumberFormat="1" applyFont="1" applyAlignment="1">
      <alignment horizontal="left"/>
    </xf>
    <xf numFmtId="0" fontId="93" fillId="0" borderId="18" xfId="20" applyFont="1" applyBorder="1" applyAlignment="1">
      <alignment horizontal="left"/>
    </xf>
    <xf numFmtId="0" fontId="102" fillId="26" borderId="18" xfId="20" applyFont="1" applyFill="1" applyBorder="1" applyAlignment="1">
      <alignment horizontal="left"/>
    </xf>
    <xf numFmtId="197" fontId="102" fillId="26" borderId="18" xfId="20" applyNumberFormat="1" applyFont="1" applyFill="1" applyBorder="1" applyAlignment="1">
      <alignment horizontal="left"/>
    </xf>
    <xf numFmtId="0" fontId="101" fillId="0" borderId="0" xfId="20" applyFont="1" applyAlignment="1">
      <alignment horizontal="left"/>
    </xf>
    <xf numFmtId="0" fontId="102" fillId="27" borderId="0" xfId="20" applyFont="1" applyFill="1" applyAlignment="1">
      <alignment horizontal="left"/>
    </xf>
    <xf numFmtId="197" fontId="93" fillId="27" borderId="0" xfId="20" applyNumberFormat="1" applyFont="1" applyFill="1" applyAlignment="1">
      <alignment horizontal="left"/>
    </xf>
    <xf numFmtId="0" fontId="103" fillId="22" borderId="0" xfId="20" applyFont="1" applyFill="1" applyAlignment="1">
      <alignment vertical="center"/>
    </xf>
    <xf numFmtId="9" fontId="4" fillId="23" borderId="17" xfId="19" applyFont="1" applyFill="1" applyBorder="1" applyAlignment="1" applyProtection="1">
      <alignment horizontal="center" vertical="center"/>
      <protection locked="0"/>
    </xf>
    <xf numFmtId="0" fontId="103" fillId="19" borderId="0" xfId="20" applyFont="1" applyFill="1" applyAlignment="1">
      <alignment vertical="center"/>
    </xf>
    <xf numFmtId="0" fontId="4" fillId="0" borderId="0" xfId="20" applyFont="1"/>
    <xf numFmtId="189" fontId="104" fillId="21" borderId="17" xfId="19" applyNumberFormat="1" applyFont="1" applyFill="1" applyBorder="1" applyAlignment="1" applyProtection="1">
      <alignment horizontal="center" vertical="center"/>
      <protection locked="0"/>
    </xf>
    <xf numFmtId="9" fontId="104" fillId="21" borderId="17" xfId="19" applyFont="1" applyFill="1" applyBorder="1" applyAlignment="1" applyProtection="1">
      <alignment horizontal="center" vertical="center"/>
      <protection locked="0"/>
    </xf>
    <xf numFmtId="10" fontId="104" fillId="21" borderId="17" xfId="19" applyNumberFormat="1" applyFont="1" applyFill="1" applyBorder="1" applyAlignment="1" applyProtection="1">
      <alignment horizontal="center" vertical="center"/>
      <protection locked="0"/>
    </xf>
    <xf numFmtId="0" fontId="56" fillId="8" borderId="0" xfId="20" applyFont="1" applyFill="1" applyAlignment="1">
      <alignment horizontal="left" vertical="center" wrapText="1"/>
    </xf>
    <xf numFmtId="0" fontId="56" fillId="8" borderId="0" xfId="20" applyFont="1" applyFill="1" applyAlignment="1">
      <alignment horizontal="center" vertical="center"/>
    </xf>
    <xf numFmtId="0" fontId="56" fillId="8" borderId="0" xfId="20" applyFont="1" applyFill="1" applyAlignment="1">
      <alignment vertical="center"/>
    </xf>
    <xf numFmtId="0" fontId="56" fillId="8" borderId="0" xfId="20" applyFont="1" applyFill="1" applyAlignment="1">
      <alignment horizontal="left" vertical="center"/>
    </xf>
    <xf numFmtId="0" fontId="56" fillId="28" borderId="0" xfId="20" applyFont="1" applyFill="1" applyAlignment="1">
      <alignment vertical="center"/>
    </xf>
    <xf numFmtId="0" fontId="34" fillId="0" borderId="0" xfId="20" applyFont="1" applyAlignment="1">
      <alignment horizontal="left"/>
    </xf>
    <xf numFmtId="9" fontId="15" fillId="0" borderId="0" xfId="20" applyNumberFormat="1" applyFont="1" applyAlignment="1">
      <alignment horizontal="center"/>
    </xf>
    <xf numFmtId="197" fontId="15" fillId="0" borderId="0" xfId="20" applyNumberFormat="1" applyFont="1" applyAlignment="1">
      <alignment horizontal="left"/>
    </xf>
    <xf numFmtId="198" fontId="15" fillId="0" borderId="0" xfId="30" applyNumberFormat="1" applyFont="1"/>
    <xf numFmtId="198" fontId="15" fillId="2" borderId="17" xfId="30" applyNumberFormat="1" applyFont="1" applyFill="1" applyBorder="1"/>
    <xf numFmtId="10" fontId="15" fillId="2" borderId="17" xfId="30" applyNumberFormat="1" applyFont="1" applyFill="1" applyBorder="1"/>
    <xf numFmtId="201" fontId="15" fillId="0" borderId="0" xfId="20" applyNumberFormat="1" applyFont="1" applyAlignment="1">
      <alignment horizontal="center"/>
    </xf>
    <xf numFmtId="197" fontId="15" fillId="0" borderId="0" xfId="34" applyNumberFormat="1" applyFont="1" applyFill="1" applyBorder="1"/>
    <xf numFmtId="197" fontId="15" fillId="0" borderId="0" xfId="34" applyNumberFormat="1" applyFont="1" applyFill="1"/>
    <xf numFmtId="44" fontId="34" fillId="0" borderId="0" xfId="20" applyNumberFormat="1" applyFont="1" applyAlignment="1">
      <alignment horizontal="left"/>
    </xf>
    <xf numFmtId="197" fontId="34" fillId="0" borderId="0" xfId="20" applyNumberFormat="1" applyFont="1" applyAlignment="1">
      <alignment horizontal="left"/>
    </xf>
    <xf numFmtId="0" fontId="34" fillId="0" borderId="18" xfId="20" applyFont="1" applyBorder="1" applyAlignment="1">
      <alignment horizontal="left"/>
    </xf>
    <xf numFmtId="0" fontId="36" fillId="29" borderId="18" xfId="20" applyFont="1" applyFill="1" applyBorder="1" applyAlignment="1">
      <alignment horizontal="left"/>
    </xf>
    <xf numFmtId="197" fontId="36" fillId="29" borderId="18" xfId="20" applyNumberFormat="1" applyFont="1" applyFill="1" applyBorder="1" applyAlignment="1">
      <alignment horizontal="left"/>
    </xf>
    <xf numFmtId="0" fontId="36" fillId="30" borderId="0" xfId="20" applyFont="1" applyFill="1" applyAlignment="1">
      <alignment horizontal="left"/>
    </xf>
    <xf numFmtId="197" fontId="34" fillId="30" borderId="0" xfId="20" applyNumberFormat="1" applyFont="1" applyFill="1" applyAlignment="1">
      <alignment horizontal="left"/>
    </xf>
    <xf numFmtId="0" fontId="56" fillId="31" borderId="0" xfId="20" applyFont="1" applyFill="1" applyAlignment="1">
      <alignment vertical="center"/>
    </xf>
    <xf numFmtId="9" fontId="34" fillId="32" borderId="17" xfId="19" applyFont="1" applyFill="1" applyBorder="1" applyAlignment="1" applyProtection="1">
      <alignment horizontal="center" vertical="center"/>
      <protection locked="0"/>
    </xf>
    <xf numFmtId="200" fontId="34" fillId="32" borderId="17" xfId="20" applyNumberFormat="1" applyFont="1" applyFill="1" applyBorder="1" applyAlignment="1" applyProtection="1">
      <alignment horizontal="left" vertical="center"/>
      <protection locked="0"/>
    </xf>
    <xf numFmtId="0" fontId="34" fillId="0" borderId="0" xfId="20" applyFont="1"/>
    <xf numFmtId="197" fontId="15" fillId="32" borderId="17" xfId="29" applyNumberFormat="1" applyFont="1" applyFill="1" applyBorder="1"/>
    <xf numFmtId="189" fontId="15" fillId="2" borderId="17" xfId="19" applyNumberFormat="1" applyFont="1" applyFill="1" applyBorder="1" applyAlignment="1" applyProtection="1">
      <alignment horizontal="center" vertical="center"/>
      <protection locked="0"/>
    </xf>
    <xf numFmtId="9" fontId="15" fillId="2" borderId="17" xfId="19" applyFont="1" applyFill="1" applyBorder="1" applyAlignment="1" applyProtection="1">
      <alignment horizontal="center" vertical="center"/>
      <protection locked="0"/>
    </xf>
    <xf numFmtId="9" fontId="15" fillId="33" borderId="17" xfId="19" applyFont="1" applyFill="1" applyBorder="1" applyAlignment="1" applyProtection="1">
      <alignment horizontal="left" vertical="center"/>
      <protection locked="0"/>
    </xf>
    <xf numFmtId="44" fontId="15" fillId="33" borderId="17" xfId="19" applyNumberFormat="1" applyFont="1" applyFill="1" applyBorder="1" applyAlignment="1" applyProtection="1">
      <alignment horizontal="left" vertical="center"/>
      <protection locked="0"/>
    </xf>
    <xf numFmtId="197" fontId="15" fillId="33" borderId="17" xfId="19" applyNumberFormat="1" applyFont="1" applyFill="1" applyBorder="1" applyAlignment="1" applyProtection="1">
      <alignment horizontal="left" vertical="center"/>
      <protection locked="0"/>
    </xf>
    <xf numFmtId="9" fontId="15" fillId="33" borderId="17" xfId="35" applyFont="1" applyFill="1" applyBorder="1" applyAlignment="1" applyProtection="1">
      <alignment horizontal="right" vertical="center"/>
      <protection locked="0"/>
    </xf>
    <xf numFmtId="10" fontId="15" fillId="2" borderId="17" xfId="19" applyNumberFormat="1" applyFont="1" applyFill="1" applyBorder="1" applyAlignment="1" applyProtection="1">
      <alignment horizontal="center" vertical="center"/>
      <protection locked="0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6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" xfId="34" builtinId="4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" xfId="35" builtinId="5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0.34259519386996129</c:v>
                </c:pt>
                <c:pt idx="1">
                  <c:v>0.34259519386996129</c:v>
                </c:pt>
                <c:pt idx="2">
                  <c:v>0.34259519386996129</c:v>
                </c:pt>
                <c:pt idx="3">
                  <c:v>0.34259519386996129</c:v>
                </c:pt>
                <c:pt idx="4">
                  <c:v>0.34259519386996129</c:v>
                </c:pt>
                <c:pt idx="5">
                  <c:v>0.34259519386996129</c:v>
                </c:pt>
                <c:pt idx="6">
                  <c:v>0.34259519386996129</c:v>
                </c:pt>
                <c:pt idx="7">
                  <c:v>0.34259519386996129</c:v>
                </c:pt>
                <c:pt idx="8">
                  <c:v>0.34259519386996129</c:v>
                </c:pt>
                <c:pt idx="9">
                  <c:v>0.34259519386996129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0.48491582225593111</c:v>
                </c:pt>
                <c:pt idx="1">
                  <c:v>0.49158899237143217</c:v>
                </c:pt>
                <c:pt idx="2">
                  <c:v>0.50238252010834894</c:v>
                </c:pt>
                <c:pt idx="3">
                  <c:v>0.51203631738908706</c:v>
                </c:pt>
                <c:pt idx="4">
                  <c:v>0.51757299948579927</c:v>
                </c:pt>
                <c:pt idx="5">
                  <c:v>0.52432679690967088</c:v>
                </c:pt>
                <c:pt idx="6">
                  <c:v>0.53635457984921886</c:v>
                </c:pt>
                <c:pt idx="7">
                  <c:v>0.55092336429742461</c:v>
                </c:pt>
                <c:pt idx="8">
                  <c:v>0.55790399410213565</c:v>
                </c:pt>
                <c:pt idx="9">
                  <c:v>0.56653526592214309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662326388888894E-2"/>
          <c:y val="8.5556894243641227E-2"/>
          <c:w val="0.89773680555555535"/>
          <c:h val="0.815847054886211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EE2A24"/>
            </a:solidFill>
            <a:ln>
              <a:solidFill>
                <a:srgbClr val="F2F2F2"/>
              </a:solidFill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0.22753685462072301</c:v>
                </c:pt>
                <c:pt idx="1">
                  <c:v>0.23268018943810034</c:v>
                </c:pt>
                <c:pt idx="2">
                  <c:v>0.24151660941426195</c:v>
                </c:pt>
                <c:pt idx="3">
                  <c:v>0.2493197408026285</c:v>
                </c:pt>
                <c:pt idx="4">
                  <c:v>0.25341431642008244</c:v>
                </c:pt>
                <c:pt idx="5">
                  <c:v>0.2585934129655042</c:v>
                </c:pt>
                <c:pt idx="6">
                  <c:v>0.26850234304137538</c:v>
                </c:pt>
                <c:pt idx="7">
                  <c:v>0.28068544174357474</c:v>
                </c:pt>
                <c:pt idx="8">
                  <c:v>0.28604126386430057</c:v>
                </c:pt>
                <c:pt idx="9">
                  <c:v>0.29287130421881263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5-495D-AA2E-7DB041CB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5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="115" zoomScaleNormal="115" workbookViewId="0">
      <selection activeCell="A29" sqref="A29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3</v>
      </c>
      <c r="D2" s="312"/>
      <c r="E2" s="312"/>
    </row>
    <row r="3" spans="1:19" ht="15.75" x14ac:dyDescent="0.25">
      <c r="A3" s="310"/>
      <c r="C3" s="313" t="s">
        <v>243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327</v>
      </c>
    </row>
    <row r="6" spans="1:19" x14ac:dyDescent="0.25">
      <c r="A6" s="310"/>
      <c r="C6" s="315" t="s">
        <v>244</v>
      </c>
      <c r="D6" s="329">
        <v>4.0199999999999996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15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CHA transformer replacement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160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190</v>
      </c>
      <c r="H7" s="152" t="s">
        <v>191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426" t="str">
        <f>INDEX(Assumptions!$E$14:$E$18, MATCH(C9, Assumptions!$C$14:$C$18,0))</f>
        <v>No change to existing practices</v>
      </c>
      <c r="E9" s="427"/>
      <c r="F9" s="427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428" t="str">
        <f>INDEX(Assumptions!$E$14:$E$18, MATCH(C10, Assumptions!$C$14:$C$18,0))</f>
        <v>Replace transformer #2 completed in 2026-2027</v>
      </c>
      <c r="E10" s="429"/>
      <c r="F10" s="429"/>
      <c r="G10" s="103">
        <f>IF(Data!$C10, "", INDEX(Consol!$F$15:$F$82, MATCH($C10&amp;G$7, Consol!$D$15:$D$82,0))/mill_conv)</f>
        <v>-4.5083698404624171</v>
      </c>
      <c r="H10" s="103">
        <f>IF(Data!$C10, "", INDEX(Consol!$F$15:$F$82, MATCH($C10&amp;H$7, Consol!$D$15:$D$82,0))/mill_conv)</f>
        <v>5.7028695225340558</v>
      </c>
      <c r="I10" s="103">
        <f>IF(Data!$C10, "", INDEX(Consol!$F$15:$F$82, MATCH($C10&amp;I$7, Consol!$D$15:$D$82,0))/mill_conv)</f>
        <v>1.1944996820716391</v>
      </c>
    </row>
    <row r="11" spans="1:13" s="7" customFormat="1" ht="12.75" x14ac:dyDescent="0.2">
      <c r="C11" s="91" t="str">
        <v>Option 3</v>
      </c>
      <c r="D11" s="428" t="str">
        <f>INDEX(Assumptions!$E$14:$E$18, MATCH(C11, Assumptions!$C$14:$C$18,0))</f>
        <v>Refurb transformer #2 completed in 2026-2027</v>
      </c>
      <c r="E11" s="429"/>
      <c r="F11" s="429"/>
      <c r="G11" s="103">
        <f>IF(Data!$C11, "", INDEX(Consol!$F$15:$F$82, MATCH($C11&amp;G$7, Consol!$D$15:$D$82,0))/mill_conv)</f>
        <v>-0.54696672539062174</v>
      </c>
      <c r="H11" s="103">
        <f>IF(Data!$C11, "", INDEX(Consol!$F$15:$F$82, MATCH($C11&amp;H$7, Consol!$D$15:$D$82,0))/mill_conv)</f>
        <v>1.3107499497512609</v>
      </c>
      <c r="I11" s="103">
        <f>IF(Data!$C11, "", INDEX(Consol!$F$15:$F$82, MATCH($C11&amp;I$7, Consol!$D$15:$D$82,0))/mill_conv)</f>
        <v>0.76378322436063917</v>
      </c>
    </row>
    <row r="12" spans="1:13" s="7" customFormat="1" ht="12.75" x14ac:dyDescent="0.2">
      <c r="C12" s="91" t="str">
        <v>Option 4</v>
      </c>
      <c r="D12" s="428">
        <f>INDEX(Assumptions!$E$14:$E$18, MATCH(C12, Assumptions!$C$14:$C$18,0))</f>
        <v>0</v>
      </c>
      <c r="E12" s="429"/>
      <c r="F12" s="429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428">
        <f>INDEX(Assumptions!$E$14:$E$18, MATCH(C13, Assumptions!$C$14:$C$18,0))</f>
        <v>0</v>
      </c>
      <c r="E13" s="429"/>
      <c r="F13" s="429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425" t="str">
        <f>INDEX($D$9:$D$13,MATCH(G18, $I$9:$I$13,0))</f>
        <v>Replace transformer #2 completed in 2026-2027</v>
      </c>
      <c r="E18" s="425"/>
      <c r="F18" s="425"/>
      <c r="G18" s="104">
        <f>_xlfn.MAXIFS(I9:I13, IF(compliance, Data!$F$9:$F$13, Data!$C$9:$C$13),FALSE)</f>
        <v>1.1944996820716391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142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5.3571879678168157</v>
      </c>
      <c r="G30" s="105">
        <f>-INDEX(Consol!$I$15:$Q$82,MATCH($C$26&amp;$C30,Consol!$D$15:$D$82,0), MATCH(G$29, Consol!$I$9:$Q$9,0))/mill_conv</f>
        <v>2.6785939839084079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8.0357819517252231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234</v>
      </c>
      <c r="D37" s="28"/>
      <c r="E37" s="28"/>
      <c r="F37" s="322" t="s">
        <v>240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217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</row>
    <row r="66" spans="3:13" s="8" customFormat="1" ht="12.75" x14ac:dyDescent="0.2">
      <c r="C66" s="257" t="s">
        <v>221</v>
      </c>
      <c r="D66" s="185">
        <f>output_dollars</f>
        <v>46203</v>
      </c>
      <c r="E66" s="185"/>
      <c r="F66" s="258" t="str">
        <f>Sensitivity_calcs!C89</f>
        <v>Option 1 (base case)</v>
      </c>
      <c r="G66" s="258" t="str">
        <f>Sensitivity_calcs!D89</f>
        <v>Option 2</v>
      </c>
      <c r="H66" s="258" t="str">
        <f>Sensitivity_calcs!E89</f>
        <v>Option 3</v>
      </c>
      <c r="I66" s="258" t="str">
        <f>Sensitivity_calcs!F89</f>
        <v>Option 4</v>
      </c>
      <c r="J66" s="258" t="str">
        <f>Sensitivity_calcs!G89</f>
        <v>Option 5</v>
      </c>
      <c r="K66" s="262"/>
      <c r="L66" s="287" t="s">
        <v>219</v>
      </c>
      <c r="M66" s="262"/>
    </row>
    <row r="67" spans="3:13" s="8" customFormat="1" ht="12.75" x14ac:dyDescent="0.2">
      <c r="C67" s="285" t="str">
        <f>Sensitivity_calcs!B90</f>
        <v>None</v>
      </c>
      <c r="D67" s="265"/>
      <c r="E67" s="265"/>
      <c r="F67" s="286">
        <f>Sensitivity_calcs!C90</f>
        <v>0</v>
      </c>
      <c r="G67" s="286">
        <f>Sensitivity_calcs!D90</f>
        <v>1.1944996820716391</v>
      </c>
      <c r="H67" s="286">
        <f>Sensitivity_calcs!E90</f>
        <v>0.76378322436063917</v>
      </c>
      <c r="I67" s="286" t="str">
        <f>Sensitivity_calcs!F90</f>
        <v/>
      </c>
      <c r="J67" s="286" t="str">
        <f>Sensitivity_calcs!G90</f>
        <v/>
      </c>
      <c r="K67" s="256"/>
      <c r="L67" s="288" t="str">
        <f>Sensitivity_calcs!K90</f>
        <v>Option 2</v>
      </c>
      <c r="M67" s="256"/>
    </row>
    <row r="68" spans="3:13" s="8" customFormat="1" ht="12.75" x14ac:dyDescent="0.2">
      <c r="C68" s="264" t="str">
        <f>Sensitivity_calcs!B91</f>
        <v>Capex 10% higher</v>
      </c>
      <c r="D68" s="264"/>
      <c r="E68" s="264"/>
      <c r="F68" s="278">
        <f>Sensitivity_calcs!C91</f>
        <v>0</v>
      </c>
      <c r="G68" s="273">
        <f>Sensitivity_calcs!D91</f>
        <v>0.74366269802539764</v>
      </c>
      <c r="H68" s="273">
        <f>Sensitivity_calcs!E91</f>
        <v>0.70908655182157687</v>
      </c>
      <c r="I68" s="273" t="str">
        <f>Sensitivity_calcs!F91</f>
        <v/>
      </c>
      <c r="J68" s="273" t="str">
        <f>Sensitivity_calcs!G91</f>
        <v/>
      </c>
      <c r="K68" s="256"/>
      <c r="L68" s="281" t="str">
        <f>Sensitivity_calcs!K91</f>
        <v>Option 2</v>
      </c>
      <c r="M68" s="256"/>
    </row>
    <row r="69" spans="3:13" s="8" customFormat="1" ht="12.75" x14ac:dyDescent="0.2">
      <c r="C69" s="264" t="str">
        <f>Sensitivity_calcs!B92</f>
        <v>Capex 10% lower</v>
      </c>
      <c r="D69" s="264"/>
      <c r="E69" s="264"/>
      <c r="F69" s="279">
        <f>Sensitivity_calcs!C92</f>
        <v>0</v>
      </c>
      <c r="G69" s="274">
        <f>Sensitivity_calcs!D92</f>
        <v>1.645336666117881</v>
      </c>
      <c r="H69" s="274">
        <f>Sensitivity_calcs!E92</f>
        <v>0.81847989689970135</v>
      </c>
      <c r="I69" s="274" t="str">
        <f>Sensitivity_calcs!F92</f>
        <v/>
      </c>
      <c r="J69" s="274" t="str">
        <f>Sensitivity_calcs!G92</f>
        <v/>
      </c>
      <c r="K69" s="256"/>
      <c r="L69" s="281" t="str">
        <f>Sensitivity_calcs!K92</f>
        <v>Option 2</v>
      </c>
      <c r="M69" s="256"/>
    </row>
    <row r="70" spans="3:13" s="8" customFormat="1" ht="12.75" x14ac:dyDescent="0.2">
      <c r="C70" s="264" t="str">
        <f>Sensitivity_calcs!B93</f>
        <v>Total benefits 10% higher</v>
      </c>
      <c r="D70" s="264"/>
      <c r="E70" s="264"/>
      <c r="F70" s="279">
        <f>Sensitivity_calcs!C93</f>
        <v>0</v>
      </c>
      <c r="G70" s="274">
        <f>Sensitivity_calcs!D93</f>
        <v>1.7647866343250449</v>
      </c>
      <c r="H70" s="274">
        <f>Sensitivity_calcs!E93</f>
        <v>0.89485821933576526</v>
      </c>
      <c r="I70" s="274" t="str">
        <f>Sensitivity_calcs!F93</f>
        <v/>
      </c>
      <c r="J70" s="274" t="str">
        <f>Sensitivity_calcs!G93</f>
        <v/>
      </c>
      <c r="K70" s="256"/>
      <c r="L70" s="281" t="str">
        <f>Sensitivity_calcs!K93</f>
        <v>Option 2</v>
      </c>
      <c r="M70" s="256"/>
    </row>
    <row r="71" spans="3:13" s="8" customFormat="1" ht="12.75" x14ac:dyDescent="0.2">
      <c r="C71" s="264" t="str">
        <f>Sensitivity_calcs!B94</f>
        <v>Total benefits 10% lower</v>
      </c>
      <c r="D71" s="264"/>
      <c r="E71" s="264"/>
      <c r="F71" s="279">
        <f>Sensitivity_calcs!C94</f>
        <v>0</v>
      </c>
      <c r="G71" s="274">
        <f>Sensitivity_calcs!D94</f>
        <v>0.62421272981823361</v>
      </c>
      <c r="H71" s="274">
        <f>Sensitivity_calcs!E94</f>
        <v>0.63270822938551308</v>
      </c>
      <c r="I71" s="274" t="str">
        <f>Sensitivity_calcs!F94</f>
        <v/>
      </c>
      <c r="J71" s="274" t="str">
        <f>Sensitivity_calcs!G94</f>
        <v/>
      </c>
      <c r="K71" s="256"/>
      <c r="L71" s="281" t="str">
        <f>Sensitivity_calcs!K94</f>
        <v>Option 3</v>
      </c>
      <c r="M71" s="256"/>
    </row>
    <row r="72" spans="3:13" s="8" customFormat="1" ht="12.75" x14ac:dyDescent="0.2">
      <c r="C72" s="264" t="str">
        <f>Sensitivity_calcs!B95</f>
        <v>Capex 10% higher &amp; Total benefits 10% lower</v>
      </c>
      <c r="D72" s="264"/>
      <c r="E72" s="264"/>
      <c r="F72" s="279">
        <f>Sensitivity_calcs!C95</f>
        <v>0</v>
      </c>
      <c r="G72" s="274">
        <f>Sensitivity_calcs!D95</f>
        <v>0.17337574577199202</v>
      </c>
      <c r="H72" s="274">
        <f>Sensitivity_calcs!E95</f>
        <v>0.57801155684645089</v>
      </c>
      <c r="I72" s="274" t="str">
        <f>Sensitivity_calcs!F95</f>
        <v/>
      </c>
      <c r="J72" s="274" t="str">
        <f>Sensitivity_calcs!G95</f>
        <v/>
      </c>
      <c r="K72" s="256"/>
      <c r="L72" s="281" t="str">
        <f>Sensitivity_calcs!K95</f>
        <v>Option 3</v>
      </c>
      <c r="M72" s="256"/>
    </row>
    <row r="73" spans="3:13" s="8" customFormat="1" ht="12.75" x14ac:dyDescent="0.2">
      <c r="C73" s="264">
        <f>Sensitivity_calcs!B96</f>
        <v>0</v>
      </c>
      <c r="D73" s="264"/>
      <c r="E73" s="264"/>
      <c r="F73" s="279" t="str">
        <f>Sensitivity_calcs!C96</f>
        <v/>
      </c>
      <c r="G73" s="274" t="str">
        <f>Sensitivity_calcs!D96</f>
        <v/>
      </c>
      <c r="H73" s="274" t="str">
        <f>Sensitivity_calcs!E96</f>
        <v/>
      </c>
      <c r="I73" s="274" t="str">
        <f>Sensitivity_calcs!F96</f>
        <v/>
      </c>
      <c r="J73" s="274" t="str">
        <f>Sensitivity_calcs!G96</f>
        <v/>
      </c>
      <c r="K73" s="256"/>
      <c r="L73" s="281" t="str">
        <f>Sensitivity_calcs!K96</f>
        <v/>
      </c>
      <c r="M73" s="256"/>
    </row>
    <row r="74" spans="3:13" s="8" customFormat="1" ht="12.75" x14ac:dyDescent="0.2">
      <c r="C74" s="264">
        <f>Sensitivity_calcs!B97</f>
        <v>0</v>
      </c>
      <c r="D74" s="259"/>
      <c r="E74" s="259"/>
      <c r="F74" s="279" t="str">
        <f>Sensitivity_calcs!C97</f>
        <v/>
      </c>
      <c r="G74" s="274" t="str">
        <f>Sensitivity_calcs!D97</f>
        <v/>
      </c>
      <c r="H74" s="274" t="str">
        <f>Sensitivity_calcs!E97</f>
        <v/>
      </c>
      <c r="I74" s="274" t="str">
        <f>Sensitivity_calcs!F97</f>
        <v/>
      </c>
      <c r="J74" s="274" t="str">
        <f>Sensitivity_calcs!G97</f>
        <v/>
      </c>
      <c r="K74" s="266">
        <f>IF(C74=0,0, INDEX($F$66:$J$66, MATCH(MAX($F74:$I74),$F74:$I74,0)))</f>
        <v>0</v>
      </c>
      <c r="L74" s="281" t="str">
        <f>Sensitivity_calcs!K97</f>
        <v/>
      </c>
    </row>
    <row r="75" spans="3:13" s="8" customFormat="1" ht="12.75" x14ac:dyDescent="0.2">
      <c r="D75" s="264">
        <f>Sensitivity_calcs!B98</f>
        <v>0</v>
      </c>
      <c r="E75" s="264"/>
      <c r="F75" s="279" t="str">
        <f>Sensitivity_calcs!C98</f>
        <v/>
      </c>
      <c r="G75" s="274" t="str">
        <f>Sensitivity_calcs!D98</f>
        <v/>
      </c>
      <c r="H75" s="274" t="str">
        <f>Sensitivity_calcs!E98</f>
        <v/>
      </c>
      <c r="I75" s="274" t="str">
        <f>Sensitivity_calcs!F98</f>
        <v/>
      </c>
      <c r="J75" s="274" t="str">
        <f>Sensitivity_calcs!G98</f>
        <v/>
      </c>
      <c r="K75" s="256"/>
      <c r="L75" s="281" t="str">
        <f>Sensitivity_calcs!K98</f>
        <v/>
      </c>
      <c r="M75" s="256"/>
    </row>
    <row r="76" spans="3:13" s="8" customFormat="1" ht="12.75" x14ac:dyDescent="0.2">
      <c r="D76" s="264">
        <f>Sensitivity_calcs!B99</f>
        <v>0</v>
      </c>
      <c r="E76" s="264"/>
      <c r="F76" s="280"/>
      <c r="G76" s="105"/>
      <c r="H76" s="105"/>
      <c r="I76" s="105"/>
      <c r="J76" s="105"/>
      <c r="K76" s="256"/>
      <c r="L76" s="256"/>
    </row>
    <row r="77" spans="3:13" s="8" customFormat="1" ht="12.75" x14ac:dyDescent="0.2">
      <c r="F77" s="263"/>
      <c r="G77" s="105"/>
      <c r="H77" s="105"/>
      <c r="I77" s="105"/>
      <c r="J77" s="105"/>
    </row>
    <row r="78" spans="3:13" s="8" customFormat="1" ht="12.75" x14ac:dyDescent="0.2">
      <c r="F78" s="263"/>
      <c r="G78" s="263"/>
      <c r="H78" s="263"/>
      <c r="I78" s="263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4"/>
      <c r="E81" s="244"/>
      <c r="F81" s="244"/>
    </row>
    <row r="82" spans="4:6" s="8" customFormat="1" ht="12.75" x14ac:dyDescent="0.2">
      <c r="D82" s="244"/>
      <c r="E82" s="244"/>
      <c r="F82" s="244"/>
    </row>
    <row r="83" spans="4:6" s="8" customFormat="1" ht="12.75" hidden="1" x14ac:dyDescent="0.2">
      <c r="D83" s="244"/>
      <c r="E83" s="244"/>
      <c r="F83" s="244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CHA transformer replacement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433" t="s">
        <v>329</v>
      </c>
      <c r="F8" s="433"/>
      <c r="G8" s="433"/>
      <c r="H8" s="433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434" t="s">
        <v>58</v>
      </c>
      <c r="F14" s="434"/>
      <c r="G14" s="434"/>
      <c r="H14" s="434"/>
      <c r="I14" s="434"/>
      <c r="J14" s="434"/>
      <c r="K14" s="434"/>
      <c r="L14"/>
    </row>
    <row r="15" spans="1:16" s="1" customFormat="1" ht="12.75" customHeight="1" x14ac:dyDescent="0.2">
      <c r="C15" s="61" t="str">
        <v>Option 2</v>
      </c>
      <c r="D15" s="61"/>
      <c r="E15" s="435" t="s">
        <v>334</v>
      </c>
      <c r="F15" s="435"/>
      <c r="G15" s="435"/>
      <c r="H15" s="435"/>
      <c r="I15" s="435"/>
      <c r="J15" s="435"/>
      <c r="K15" s="435"/>
      <c r="L15"/>
    </row>
    <row r="16" spans="1:16" s="1" customFormat="1" ht="12.75" customHeight="1" x14ac:dyDescent="0.2">
      <c r="C16" s="61" t="str">
        <v>Option 3</v>
      </c>
      <c r="D16" s="61"/>
      <c r="E16" s="435" t="s">
        <v>328</v>
      </c>
      <c r="F16" s="435"/>
      <c r="G16" s="435"/>
      <c r="H16" s="435"/>
      <c r="I16" s="435"/>
      <c r="J16" s="435"/>
      <c r="K16" s="435"/>
      <c r="L16"/>
    </row>
    <row r="17" spans="1:16" s="1" customFormat="1" ht="12.75" customHeight="1" x14ac:dyDescent="0.2">
      <c r="C17" s="61" t="str">
        <v>Option 4</v>
      </c>
      <c r="D17" s="61"/>
      <c r="E17" s="435"/>
      <c r="F17" s="435"/>
      <c r="G17" s="435"/>
      <c r="H17" s="435"/>
      <c r="I17" s="435"/>
      <c r="J17" s="435"/>
      <c r="K17" s="435"/>
      <c r="L17"/>
    </row>
    <row r="18" spans="1:16" s="1" customFormat="1" ht="12.75" customHeight="1" x14ac:dyDescent="0.2">
      <c r="C18" s="61" t="str">
        <v>Option 5</v>
      </c>
      <c r="D18" s="61"/>
      <c r="E18" s="435"/>
      <c r="F18" s="435"/>
      <c r="G18" s="435"/>
      <c r="H18" s="435"/>
      <c r="I18" s="435"/>
      <c r="J18" s="435"/>
      <c r="K18" s="435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224</v>
      </c>
      <c r="D20"/>
      <c r="E20" s="291" t="s">
        <v>227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238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183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184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197</v>
      </c>
      <c r="G31" s="304">
        <v>20</v>
      </c>
      <c r="H31" s="68" t="s">
        <v>198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241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246</v>
      </c>
      <c r="D41" s="240" t="s">
        <v>247</v>
      </c>
      <c r="E41" s="325" t="s">
        <v>330</v>
      </c>
      <c r="F41" s="326"/>
      <c r="G41" s="327" t="s">
        <v>140</v>
      </c>
      <c r="H41" s="131">
        <v>48008.750708019099</v>
      </c>
      <c r="I41" s="328" t="s">
        <v>216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150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175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149</v>
      </c>
      <c r="G50" s="306">
        <v>5400000</v>
      </c>
      <c r="H50" s="69">
        <v>45107</v>
      </c>
    </row>
    <row r="52" spans="3:8" x14ac:dyDescent="0.2">
      <c r="C52" s="8" t="s">
        <v>166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182</v>
      </c>
      <c r="D69" s="59"/>
      <c r="E69" s="59"/>
      <c r="F69" s="59"/>
      <c r="G69" s="157" t="s">
        <v>68</v>
      </c>
      <c r="H69" s="157" t="s">
        <v>167</v>
      </c>
      <c r="I69" s="157" t="s">
        <v>181</v>
      </c>
      <c r="J69" s="156" t="s">
        <v>185</v>
      </c>
      <c r="K69" s="157"/>
      <c r="L69" s="157"/>
      <c r="M69" s="157"/>
    </row>
    <row r="70" spans="2:16" x14ac:dyDescent="0.2">
      <c r="C70" s="8" t="s">
        <v>168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430">
        <v>0</v>
      </c>
      <c r="K70" s="431"/>
      <c r="L70" s="431"/>
      <c r="M70" s="432"/>
    </row>
    <row r="71" spans="2:16" x14ac:dyDescent="0.2">
      <c r="C71" s="8" t="s">
        <v>169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430">
        <v>0</v>
      </c>
      <c r="K71" s="431"/>
      <c r="L71" s="431"/>
      <c r="M71" s="432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176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170</v>
      </c>
      <c r="G78" s="154">
        <v>0</v>
      </c>
      <c r="H78" s="69">
        <f>input_dollars</f>
        <v>45291</v>
      </c>
    </row>
    <row r="79" spans="2:16" x14ac:dyDescent="0.2">
      <c r="C79" s="8" t="s">
        <v>171</v>
      </c>
      <c r="G79" s="154">
        <v>0</v>
      </c>
      <c r="H79" s="69">
        <f>input_dollars</f>
        <v>45291</v>
      </c>
    </row>
    <row r="81" spans="1:16" x14ac:dyDescent="0.2">
      <c r="C81" s="8" t="s">
        <v>172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177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178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218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242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7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CHA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143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48008.750708019099</v>
      </c>
      <c r="F28" s="238" t="str">
        <f>IF(AND(SUM(I27:AG27)&lt;&gt;0, E28=0), "!", "")</f>
        <v/>
      </c>
      <c r="G28" s="207">
        <f>input_dollars</f>
        <v>45291</v>
      </c>
      <c r="H28"/>
      <c r="I28" s="32">
        <f>Workings_risks!E11</f>
        <v>227536.85462072302</v>
      </c>
      <c r="J28" s="32">
        <f>Workings_risks!F11</f>
        <v>232680.18943810035</v>
      </c>
      <c r="K28" s="32">
        <f>Workings_risks!G11</f>
        <v>241516.60941426194</v>
      </c>
      <c r="L28" s="32">
        <f>Workings_risks!H11</f>
        <v>249319.74080262851</v>
      </c>
      <c r="M28" s="32">
        <f>Workings_risks!I11</f>
        <v>253414.31642008247</v>
      </c>
      <c r="N28" s="32">
        <f>Workings_risks!J11</f>
        <v>258593.41296550422</v>
      </c>
      <c r="O28" s="32">
        <f>Workings_risks!K11</f>
        <v>268502.3430413754</v>
      </c>
      <c r="P28" s="32">
        <f>Workings_risks!L11</f>
        <v>280685.44174357475</v>
      </c>
      <c r="Q28" s="32">
        <f>Workings_risks!M11</f>
        <v>286041.26386430056</v>
      </c>
      <c r="R28" s="32">
        <f>Workings_risks!N11</f>
        <v>292871.30421881261</v>
      </c>
      <c r="S28" s="32">
        <f>Workings_risks!O11</f>
        <v>299769.20014546765</v>
      </c>
      <c r="T28" s="32">
        <f>Workings_risks!P11</f>
        <v>306734.74221377197</v>
      </c>
      <c r="U28" s="32">
        <f>Workings_risks!Q11</f>
        <v>313767.72590297397</v>
      </c>
      <c r="V28" s="32">
        <f>Workings_risks!R11</f>
        <v>320867.95145947539</v>
      </c>
      <c r="W28" s="32">
        <f>Workings_risks!S11</f>
        <v>328035.22376033635</v>
      </c>
      <c r="X28" s="32">
        <f>Workings_risks!T11</f>
        <v>335269.35218252754</v>
      </c>
      <c r="Y28" s="32">
        <f>Workings_risks!U11</f>
        <v>342570.15047762031</v>
      </c>
      <c r="Z28" s="32">
        <f>Workings_risks!V11</f>
        <v>349937.43665162288</v>
      </c>
      <c r="AA28" s="32">
        <f>Workings_risks!W11</f>
        <v>357371.032849685</v>
      </c>
      <c r="AB28" s="32">
        <f>Workings_risks!X11</f>
        <v>364870.76524542342</v>
      </c>
      <c r="AC28" s="32">
        <f>Workings_risks!Y11</f>
        <v>372436.46393461799</v>
      </c>
      <c r="AD28" s="32">
        <f>Workings_risks!Z11</f>
        <v>380067.96283306682</v>
      </c>
      <c r="AE28" s="32">
        <f>Workings_risks!AA11</f>
        <v>387765.09957837401</v>
      </c>
      <c r="AF28" s="32">
        <f>Workings_risks!AB11</f>
        <v>395527.71543549502</v>
      </c>
      <c r="AG28" s="32">
        <f>Workings_risks!AC11</f>
        <v>403355.65520582697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Workings_risks!D12</f>
        <v>Safety risk</v>
      </c>
      <c r="D30" s="205" t="s">
        <v>209</v>
      </c>
      <c r="G30" s="207">
        <f>input_dollars</f>
        <v>45291</v>
      </c>
      <c r="H30" s="149"/>
      <c r="I30" s="32">
        <f>Workings_risks!E12</f>
        <v>574.10768182484969</v>
      </c>
      <c r="J30" s="32">
        <f>Workings_risks!F12</f>
        <v>589.44068446244296</v>
      </c>
      <c r="K30" s="32">
        <f>Workings_risks!G12</f>
        <v>604.93970835695484</v>
      </c>
      <c r="L30" s="32">
        <f>Workings_risks!H12</f>
        <v>620.60399479146929</v>
      </c>
      <c r="M30" s="32">
        <f>Workings_risks!I12</f>
        <v>636.43279984949004</v>
      </c>
      <c r="N30" s="32">
        <f>Workings_risks!J12</f>
        <v>652.42539391166656</v>
      </c>
      <c r="O30" s="32">
        <f>Workings_risks!K12</f>
        <v>668.58106117671628</v>
      </c>
      <c r="P30" s="32">
        <f>Workings_risks!L12</f>
        <v>684.8990992050484</v>
      </c>
      <c r="Q30" s="32">
        <f>Workings_risks!M12</f>
        <v>701.37881848371387</v>
      </c>
      <c r="R30" s="32">
        <f>Workings_risks!N12</f>
        <v>718.01954201138676</v>
      </c>
      <c r="S30" s="32">
        <f>Workings_risks!O12</f>
        <v>734.82060490221204</v>
      </c>
      <c r="T30" s="32">
        <f>Workings_risks!P12</f>
        <v>751.78135400739791</v>
      </c>
      <c r="U30" s="32">
        <f>Workings_risks!Q12</f>
        <v>768.90114755354796</v>
      </c>
      <c r="V30" s="32">
        <f>Workings_risks!R12</f>
        <v>786.17935479675998</v>
      </c>
      <c r="W30" s="32">
        <f>Workings_risks!S12</f>
        <v>803.61535569163129</v>
      </c>
      <c r="X30" s="32">
        <f>Workings_risks!T12</f>
        <v>821.20854057432996</v>
      </c>
      <c r="Y30" s="32">
        <f>Workings_risks!U12</f>
        <v>838.95830985895975</v>
      </c>
      <c r="Z30" s="32">
        <f>Workings_risks!V12</f>
        <v>856.86407374651776</v>
      </c>
      <c r="AA30" s="32">
        <f>Workings_risks!W12</f>
        <v>874.92525194574898</v>
      </c>
      <c r="AB30" s="32">
        <f>Workings_risks!X12</f>
        <v>893.14127340529933</v>
      </c>
      <c r="AC30" s="32">
        <f>Workings_risks!Y12</f>
        <v>911.51157605655271</v>
      </c>
      <c r="AD30" s="32">
        <f>Workings_risks!Z12</f>
        <v>930.03560656662614</v>
      </c>
      <c r="AE30" s="32">
        <f>Workings_risks!AA12</f>
        <v>930.03560656662614</v>
      </c>
      <c r="AF30" s="32">
        <f>Workings_risks!AB12</f>
        <v>930.03560656662614</v>
      </c>
      <c r="AG30" s="32">
        <f>Workings_risks!AC12</f>
        <v>930.03560656662614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Workings_risks!D13</f>
        <v>Unplanned replacement risk</v>
      </c>
      <c r="D31" s="206"/>
      <c r="E31"/>
      <c r="G31" s="207">
        <f>input_dollars</f>
        <v>45291</v>
      </c>
      <c r="H31" s="149"/>
      <c r="I31" s="32">
        <f>Workings_risks!E13</f>
        <v>29234.77988021445</v>
      </c>
      <c r="J31" s="32">
        <f>Workings_risks!F13</f>
        <v>30015.568870161358</v>
      </c>
      <c r="K31" s="32">
        <f>Workings_risks!G13</f>
        <v>30804.812014363837</v>
      </c>
      <c r="L31" s="32">
        <f>Workings_risks!H13</f>
        <v>31602.470677348534</v>
      </c>
      <c r="M31" s="32">
        <f>Workings_risks!I13</f>
        <v>32408.506977310884</v>
      </c>
      <c r="N31" s="32">
        <f>Workings_risks!J13</f>
        <v>33222.883760487246</v>
      </c>
      <c r="O31" s="32">
        <f>Workings_risks!K13</f>
        <v>34045.564576759272</v>
      </c>
      <c r="P31" s="32">
        <f>Workings_risks!L13</f>
        <v>34876.513656414339</v>
      </c>
      <c r="Q31" s="32">
        <f>Workings_risks!M13</f>
        <v>35715.695887991744</v>
      </c>
      <c r="R31" s="32">
        <f>Workings_risks!N13</f>
        <v>36563.076797149202</v>
      </c>
      <c r="S31" s="32">
        <f>Workings_risks!O13</f>
        <v>37418.622526489868</v>
      </c>
      <c r="T31" s="32">
        <f>Workings_risks!P13</f>
        <v>38282.299816293009</v>
      </c>
      <c r="U31" s="32">
        <f>Workings_risks!Q13</f>
        <v>39154.075986097174</v>
      </c>
      <c r="V31" s="32">
        <f>Workings_risks!R13</f>
        <v>40033.918917086092</v>
      </c>
      <c r="W31" s="32">
        <f>Workings_risks!S13</f>
        <v>40921.797035233794</v>
      </c>
      <c r="X31" s="32">
        <f>Workings_risks!T13</f>
        <v>41817.679295165864</v>
      </c>
      <c r="Y31" s="32">
        <f>Workings_risks!U13</f>
        <v>42721.535164697765</v>
      </c>
      <c r="Z31" s="32">
        <f>Workings_risks!V13</f>
        <v>43633.334610014288</v>
      </c>
      <c r="AA31" s="32">
        <f>Workings_risks!W13</f>
        <v>44553.048081454894</v>
      </c>
      <c r="AB31" s="32">
        <f>Workings_risks!X13</f>
        <v>45480.646499874398</v>
      </c>
      <c r="AC31" s="32">
        <f>Workings_risks!Y13</f>
        <v>46416.101243547659</v>
      </c>
      <c r="AD31" s="32">
        <f>Workings_risks!Z13</f>
        <v>47359.384135591572</v>
      </c>
      <c r="AE31" s="32">
        <f>Workings_risks!AA13</f>
        <v>47359.384135591572</v>
      </c>
      <c r="AF31" s="32">
        <f>Workings_risks!AB13</f>
        <v>47359.384135591572</v>
      </c>
      <c r="AG31" s="32">
        <f>Workings_risks!AC13</f>
        <v>47359.384135591572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Workings_risks!D14</f>
        <v>Unplanned fault risk</v>
      </c>
      <c r="D32" s="205"/>
      <c r="E32"/>
      <c r="G32" s="207">
        <f>input_dollars</f>
        <v>45291</v>
      </c>
      <c r="H32"/>
      <c r="I32" s="32">
        <f>Workings_risks!E14</f>
        <v>2122.032987897745</v>
      </c>
      <c r="J32" s="32">
        <f>Workings_risks!F14</f>
        <v>2178.7072642235275</v>
      </c>
      <c r="K32" s="32">
        <f>Workings_risks!G14</f>
        <v>2235.99519299645</v>
      </c>
      <c r="L32" s="32">
        <f>Workings_risks!H14</f>
        <v>2293.8939698256713</v>
      </c>
      <c r="M32" s="32">
        <f>Workings_risks!I14</f>
        <v>2352.4008450260808</v>
      </c>
      <c r="N32" s="32">
        <f>Workings_risks!J14</f>
        <v>2411.5131217580788</v>
      </c>
      <c r="O32" s="32">
        <f>Workings_risks!K14</f>
        <v>2471.2281542567976</v>
      </c>
      <c r="P32" s="32">
        <f>Workings_risks!L14</f>
        <v>2531.543346145233</v>
      </c>
      <c r="Q32" s="32">
        <f>Workings_risks!M14</f>
        <v>2592.4561488261966</v>
      </c>
      <c r="R32" s="32">
        <f>Workings_risks!N14</f>
        <v>2653.9640599483146</v>
      </c>
      <c r="S32" s="32">
        <f>Workings_risks!O14</f>
        <v>2716.0646219417577</v>
      </c>
      <c r="T32" s="32">
        <f>Workings_risks!P14</f>
        <v>2778.75542061956</v>
      </c>
      <c r="U32" s="32">
        <f>Workings_risks!Q14</f>
        <v>2842.0340838408138</v>
      </c>
      <c r="V32" s="32">
        <f>Workings_risks!R14</f>
        <v>2905.898280232137</v>
      </c>
      <c r="W32" s="32">
        <f>Workings_risks!S14</f>
        <v>2970.3457179642446</v>
      </c>
      <c r="X32" s="32">
        <f>Workings_risks!T14</f>
        <v>3035.3741435805041</v>
      </c>
      <c r="Y32" s="32">
        <f>Workings_risks!U14</f>
        <v>3100.981340874634</v>
      </c>
      <c r="Z32" s="32">
        <f>Workings_risks!V14</f>
        <v>3167.1651298149441</v>
      </c>
      <c r="AA32" s="32">
        <f>Workings_risks!W14</f>
        <v>3233.9233655125477</v>
      </c>
      <c r="AB32" s="32">
        <f>Workings_risks!X14</f>
        <v>3301.2539372313427</v>
      </c>
      <c r="AC32" s="32">
        <f>Workings_risks!Y14</f>
        <v>3369.1547674374747</v>
      </c>
      <c r="AD32" s="32">
        <f>Workings_risks!Z14</f>
        <v>3437.6238108863522</v>
      </c>
      <c r="AE32" s="32">
        <f>Workings_risks!AA14</f>
        <v>3437.6238108863522</v>
      </c>
      <c r="AF32" s="32">
        <f>Workings_risks!AB14</f>
        <v>3437.6238108863522</v>
      </c>
      <c r="AG32" s="32">
        <f>Workings_risks!AC14</f>
        <v>3437.6238108863522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Workings_risks!D15</f>
        <v>Enviromental risk</v>
      </c>
      <c r="D33" s="205" t="s">
        <v>209</v>
      </c>
      <c r="E33"/>
      <c r="G33" s="207">
        <f>input_dollars</f>
        <v>45291</v>
      </c>
      <c r="H33"/>
      <c r="I33" s="32">
        <f>Workings_risks!E15</f>
        <v>176250</v>
      </c>
      <c r="J33" s="32">
        <f>Workings_risks!F15</f>
        <v>176250</v>
      </c>
      <c r="K33" s="32">
        <f>Workings_risks!G15</f>
        <v>176250</v>
      </c>
      <c r="L33" s="32">
        <f>Workings_risks!H15</f>
        <v>176250</v>
      </c>
      <c r="M33" s="32">
        <f>Workings_risks!I15</f>
        <v>176250</v>
      </c>
      <c r="N33" s="32">
        <f>Workings_risks!J15</f>
        <v>176250</v>
      </c>
      <c r="O33" s="32">
        <f>Workings_risks!K15</f>
        <v>176250</v>
      </c>
      <c r="P33" s="32">
        <f>Workings_risks!L15</f>
        <v>176250</v>
      </c>
      <c r="Q33" s="32">
        <f>Workings_risks!M15</f>
        <v>176250</v>
      </c>
      <c r="R33" s="32">
        <f>Workings_risks!N15</f>
        <v>176250</v>
      </c>
      <c r="S33" s="32">
        <f>Workings_risks!O15</f>
        <v>176250</v>
      </c>
      <c r="T33" s="32">
        <f>Workings_risks!P15</f>
        <v>176250</v>
      </c>
      <c r="U33" s="32">
        <f>Workings_risks!Q15</f>
        <v>176250</v>
      </c>
      <c r="V33" s="32">
        <f>Workings_risks!R15</f>
        <v>176250</v>
      </c>
      <c r="W33" s="32">
        <f>Workings_risks!S15</f>
        <v>176250</v>
      </c>
      <c r="X33" s="32">
        <f>Workings_risks!T15</f>
        <v>176250</v>
      </c>
      <c r="Y33" s="32">
        <f>Workings_risks!U15</f>
        <v>176250</v>
      </c>
      <c r="Z33" s="32">
        <f>Workings_risks!V15</f>
        <v>176250</v>
      </c>
      <c r="AA33" s="32">
        <f>Workings_risks!W15</f>
        <v>176250</v>
      </c>
      <c r="AB33" s="32">
        <f>Workings_risks!X15</f>
        <v>176250</v>
      </c>
      <c r="AC33" s="32">
        <f>Workings_risks!Y15</f>
        <v>176250</v>
      </c>
      <c r="AD33" s="32">
        <f>Workings_risks!Z15</f>
        <v>176250</v>
      </c>
      <c r="AE33" s="32">
        <f>Workings_risks!AA15</f>
        <v>176250</v>
      </c>
      <c r="AF33" s="32">
        <f>Workings_risks!AB15</f>
        <v>176250</v>
      </c>
      <c r="AG33" s="32">
        <f>Workings_risks!AC15</f>
        <v>176250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06">
        <f>SUM(I28:I34)</f>
        <v>435717.77517066011</v>
      </c>
      <c r="J36" s="106">
        <f t="shared" ref="J36:AB36" si="3">SUM(J28:J34)</f>
        <v>441713.90625694767</v>
      </c>
      <c r="K36" s="106">
        <f t="shared" si="3"/>
        <v>451412.3563299792</v>
      </c>
      <c r="L36" s="106">
        <f t="shared" si="3"/>
        <v>460086.70944459416</v>
      </c>
      <c r="M36" s="106">
        <f t="shared" si="3"/>
        <v>465061.6570422689</v>
      </c>
      <c r="N36" s="106">
        <f t="shared" si="3"/>
        <v>471130.2352416612</v>
      </c>
      <c r="O36" s="106">
        <f t="shared" si="3"/>
        <v>481937.71683356824</v>
      </c>
      <c r="P36" s="106">
        <f t="shared" si="3"/>
        <v>495028.39784533938</v>
      </c>
      <c r="Q36" s="106">
        <f t="shared" si="3"/>
        <v>501300.79471960221</v>
      </c>
      <c r="R36" s="106">
        <f t="shared" si="3"/>
        <v>509056.36461792153</v>
      </c>
      <c r="S36" s="106">
        <f t="shared" si="3"/>
        <v>516888.70789880154</v>
      </c>
      <c r="T36" s="106">
        <f t="shared" si="3"/>
        <v>524797.5788046919</v>
      </c>
      <c r="U36" s="106">
        <f t="shared" si="3"/>
        <v>532782.73712046538</v>
      </c>
      <c r="V36" s="106">
        <f t="shared" si="3"/>
        <v>540843.9480115904</v>
      </c>
      <c r="W36" s="106">
        <f t="shared" si="3"/>
        <v>548980.98186922609</v>
      </c>
      <c r="X36" s="106">
        <f t="shared" si="3"/>
        <v>557193.61416184832</v>
      </c>
      <c r="Y36" s="106">
        <f t="shared" si="3"/>
        <v>565481.62529305159</v>
      </c>
      <c r="Z36" s="106">
        <f t="shared" si="3"/>
        <v>573844.8004651987</v>
      </c>
      <c r="AA36" s="106">
        <f t="shared" si="3"/>
        <v>582282.92954859813</v>
      </c>
      <c r="AB36" s="106">
        <f t="shared" si="3"/>
        <v>590795.8069559345</v>
      </c>
      <c r="AC36" s="106">
        <f>SUM(AC28:AC34)</f>
        <v>599383.23152165965</v>
      </c>
      <c r="AD36" s="106">
        <f>SUM(AD28:AD34)</f>
        <v>608045.00638611137</v>
      </c>
      <c r="AE36" s="106">
        <f>SUM(AE28:AE34)</f>
        <v>615742.14313141862</v>
      </c>
      <c r="AF36" s="106">
        <f>SUM(AF28:AF34)</f>
        <v>623504.75898853957</v>
      </c>
      <c r="AG36" s="106">
        <f>SUM(AG28:AG34)</f>
        <v>631332.69875887153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4">I41*I7</f>
        <v>0</v>
      </c>
      <c r="J42" s="31">
        <f t="shared" si="4"/>
        <v>0</v>
      </c>
      <c r="K42" s="31">
        <f t="shared" si="4"/>
        <v>0</v>
      </c>
      <c r="L42" s="31">
        <f t="shared" si="4"/>
        <v>0</v>
      </c>
      <c r="M42" s="31">
        <f t="shared" si="4"/>
        <v>0</v>
      </c>
      <c r="N42" s="31">
        <f t="shared" si="4"/>
        <v>0</v>
      </c>
      <c r="O42" s="31">
        <f t="shared" si="4"/>
        <v>0</v>
      </c>
      <c r="P42" s="31">
        <f t="shared" si="4"/>
        <v>0</v>
      </c>
      <c r="Q42" s="31">
        <f t="shared" si="4"/>
        <v>0</v>
      </c>
      <c r="R42" s="31">
        <f t="shared" si="4"/>
        <v>0</v>
      </c>
      <c r="S42" s="31">
        <f t="shared" si="4"/>
        <v>0</v>
      </c>
      <c r="T42" s="31">
        <f t="shared" si="4"/>
        <v>0</v>
      </c>
      <c r="U42" s="31">
        <f t="shared" si="4"/>
        <v>0</v>
      </c>
      <c r="V42" s="31">
        <f t="shared" si="4"/>
        <v>0</v>
      </c>
      <c r="W42" s="31">
        <f t="shared" si="4"/>
        <v>0</v>
      </c>
      <c r="X42" s="31">
        <f t="shared" si="4"/>
        <v>0</v>
      </c>
      <c r="Y42" s="31">
        <f t="shared" si="4"/>
        <v>0</v>
      </c>
      <c r="Z42" s="31">
        <f t="shared" si="4"/>
        <v>0</v>
      </c>
      <c r="AA42" s="31">
        <f t="shared" si="4"/>
        <v>0</v>
      </c>
      <c r="AB42" s="31">
        <f t="shared" si="4"/>
        <v>0</v>
      </c>
      <c r="AC42" s="31">
        <f t="shared" si="4"/>
        <v>0</v>
      </c>
      <c r="AD42" s="31">
        <f t="shared" si="4"/>
        <v>0</v>
      </c>
      <c r="AE42" s="31">
        <f t="shared" si="4"/>
        <v>0</v>
      </c>
      <c r="AF42" s="31">
        <f t="shared" si="4"/>
        <v>0</v>
      </c>
      <c r="AG42" s="31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5" t="s">
        <v>207</v>
      </c>
      <c r="E49" s="112">
        <f>Assumptions!G98</f>
        <v>0.35181336539087127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5" t="s">
        <v>207</v>
      </c>
      <c r="E50" s="112">
        <f>Assumptions!G99</f>
        <v>0.35181336539087127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189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242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CHA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Replace transformer #2 completed in 2026-2027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325</v>
      </c>
      <c r="D14"/>
      <c r="E14" s="148">
        <v>50</v>
      </c>
      <c r="G14" s="207">
        <f>input_dollars</f>
        <v>45291</v>
      </c>
      <c r="H14" s="149"/>
      <c r="I14" s="32">
        <f>Workings_costs!E20</f>
        <v>4813664.3833333338</v>
      </c>
      <c r="J14" s="32">
        <f>Workings_costs!F20</f>
        <v>2406832.1916666669</v>
      </c>
      <c r="K14" s="32">
        <f>Workings_costs!G20</f>
        <v>0</v>
      </c>
      <c r="L14" s="32">
        <f>Workings_costs!H20</f>
        <v>0</v>
      </c>
      <c r="M14" s="32">
        <f>Workings_costs!I20</f>
        <v>0</v>
      </c>
      <c r="N14" s="32">
        <f>Workings_costs!J20</f>
        <v>0</v>
      </c>
      <c r="O14" s="32">
        <f>Workings_costs!K20</f>
        <v>0</v>
      </c>
      <c r="P14" s="32">
        <f>Workings_costs!L20</f>
        <v>0</v>
      </c>
      <c r="Q14" s="32">
        <f>Workings_costs!M20</f>
        <v>0</v>
      </c>
      <c r="R14" s="32">
        <f>Workings_costs!N20</f>
        <v>0</v>
      </c>
      <c r="S14" s="32">
        <f>Workings_costs!O20</f>
        <v>0</v>
      </c>
      <c r="T14" s="32">
        <f>Workings_costs!P20</f>
        <v>0</v>
      </c>
      <c r="U14" s="32">
        <f>Workings_costs!Q20</f>
        <v>0</v>
      </c>
      <c r="V14" s="32">
        <f>Workings_costs!R20</f>
        <v>0</v>
      </c>
      <c r="W14" s="32">
        <f>Workings_costs!S20</f>
        <v>0</v>
      </c>
      <c r="X14" s="32">
        <f>Workings_costs!T20</f>
        <v>0</v>
      </c>
      <c r="Y14" s="32">
        <f>Workings_costs!U20</f>
        <v>0</v>
      </c>
      <c r="Z14" s="32">
        <f>Workings_costs!V20</f>
        <v>0</v>
      </c>
      <c r="AA14" s="32">
        <f>Workings_costs!W20</f>
        <v>0</v>
      </c>
      <c r="AB14" s="32">
        <f>Workings_costs!X20</f>
        <v>0</v>
      </c>
      <c r="AC14" s="32">
        <f>Workings_costs!Y20</f>
        <v>0</v>
      </c>
      <c r="AD14" s="32">
        <f>Workings_costs!Z20</f>
        <v>0</v>
      </c>
      <c r="AE14" s="32">
        <f>Workings_costs!AA20</f>
        <v>0</v>
      </c>
      <c r="AF14" s="32">
        <f>Workings_costs!AB20</f>
        <v>0</v>
      </c>
      <c r="AG14" s="32">
        <f>Workings_costs!AC20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4813664.3833333338</v>
      </c>
      <c r="J17" s="106">
        <f t="shared" si="0"/>
        <v>2406832.1916666669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48008.750708019099</v>
      </c>
      <c r="F28" s="238" t="str">
        <f>IF(AND(SUM(I27:AG27)&lt;&gt;0, E28=0), "!", "")</f>
        <v/>
      </c>
      <c r="G28" s="207">
        <f>input_dollars</f>
        <v>45291</v>
      </c>
      <c r="H28"/>
      <c r="I28" s="32">
        <f>Workings_risks!E23</f>
        <v>227536.85462072302</v>
      </c>
      <c r="J28" s="32">
        <f>Workings_risks!F23</f>
        <v>232680.18943810035</v>
      </c>
      <c r="K28" s="32">
        <f>Workings_risks!G23</f>
        <v>6824.1439692799786</v>
      </c>
      <c r="L28" s="32">
        <f>Workings_risks!H23</f>
        <v>12536.482733802153</v>
      </c>
      <c r="M28" s="32">
        <f>Workings_risks!I23</f>
        <v>17760.269880365697</v>
      </c>
      <c r="N28" s="32">
        <f>Workings_risks!J23</f>
        <v>22857.757298025044</v>
      </c>
      <c r="O28" s="32">
        <f>Workings_risks!K23</f>
        <v>28340.962231868198</v>
      </c>
      <c r="P28" s="32">
        <f>Workings_risks!L23</f>
        <v>34177.645744202331</v>
      </c>
      <c r="Q28" s="32">
        <f>Workings_risks!M23</f>
        <v>39235.455368807598</v>
      </c>
      <c r="R28" s="32">
        <f>Workings_risks!N23</f>
        <v>44474.795671579654</v>
      </c>
      <c r="S28" s="32">
        <f>Workings_risks!O23</f>
        <v>49735.51553042575</v>
      </c>
      <c r="T28" s="32">
        <f>Workings_risks!P23</f>
        <v>55025.798911786595</v>
      </c>
      <c r="U28" s="32">
        <f>Workings_risks!Q23</f>
        <v>60351.86533960473</v>
      </c>
      <c r="V28" s="32">
        <f>Workings_risks!R23</f>
        <v>65718.552287216895</v>
      </c>
      <c r="W28" s="32">
        <f>Workings_risks!S23</f>
        <v>71129.692644089271</v>
      </c>
      <c r="X28" s="32">
        <f>Workings_risks!T23</f>
        <v>76588.369366141749</v>
      </c>
      <c r="Y28" s="32">
        <f>Workings_risks!U23</f>
        <v>82097.093033270154</v>
      </c>
      <c r="Z28" s="32">
        <f>Workings_risks!V23</f>
        <v>87657.92912463512</v>
      </c>
      <c r="AA28" s="32">
        <f>Workings_risks!W23</f>
        <v>93272.591422202982</v>
      </c>
      <c r="AB28" s="32">
        <f>Workings_risks!X23</f>
        <v>98942.511958879506</v>
      </c>
      <c r="AC28" s="32">
        <f>Workings_risks!Y23</f>
        <v>104668.89433214677</v>
      </c>
      <c r="AD28" s="32">
        <f>Workings_risks!Z23</f>
        <v>110452.75497213939</v>
      </c>
      <c r="AE28" s="32">
        <f>Workings_risks!AA23</f>
        <v>116294.9555254999</v>
      </c>
      <c r="AF28" s="32">
        <f>Workings_risks!AB23</f>
        <v>122196.22857895262</v>
      </c>
      <c r="AG28" s="32">
        <f>Workings_risks!AC23</f>
        <v>128157.19831652509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risk</v>
      </c>
      <c r="D30" s="205" t="s">
        <v>209</v>
      </c>
      <c r="G30" s="207">
        <f>input_dollars</f>
        <v>45291</v>
      </c>
      <c r="H30" s="149"/>
      <c r="I30" s="32">
        <f>Workings_risks!E24</f>
        <v>574.10768182484969</v>
      </c>
      <c r="J30" s="32">
        <f>Workings_risks!F24</f>
        <v>589.44068446244296</v>
      </c>
      <c r="K30" s="32">
        <f>Workings_risks!G24</f>
        <v>302.71389383127502</v>
      </c>
      <c r="L30" s="32">
        <f>Workings_risks!H24</f>
        <v>311.09487910462065</v>
      </c>
      <c r="M30" s="32">
        <f>Workings_risks!I24</f>
        <v>319.79605962805124</v>
      </c>
      <c r="N30" s="32">
        <f>Workings_risks!J24</f>
        <v>328.78877722811211</v>
      </c>
      <c r="O30" s="32">
        <f>Workings_risks!K24</f>
        <v>338.05502289478812</v>
      </c>
      <c r="P30" s="32">
        <f>Workings_risks!L24</f>
        <v>347.58187912027552</v>
      </c>
      <c r="Q30" s="32">
        <f>Workings_risks!M24</f>
        <v>357.35938222119597</v>
      </c>
      <c r="R30" s="32">
        <f>Workings_risks!N24</f>
        <v>367.37948050315123</v>
      </c>
      <c r="S30" s="32">
        <f>Workings_risks!O24</f>
        <v>377.63545209501871</v>
      </c>
      <c r="T30" s="32">
        <f>Workings_risks!P24</f>
        <v>388.12154859154839</v>
      </c>
      <c r="U30" s="32">
        <f>Workings_risks!Q24</f>
        <v>398.8327621035175</v>
      </c>
      <c r="V30" s="32">
        <f>Workings_risks!R24</f>
        <v>409.76466519711346</v>
      </c>
      <c r="W30" s="32">
        <f>Workings_risks!S24</f>
        <v>420.91329651847877</v>
      </c>
      <c r="X30" s="32">
        <f>Workings_risks!T24</f>
        <v>432.27507643156281</v>
      </c>
      <c r="Y30" s="32">
        <f>Workings_risks!U24</f>
        <v>443.84674314233399</v>
      </c>
      <c r="Z30" s="32">
        <f>Workings_risks!V24</f>
        <v>455.6253032577215</v>
      </c>
      <c r="AA30" s="32">
        <f>Workings_risks!W24</f>
        <v>467.60799279170163</v>
      </c>
      <c r="AB30" s="32">
        <f>Workings_risks!X24</f>
        <v>479.79224590812635</v>
      </c>
      <c r="AC30" s="32">
        <f>Workings_risks!Y24</f>
        <v>492.1756695081441</v>
      </c>
      <c r="AD30" s="32">
        <f>Workings_risks!Z24</f>
        <v>504.7560223103377</v>
      </c>
      <c r="AE30" s="32">
        <f>Workings_risks!AA24</f>
        <v>504.7560223103377</v>
      </c>
      <c r="AF30" s="32">
        <f>Workings_risks!AB24</f>
        <v>504.7560223103377</v>
      </c>
      <c r="AG30" s="32">
        <f>Workings_risks!AC24</f>
        <v>504.7560223103377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 risk</v>
      </c>
      <c r="D31" s="206"/>
      <c r="E31"/>
      <c r="G31" s="207">
        <f>input_dollars</f>
        <v>45291</v>
      </c>
      <c r="H31" s="149"/>
      <c r="I31" s="32">
        <f>Workings_risks!E25</f>
        <v>29234.77988021445</v>
      </c>
      <c r="J31" s="32">
        <f>Workings_risks!F25</f>
        <v>30015.568870161358</v>
      </c>
      <c r="K31" s="32">
        <f>Workings_risks!G25</f>
        <v>15414.833023502102</v>
      </c>
      <c r="L31" s="32">
        <f>Workings_risks!H25</f>
        <v>15841.610555666057</v>
      </c>
      <c r="M31" s="32">
        <f>Workings_risks!I25</f>
        <v>16284.693108562655</v>
      </c>
      <c r="N31" s="32">
        <f>Workings_risks!J25</f>
        <v>16742.621347263554</v>
      </c>
      <c r="O31" s="32">
        <f>Workings_risks!K25</f>
        <v>17214.47821481181</v>
      </c>
      <c r="P31" s="32">
        <f>Workings_risks!L25</f>
        <v>17699.605924333639</v>
      </c>
      <c r="Q31" s="32">
        <f>Workings_risks!M25</f>
        <v>18197.497103955109</v>
      </c>
      <c r="R31" s="32">
        <f>Workings_risks!N25</f>
        <v>18707.7417443333</v>
      </c>
      <c r="S31" s="32">
        <f>Workings_risks!O25</f>
        <v>19229.997553544807</v>
      </c>
      <c r="T31" s="32">
        <f>Workings_risks!P25</f>
        <v>19763.971810611551</v>
      </c>
      <c r="U31" s="32">
        <f>Workings_risks!Q25</f>
        <v>20309.40950320095</v>
      </c>
      <c r="V31" s="32">
        <f>Workings_risks!R25</f>
        <v>20866.085177000095</v>
      </c>
      <c r="W31" s="32">
        <f>Workings_risks!S25</f>
        <v>21433.797111475156</v>
      </c>
      <c r="X31" s="32">
        <f>Workings_risks!T25</f>
        <v>22012.363023972019</v>
      </c>
      <c r="Y31" s="32">
        <f>Workings_risks!U25</f>
        <v>22601.616817025788</v>
      </c>
      <c r="Z31" s="32">
        <f>Workings_risks!V25</f>
        <v>23201.406060717327</v>
      </c>
      <c r="AA31" s="32">
        <f>Workings_risks!W25</f>
        <v>23811.59000702051</v>
      </c>
      <c r="AB31" s="32">
        <f>Workings_risks!X25</f>
        <v>24432.037998120839</v>
      </c>
      <c r="AC31" s="32">
        <f>Workings_risks!Y25</f>
        <v>25062.628172353026</v>
      </c>
      <c r="AD31" s="32">
        <f>Workings_risks!Z25</f>
        <v>25703.246398917316</v>
      </c>
      <c r="AE31" s="32">
        <f>Workings_risks!AA25</f>
        <v>25703.246398917316</v>
      </c>
      <c r="AF31" s="32">
        <f>Workings_risks!AB25</f>
        <v>25703.246398917316</v>
      </c>
      <c r="AG31" s="32">
        <f>Workings_risks!AC25</f>
        <v>25703.246398917316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Unplanned fault risk</v>
      </c>
      <c r="D32" s="205"/>
      <c r="E32"/>
      <c r="G32" s="207">
        <f>input_dollars</f>
        <v>45291</v>
      </c>
      <c r="H32"/>
      <c r="I32" s="32">
        <f>Workings_risks!E26</f>
        <v>2122.032987897745</v>
      </c>
      <c r="J32" s="32">
        <f>Workings_risks!F26</f>
        <v>2178.7072642235275</v>
      </c>
      <c r="K32" s="32">
        <f>Workings_risks!G26</f>
        <v>1118.8996227382249</v>
      </c>
      <c r="L32" s="32">
        <f>Workings_risks!H26</f>
        <v>1149.8776566230779</v>
      </c>
      <c r="M32" s="32">
        <f>Workings_risks!I26</f>
        <v>1182.0392052121563</v>
      </c>
      <c r="N32" s="32">
        <f>Workings_risks!J26</f>
        <v>1215.2783413573502</v>
      </c>
      <c r="O32" s="32">
        <f>Workings_risks!K26</f>
        <v>1249.5284996484736</v>
      </c>
      <c r="P32" s="32">
        <f>Workings_risks!L26</f>
        <v>1284.7419340292577</v>
      </c>
      <c r="Q32" s="32">
        <f>Workings_risks!M26</f>
        <v>1320.8818164524919</v>
      </c>
      <c r="R32" s="32">
        <f>Workings_risks!N26</f>
        <v>1357.9183860185015</v>
      </c>
      <c r="S32" s="32">
        <f>Workings_risks!O26</f>
        <v>1395.8267971578678</v>
      </c>
      <c r="T32" s="32">
        <f>Workings_risks!P26</f>
        <v>1434.5858024531562</v>
      </c>
      <c r="U32" s="32">
        <f>Workings_risks!Q26</f>
        <v>1474.1768916031335</v>
      </c>
      <c r="V32" s="32">
        <f>Workings_risks!R26</f>
        <v>1514.5836998022082</v>
      </c>
      <c r="W32" s="32">
        <f>Workings_risks!S26</f>
        <v>1555.7915849826486</v>
      </c>
      <c r="X32" s="32">
        <f>Workings_risks!T26</f>
        <v>1597.7873159928351</v>
      </c>
      <c r="Y32" s="32">
        <f>Workings_risks!U26</f>
        <v>1640.5588364977743</v>
      </c>
      <c r="Z32" s="32">
        <f>Workings_risks!V26</f>
        <v>1684.0950822336647</v>
      </c>
      <c r="AA32" s="32">
        <f>Workings_risks!W26</f>
        <v>1728.3858368774954</v>
      </c>
      <c r="AB32" s="32">
        <f>Workings_risks!X26</f>
        <v>1773.4216165134092</v>
      </c>
      <c r="AC32" s="32">
        <f>Workings_risks!Y26</f>
        <v>1819.1935757020096</v>
      </c>
      <c r="AD32" s="32">
        <f>Workings_risks!Z26</f>
        <v>1865.6934301557794</v>
      </c>
      <c r="AE32" s="32">
        <f>Workings_risks!AA26</f>
        <v>1865.6934301557794</v>
      </c>
      <c r="AF32" s="32">
        <f>Workings_risks!AB26</f>
        <v>1865.6934301557794</v>
      </c>
      <c r="AG32" s="32">
        <f>Workings_risks!AC26</f>
        <v>1865.6934301557794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Enviromental risk</v>
      </c>
      <c r="D33" s="205" t="s">
        <v>209</v>
      </c>
      <c r="E33"/>
      <c r="G33" s="207">
        <f>input_dollars</f>
        <v>45291</v>
      </c>
      <c r="H33"/>
      <c r="I33" s="32">
        <f>Workings_risks!E27</f>
        <v>176250</v>
      </c>
      <c r="J33" s="32">
        <f>Workings_risks!F27</f>
        <v>176250</v>
      </c>
      <c r="K33" s="32">
        <f>Workings_risks!G27</f>
        <v>35250</v>
      </c>
      <c r="L33" s="32">
        <f>Workings_risks!H27</f>
        <v>35250</v>
      </c>
      <c r="M33" s="32">
        <f>Workings_risks!I27</f>
        <v>35250</v>
      </c>
      <c r="N33" s="32">
        <f>Workings_risks!J27</f>
        <v>35250</v>
      </c>
      <c r="O33" s="32">
        <f>Workings_risks!K27</f>
        <v>35250</v>
      </c>
      <c r="P33" s="32">
        <f>Workings_risks!L27</f>
        <v>35250</v>
      </c>
      <c r="Q33" s="32">
        <f>Workings_risks!M27</f>
        <v>35250</v>
      </c>
      <c r="R33" s="32">
        <f>Workings_risks!N27</f>
        <v>35250</v>
      </c>
      <c r="S33" s="32">
        <f>Workings_risks!O27</f>
        <v>35250</v>
      </c>
      <c r="T33" s="32">
        <f>Workings_risks!P27</f>
        <v>35250</v>
      </c>
      <c r="U33" s="32">
        <f>Workings_risks!Q27</f>
        <v>35250</v>
      </c>
      <c r="V33" s="32">
        <f>Workings_risks!R27</f>
        <v>35250</v>
      </c>
      <c r="W33" s="32">
        <f>Workings_risks!S27</f>
        <v>35250</v>
      </c>
      <c r="X33" s="32">
        <f>Workings_risks!T27</f>
        <v>35250</v>
      </c>
      <c r="Y33" s="32">
        <f>Workings_risks!U27</f>
        <v>35250</v>
      </c>
      <c r="Z33" s="32">
        <f>Workings_risks!V27</f>
        <v>35250</v>
      </c>
      <c r="AA33" s="32">
        <f>Workings_risks!W27</f>
        <v>35250</v>
      </c>
      <c r="AB33" s="32">
        <f>Workings_risks!X27</f>
        <v>35250</v>
      </c>
      <c r="AC33" s="32">
        <f>Workings_risks!Y27</f>
        <v>35250</v>
      </c>
      <c r="AD33" s="32">
        <f>Workings_risks!Z27</f>
        <v>35250</v>
      </c>
      <c r="AE33" s="32">
        <f>Workings_risks!AA27</f>
        <v>35250</v>
      </c>
      <c r="AF33" s="32">
        <f>Workings_risks!AB27</f>
        <v>35250</v>
      </c>
      <c r="AG33" s="32">
        <f>Workings_risks!AC27</f>
        <v>35250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435717.77517066011</v>
      </c>
      <c r="J36" s="170">
        <f t="shared" ref="J36:AG36" si="2">SUM(J28:J34)</f>
        <v>441713.90625694767</v>
      </c>
      <c r="K36" s="170">
        <f t="shared" si="2"/>
        <v>58910.590509351583</v>
      </c>
      <c r="L36" s="170">
        <f t="shared" si="2"/>
        <v>65089.06582519591</v>
      </c>
      <c r="M36" s="170">
        <f t="shared" si="2"/>
        <v>70796.79825376856</v>
      </c>
      <c r="N36" s="170">
        <f t="shared" si="2"/>
        <v>76394.445763874057</v>
      </c>
      <c r="O36" s="170">
        <f t="shared" si="2"/>
        <v>82393.023969223272</v>
      </c>
      <c r="P36" s="170">
        <f t="shared" si="2"/>
        <v>88759.575481685504</v>
      </c>
      <c r="Q36" s="170">
        <f t="shared" si="2"/>
        <v>94361.193671436398</v>
      </c>
      <c r="R36" s="170">
        <f t="shared" si="2"/>
        <v>100157.83528243461</v>
      </c>
      <c r="S36" s="170">
        <f t="shared" si="2"/>
        <v>105988.97533322344</v>
      </c>
      <c r="T36" s="170">
        <f t="shared" si="2"/>
        <v>111862.47807344285</v>
      </c>
      <c r="U36" s="170">
        <f t="shared" si="2"/>
        <v>117784.28449651232</v>
      </c>
      <c r="V36" s="170">
        <f t="shared" si="2"/>
        <v>123758.98582921633</v>
      </c>
      <c r="W36" s="170">
        <f t="shared" si="2"/>
        <v>129790.19463706556</v>
      </c>
      <c r="X36" s="170">
        <f t="shared" si="2"/>
        <v>135880.79478253817</v>
      </c>
      <c r="Y36" s="170">
        <f t="shared" si="2"/>
        <v>142033.11542993604</v>
      </c>
      <c r="Z36" s="170">
        <f t="shared" si="2"/>
        <v>148249.05557084383</v>
      </c>
      <c r="AA36" s="170">
        <f t="shared" si="2"/>
        <v>154530.1752588927</v>
      </c>
      <c r="AB36" s="170">
        <f t="shared" si="2"/>
        <v>160877.76381942187</v>
      </c>
      <c r="AC36" s="170">
        <f t="shared" si="2"/>
        <v>167292.89174970993</v>
      </c>
      <c r="AD36" s="170">
        <f t="shared" si="2"/>
        <v>173776.45082352281</v>
      </c>
      <c r="AE36" s="170">
        <f t="shared" si="2"/>
        <v>179618.65137688332</v>
      </c>
      <c r="AF36" s="170">
        <f t="shared" si="2"/>
        <v>185519.92443033605</v>
      </c>
      <c r="AG36" s="170">
        <f t="shared" si="2"/>
        <v>191480.89416790853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3">
        <v>0</v>
      </c>
      <c r="J45" s="323">
        <v>0</v>
      </c>
      <c r="K45" s="323">
        <v>0</v>
      </c>
      <c r="L45" s="323">
        <v>0</v>
      </c>
      <c r="M45" s="323">
        <v>0</v>
      </c>
      <c r="N45" s="323">
        <v>0</v>
      </c>
      <c r="O45" s="323">
        <v>0</v>
      </c>
      <c r="P45" s="323">
        <v>0</v>
      </c>
      <c r="Q45" s="323">
        <v>0</v>
      </c>
      <c r="R45" s="323">
        <v>0</v>
      </c>
      <c r="S45" s="323">
        <v>0</v>
      </c>
      <c r="T45" s="323">
        <v>0</v>
      </c>
      <c r="U45" s="323">
        <v>0</v>
      </c>
      <c r="V45" s="323">
        <v>0</v>
      </c>
      <c r="W45" s="323">
        <v>0</v>
      </c>
      <c r="X45" s="323">
        <v>0</v>
      </c>
      <c r="Y45" s="323">
        <v>0</v>
      </c>
      <c r="Z45" s="323">
        <v>0</v>
      </c>
      <c r="AA45" s="323">
        <v>0</v>
      </c>
      <c r="AB45" s="323">
        <v>0</v>
      </c>
      <c r="AC45" s="323">
        <v>0</v>
      </c>
      <c r="AD45" s="323">
        <v>0</v>
      </c>
      <c r="AE45" s="323">
        <v>0</v>
      </c>
      <c r="AF45" s="323">
        <v>0</v>
      </c>
      <c r="AG45" s="323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3">
        <v>0</v>
      </c>
      <c r="J46" s="323">
        <v>0</v>
      </c>
      <c r="K46" s="323">
        <v>0</v>
      </c>
      <c r="L46" s="323">
        <v>0</v>
      </c>
      <c r="M46" s="323">
        <v>0</v>
      </c>
      <c r="N46" s="323">
        <v>0</v>
      </c>
      <c r="O46" s="323">
        <v>0</v>
      </c>
      <c r="P46" s="323">
        <v>0</v>
      </c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88.357719508603083</v>
      </c>
      <c r="G47" s="207" t="s">
        <v>40</v>
      </c>
      <c r="I47" s="323">
        <v>0</v>
      </c>
      <c r="J47" s="323">
        <v>0</v>
      </c>
      <c r="K47" s="323">
        <v>0</v>
      </c>
      <c r="L47" s="323">
        <v>0</v>
      </c>
      <c r="M47" s="323">
        <v>0</v>
      </c>
      <c r="N47" s="323">
        <v>0</v>
      </c>
      <c r="O47" s="323">
        <v>0</v>
      </c>
      <c r="P47" s="323">
        <v>0</v>
      </c>
      <c r="Q47" s="323">
        <v>0</v>
      </c>
      <c r="R47" s="323">
        <v>0</v>
      </c>
      <c r="S47" s="323">
        <v>0</v>
      </c>
      <c r="T47" s="323">
        <v>0</v>
      </c>
      <c r="U47" s="323">
        <v>0</v>
      </c>
      <c r="V47" s="323">
        <v>0</v>
      </c>
      <c r="W47" s="323">
        <v>0</v>
      </c>
      <c r="X47" s="323">
        <v>0</v>
      </c>
      <c r="Y47" s="323">
        <v>0</v>
      </c>
      <c r="Z47" s="323">
        <v>0</v>
      </c>
      <c r="AA47" s="323">
        <v>0</v>
      </c>
      <c r="AB47" s="323">
        <v>0</v>
      </c>
      <c r="AC47" s="323">
        <v>0</v>
      </c>
      <c r="AD47" s="323">
        <v>0</v>
      </c>
      <c r="AE47" s="323">
        <v>0</v>
      </c>
      <c r="AF47" s="323">
        <v>0</v>
      </c>
      <c r="AG47" s="323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3">
        <v>0</v>
      </c>
      <c r="J48" s="323">
        <v>0</v>
      </c>
      <c r="K48" s="323">
        <v>0</v>
      </c>
      <c r="L48" s="323">
        <v>0</v>
      </c>
      <c r="M48" s="323">
        <v>0</v>
      </c>
      <c r="N48" s="323">
        <v>0</v>
      </c>
      <c r="O48" s="323">
        <v>0</v>
      </c>
      <c r="P48" s="323">
        <v>0</v>
      </c>
      <c r="Q48" s="323">
        <v>0</v>
      </c>
      <c r="R48" s="323">
        <v>0</v>
      </c>
      <c r="S48" s="323">
        <v>0</v>
      </c>
      <c r="T48" s="323">
        <v>0</v>
      </c>
      <c r="U48" s="323">
        <v>0</v>
      </c>
      <c r="V48" s="323">
        <v>0</v>
      </c>
      <c r="W48" s="323">
        <v>0</v>
      </c>
      <c r="X48" s="323">
        <v>0</v>
      </c>
      <c r="Y48" s="323">
        <v>0</v>
      </c>
      <c r="Z48" s="323">
        <v>0</v>
      </c>
      <c r="AA48" s="323">
        <v>0</v>
      </c>
      <c r="AB48" s="323">
        <v>0</v>
      </c>
      <c r="AC48" s="323">
        <v>0</v>
      </c>
      <c r="AD48" s="323">
        <v>0</v>
      </c>
      <c r="AE48" s="323">
        <v>0</v>
      </c>
      <c r="AF48" s="323">
        <v>0</v>
      </c>
      <c r="AG48" s="323">
        <v>0</v>
      </c>
    </row>
    <row r="49" spans="1:43" x14ac:dyDescent="0.2">
      <c r="C49" s="1" t="s">
        <v>9</v>
      </c>
      <c r="D49" s="205" t="s">
        <v>207</v>
      </c>
      <c r="E49" s="112">
        <f>Assumptions!G98</f>
        <v>0.35181336539087127</v>
      </c>
      <c r="G49" s="207" t="s">
        <v>208</v>
      </c>
      <c r="I49" s="323">
        <v>0</v>
      </c>
      <c r="J49" s="323">
        <v>0</v>
      </c>
      <c r="K49" s="323">
        <v>0</v>
      </c>
      <c r="L49" s="323">
        <v>0</v>
      </c>
      <c r="M49" s="323">
        <v>0</v>
      </c>
      <c r="N49" s="323">
        <v>0</v>
      </c>
      <c r="O49" s="323">
        <v>0</v>
      </c>
      <c r="P49" s="323">
        <v>0</v>
      </c>
      <c r="Q49" s="323">
        <v>0</v>
      </c>
      <c r="R49" s="323">
        <v>0</v>
      </c>
      <c r="S49" s="323">
        <v>0</v>
      </c>
      <c r="T49" s="323">
        <v>0</v>
      </c>
      <c r="U49" s="323">
        <v>0</v>
      </c>
      <c r="V49" s="323">
        <v>0</v>
      </c>
      <c r="W49" s="323">
        <v>0</v>
      </c>
      <c r="X49" s="323">
        <v>0</v>
      </c>
      <c r="Y49" s="323">
        <v>0</v>
      </c>
      <c r="Z49" s="323">
        <v>0</v>
      </c>
      <c r="AA49" s="323">
        <v>0</v>
      </c>
      <c r="AB49" s="323">
        <v>0</v>
      </c>
      <c r="AC49" s="323">
        <v>0</v>
      </c>
      <c r="AD49" s="323">
        <v>0</v>
      </c>
      <c r="AE49" s="323">
        <v>0</v>
      </c>
      <c r="AF49" s="323">
        <v>0</v>
      </c>
      <c r="AG49" s="323">
        <v>0</v>
      </c>
    </row>
    <row r="50" spans="1:43" x14ac:dyDescent="0.2">
      <c r="C50" s="1" t="s">
        <v>10</v>
      </c>
      <c r="D50" s="205" t="s">
        <v>207</v>
      </c>
      <c r="E50" s="112">
        <f>Assumptions!G99</f>
        <v>0.35181336539087127</v>
      </c>
      <c r="G50" s="207" t="s">
        <v>208</v>
      </c>
      <c r="I50" s="323">
        <v>0</v>
      </c>
      <c r="J50" s="323">
        <v>0</v>
      </c>
      <c r="K50" s="323">
        <v>0</v>
      </c>
      <c r="L50" s="323">
        <v>0</v>
      </c>
      <c r="M50" s="323">
        <v>0</v>
      </c>
      <c r="N50" s="323">
        <v>0</v>
      </c>
      <c r="O50" s="323">
        <v>0</v>
      </c>
      <c r="P50" s="323">
        <v>0</v>
      </c>
      <c r="Q50" s="323">
        <v>0</v>
      </c>
      <c r="R50" s="323">
        <v>0</v>
      </c>
      <c r="S50" s="323">
        <v>0</v>
      </c>
      <c r="T50" s="323">
        <v>0</v>
      </c>
      <c r="U50" s="323">
        <v>0</v>
      </c>
      <c r="V50" s="323">
        <v>0</v>
      </c>
      <c r="W50" s="323">
        <v>0</v>
      </c>
      <c r="X50" s="323">
        <v>0</v>
      </c>
      <c r="Y50" s="323">
        <v>0</v>
      </c>
      <c r="Z50" s="323">
        <v>0</v>
      </c>
      <c r="AA50" s="323">
        <v>0</v>
      </c>
      <c r="AB50" s="323">
        <v>0</v>
      </c>
      <c r="AC50" s="323">
        <v>0</v>
      </c>
      <c r="AD50" s="323">
        <v>0</v>
      </c>
      <c r="AE50" s="323">
        <v>0</v>
      </c>
      <c r="AF50" s="323">
        <v>0</v>
      </c>
      <c r="AG50" s="323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4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392501.76582062762</v>
      </c>
      <c r="L64" s="132">
        <f>(1-INDEX(Data!$C$9:$C$13, MATCH($A$3, options,0)))*('Option1 (base case)'!L36-L36)</f>
        <v>394997.64361939824</v>
      </c>
      <c r="M64" s="132">
        <f>(1-INDEX(Data!$C$9:$C$13, MATCH($A$3, options,0)))*('Option1 (base case)'!M36-M36)</f>
        <v>394264.85878850031</v>
      </c>
      <c r="N64" s="132">
        <f>(1-INDEX(Data!$C$9:$C$13, MATCH($A$3, options,0)))*('Option1 (base case)'!N36-N36)</f>
        <v>394735.78947778716</v>
      </c>
      <c r="O64" s="132">
        <f>(1-INDEX(Data!$C$9:$C$13, MATCH($A$3, options,0)))*('Option1 (base case)'!O36-O36)</f>
        <v>399544.69286434498</v>
      </c>
      <c r="P64" s="132">
        <f>(1-INDEX(Data!$C$9:$C$13, MATCH($A$3, options,0)))*('Option1 (base case)'!P36-P36)</f>
        <v>406268.82236365386</v>
      </c>
      <c r="Q64" s="132">
        <f>(1-INDEX(Data!$C$9:$C$13, MATCH($A$3, options,0)))*('Option1 (base case)'!Q36-Q36)</f>
        <v>406939.60104816582</v>
      </c>
      <c r="R64" s="132">
        <f>(1-INDEX(Data!$C$9:$C$13, MATCH($A$3, options,0)))*('Option1 (base case)'!R36-R36)</f>
        <v>408898.52933548694</v>
      </c>
      <c r="S64" s="132">
        <f>(1-INDEX(Data!$C$9:$C$13, MATCH($A$3, options,0)))*('Option1 (base case)'!S36-S36)</f>
        <v>410899.73256557807</v>
      </c>
      <c r="T64" s="132">
        <f>(1-INDEX(Data!$C$9:$C$13, MATCH($A$3, options,0)))*('Option1 (base case)'!T36-T36)</f>
        <v>412935.10073124908</v>
      </c>
      <c r="U64" s="132">
        <f>(1-INDEX(Data!$C$9:$C$13, MATCH($A$3, options,0)))*('Option1 (base case)'!U36-U36)</f>
        <v>414998.45262395305</v>
      </c>
      <c r="V64" s="132">
        <f>(1-INDEX(Data!$C$9:$C$13, MATCH($A$3, options,0)))*('Option1 (base case)'!V36-V36)</f>
        <v>417084.96218237409</v>
      </c>
      <c r="W64" s="132">
        <f>(1-INDEX(Data!$C$9:$C$13, MATCH($A$3, options,0)))*('Option1 (base case)'!W36-W36)</f>
        <v>419190.78723216051</v>
      </c>
      <c r="X64" s="132">
        <f>(1-INDEX(Data!$C$9:$C$13, MATCH($A$3, options,0)))*('Option1 (base case)'!X36-X36)</f>
        <v>421312.81937931012</v>
      </c>
      <c r="Y64" s="132">
        <f>(1-INDEX(Data!$C$9:$C$13, MATCH($A$3, options,0)))*('Option1 (base case)'!Y36-Y36)</f>
        <v>423448.50986311556</v>
      </c>
      <c r="Z64" s="132">
        <f>(1-INDEX(Data!$C$9:$C$13, MATCH($A$3, options,0)))*('Option1 (base case)'!Z36-Z36)</f>
        <v>425595.74489435484</v>
      </c>
      <c r="AA64" s="132">
        <f>(1-INDEX(Data!$C$9:$C$13, MATCH($A$3, options,0)))*('Option1 (base case)'!AA36-AA36)</f>
        <v>427752.75428970542</v>
      </c>
      <c r="AB64" s="132">
        <f>(1-INDEX(Data!$C$9:$C$13, MATCH($A$3, options,0)))*('Option1 (base case)'!AB36-AB36)</f>
        <v>429918.04313651263</v>
      </c>
      <c r="AC64" s="132">
        <f>(1-INDEX(Data!$C$9:$C$13, MATCH($A$3, options,0)))*('Option1 (base case)'!AC36-AC36)</f>
        <v>432090.33977194969</v>
      </c>
      <c r="AD64" s="132">
        <f>(1-INDEX(Data!$C$9:$C$13, MATCH($A$3, options,0)))*('Option1 (base case)'!AD36-AD36)</f>
        <v>434268.55556258856</v>
      </c>
      <c r="AE64" s="132">
        <f>(1-INDEX(Data!$C$9:$C$13, MATCH($A$3, options,0)))*('Option1 (base case)'!AE36-AE36)</f>
        <v>436123.49175453529</v>
      </c>
      <c r="AF64" s="132">
        <f>(1-INDEX(Data!$C$9:$C$13, MATCH($A$3, options,0)))*('Option1 (base case)'!AF36-AF36)</f>
        <v>437984.83455820353</v>
      </c>
      <c r="AG64" s="132">
        <f>(1-INDEX(Data!$C$9:$C$13, MATCH($A$3, options,0)))*('Option1 (base case)'!AG36-AG36)</f>
        <v>439851.804590963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Replace 1 transformer</v>
      </c>
      <c r="D67" s="38"/>
      <c r="F67" s="97"/>
      <c r="G67" s="210">
        <f>input_dollars</f>
        <v>45291</v>
      </c>
      <c r="H67" s="31"/>
      <c r="I67" s="119">
        <f t="shared" ref="I67:AG67" si="4">-I14</f>
        <v>-4813664.3833333338</v>
      </c>
      <c r="J67" s="119">
        <f t="shared" si="4"/>
        <v>-2406832.1916666669</v>
      </c>
      <c r="K67" s="119">
        <f t="shared" si="4"/>
        <v>0</v>
      </c>
      <c r="L67" s="119">
        <f t="shared" si="4"/>
        <v>0</v>
      </c>
      <c r="M67" s="119">
        <f t="shared" si="4"/>
        <v>0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Replace 1 transformer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-4813664.3833333338</v>
      </c>
      <c r="J72" s="119" cm="1">
        <f t="array" ref="J72">SUMPRODUCT(($I67:J67))-SUMPRODUCT(($I67:J67)*($I$6:J$6&lt;=(J$6-$E14)))</f>
        <v>-7220496.5750000011</v>
      </c>
      <c r="K72" s="119" cm="1">
        <f t="array" ref="K72">SUMPRODUCT(($I67:K67))-SUMPRODUCT(($I67:K67)*($I$6:K$6&lt;=(K$6-$E14)))</f>
        <v>-7220496.5750000011</v>
      </c>
      <c r="L72" s="119" cm="1">
        <f t="array" ref="L72">SUMPRODUCT(($I67:L67))-SUMPRODUCT(($I67:L67)*($I$6:L$6&lt;=(L$6-$E14)))</f>
        <v>-7220496.5750000011</v>
      </c>
      <c r="M72" s="119" cm="1">
        <f t="array" ref="M72">SUMPRODUCT(($I67:M67))-SUMPRODUCT(($I67:M67)*($I$6:M$6&lt;=(M$6-$E14)))</f>
        <v>-7220496.5750000011</v>
      </c>
      <c r="N72" s="119" cm="1">
        <f t="array" ref="N72">SUMPRODUCT(($I67:N67))-SUMPRODUCT(($I67:N67)*($I$6:N$6&lt;=(N$6-$E14)))</f>
        <v>-7220496.5750000011</v>
      </c>
      <c r="O72" s="119" cm="1">
        <f t="array" ref="O72">SUMPRODUCT(($I67:O67))-SUMPRODUCT(($I67:O67)*($I$6:O$6&lt;=(O$6-$E14)))</f>
        <v>-7220496.5750000011</v>
      </c>
      <c r="P72" s="119" cm="1">
        <f t="array" ref="P72">SUMPRODUCT(($I67:P67))-SUMPRODUCT(($I67:P67)*($I$6:P$6&lt;=(P$6-$E14)))</f>
        <v>-7220496.5750000011</v>
      </c>
      <c r="Q72" s="119" cm="1">
        <f t="array" ref="Q72">SUMPRODUCT(($I67:Q67))-SUMPRODUCT(($I67:Q67)*($I$6:Q$6&lt;=(Q$6-$E14)))</f>
        <v>-7220496.5750000011</v>
      </c>
      <c r="R72" s="119" cm="1">
        <f t="array" ref="R72">SUMPRODUCT(($I67:R67))-SUMPRODUCT(($I67:R67)*($I$6:R$6&lt;=(R$6-$E14)))</f>
        <v>-7220496.5750000011</v>
      </c>
      <c r="S72" s="119" cm="1">
        <f t="array" ref="S72">SUMPRODUCT(($I67:S67))-SUMPRODUCT(($I67:S67)*($I$6:S$6&lt;=(S$6-$E14)))</f>
        <v>-7220496.5750000011</v>
      </c>
      <c r="T72" s="119" cm="1">
        <f t="array" ref="T72">SUMPRODUCT(($I67:T67))-SUMPRODUCT(($I67:T67)*($I$6:T$6&lt;=(T$6-$E14)))</f>
        <v>-7220496.5750000011</v>
      </c>
      <c r="U72" s="119" cm="1">
        <f t="array" ref="U72">SUMPRODUCT(($I67:U67))-SUMPRODUCT(($I67:U67)*($I$6:U$6&lt;=(U$6-$E14)))</f>
        <v>-7220496.5750000011</v>
      </c>
      <c r="V72" s="119" cm="1">
        <f t="array" ref="V72">SUMPRODUCT(($I67:V67))-SUMPRODUCT(($I67:V67)*($I$6:V$6&lt;=(V$6-$E14)))</f>
        <v>-7220496.5750000011</v>
      </c>
      <c r="W72" s="119" cm="1">
        <f t="array" ref="W72">SUMPRODUCT(($I67:W67))-SUMPRODUCT(($I67:W67)*($I$6:W$6&lt;=(W$6-$E14)))</f>
        <v>-7220496.5750000011</v>
      </c>
      <c r="X72" s="119" cm="1">
        <f t="array" ref="X72">SUMPRODUCT(($I67:X67))-SUMPRODUCT(($I67:X67)*($I$6:X$6&lt;=(X$6-$E14)))</f>
        <v>-7220496.5750000011</v>
      </c>
      <c r="Y72" s="119" cm="1">
        <f t="array" ref="Y72">SUMPRODUCT(($I67:Y67))-SUMPRODUCT(($I67:Y67)*($I$6:Y$6&lt;=(Y$6-$E14)))</f>
        <v>-7220496.5750000011</v>
      </c>
      <c r="Z72" s="119" cm="1">
        <f t="array" ref="Z72">SUMPRODUCT(($I67:Z67))-SUMPRODUCT(($I67:Z67)*($I$6:Z$6&lt;=(Z$6-$E14)))</f>
        <v>-7220496.5750000011</v>
      </c>
      <c r="AA72" s="119" cm="1">
        <f t="array" ref="AA72">SUMPRODUCT(($I67:AA67))-SUMPRODUCT(($I67:AA67)*($I$6:AA$6&lt;=(AA$6-$E14)))</f>
        <v>-7220496.5750000011</v>
      </c>
      <c r="AB72" s="119" cm="1">
        <f t="array" ref="AB72">SUMPRODUCT(($I67:AB67))-SUMPRODUCT(($I67:AB67)*($I$6:AB$6&lt;=(AB$6-$E14)))</f>
        <v>-7220496.5750000011</v>
      </c>
      <c r="AC72" s="119" cm="1">
        <f t="array" ref="AC72">SUMPRODUCT(($I67:AC67))-SUMPRODUCT(($I67:AC67)*($I$6:AC$6&lt;=(AC$6-$E14)))</f>
        <v>-7220496.5750000011</v>
      </c>
      <c r="AD72" s="119" cm="1">
        <f t="array" ref="AD72">SUMPRODUCT(($I67:AD67))-SUMPRODUCT(($I67:AD67)*($I$6:AD$6&lt;=(AD$6-$E14)))</f>
        <v>-7220496.5750000011</v>
      </c>
      <c r="AE72" s="119" cm="1">
        <f t="array" ref="AE72">SUMPRODUCT(($I67:AE67))-SUMPRODUCT(($I67:AE67)*($I$6:AE$6&lt;=(AE$6-$E14)))</f>
        <v>-7220496.5750000011</v>
      </c>
      <c r="AF72" s="119" cm="1">
        <f t="array" ref="AF72">SUMPRODUCT(($I67:AF67))-SUMPRODUCT(($I67:AF67)*($I$6:AF$6&lt;=(AF$6-$E14)))</f>
        <v>-7220496.5750000011</v>
      </c>
      <c r="AG72" s="119" cm="1">
        <f t="array" ref="AG72">SUMPRODUCT(($I67:AG67))-SUMPRODUCT(($I67:AG67)*($I$6:AG$6&lt;=(AG$6-$E14)))</f>
        <v>-7220496.5750000011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Replace 1 transformer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-205224.36926986964</v>
      </c>
      <c r="K77" s="119">
        <f t="shared" si="7"/>
        <v>-307836.55390480446</v>
      </c>
      <c r="L77" s="119">
        <f t="shared" si="7"/>
        <v>-307836.55390480446</v>
      </c>
      <c r="M77" s="119">
        <f t="shared" si="7"/>
        <v>-307836.55390480446</v>
      </c>
      <c r="N77" s="119">
        <f t="shared" si="7"/>
        <v>-307836.55390480446</v>
      </c>
      <c r="O77" s="119">
        <f t="shared" si="7"/>
        <v>-307836.55390480446</v>
      </c>
      <c r="P77" s="119">
        <f t="shared" si="7"/>
        <v>-307836.55390480446</v>
      </c>
      <c r="Q77" s="119">
        <f t="shared" si="7"/>
        <v>-307836.55390480446</v>
      </c>
      <c r="R77" s="119">
        <f t="shared" si="7"/>
        <v>-307836.55390480446</v>
      </c>
      <c r="S77" s="119">
        <f t="shared" si="7"/>
        <v>-307836.55390480446</v>
      </c>
      <c r="T77" s="119">
        <f t="shared" si="7"/>
        <v>-307836.55390480446</v>
      </c>
      <c r="U77" s="119">
        <f t="shared" si="7"/>
        <v>-307836.55390480446</v>
      </c>
      <c r="V77" s="119">
        <f t="shared" si="7"/>
        <v>-307836.55390480446</v>
      </c>
      <c r="W77" s="119">
        <f t="shared" si="7"/>
        <v>-307836.55390480446</v>
      </c>
      <c r="X77" s="119">
        <f t="shared" si="7"/>
        <v>-307836.55390480446</v>
      </c>
      <c r="Y77" s="119">
        <f t="shared" si="7"/>
        <v>-307836.55390480446</v>
      </c>
      <c r="Z77" s="119">
        <f t="shared" si="7"/>
        <v>-307836.55390480446</v>
      </c>
      <c r="AA77" s="119">
        <f t="shared" si="7"/>
        <v>-307836.55390480446</v>
      </c>
      <c r="AB77" s="119">
        <f t="shared" si="7"/>
        <v>-307836.55390480446</v>
      </c>
      <c r="AC77" s="119">
        <f t="shared" si="7"/>
        <v>-307836.55390480446</v>
      </c>
      <c r="AD77" s="119">
        <f t="shared" si="7"/>
        <v>-307836.55390480446</v>
      </c>
      <c r="AE77" s="119">
        <f t="shared" si="7"/>
        <v>-307836.55390480446</v>
      </c>
      <c r="AF77" s="119">
        <f t="shared" si="7"/>
        <v>-307836.55390480446</v>
      </c>
      <c r="AG77" s="119">
        <f t="shared" si="7"/>
        <v>-307836.55390480446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-205224.36926986964</v>
      </c>
      <c r="K80" s="176">
        <f t="shared" si="10"/>
        <v>-307836.55390480446</v>
      </c>
      <c r="L80" s="176">
        <f t="shared" si="10"/>
        <v>-307836.55390480446</v>
      </c>
      <c r="M80" s="176">
        <f t="shared" si="10"/>
        <v>-307836.55390480446</v>
      </c>
      <c r="N80" s="176">
        <f t="shared" si="10"/>
        <v>-307836.55390480446</v>
      </c>
      <c r="O80" s="176">
        <f t="shared" si="10"/>
        <v>-307836.55390480446</v>
      </c>
      <c r="P80" s="176">
        <f t="shared" si="10"/>
        <v>-307836.55390480446</v>
      </c>
      <c r="Q80" s="176">
        <f t="shared" si="10"/>
        <v>-307836.55390480446</v>
      </c>
      <c r="R80" s="176">
        <f t="shared" si="10"/>
        <v>-307836.55390480446</v>
      </c>
      <c r="S80" s="176">
        <f t="shared" si="10"/>
        <v>-307836.55390480446</v>
      </c>
      <c r="T80" s="176">
        <f t="shared" si="10"/>
        <v>-307836.55390480446</v>
      </c>
      <c r="U80" s="176">
        <f t="shared" si="10"/>
        <v>-307836.55390480446</v>
      </c>
      <c r="V80" s="176">
        <f t="shared" si="10"/>
        <v>-307836.55390480446</v>
      </c>
      <c r="W80" s="176">
        <f t="shared" si="10"/>
        <v>-307836.55390480446</v>
      </c>
      <c r="X80" s="176">
        <f t="shared" si="10"/>
        <v>-307836.55390480446</v>
      </c>
      <c r="Y80" s="176">
        <f t="shared" si="10"/>
        <v>-307836.55390480446</v>
      </c>
      <c r="Z80" s="176">
        <f t="shared" si="10"/>
        <v>-307836.55390480446</v>
      </c>
      <c r="AA80" s="176">
        <f t="shared" si="10"/>
        <v>-307836.55390480446</v>
      </c>
      <c r="AB80" s="176">
        <f t="shared" si="10"/>
        <v>-307836.55390480446</v>
      </c>
      <c r="AC80" s="176">
        <f>SUM(AC77:AC79)</f>
        <v>-307836.55390480446</v>
      </c>
      <c r="AD80" s="176">
        <f>SUM(AD77:AD79)</f>
        <v>-307836.55390480446</v>
      </c>
      <c r="AE80" s="176">
        <f>SUM(AE77:AE79)</f>
        <v>-307836.55390480446</v>
      </c>
      <c r="AF80" s="176">
        <f>SUM(AF77:AF79)</f>
        <v>-307836.55390480446</v>
      </c>
      <c r="AG80" s="176">
        <f>SUM(AG77:AG79)</f>
        <v>-307836.55390480446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-205224.36926986964</v>
      </c>
      <c r="K82" s="119">
        <f t="shared" si="12"/>
        <v>-307836.55390480446</v>
      </c>
      <c r="L82" s="119">
        <f t="shared" si="12"/>
        <v>-307836.55390480446</v>
      </c>
      <c r="M82" s="119">
        <f t="shared" si="12"/>
        <v>-307836.55390480446</v>
      </c>
      <c r="N82" s="119">
        <f t="shared" si="12"/>
        <v>-307836.55390480446</v>
      </c>
      <c r="O82" s="119">
        <f t="shared" si="12"/>
        <v>-307836.55390480446</v>
      </c>
      <c r="P82" s="119">
        <f t="shared" si="12"/>
        <v>-307836.55390480446</v>
      </c>
      <c r="Q82" s="119">
        <f t="shared" si="12"/>
        <v>-307836.55390480446</v>
      </c>
      <c r="R82" s="119">
        <f t="shared" si="12"/>
        <v>-307836.55390480446</v>
      </c>
      <c r="S82" s="119">
        <f t="shared" si="12"/>
        <v>-307836.55390480446</v>
      </c>
      <c r="T82" s="119">
        <f t="shared" si="12"/>
        <v>-307836.55390480446</v>
      </c>
      <c r="U82" s="119">
        <f t="shared" si="12"/>
        <v>-307836.55390480446</v>
      </c>
      <c r="V82" s="119">
        <f t="shared" si="12"/>
        <v>-307836.55390480446</v>
      </c>
      <c r="W82" s="119">
        <f t="shared" si="12"/>
        <v>-307836.55390480446</v>
      </c>
      <c r="X82" s="119">
        <f t="shared" si="12"/>
        <v>-307836.55390480446</v>
      </c>
      <c r="Y82" s="119">
        <f t="shared" si="12"/>
        <v>-307836.55390480446</v>
      </c>
      <c r="Z82" s="119">
        <f t="shared" si="12"/>
        <v>-307836.55390480446</v>
      </c>
      <c r="AA82" s="119">
        <f t="shared" si="12"/>
        <v>-307836.55390480446</v>
      </c>
      <c r="AB82" s="119">
        <f t="shared" si="12"/>
        <v>-307836.55390480446</v>
      </c>
      <c r="AC82" s="119">
        <f>AC80</f>
        <v>-307836.55390480446</v>
      </c>
      <c r="AD82" s="119">
        <f>AD80</f>
        <v>-307836.55390480446</v>
      </c>
      <c r="AE82" s="119">
        <f>AE80</f>
        <v>-307836.55390480446</v>
      </c>
      <c r="AF82" s="119">
        <f>AF80</f>
        <v>-307836.55390480446</v>
      </c>
      <c r="AG82" s="119">
        <f>AG80</f>
        <v>-307836.55390480446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1"/>
        <v>45291</v>
      </c>
      <c r="H84" s="31"/>
      <c r="I84" s="31">
        <f>I64</f>
        <v>0</v>
      </c>
      <c r="J84" s="31">
        <f t="shared" ref="J84:AB84" si="14">J64</f>
        <v>0</v>
      </c>
      <c r="K84" s="31">
        <f t="shared" si="14"/>
        <v>392501.76582062762</v>
      </c>
      <c r="L84" s="31">
        <f t="shared" si="14"/>
        <v>394997.64361939824</v>
      </c>
      <c r="M84" s="31">
        <f t="shared" si="14"/>
        <v>394264.85878850031</v>
      </c>
      <c r="N84" s="31">
        <f t="shared" si="14"/>
        <v>394735.78947778716</v>
      </c>
      <c r="O84" s="31">
        <f t="shared" si="14"/>
        <v>399544.69286434498</v>
      </c>
      <c r="P84" s="31">
        <f t="shared" si="14"/>
        <v>406268.82236365386</v>
      </c>
      <c r="Q84" s="31">
        <f t="shared" si="14"/>
        <v>406939.60104816582</v>
      </c>
      <c r="R84" s="31">
        <f t="shared" si="14"/>
        <v>408898.52933548694</v>
      </c>
      <c r="S84" s="31">
        <f t="shared" si="14"/>
        <v>410899.73256557807</v>
      </c>
      <c r="T84" s="31">
        <f t="shared" si="14"/>
        <v>412935.10073124908</v>
      </c>
      <c r="U84" s="31">
        <f t="shared" si="14"/>
        <v>414998.45262395305</v>
      </c>
      <c r="V84" s="31">
        <f t="shared" si="14"/>
        <v>417084.96218237409</v>
      </c>
      <c r="W84" s="31">
        <f t="shared" si="14"/>
        <v>419190.78723216051</v>
      </c>
      <c r="X84" s="31">
        <f t="shared" si="14"/>
        <v>421312.81937931012</v>
      </c>
      <c r="Y84" s="31">
        <f t="shared" si="14"/>
        <v>423448.50986311556</v>
      </c>
      <c r="Z84" s="31">
        <f t="shared" si="14"/>
        <v>425595.74489435484</v>
      </c>
      <c r="AA84" s="31">
        <f t="shared" si="14"/>
        <v>427752.75428970542</v>
      </c>
      <c r="AB84" s="31">
        <f t="shared" si="14"/>
        <v>429918.04313651263</v>
      </c>
      <c r="AC84" s="31">
        <f>AC64</f>
        <v>432090.33977194969</v>
      </c>
      <c r="AD84" s="31">
        <f>AD64</f>
        <v>434268.55556258856</v>
      </c>
      <c r="AE84" s="31">
        <f>AE64</f>
        <v>436123.49175453529</v>
      </c>
      <c r="AF84" s="31">
        <f>AF64</f>
        <v>437984.83455820353</v>
      </c>
      <c r="AG84" s="31">
        <f>AG64</f>
        <v>439851.804590963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189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-205224.36926986964</v>
      </c>
      <c r="K87" s="179">
        <f t="shared" si="16"/>
        <v>84665.211915823165</v>
      </c>
      <c r="L87" s="179">
        <f t="shared" si="16"/>
        <v>87161.089714593778</v>
      </c>
      <c r="M87" s="179">
        <f t="shared" si="16"/>
        <v>86428.304883695848</v>
      </c>
      <c r="N87" s="179">
        <f t="shared" si="16"/>
        <v>86899.235572982696</v>
      </c>
      <c r="O87" s="179">
        <f t="shared" si="16"/>
        <v>91708.13895954052</v>
      </c>
      <c r="P87" s="179">
        <f t="shared" si="16"/>
        <v>98432.268458849401</v>
      </c>
      <c r="Q87" s="179">
        <f t="shared" si="16"/>
        <v>99103.047143361357</v>
      </c>
      <c r="R87" s="179">
        <f t="shared" si="16"/>
        <v>101061.97543068248</v>
      </c>
      <c r="S87" s="179">
        <f t="shared" si="16"/>
        <v>103063.17866077361</v>
      </c>
      <c r="T87" s="179">
        <f t="shared" si="16"/>
        <v>105098.54682644462</v>
      </c>
      <c r="U87" s="179">
        <f t="shared" si="16"/>
        <v>107161.89871914859</v>
      </c>
      <c r="V87" s="179">
        <f t="shared" si="16"/>
        <v>109248.40827756963</v>
      </c>
      <c r="W87" s="179">
        <f t="shared" si="16"/>
        <v>111354.23332735605</v>
      </c>
      <c r="X87" s="179">
        <f t="shared" si="16"/>
        <v>113476.26547450566</v>
      </c>
      <c r="Y87" s="179">
        <f t="shared" si="16"/>
        <v>115611.9559583111</v>
      </c>
      <c r="Z87" s="179">
        <f t="shared" si="16"/>
        <v>117759.19098955038</v>
      </c>
      <c r="AA87" s="179">
        <f t="shared" si="16"/>
        <v>119916.20038490096</v>
      </c>
      <c r="AB87" s="179">
        <f t="shared" si="16"/>
        <v>122081.48923170817</v>
      </c>
      <c r="AC87" s="179">
        <f>SUM(AC82:AC86)</f>
        <v>124253.78586714523</v>
      </c>
      <c r="AD87" s="179">
        <f>SUM(AD82:AD86)</f>
        <v>126432.0016577841</v>
      </c>
      <c r="AE87" s="179">
        <f>SUM(AE82:AE86)</f>
        <v>128286.93784973084</v>
      </c>
      <c r="AF87" s="179">
        <f>SUM(AF82:AF86)</f>
        <v>130148.28065339907</v>
      </c>
      <c r="AG87" s="179">
        <f>SUM(AG82:AG86)</f>
        <v>132015.25068615854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194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7">J87</f>
        <v>-205224.36926986964</v>
      </c>
      <c r="K106" s="31">
        <f t="shared" si="17"/>
        <v>84665.211915823165</v>
      </c>
      <c r="L106" s="31">
        <f t="shared" si="17"/>
        <v>87161.089714593778</v>
      </c>
      <c r="M106" s="31">
        <f t="shared" si="17"/>
        <v>86428.304883695848</v>
      </c>
      <c r="N106" s="31">
        <f t="shared" si="17"/>
        <v>86899.235572982696</v>
      </c>
      <c r="O106" s="31">
        <f t="shared" si="17"/>
        <v>91708.13895954052</v>
      </c>
      <c r="P106" s="31">
        <f t="shared" si="17"/>
        <v>98432.268458849401</v>
      </c>
      <c r="Q106" s="31">
        <f t="shared" si="17"/>
        <v>99103.047143361357</v>
      </c>
      <c r="R106" s="31">
        <f t="shared" si="17"/>
        <v>101061.97543068248</v>
      </c>
      <c r="S106" s="31">
        <f t="shared" si="17"/>
        <v>103063.17866077361</v>
      </c>
      <c r="T106" s="31">
        <f t="shared" si="17"/>
        <v>105098.54682644462</v>
      </c>
      <c r="U106" s="31">
        <f t="shared" si="17"/>
        <v>107161.89871914859</v>
      </c>
      <c r="V106" s="31">
        <f t="shared" si="17"/>
        <v>109248.40827756963</v>
      </c>
      <c r="W106" s="31">
        <f t="shared" si="17"/>
        <v>111354.23332735605</v>
      </c>
      <c r="X106" s="31">
        <f t="shared" si="17"/>
        <v>113476.26547450566</v>
      </c>
      <c r="Y106" s="31">
        <f t="shared" si="17"/>
        <v>115611.9559583111</v>
      </c>
      <c r="Z106" s="31">
        <f t="shared" si="17"/>
        <v>117759.19098955038</v>
      </c>
      <c r="AA106" s="31">
        <f t="shared" si="17"/>
        <v>119916.20038490096</v>
      </c>
      <c r="AB106" s="31">
        <f t="shared" si="17"/>
        <v>122081.48923170817</v>
      </c>
      <c r="AC106" s="31">
        <f t="shared" si="17"/>
        <v>124253.78586714523</v>
      </c>
      <c r="AD106" s="31">
        <f t="shared" si="17"/>
        <v>126432.0016577841</v>
      </c>
      <c r="AE106" s="31">
        <f t="shared" si="17"/>
        <v>128286.93784973084</v>
      </c>
      <c r="AF106" s="31">
        <f t="shared" si="17"/>
        <v>130148.28065339907</v>
      </c>
      <c r="AG106" s="31">
        <f t="shared" si="17"/>
        <v>132015.25068615854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8">J82</f>
        <v>-205224.36926986964</v>
      </c>
      <c r="K107" s="31">
        <f t="shared" si="18"/>
        <v>-307836.55390480446</v>
      </c>
      <c r="L107" s="31">
        <f t="shared" si="18"/>
        <v>-307836.55390480446</v>
      </c>
      <c r="M107" s="31">
        <f t="shared" si="18"/>
        <v>-307836.55390480446</v>
      </c>
      <c r="N107" s="31">
        <f t="shared" si="18"/>
        <v>-307836.55390480446</v>
      </c>
      <c r="O107" s="31">
        <f t="shared" si="18"/>
        <v>-307836.55390480446</v>
      </c>
      <c r="P107" s="31">
        <f t="shared" si="18"/>
        <v>-307836.55390480446</v>
      </c>
      <c r="Q107" s="31">
        <f t="shared" si="18"/>
        <v>-307836.55390480446</v>
      </c>
      <c r="R107" s="31">
        <f t="shared" si="18"/>
        <v>-307836.55390480446</v>
      </c>
      <c r="S107" s="31">
        <f t="shared" si="18"/>
        <v>-307836.55390480446</v>
      </c>
      <c r="T107" s="31">
        <f t="shared" si="18"/>
        <v>-307836.55390480446</v>
      </c>
      <c r="U107" s="31">
        <f t="shared" si="18"/>
        <v>-307836.55390480446</v>
      </c>
      <c r="V107" s="31">
        <f t="shared" si="18"/>
        <v>-307836.55390480446</v>
      </c>
      <c r="W107" s="31">
        <f t="shared" si="18"/>
        <v>-307836.55390480446</v>
      </c>
      <c r="X107" s="31">
        <f t="shared" si="18"/>
        <v>-307836.55390480446</v>
      </c>
      <c r="Y107" s="31">
        <f t="shared" si="18"/>
        <v>-307836.55390480446</v>
      </c>
      <c r="Z107" s="31">
        <f t="shared" si="18"/>
        <v>-307836.55390480446</v>
      </c>
      <c r="AA107" s="31">
        <f t="shared" si="18"/>
        <v>-307836.55390480446</v>
      </c>
      <c r="AB107" s="31">
        <f t="shared" si="18"/>
        <v>-307836.55390480446</v>
      </c>
      <c r="AC107" s="31">
        <f t="shared" si="18"/>
        <v>-307836.55390480446</v>
      </c>
      <c r="AD107" s="31">
        <f t="shared" si="18"/>
        <v>-307836.55390480446</v>
      </c>
      <c r="AE107" s="31">
        <f t="shared" si="18"/>
        <v>-307836.55390480446</v>
      </c>
      <c r="AF107" s="31">
        <f t="shared" si="18"/>
        <v>-307836.55390480446</v>
      </c>
      <c r="AG107" s="31">
        <f t="shared" si="18"/>
        <v>-307836.55390480446</v>
      </c>
    </row>
    <row r="108" spans="1:43" x14ac:dyDescent="0.2">
      <c r="C108" s="1" t="s">
        <v>242</v>
      </c>
      <c r="D108" s="252"/>
      <c r="E108" s="38"/>
      <c r="I108" s="31">
        <f>SUM(I84:I85)</f>
        <v>0</v>
      </c>
      <c r="J108" s="31">
        <f t="shared" ref="J108:AG108" si="19">SUM(J84:J85)</f>
        <v>0</v>
      </c>
      <c r="K108" s="31">
        <f t="shared" si="19"/>
        <v>392501.76582062762</v>
      </c>
      <c r="L108" s="31">
        <f t="shared" si="19"/>
        <v>394997.64361939824</v>
      </c>
      <c r="M108" s="31">
        <f t="shared" si="19"/>
        <v>394264.85878850031</v>
      </c>
      <c r="N108" s="31">
        <f t="shared" si="19"/>
        <v>394735.78947778716</v>
      </c>
      <c r="O108" s="31">
        <f t="shared" si="19"/>
        <v>399544.69286434498</v>
      </c>
      <c r="P108" s="31">
        <f t="shared" si="19"/>
        <v>406268.82236365386</v>
      </c>
      <c r="Q108" s="31">
        <f t="shared" si="19"/>
        <v>406939.60104816582</v>
      </c>
      <c r="R108" s="31">
        <f t="shared" si="19"/>
        <v>408898.52933548694</v>
      </c>
      <c r="S108" s="31">
        <f t="shared" si="19"/>
        <v>410899.73256557807</v>
      </c>
      <c r="T108" s="31">
        <f t="shared" si="19"/>
        <v>412935.10073124908</v>
      </c>
      <c r="U108" s="31">
        <f t="shared" si="19"/>
        <v>414998.45262395305</v>
      </c>
      <c r="V108" s="31">
        <f t="shared" si="19"/>
        <v>417084.96218237409</v>
      </c>
      <c r="W108" s="31">
        <f t="shared" si="19"/>
        <v>419190.78723216051</v>
      </c>
      <c r="X108" s="31">
        <f t="shared" si="19"/>
        <v>421312.81937931012</v>
      </c>
      <c r="Y108" s="31">
        <f t="shared" si="19"/>
        <v>423448.50986311556</v>
      </c>
      <c r="Z108" s="31">
        <f t="shared" si="19"/>
        <v>425595.74489435484</v>
      </c>
      <c r="AA108" s="31">
        <f t="shared" si="19"/>
        <v>427752.75428970542</v>
      </c>
      <c r="AB108" s="31">
        <f t="shared" si="19"/>
        <v>429918.04313651263</v>
      </c>
      <c r="AC108" s="31">
        <f t="shared" si="19"/>
        <v>432090.33977194969</v>
      </c>
      <c r="AD108" s="31">
        <f t="shared" si="19"/>
        <v>434268.55556258856</v>
      </c>
      <c r="AE108" s="31">
        <f t="shared" si="19"/>
        <v>436123.49175453529</v>
      </c>
      <c r="AF108" s="31">
        <f t="shared" si="19"/>
        <v>437984.83455820353</v>
      </c>
      <c r="AG108" s="31">
        <f t="shared" si="19"/>
        <v>439851.804590963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-225746.8061968566</v>
      </c>
      <c r="K110" s="31" cm="1">
        <f t="array" ref="K110">K$106+IF($C110&lt;&gt;0,SUMPRODUCT((K$107:K$108)*TRANSPOSE(($D110:$E110))),0)</f>
        <v>53881.556525342719</v>
      </c>
      <c r="L110" s="31" cm="1">
        <f t="array" ref="L110">L$106+IF($C110&lt;&gt;0,SUMPRODUCT((L$107:L$108)*TRANSPOSE(($D110:$E110))),0)</f>
        <v>56377.434324113332</v>
      </c>
      <c r="M110" s="31" cm="1">
        <f t="array" ref="M110">M$106+IF($C110&lt;&gt;0,SUMPRODUCT((M$107:M$108)*TRANSPOSE(($D110:$E110))),0)</f>
        <v>55644.649493215402</v>
      </c>
      <c r="N110" s="31" cm="1">
        <f t="array" ref="N110">N$106+IF($C110&lt;&gt;0,SUMPRODUCT((N$107:N$108)*TRANSPOSE(($D110:$E110))),0)</f>
        <v>56115.58018250225</v>
      </c>
      <c r="O110" s="31" cm="1">
        <f t="array" ref="O110">O$106+IF($C110&lt;&gt;0,SUMPRODUCT((O$107:O$108)*TRANSPOSE(($D110:$E110))),0)</f>
        <v>60924.483569060074</v>
      </c>
      <c r="P110" s="31" cm="1">
        <f t="array" ref="P110">P$106+IF($C110&lt;&gt;0,SUMPRODUCT((P$107:P$108)*TRANSPOSE(($D110:$E110))),0)</f>
        <v>67648.613068368955</v>
      </c>
      <c r="Q110" s="31" cm="1">
        <f t="array" ref="Q110">Q$106+IF($C110&lt;&gt;0,SUMPRODUCT((Q$107:Q$108)*TRANSPOSE(($D110:$E110))),0)</f>
        <v>68319.391752880911</v>
      </c>
      <c r="R110" s="31" cm="1">
        <f t="array" ref="R110">R$106+IF($C110&lt;&gt;0,SUMPRODUCT((R$107:R$108)*TRANSPOSE(($D110:$E110))),0)</f>
        <v>70278.32004020203</v>
      </c>
      <c r="S110" s="31" cm="1">
        <f t="array" ref="S110">S$106+IF($C110&lt;&gt;0,SUMPRODUCT((S$107:S$108)*TRANSPOSE(($D110:$E110))),0)</f>
        <v>72279.523270293168</v>
      </c>
      <c r="T110" s="31" cm="1">
        <f t="array" ref="T110">T$106+IF($C110&lt;&gt;0,SUMPRODUCT((T$107:T$108)*TRANSPOSE(($D110:$E110))),0)</f>
        <v>74314.891435964179</v>
      </c>
      <c r="U110" s="31" cm="1">
        <f t="array" ref="U110">U$106+IF($C110&lt;&gt;0,SUMPRODUCT((U$107:U$108)*TRANSPOSE(($D110:$E110))),0)</f>
        <v>76378.243328668148</v>
      </c>
      <c r="V110" s="31" cm="1">
        <f t="array" ref="V110">V$106+IF($C110&lt;&gt;0,SUMPRODUCT((V$107:V$108)*TRANSPOSE(($D110:$E110))),0)</f>
        <v>78464.752887089184</v>
      </c>
      <c r="W110" s="31" cm="1">
        <f t="array" ref="W110">W$106+IF($C110&lt;&gt;0,SUMPRODUCT((W$107:W$108)*TRANSPOSE(($D110:$E110))),0)</f>
        <v>80570.577936875605</v>
      </c>
      <c r="X110" s="31" cm="1">
        <f t="array" ref="X110">X$106+IF($C110&lt;&gt;0,SUMPRODUCT((X$107:X$108)*TRANSPOSE(($D110:$E110))),0)</f>
        <v>82692.610084025218</v>
      </c>
      <c r="Y110" s="31" cm="1">
        <f t="array" ref="Y110">Y$106+IF($C110&lt;&gt;0,SUMPRODUCT((Y$107:Y$108)*TRANSPOSE(($D110:$E110))),0)</f>
        <v>84828.300567830651</v>
      </c>
      <c r="Z110" s="31" cm="1">
        <f t="array" ref="Z110">Z$106+IF($C110&lt;&gt;0,SUMPRODUCT((Z$107:Z$108)*TRANSPOSE(($D110:$E110))),0)</f>
        <v>86975.535599069932</v>
      </c>
      <c r="AA110" s="31" cm="1">
        <f t="array" ref="AA110">AA$106+IF($C110&lt;&gt;0,SUMPRODUCT((AA$107:AA$108)*TRANSPOSE(($D110:$E110))),0)</f>
        <v>89132.544994420517</v>
      </c>
      <c r="AB110" s="31" cm="1">
        <f t="array" ref="AB110">AB$106+IF($C110&lt;&gt;0,SUMPRODUCT((AB$107:AB$108)*TRANSPOSE(($D110:$E110))),0)</f>
        <v>91297.833841227723</v>
      </c>
      <c r="AC110" s="31" cm="1">
        <f t="array" ref="AC110">AC$106+IF($C110&lt;&gt;0,SUMPRODUCT((AC$107:AC$108)*TRANSPOSE(($D110:$E110))),0)</f>
        <v>93470.130476664781</v>
      </c>
      <c r="AD110" s="31" cm="1">
        <f t="array" ref="AD110">AD$106+IF($C110&lt;&gt;0,SUMPRODUCT((AD$107:AD$108)*TRANSPOSE(($D110:$E110))),0)</f>
        <v>95648.346267303656</v>
      </c>
      <c r="AE110" s="31" cm="1">
        <f t="array" ref="AE110">AE$106+IF($C110&lt;&gt;0,SUMPRODUCT((AE$107:AE$108)*TRANSPOSE(($D110:$E110))),0)</f>
        <v>97503.282459250389</v>
      </c>
      <c r="AF110" s="31" cm="1">
        <f t="array" ref="AF110">AF$106+IF($C110&lt;&gt;0,SUMPRODUCT((AF$107:AF$108)*TRANSPOSE(($D110:$E110))),0)</f>
        <v>99364.62526291862</v>
      </c>
      <c r="AG110" s="31" cm="1">
        <f t="array" ref="AG110">AG$106+IF($C110&lt;&gt;0,SUMPRODUCT((AG$107:AG$108)*TRANSPOSE(($D110:$E110))),0)</f>
        <v>101231.5952956781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-184701.93234288268</v>
      </c>
      <c r="K111" s="31" cm="1">
        <f t="array" ref="K111">K$106+IF($C111&lt;&gt;0,SUMPRODUCT((K$107:K$108)*TRANSPOSE(($D111:$E111))),0)</f>
        <v>115448.86730630361</v>
      </c>
      <c r="L111" s="31" cm="1">
        <f t="array" ref="L111">L$106+IF($C111&lt;&gt;0,SUMPRODUCT((L$107:L$108)*TRANSPOSE(($D111:$E111))),0)</f>
        <v>117944.74510507422</v>
      </c>
      <c r="M111" s="31" cm="1">
        <f t="array" ref="M111">M$106+IF($C111&lt;&gt;0,SUMPRODUCT((M$107:M$108)*TRANSPOSE(($D111:$E111))),0)</f>
        <v>117211.96027417629</v>
      </c>
      <c r="N111" s="31" cm="1">
        <f t="array" ref="N111">N$106+IF($C111&lt;&gt;0,SUMPRODUCT((N$107:N$108)*TRANSPOSE(($D111:$E111))),0)</f>
        <v>117682.89096346314</v>
      </c>
      <c r="O111" s="31" cm="1">
        <f t="array" ref="O111">O$106+IF($C111&lt;&gt;0,SUMPRODUCT((O$107:O$108)*TRANSPOSE(($D111:$E111))),0)</f>
        <v>122491.79435002097</v>
      </c>
      <c r="P111" s="31" cm="1">
        <f t="array" ref="P111">P$106+IF($C111&lt;&gt;0,SUMPRODUCT((P$107:P$108)*TRANSPOSE(($D111:$E111))),0)</f>
        <v>129215.92384932985</v>
      </c>
      <c r="Q111" s="31" cm="1">
        <f t="array" ref="Q111">Q$106+IF($C111&lt;&gt;0,SUMPRODUCT((Q$107:Q$108)*TRANSPOSE(($D111:$E111))),0)</f>
        <v>129886.7025338418</v>
      </c>
      <c r="R111" s="31" cm="1">
        <f t="array" ref="R111">R$106+IF($C111&lt;&gt;0,SUMPRODUCT((R$107:R$108)*TRANSPOSE(($D111:$E111))),0)</f>
        <v>131845.63082116292</v>
      </c>
      <c r="S111" s="31" cm="1">
        <f t="array" ref="S111">S$106+IF($C111&lt;&gt;0,SUMPRODUCT((S$107:S$108)*TRANSPOSE(($D111:$E111))),0)</f>
        <v>133846.83405125406</v>
      </c>
      <c r="T111" s="31" cm="1">
        <f t="array" ref="T111">T$106+IF($C111&lt;&gt;0,SUMPRODUCT((T$107:T$108)*TRANSPOSE(($D111:$E111))),0)</f>
        <v>135882.20221692507</v>
      </c>
      <c r="U111" s="31" cm="1">
        <f t="array" ref="U111">U$106+IF($C111&lt;&gt;0,SUMPRODUCT((U$107:U$108)*TRANSPOSE(($D111:$E111))),0)</f>
        <v>137945.55410962904</v>
      </c>
      <c r="V111" s="31" cm="1">
        <f t="array" ref="V111">V$106+IF($C111&lt;&gt;0,SUMPRODUCT((V$107:V$108)*TRANSPOSE(($D111:$E111))),0)</f>
        <v>140032.06366805008</v>
      </c>
      <c r="W111" s="31" cm="1">
        <f t="array" ref="W111">W$106+IF($C111&lt;&gt;0,SUMPRODUCT((W$107:W$108)*TRANSPOSE(($D111:$E111))),0)</f>
        <v>142137.8887178365</v>
      </c>
      <c r="X111" s="31" cm="1">
        <f t="array" ref="X111">X$106+IF($C111&lt;&gt;0,SUMPRODUCT((X$107:X$108)*TRANSPOSE(($D111:$E111))),0)</f>
        <v>144259.92086498611</v>
      </c>
      <c r="Y111" s="31" cm="1">
        <f t="array" ref="Y111">Y$106+IF($C111&lt;&gt;0,SUMPRODUCT((Y$107:Y$108)*TRANSPOSE(($D111:$E111))),0)</f>
        <v>146395.61134879154</v>
      </c>
      <c r="Z111" s="31" cm="1">
        <f t="array" ref="Z111">Z$106+IF($C111&lt;&gt;0,SUMPRODUCT((Z$107:Z$108)*TRANSPOSE(($D111:$E111))),0)</f>
        <v>148542.84638003082</v>
      </c>
      <c r="AA111" s="31" cm="1">
        <f t="array" ref="AA111">AA$106+IF($C111&lt;&gt;0,SUMPRODUCT((AA$107:AA$108)*TRANSPOSE(($D111:$E111))),0)</f>
        <v>150699.85577538141</v>
      </c>
      <c r="AB111" s="31" cm="1">
        <f t="array" ref="AB111">AB$106+IF($C111&lt;&gt;0,SUMPRODUCT((AB$107:AB$108)*TRANSPOSE(($D111:$E111))),0)</f>
        <v>152865.14462218861</v>
      </c>
      <c r="AC111" s="31" cm="1">
        <f t="array" ref="AC111">AC$106+IF($C111&lt;&gt;0,SUMPRODUCT((AC$107:AC$108)*TRANSPOSE(($D111:$E111))),0)</f>
        <v>155037.44125762567</v>
      </c>
      <c r="AD111" s="31" cm="1">
        <f t="array" ref="AD111">AD$106+IF($C111&lt;&gt;0,SUMPRODUCT((AD$107:AD$108)*TRANSPOSE(($D111:$E111))),0)</f>
        <v>157215.65704826455</v>
      </c>
      <c r="AE111" s="31" cm="1">
        <f t="array" ref="AE111">AE$106+IF($C111&lt;&gt;0,SUMPRODUCT((AE$107:AE$108)*TRANSPOSE(($D111:$E111))),0)</f>
        <v>159070.59324021128</v>
      </c>
      <c r="AF111" s="31" cm="1">
        <f t="array" ref="AF111">AF$106+IF($C111&lt;&gt;0,SUMPRODUCT((AF$107:AF$108)*TRANSPOSE(($D111:$E111))),0)</f>
        <v>160931.93604387951</v>
      </c>
      <c r="AG111" s="31" cm="1">
        <f t="array" ref="AG111">AG$106+IF($C111&lt;&gt;0,SUMPRODUCT((AG$107:AG$108)*TRANSPOSE(($D111:$E111))),0)</f>
        <v>162798.90607663899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-205224.36926986964</v>
      </c>
      <c r="K112" s="31" cm="1">
        <f t="array" ref="K112">K$106+IF($C112&lt;&gt;0,SUMPRODUCT((K$107:K$108)*TRANSPOSE(($D112:$E112))),0)</f>
        <v>123915.38849788593</v>
      </c>
      <c r="L112" s="31" cm="1">
        <f t="array" ref="L112">L$106+IF($C112&lt;&gt;0,SUMPRODUCT((L$107:L$108)*TRANSPOSE(($D112:$E112))),0)</f>
        <v>126660.85407653361</v>
      </c>
      <c r="M112" s="31" cm="1">
        <f t="array" ref="M112">M$106+IF($C112&lt;&gt;0,SUMPRODUCT((M$107:M$108)*TRANSPOSE(($D112:$E112))),0)</f>
        <v>125854.79076254589</v>
      </c>
      <c r="N112" s="31" cm="1">
        <f t="array" ref="N112">N$106+IF($C112&lt;&gt;0,SUMPRODUCT((N$107:N$108)*TRANSPOSE(($D112:$E112))),0)</f>
        <v>126372.81452076141</v>
      </c>
      <c r="O112" s="31" cm="1">
        <f t="array" ref="O112">O$106+IF($C112&lt;&gt;0,SUMPRODUCT((O$107:O$108)*TRANSPOSE(($D112:$E112))),0)</f>
        <v>131662.60824597502</v>
      </c>
      <c r="P112" s="31" cm="1">
        <f t="array" ref="P112">P$106+IF($C112&lt;&gt;0,SUMPRODUCT((P$107:P$108)*TRANSPOSE(($D112:$E112))),0)</f>
        <v>139059.1506952148</v>
      </c>
      <c r="Q112" s="31" cm="1">
        <f t="array" ref="Q112">Q$106+IF($C112&lt;&gt;0,SUMPRODUCT((Q$107:Q$108)*TRANSPOSE(($D112:$E112))),0)</f>
        <v>139797.00724817795</v>
      </c>
      <c r="R112" s="31" cm="1">
        <f t="array" ref="R112">R$106+IF($C112&lt;&gt;0,SUMPRODUCT((R$107:R$108)*TRANSPOSE(($D112:$E112))),0)</f>
        <v>141951.82836423116</v>
      </c>
      <c r="S112" s="31" cm="1">
        <f t="array" ref="S112">S$106+IF($C112&lt;&gt;0,SUMPRODUCT((S$107:S$108)*TRANSPOSE(($D112:$E112))),0)</f>
        <v>144153.15191733142</v>
      </c>
      <c r="T112" s="31" cm="1">
        <f t="array" ref="T112">T$106+IF($C112&lt;&gt;0,SUMPRODUCT((T$107:T$108)*TRANSPOSE(($D112:$E112))),0)</f>
        <v>146392.05689956952</v>
      </c>
      <c r="U112" s="31" cm="1">
        <f t="array" ref="U112">U$106+IF($C112&lt;&gt;0,SUMPRODUCT((U$107:U$108)*TRANSPOSE(($D112:$E112))),0)</f>
        <v>148661.7439815439</v>
      </c>
      <c r="V112" s="31" cm="1">
        <f t="array" ref="V112">V$106+IF($C112&lt;&gt;0,SUMPRODUCT((V$107:V$108)*TRANSPOSE(($D112:$E112))),0)</f>
        <v>150956.90449580704</v>
      </c>
      <c r="W112" s="31" cm="1">
        <f t="array" ref="W112">W$106+IF($C112&lt;&gt;0,SUMPRODUCT((W$107:W$108)*TRANSPOSE(($D112:$E112))),0)</f>
        <v>153273.3120505721</v>
      </c>
      <c r="X112" s="31" cm="1">
        <f t="array" ref="X112">X$106+IF($C112&lt;&gt;0,SUMPRODUCT((X$107:X$108)*TRANSPOSE(($D112:$E112))),0)</f>
        <v>155607.54741243669</v>
      </c>
      <c r="Y112" s="31" cm="1">
        <f t="array" ref="Y112">Y$106+IF($C112&lt;&gt;0,SUMPRODUCT((Y$107:Y$108)*TRANSPOSE(($D112:$E112))),0)</f>
        <v>157956.80694462266</v>
      </c>
      <c r="Z112" s="31" cm="1">
        <f t="array" ref="Z112">Z$106+IF($C112&lt;&gt;0,SUMPRODUCT((Z$107:Z$108)*TRANSPOSE(($D112:$E112))),0)</f>
        <v>160318.76547898585</v>
      </c>
      <c r="AA112" s="31" cm="1">
        <f t="array" ref="AA112">AA$106+IF($C112&lt;&gt;0,SUMPRODUCT((AA$107:AA$108)*TRANSPOSE(($D112:$E112))),0)</f>
        <v>162691.47581387151</v>
      </c>
      <c r="AB112" s="31" cm="1">
        <f t="array" ref="AB112">AB$106+IF($C112&lt;&gt;0,SUMPRODUCT((AB$107:AB$108)*TRANSPOSE(($D112:$E112))),0)</f>
        <v>165073.29354535943</v>
      </c>
      <c r="AC112" s="31" cm="1">
        <f t="array" ref="AC112">AC$106+IF($C112&lt;&gt;0,SUMPRODUCT((AC$107:AC$108)*TRANSPOSE(($D112:$E112))),0)</f>
        <v>167462.81984434021</v>
      </c>
      <c r="AD112" s="31" cm="1">
        <f t="array" ref="AD112">AD$106+IF($C112&lt;&gt;0,SUMPRODUCT((AD$107:AD$108)*TRANSPOSE(($D112:$E112))),0)</f>
        <v>169858.85721404298</v>
      </c>
      <c r="AE112" s="31" cm="1">
        <f t="array" ref="AE112">AE$106+IF($C112&lt;&gt;0,SUMPRODUCT((AE$107:AE$108)*TRANSPOSE(($D112:$E112))),0)</f>
        <v>171899.28702518437</v>
      </c>
      <c r="AF112" s="31" cm="1">
        <f t="array" ref="AF112">AF$106+IF($C112&lt;&gt;0,SUMPRODUCT((AF$107:AF$108)*TRANSPOSE(($D112:$E112))),0)</f>
        <v>173946.76410921942</v>
      </c>
      <c r="AG112" s="31" cm="1">
        <f t="array" ref="AG112">AG$106+IF($C112&lt;&gt;0,SUMPRODUCT((AG$107:AG$108)*TRANSPOSE(($D112:$E112))),0)</f>
        <v>176000.43114525484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-205224.36926986964</v>
      </c>
      <c r="K113" s="31" cm="1">
        <f t="array" ref="K113">K$106+IF($C113&lt;&gt;0,SUMPRODUCT((K$107:K$108)*TRANSPOSE(($D113:$E113))),0)</f>
        <v>45415.035333760403</v>
      </c>
      <c r="L113" s="31" cm="1">
        <f t="array" ref="L113">L$106+IF($C113&lt;&gt;0,SUMPRODUCT((L$107:L$108)*TRANSPOSE(($D113:$E113))),0)</f>
        <v>47661.325352653948</v>
      </c>
      <c r="M113" s="31" cm="1">
        <f t="array" ref="M113">M$106+IF($C113&lt;&gt;0,SUMPRODUCT((M$107:M$108)*TRANSPOSE(($D113:$E113))),0)</f>
        <v>47001.819004845813</v>
      </c>
      <c r="N113" s="31" cm="1">
        <f t="array" ref="N113">N$106+IF($C113&lt;&gt;0,SUMPRODUCT((N$107:N$108)*TRANSPOSE(($D113:$E113))),0)</f>
        <v>47425.656625203977</v>
      </c>
      <c r="O113" s="31" cm="1">
        <f t="array" ref="O113">O$106+IF($C113&lt;&gt;0,SUMPRODUCT((O$107:O$108)*TRANSPOSE(($D113:$E113))),0)</f>
        <v>51753.669673106022</v>
      </c>
      <c r="P113" s="31" cm="1">
        <f t="array" ref="P113">P$106+IF($C113&lt;&gt;0,SUMPRODUCT((P$107:P$108)*TRANSPOSE(($D113:$E113))),0)</f>
        <v>57805.386222484012</v>
      </c>
      <c r="Q113" s="31" cm="1">
        <f t="array" ref="Q113">Q$106+IF($C113&lt;&gt;0,SUMPRODUCT((Q$107:Q$108)*TRANSPOSE(($D113:$E113))),0)</f>
        <v>58409.087038544771</v>
      </c>
      <c r="R113" s="31" cm="1">
        <f t="array" ref="R113">R$106+IF($C113&lt;&gt;0,SUMPRODUCT((R$107:R$108)*TRANSPOSE(($D113:$E113))),0)</f>
        <v>60172.12249713378</v>
      </c>
      <c r="S113" s="31" cm="1">
        <f t="array" ref="S113">S$106+IF($C113&lt;&gt;0,SUMPRODUCT((S$107:S$108)*TRANSPOSE(($D113:$E113))),0)</f>
        <v>61973.205404215805</v>
      </c>
      <c r="T113" s="31" cm="1">
        <f t="array" ref="T113">T$106+IF($C113&lt;&gt;0,SUMPRODUCT((T$107:T$108)*TRANSPOSE(($D113:$E113))),0)</f>
        <v>63805.036753319713</v>
      </c>
      <c r="U113" s="31" cm="1">
        <f t="array" ref="U113">U$106+IF($C113&lt;&gt;0,SUMPRODUCT((U$107:U$108)*TRANSPOSE(($D113:$E113))),0)</f>
        <v>65662.053456753289</v>
      </c>
      <c r="V113" s="31" cm="1">
        <f t="array" ref="V113">V$106+IF($C113&lt;&gt;0,SUMPRODUCT((V$107:V$108)*TRANSPOSE(($D113:$E113))),0)</f>
        <v>67539.912059332215</v>
      </c>
      <c r="W113" s="31" cm="1">
        <f t="array" ref="W113">W$106+IF($C113&lt;&gt;0,SUMPRODUCT((W$107:W$108)*TRANSPOSE(($D113:$E113))),0)</f>
        <v>69435.15460414</v>
      </c>
      <c r="X113" s="31" cm="1">
        <f t="array" ref="X113">X$106+IF($C113&lt;&gt;0,SUMPRODUCT((X$107:X$108)*TRANSPOSE(($D113:$E113))),0)</f>
        <v>71344.98353657464</v>
      </c>
      <c r="Y113" s="31" cm="1">
        <f t="array" ref="Y113">Y$106+IF($C113&lt;&gt;0,SUMPRODUCT((Y$107:Y$108)*TRANSPOSE(($D113:$E113))),0)</f>
        <v>73267.104971999535</v>
      </c>
      <c r="Z113" s="31" cm="1">
        <f t="array" ref="Z113">Z$106+IF($C113&lt;&gt;0,SUMPRODUCT((Z$107:Z$108)*TRANSPOSE(($D113:$E113))),0)</f>
        <v>75199.616500114891</v>
      </c>
      <c r="AA113" s="31" cm="1">
        <f t="array" ref="AA113">AA$106+IF($C113&lt;&gt;0,SUMPRODUCT((AA$107:AA$108)*TRANSPOSE(($D113:$E113))),0)</f>
        <v>77140.924955930415</v>
      </c>
      <c r="AB113" s="31" cm="1">
        <f t="array" ref="AB113">AB$106+IF($C113&lt;&gt;0,SUMPRODUCT((AB$107:AB$108)*TRANSPOSE(($D113:$E113))),0)</f>
        <v>79089.684918056912</v>
      </c>
      <c r="AC113" s="31" cm="1">
        <f t="array" ref="AC113">AC$106+IF($C113&lt;&gt;0,SUMPRODUCT((AC$107:AC$108)*TRANSPOSE(($D113:$E113))),0)</f>
        <v>81044.751889950247</v>
      </c>
      <c r="AD113" s="31" cm="1">
        <f t="array" ref="AD113">AD$106+IF($C113&lt;&gt;0,SUMPRODUCT((AD$107:AD$108)*TRANSPOSE(($D113:$E113))),0)</f>
        <v>83005.146101525243</v>
      </c>
      <c r="AE113" s="31" cm="1">
        <f t="array" ref="AE113">AE$106+IF($C113&lt;&gt;0,SUMPRODUCT((AE$107:AE$108)*TRANSPOSE(($D113:$E113))),0)</f>
        <v>84674.5886742773</v>
      </c>
      <c r="AF113" s="31" cm="1">
        <f t="array" ref="AF113">AF$106+IF($C113&lt;&gt;0,SUMPRODUCT((AF$107:AF$108)*TRANSPOSE(($D113:$E113))),0)</f>
        <v>86349.797197578708</v>
      </c>
      <c r="AG113" s="31" cm="1">
        <f t="array" ref="AG113">AG$106+IF($C113&lt;&gt;0,SUMPRODUCT((AG$107:AG$108)*TRANSPOSE(($D113:$E113))),0)</f>
        <v>88030.070227062242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-225746.8061968566</v>
      </c>
      <c r="K114" s="31" cm="1">
        <f t="array" ref="K114">K$106+IF($C114&lt;&gt;0,SUMPRODUCT((K$107:K$108)*TRANSPOSE(($D114:$E114))),0)</f>
        <v>14631.379943279957</v>
      </c>
      <c r="L114" s="31" cm="1">
        <f t="array" ref="L114">L$106+IF($C114&lt;&gt;0,SUMPRODUCT((L$107:L$108)*TRANSPOSE(($D114:$E114))),0)</f>
        <v>16877.669962173502</v>
      </c>
      <c r="M114" s="31" cm="1">
        <f t="array" ref="M114">M$106+IF($C114&lt;&gt;0,SUMPRODUCT((M$107:M$108)*TRANSPOSE(($D114:$E114))),0)</f>
        <v>16218.16361436536</v>
      </c>
      <c r="N114" s="31" cm="1">
        <f t="array" ref="N114">N$106+IF($C114&lt;&gt;0,SUMPRODUCT((N$107:N$108)*TRANSPOSE(($D114:$E114))),0)</f>
        <v>16642.001234723532</v>
      </c>
      <c r="O114" s="31" cm="1">
        <f t="array" ref="O114">O$106+IF($C114&lt;&gt;0,SUMPRODUCT((O$107:O$108)*TRANSPOSE(($D114:$E114))),0)</f>
        <v>20970.014282625576</v>
      </c>
      <c r="P114" s="31" cm="1">
        <f t="array" ref="P114">P$106+IF($C114&lt;&gt;0,SUMPRODUCT((P$107:P$108)*TRANSPOSE(($D114:$E114))),0)</f>
        <v>27021.730832003566</v>
      </c>
      <c r="Q114" s="31" cm="1">
        <f t="array" ref="Q114">Q$106+IF($C114&lt;&gt;0,SUMPRODUCT((Q$107:Q$108)*TRANSPOSE(($D114:$E114))),0)</f>
        <v>27625.431648064317</v>
      </c>
      <c r="R114" s="31" cm="1">
        <f t="array" ref="R114">R$106+IF($C114&lt;&gt;0,SUMPRODUCT((R$107:R$108)*TRANSPOSE(($D114:$E114))),0)</f>
        <v>29388.467106653334</v>
      </c>
      <c r="S114" s="31" cm="1">
        <f t="array" ref="S114">S$106+IF($C114&lt;&gt;0,SUMPRODUCT((S$107:S$108)*TRANSPOSE(($D114:$E114))),0)</f>
        <v>31189.550013735367</v>
      </c>
      <c r="T114" s="31" cm="1">
        <f t="array" ref="T114">T$106+IF($C114&lt;&gt;0,SUMPRODUCT((T$107:T$108)*TRANSPOSE(($D114:$E114))),0)</f>
        <v>33021.381362839267</v>
      </c>
      <c r="U114" s="31" cm="1">
        <f t="array" ref="U114">U$106+IF($C114&lt;&gt;0,SUMPRODUCT((U$107:U$108)*TRANSPOSE(($D114:$E114))),0)</f>
        <v>34878.398066272843</v>
      </c>
      <c r="V114" s="31" cm="1">
        <f t="array" ref="V114">V$106+IF($C114&lt;&gt;0,SUMPRODUCT((V$107:V$108)*TRANSPOSE(($D114:$E114))),0)</f>
        <v>36756.256668851769</v>
      </c>
      <c r="W114" s="31" cm="1">
        <f t="array" ref="W114">W$106+IF($C114&lt;&gt;0,SUMPRODUCT((W$107:W$108)*TRANSPOSE(($D114:$E114))),0)</f>
        <v>38651.499213659554</v>
      </c>
      <c r="X114" s="31" cm="1">
        <f t="array" ref="X114">X$106+IF($C114&lt;&gt;0,SUMPRODUCT((X$107:X$108)*TRANSPOSE(($D114:$E114))),0)</f>
        <v>40561.328146094194</v>
      </c>
      <c r="Y114" s="31" cm="1">
        <f t="array" ref="Y114">Y$106+IF($C114&lt;&gt;0,SUMPRODUCT((Y$107:Y$108)*TRANSPOSE(($D114:$E114))),0)</f>
        <v>42483.449581519089</v>
      </c>
      <c r="Z114" s="31" cm="1">
        <f t="array" ref="Z114">Z$106+IF($C114&lt;&gt;0,SUMPRODUCT((Z$107:Z$108)*TRANSPOSE(($D114:$E114))),0)</f>
        <v>44415.961109634445</v>
      </c>
      <c r="AA114" s="31" cm="1">
        <f t="array" ref="AA114">AA$106+IF($C114&lt;&gt;0,SUMPRODUCT((AA$107:AA$108)*TRANSPOSE(($D114:$E114))),0)</f>
        <v>46357.269565449969</v>
      </c>
      <c r="AB114" s="31" cm="1">
        <f t="array" ref="AB114">AB$106+IF($C114&lt;&gt;0,SUMPRODUCT((AB$107:AB$108)*TRANSPOSE(($D114:$E114))),0)</f>
        <v>48306.029527576466</v>
      </c>
      <c r="AC114" s="31" cm="1">
        <f t="array" ref="AC114">AC$106+IF($C114&lt;&gt;0,SUMPRODUCT((AC$107:AC$108)*TRANSPOSE(($D114:$E114))),0)</f>
        <v>50261.096499469801</v>
      </c>
      <c r="AD114" s="31" cm="1">
        <f t="array" ref="AD114">AD$106+IF($C114&lt;&gt;0,SUMPRODUCT((AD$107:AD$108)*TRANSPOSE(($D114:$E114))),0)</f>
        <v>52221.490711044797</v>
      </c>
      <c r="AE114" s="31" cm="1">
        <f t="array" ref="AE114">AE$106+IF($C114&lt;&gt;0,SUMPRODUCT((AE$107:AE$108)*TRANSPOSE(($D114:$E114))),0)</f>
        <v>53890.933283796854</v>
      </c>
      <c r="AF114" s="31" cm="1">
        <f t="array" ref="AF114">AF$106+IF($C114&lt;&gt;0,SUMPRODUCT((AF$107:AF$108)*TRANSPOSE(($D114:$E114))),0)</f>
        <v>55566.141807098262</v>
      </c>
      <c r="AG114" s="31" cm="1">
        <f t="array" ref="AG114">AG$106+IF($C114&lt;&gt;0,SUMPRODUCT((AG$107:AG$108)*TRANSPOSE(($D114:$E114))),0)</f>
        <v>57246.414836581796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-205224.36926986964</v>
      </c>
      <c r="K115" s="31" cm="1">
        <f t="array" ref="K115">K$106+IF($C115&lt;&gt;0,SUMPRODUCT((K$107:K$108)*TRANSPOSE(($D115:$E115))),0)</f>
        <v>84665.211915823165</v>
      </c>
      <c r="L115" s="31" cm="1">
        <f t="array" ref="L115">L$106+IF($C115&lt;&gt;0,SUMPRODUCT((L$107:L$108)*TRANSPOSE(($D115:$E115))),0)</f>
        <v>87161.089714593778</v>
      </c>
      <c r="M115" s="31" cm="1">
        <f t="array" ref="M115">M$106+IF($C115&lt;&gt;0,SUMPRODUCT((M$107:M$108)*TRANSPOSE(($D115:$E115))),0)</f>
        <v>86428.304883695848</v>
      </c>
      <c r="N115" s="31" cm="1">
        <f t="array" ref="N115">N$106+IF($C115&lt;&gt;0,SUMPRODUCT((N$107:N$108)*TRANSPOSE(($D115:$E115))),0)</f>
        <v>86899.235572982696</v>
      </c>
      <c r="O115" s="31" cm="1">
        <f t="array" ref="O115">O$106+IF($C115&lt;&gt;0,SUMPRODUCT((O$107:O$108)*TRANSPOSE(($D115:$E115))),0)</f>
        <v>91708.13895954052</v>
      </c>
      <c r="P115" s="31" cm="1">
        <f t="array" ref="P115">P$106+IF($C115&lt;&gt;0,SUMPRODUCT((P$107:P$108)*TRANSPOSE(($D115:$E115))),0)</f>
        <v>98432.268458849401</v>
      </c>
      <c r="Q115" s="31" cm="1">
        <f t="array" ref="Q115">Q$106+IF($C115&lt;&gt;0,SUMPRODUCT((Q$107:Q$108)*TRANSPOSE(($D115:$E115))),0)</f>
        <v>99103.047143361357</v>
      </c>
      <c r="R115" s="31" cm="1">
        <f t="array" ref="R115">R$106+IF($C115&lt;&gt;0,SUMPRODUCT((R$107:R$108)*TRANSPOSE(($D115:$E115))),0)</f>
        <v>101061.97543068248</v>
      </c>
      <c r="S115" s="31" cm="1">
        <f t="array" ref="S115">S$106+IF($C115&lt;&gt;0,SUMPRODUCT((S$107:S$108)*TRANSPOSE(($D115:$E115))),0)</f>
        <v>103063.17866077361</v>
      </c>
      <c r="T115" s="31" cm="1">
        <f t="array" ref="T115">T$106+IF($C115&lt;&gt;0,SUMPRODUCT((T$107:T$108)*TRANSPOSE(($D115:$E115))),0)</f>
        <v>105098.54682644462</v>
      </c>
      <c r="U115" s="31" cm="1">
        <f t="array" ref="U115">U$106+IF($C115&lt;&gt;0,SUMPRODUCT((U$107:U$108)*TRANSPOSE(($D115:$E115))),0)</f>
        <v>107161.89871914859</v>
      </c>
      <c r="V115" s="31" cm="1">
        <f t="array" ref="V115">V$106+IF($C115&lt;&gt;0,SUMPRODUCT((V$107:V$108)*TRANSPOSE(($D115:$E115))),0)</f>
        <v>109248.40827756963</v>
      </c>
      <c r="W115" s="31" cm="1">
        <f t="array" ref="W115">W$106+IF($C115&lt;&gt;0,SUMPRODUCT((W$107:W$108)*TRANSPOSE(($D115:$E115))),0)</f>
        <v>111354.23332735605</v>
      </c>
      <c r="X115" s="31" cm="1">
        <f t="array" ref="X115">X$106+IF($C115&lt;&gt;0,SUMPRODUCT((X$107:X$108)*TRANSPOSE(($D115:$E115))),0)</f>
        <v>113476.26547450566</v>
      </c>
      <c r="Y115" s="31" cm="1">
        <f t="array" ref="Y115">Y$106+IF($C115&lt;&gt;0,SUMPRODUCT((Y$107:Y$108)*TRANSPOSE(($D115:$E115))),0)</f>
        <v>115611.9559583111</v>
      </c>
      <c r="Z115" s="31" cm="1">
        <f t="array" ref="Z115">Z$106+IF($C115&lt;&gt;0,SUMPRODUCT((Z$107:Z$108)*TRANSPOSE(($D115:$E115))),0)</f>
        <v>117759.19098955038</v>
      </c>
      <c r="AA115" s="31" cm="1">
        <f t="array" ref="AA115">AA$106+IF($C115&lt;&gt;0,SUMPRODUCT((AA$107:AA$108)*TRANSPOSE(($D115:$E115))),0)</f>
        <v>119916.20038490096</v>
      </c>
      <c r="AB115" s="31" cm="1">
        <f t="array" ref="AB115">AB$106+IF($C115&lt;&gt;0,SUMPRODUCT((AB$107:AB$108)*TRANSPOSE(($D115:$E115))),0)</f>
        <v>122081.48923170817</v>
      </c>
      <c r="AC115" s="31" cm="1">
        <f t="array" ref="AC115">AC$106+IF($C115&lt;&gt;0,SUMPRODUCT((AC$107:AC$108)*TRANSPOSE(($D115:$E115))),0)</f>
        <v>124253.78586714523</v>
      </c>
      <c r="AD115" s="31" cm="1">
        <f t="array" ref="AD115">AD$106+IF($C115&lt;&gt;0,SUMPRODUCT((AD$107:AD$108)*TRANSPOSE(($D115:$E115))),0)</f>
        <v>126432.0016577841</v>
      </c>
      <c r="AE115" s="31" cm="1">
        <f t="array" ref="AE115">AE$106+IF($C115&lt;&gt;0,SUMPRODUCT((AE$107:AE$108)*TRANSPOSE(($D115:$E115))),0)</f>
        <v>128286.93784973084</v>
      </c>
      <c r="AF115" s="31" cm="1">
        <f t="array" ref="AF115">AF$106+IF($C115&lt;&gt;0,SUMPRODUCT((AF$107:AF$108)*TRANSPOSE(($D115:$E115))),0)</f>
        <v>130148.28065339907</v>
      </c>
      <c r="AG115" s="31" cm="1">
        <f t="array" ref="AG115">AG$106+IF($C115&lt;&gt;0,SUMPRODUCT((AG$107:AG$108)*TRANSPOSE(($D115:$E115))),0)</f>
        <v>132015.25068615854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-205224.36926986964</v>
      </c>
      <c r="K116" s="31" cm="1">
        <f t="array" ref="K116">K$106+IF($C116&lt;&gt;0,SUMPRODUCT((K$107:K$108)*TRANSPOSE(($D116:$E116))),0)</f>
        <v>84665.211915823165</v>
      </c>
      <c r="L116" s="31" cm="1">
        <f t="array" ref="L116">L$106+IF($C116&lt;&gt;0,SUMPRODUCT((L$107:L$108)*TRANSPOSE(($D116:$E116))),0)</f>
        <v>87161.089714593778</v>
      </c>
      <c r="M116" s="31" cm="1">
        <f t="array" ref="M116">M$106+IF($C116&lt;&gt;0,SUMPRODUCT((M$107:M$108)*TRANSPOSE(($D116:$E116))),0)</f>
        <v>86428.304883695848</v>
      </c>
      <c r="N116" s="31" cm="1">
        <f t="array" ref="N116">N$106+IF($C116&lt;&gt;0,SUMPRODUCT((N$107:N$108)*TRANSPOSE(($D116:$E116))),0)</f>
        <v>86899.235572982696</v>
      </c>
      <c r="O116" s="31" cm="1">
        <f t="array" ref="O116">O$106+IF($C116&lt;&gt;0,SUMPRODUCT((O$107:O$108)*TRANSPOSE(($D116:$E116))),0)</f>
        <v>91708.13895954052</v>
      </c>
      <c r="P116" s="31" cm="1">
        <f t="array" ref="P116">P$106+IF($C116&lt;&gt;0,SUMPRODUCT((P$107:P$108)*TRANSPOSE(($D116:$E116))),0)</f>
        <v>98432.268458849401</v>
      </c>
      <c r="Q116" s="31" cm="1">
        <f t="array" ref="Q116">Q$106+IF($C116&lt;&gt;0,SUMPRODUCT((Q$107:Q$108)*TRANSPOSE(($D116:$E116))),0)</f>
        <v>99103.047143361357</v>
      </c>
      <c r="R116" s="31" cm="1">
        <f t="array" ref="R116">R$106+IF($C116&lt;&gt;0,SUMPRODUCT((R$107:R$108)*TRANSPOSE(($D116:$E116))),0)</f>
        <v>101061.97543068248</v>
      </c>
      <c r="S116" s="31" cm="1">
        <f t="array" ref="S116">S$106+IF($C116&lt;&gt;0,SUMPRODUCT((S$107:S$108)*TRANSPOSE(($D116:$E116))),0)</f>
        <v>103063.17866077361</v>
      </c>
      <c r="T116" s="31" cm="1">
        <f t="array" ref="T116">T$106+IF($C116&lt;&gt;0,SUMPRODUCT((T$107:T$108)*TRANSPOSE(($D116:$E116))),0)</f>
        <v>105098.54682644462</v>
      </c>
      <c r="U116" s="31" cm="1">
        <f t="array" ref="U116">U$106+IF($C116&lt;&gt;0,SUMPRODUCT((U$107:U$108)*TRANSPOSE(($D116:$E116))),0)</f>
        <v>107161.89871914859</v>
      </c>
      <c r="V116" s="31" cm="1">
        <f t="array" ref="V116">V$106+IF($C116&lt;&gt;0,SUMPRODUCT((V$107:V$108)*TRANSPOSE(($D116:$E116))),0)</f>
        <v>109248.40827756963</v>
      </c>
      <c r="W116" s="31" cm="1">
        <f t="array" ref="W116">W$106+IF($C116&lt;&gt;0,SUMPRODUCT((W$107:W$108)*TRANSPOSE(($D116:$E116))),0)</f>
        <v>111354.23332735605</v>
      </c>
      <c r="X116" s="31" cm="1">
        <f t="array" ref="X116">X$106+IF($C116&lt;&gt;0,SUMPRODUCT((X$107:X$108)*TRANSPOSE(($D116:$E116))),0)</f>
        <v>113476.26547450566</v>
      </c>
      <c r="Y116" s="31" cm="1">
        <f t="array" ref="Y116">Y$106+IF($C116&lt;&gt;0,SUMPRODUCT((Y$107:Y$108)*TRANSPOSE(($D116:$E116))),0)</f>
        <v>115611.9559583111</v>
      </c>
      <c r="Z116" s="31" cm="1">
        <f t="array" ref="Z116">Z$106+IF($C116&lt;&gt;0,SUMPRODUCT((Z$107:Z$108)*TRANSPOSE(($D116:$E116))),0)</f>
        <v>117759.19098955038</v>
      </c>
      <c r="AA116" s="31" cm="1">
        <f t="array" ref="AA116">AA$106+IF($C116&lt;&gt;0,SUMPRODUCT((AA$107:AA$108)*TRANSPOSE(($D116:$E116))),0)</f>
        <v>119916.20038490096</v>
      </c>
      <c r="AB116" s="31" cm="1">
        <f t="array" ref="AB116">AB$106+IF($C116&lt;&gt;0,SUMPRODUCT((AB$107:AB$108)*TRANSPOSE(($D116:$E116))),0)</f>
        <v>122081.48923170817</v>
      </c>
      <c r="AC116" s="31" cm="1">
        <f t="array" ref="AC116">AC$106+IF($C116&lt;&gt;0,SUMPRODUCT((AC$107:AC$108)*TRANSPOSE(($D116:$E116))),0)</f>
        <v>124253.78586714523</v>
      </c>
      <c r="AD116" s="31" cm="1">
        <f t="array" ref="AD116">AD$106+IF($C116&lt;&gt;0,SUMPRODUCT((AD$107:AD$108)*TRANSPOSE(($D116:$E116))),0)</f>
        <v>126432.0016577841</v>
      </c>
      <c r="AE116" s="31" cm="1">
        <f t="array" ref="AE116">AE$106+IF($C116&lt;&gt;0,SUMPRODUCT((AE$107:AE$108)*TRANSPOSE(($D116:$E116))),0)</f>
        <v>128286.93784973084</v>
      </c>
      <c r="AF116" s="31" cm="1">
        <f t="array" ref="AF116">AF$106+IF($C116&lt;&gt;0,SUMPRODUCT((AF$107:AF$108)*TRANSPOSE(($D116:$E116))),0)</f>
        <v>130148.28065339907</v>
      </c>
      <c r="AG116" s="31" cm="1">
        <f t="array" ref="AG116">AG$106+IF($C116&lt;&gt;0,SUMPRODUCT((AG$107:AG$108)*TRANSPOSE(($D116:$E116))),0)</f>
        <v>132015.25068615854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-205224.36926986964</v>
      </c>
      <c r="K117" s="31" cm="1">
        <f t="array" ref="K117">K$106+IF($C117&lt;&gt;0,SUMPRODUCT((K$107:K$108)*TRANSPOSE(($D117:$E117))),0)</f>
        <v>84665.211915823165</v>
      </c>
      <c r="L117" s="31" cm="1">
        <f t="array" ref="L117">L$106+IF($C117&lt;&gt;0,SUMPRODUCT((L$107:L$108)*TRANSPOSE(($D117:$E117))),0)</f>
        <v>87161.089714593778</v>
      </c>
      <c r="M117" s="31" cm="1">
        <f t="array" ref="M117">M$106+IF($C117&lt;&gt;0,SUMPRODUCT((M$107:M$108)*TRANSPOSE(($D117:$E117))),0)</f>
        <v>86428.304883695848</v>
      </c>
      <c r="N117" s="31" cm="1">
        <f t="array" ref="N117">N$106+IF($C117&lt;&gt;0,SUMPRODUCT((N$107:N$108)*TRANSPOSE(($D117:$E117))),0)</f>
        <v>86899.235572982696</v>
      </c>
      <c r="O117" s="31" cm="1">
        <f t="array" ref="O117">O$106+IF($C117&lt;&gt;0,SUMPRODUCT((O$107:O$108)*TRANSPOSE(($D117:$E117))),0)</f>
        <v>91708.13895954052</v>
      </c>
      <c r="P117" s="31" cm="1">
        <f t="array" ref="P117">P$106+IF($C117&lt;&gt;0,SUMPRODUCT((P$107:P$108)*TRANSPOSE(($D117:$E117))),0)</f>
        <v>98432.268458849401</v>
      </c>
      <c r="Q117" s="31" cm="1">
        <f t="array" ref="Q117">Q$106+IF($C117&lt;&gt;0,SUMPRODUCT((Q$107:Q$108)*TRANSPOSE(($D117:$E117))),0)</f>
        <v>99103.047143361357</v>
      </c>
      <c r="R117" s="31" cm="1">
        <f t="array" ref="R117">R$106+IF($C117&lt;&gt;0,SUMPRODUCT((R$107:R$108)*TRANSPOSE(($D117:$E117))),0)</f>
        <v>101061.97543068248</v>
      </c>
      <c r="S117" s="31" cm="1">
        <f t="array" ref="S117">S$106+IF($C117&lt;&gt;0,SUMPRODUCT((S$107:S$108)*TRANSPOSE(($D117:$E117))),0)</f>
        <v>103063.17866077361</v>
      </c>
      <c r="T117" s="31" cm="1">
        <f t="array" ref="T117">T$106+IF($C117&lt;&gt;0,SUMPRODUCT((T$107:T$108)*TRANSPOSE(($D117:$E117))),0)</f>
        <v>105098.54682644462</v>
      </c>
      <c r="U117" s="31" cm="1">
        <f t="array" ref="U117">U$106+IF($C117&lt;&gt;0,SUMPRODUCT((U$107:U$108)*TRANSPOSE(($D117:$E117))),0)</f>
        <v>107161.89871914859</v>
      </c>
      <c r="V117" s="31" cm="1">
        <f t="array" ref="V117">V$106+IF($C117&lt;&gt;0,SUMPRODUCT((V$107:V$108)*TRANSPOSE(($D117:$E117))),0)</f>
        <v>109248.40827756963</v>
      </c>
      <c r="W117" s="31" cm="1">
        <f t="array" ref="W117">W$106+IF($C117&lt;&gt;0,SUMPRODUCT((W$107:W$108)*TRANSPOSE(($D117:$E117))),0)</f>
        <v>111354.23332735605</v>
      </c>
      <c r="X117" s="31" cm="1">
        <f t="array" ref="X117">X$106+IF($C117&lt;&gt;0,SUMPRODUCT((X$107:X$108)*TRANSPOSE(($D117:$E117))),0)</f>
        <v>113476.26547450566</v>
      </c>
      <c r="Y117" s="31" cm="1">
        <f t="array" ref="Y117">Y$106+IF($C117&lt;&gt;0,SUMPRODUCT((Y$107:Y$108)*TRANSPOSE(($D117:$E117))),0)</f>
        <v>115611.9559583111</v>
      </c>
      <c r="Z117" s="31" cm="1">
        <f t="array" ref="Z117">Z$106+IF($C117&lt;&gt;0,SUMPRODUCT((Z$107:Z$108)*TRANSPOSE(($D117:$E117))),0)</f>
        <v>117759.19098955038</v>
      </c>
      <c r="AA117" s="31" cm="1">
        <f t="array" ref="AA117">AA$106+IF($C117&lt;&gt;0,SUMPRODUCT((AA$107:AA$108)*TRANSPOSE(($D117:$E117))),0)</f>
        <v>119916.20038490096</v>
      </c>
      <c r="AB117" s="31" cm="1">
        <f t="array" ref="AB117">AB$106+IF($C117&lt;&gt;0,SUMPRODUCT((AB$107:AB$108)*TRANSPOSE(($D117:$E117))),0)</f>
        <v>122081.48923170817</v>
      </c>
      <c r="AC117" s="31" cm="1">
        <f t="array" ref="AC117">AC$106+IF($C117&lt;&gt;0,SUMPRODUCT((AC$107:AC$108)*TRANSPOSE(($D117:$E117))),0)</f>
        <v>124253.78586714523</v>
      </c>
      <c r="AD117" s="31" cm="1">
        <f t="array" ref="AD117">AD$106+IF($C117&lt;&gt;0,SUMPRODUCT((AD$107:AD$108)*TRANSPOSE(($D117:$E117))),0)</f>
        <v>126432.0016577841</v>
      </c>
      <c r="AE117" s="31" cm="1">
        <f t="array" ref="AE117">AE$106+IF($C117&lt;&gt;0,SUMPRODUCT((AE$107:AE$108)*TRANSPOSE(($D117:$E117))),0)</f>
        <v>128286.93784973084</v>
      </c>
      <c r="AF117" s="31" cm="1">
        <f t="array" ref="AF117">AF$106+IF($C117&lt;&gt;0,SUMPRODUCT((AF$107:AF$108)*TRANSPOSE(($D117:$E117))),0)</f>
        <v>130148.28065339907</v>
      </c>
      <c r="AG117" s="31" cm="1">
        <f t="array" ref="AG117">AG$106+IF($C117&lt;&gt;0,SUMPRODUCT((AG$107:AG$108)*TRANSPOSE(($D117:$E117))),0)</f>
        <v>132015.25068615854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85" zoomScaleNormal="85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CHA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Refurb transformer #2 completed in 2026-2027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326</v>
      </c>
      <c r="D14"/>
      <c r="E14" s="148">
        <v>10</v>
      </c>
      <c r="G14" s="207">
        <f>input_dollars</f>
        <v>45291</v>
      </c>
      <c r="H14" s="149"/>
      <c r="I14" s="32">
        <f>Workings_costs!E34</f>
        <v>500000</v>
      </c>
      <c r="J14" s="32">
        <f>Workings_costs!F34</f>
        <v>0</v>
      </c>
      <c r="K14" s="32">
        <f>Workings_costs!G34</f>
        <v>0</v>
      </c>
      <c r="L14" s="32">
        <f>Workings_costs!H34</f>
        <v>0</v>
      </c>
      <c r="M14" s="32">
        <f>Workings_costs!I34</f>
        <v>0</v>
      </c>
      <c r="N14" s="32">
        <f>Workings_costs!J34</f>
        <v>0</v>
      </c>
      <c r="O14" s="32">
        <f>Workings_costs!K34</f>
        <v>0</v>
      </c>
      <c r="P14" s="32">
        <f>Workings_costs!L34</f>
        <v>0</v>
      </c>
      <c r="Q14" s="32">
        <f>Workings_costs!M34</f>
        <v>0</v>
      </c>
      <c r="R14" s="32">
        <f>Workings_costs!N34</f>
        <v>0</v>
      </c>
      <c r="S14" s="32">
        <f>Workings_costs!O34</f>
        <v>0</v>
      </c>
      <c r="T14" s="32">
        <f>Workings_costs!P34</f>
        <v>0</v>
      </c>
      <c r="U14" s="32">
        <f>Workings_costs!Q34</f>
        <v>0</v>
      </c>
      <c r="V14" s="32">
        <f>Workings_costs!R34</f>
        <v>0</v>
      </c>
      <c r="W14" s="32">
        <f>Workings_costs!S34</f>
        <v>0</v>
      </c>
      <c r="X14" s="32">
        <f>Workings_costs!T34</f>
        <v>0</v>
      </c>
      <c r="Y14" s="32">
        <f>Workings_costs!U34</f>
        <v>0</v>
      </c>
      <c r="Z14" s="32">
        <f>Workings_costs!V34</f>
        <v>0</v>
      </c>
      <c r="AA14" s="32">
        <f>Workings_costs!W34</f>
        <v>0</v>
      </c>
      <c r="AB14" s="32">
        <f>Workings_costs!X34</f>
        <v>0</v>
      </c>
      <c r="AC14" s="32">
        <f>Workings_costs!Y34</f>
        <v>0</v>
      </c>
      <c r="AD14" s="32">
        <f>Workings_costs!Z34</f>
        <v>0</v>
      </c>
      <c r="AE14" s="32">
        <f>Workings_costs!AA34</f>
        <v>0</v>
      </c>
      <c r="AF14" s="32">
        <f>Workings_costs!AB34</f>
        <v>0</v>
      </c>
      <c r="AG14" s="32">
        <f>Workings_costs!AC34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500000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48008.750708019099</v>
      </c>
      <c r="F28" s="238" t="str">
        <f>IF(AND(SUM(I27:AG27)&lt;&gt;0, E28=0), "!", "")</f>
        <v/>
      </c>
      <c r="G28" s="207">
        <f>input_dollars</f>
        <v>45291</v>
      </c>
      <c r="H28"/>
      <c r="I28" s="168">
        <f>Workings_risks!E35</f>
        <v>227536.85462072302</v>
      </c>
      <c r="J28" s="168">
        <f>Workings_risks!F35</f>
        <v>220680.08942527432</v>
      </c>
      <c r="K28" s="168">
        <f>Workings_risks!G35</f>
        <v>229059.18708396162</v>
      </c>
      <c r="L28" s="168">
        <f>Workings_risks!H35</f>
        <v>236458.15864214898</v>
      </c>
      <c r="M28" s="168">
        <f>Workings_risks!I35</f>
        <v>240339.76355598139</v>
      </c>
      <c r="N28" s="168">
        <f>Workings_risks!J35</f>
        <v>245249.85629521345</v>
      </c>
      <c r="O28" s="168">
        <f>Workings_risks!K35</f>
        <v>254645.6224766146</v>
      </c>
      <c r="P28" s="168">
        <f>Workings_risks!L35</f>
        <v>266198.03667428379</v>
      </c>
      <c r="Q28" s="168">
        <f>Workings_risks!M35</f>
        <v>271275.37379900884</v>
      </c>
      <c r="R28" s="168">
        <f>Workings_risks!N35</f>
        <v>277750.73235800932</v>
      </c>
      <c r="S28" s="168">
        <f>Workings_risks!O35</f>
        <v>284290.32443494187</v>
      </c>
      <c r="T28" s="168">
        <f>Workings_risks!P35</f>
        <v>290893.94865570654</v>
      </c>
      <c r="U28" s="168">
        <f>Workings_risks!Q35</f>
        <v>297561.40828940843</v>
      </c>
      <c r="V28" s="168">
        <f>Workings_risks!R35</f>
        <v>304292.51111320278</v>
      </c>
      <c r="W28" s="168">
        <f>Workings_risks!S35</f>
        <v>311087.06928291958</v>
      </c>
      <c r="X28" s="168">
        <f>Workings_risks!T35</f>
        <v>317944.89920913696</v>
      </c>
      <c r="Y28" s="168">
        <f>Workings_risks!U35</f>
        <v>324865.82143841189</v>
      </c>
      <c r="Z28" s="168">
        <f>Workings_risks!V35</f>
        <v>331849.66053939011</v>
      </c>
      <c r="AA28" s="168">
        <f>Workings_risks!W35</f>
        <v>338896.24499353347</v>
      </c>
      <c r="AB28" s="168">
        <f>Workings_risks!X35</f>
        <v>346005.40709022764</v>
      </c>
      <c r="AC28" s="168">
        <f>Workings_risks!Y35</f>
        <v>353176.98282603471</v>
      </c>
      <c r="AD28" s="168">
        <f>Workings_risks!Z35</f>
        <v>360410.81180789007</v>
      </c>
      <c r="AE28" s="168">
        <f>Workings_risks!AA35</f>
        <v>367706.73716002627</v>
      </c>
      <c r="AF28" s="168">
        <f>Workings_risks!AB35</f>
        <v>375064.60543446284</v>
      </c>
      <c r="AG28" s="168">
        <f>Workings_risks!AC35</f>
        <v>382484.26652485464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risk</v>
      </c>
      <c r="D30" s="205" t="s">
        <v>209</v>
      </c>
      <c r="G30" s="207">
        <f>input_dollars</f>
        <v>45291</v>
      </c>
      <c r="H30" s="149"/>
      <c r="I30" s="168">
        <f>Workings_risks!E36</f>
        <v>574.10768182484969</v>
      </c>
      <c r="J30" s="168">
        <f>Workings_risks!F36</f>
        <v>583.54627761781865</v>
      </c>
      <c r="K30" s="168">
        <f>Workings_risks!G36</f>
        <v>598.89031127338535</v>
      </c>
      <c r="L30" s="168">
        <f>Workings_risks!H36</f>
        <v>614.39795484355443</v>
      </c>
      <c r="M30" s="168">
        <f>Workings_risks!I36</f>
        <v>630.06847185099514</v>
      </c>
      <c r="N30" s="168">
        <f>Workings_risks!J36</f>
        <v>645.90113997254991</v>
      </c>
      <c r="O30" s="168">
        <f>Workings_risks!K36</f>
        <v>661.89525056494904</v>
      </c>
      <c r="P30" s="168">
        <f>Workings_risks!L36</f>
        <v>678.050108212998</v>
      </c>
      <c r="Q30" s="168">
        <f>Workings_risks!M36</f>
        <v>694.3650302988766</v>
      </c>
      <c r="R30" s="168">
        <f>Workings_risks!N36</f>
        <v>710.83934659127283</v>
      </c>
      <c r="S30" s="168">
        <f>Workings_risks!O36</f>
        <v>727.47239885318993</v>
      </c>
      <c r="T30" s="168">
        <f>Workings_risks!P36</f>
        <v>744.26354046732388</v>
      </c>
      <c r="U30" s="168">
        <f>Workings_risks!Q36</f>
        <v>761.21213607801246</v>
      </c>
      <c r="V30" s="168">
        <f>Workings_risks!R36</f>
        <v>778.31756124879234</v>
      </c>
      <c r="W30" s="168">
        <f>Workings_risks!S36</f>
        <v>795.57920213471505</v>
      </c>
      <c r="X30" s="168">
        <f>Workings_risks!T36</f>
        <v>812.99645516858664</v>
      </c>
      <c r="Y30" s="168">
        <f>Workings_risks!U36</f>
        <v>830.56872676037017</v>
      </c>
      <c r="Z30" s="168">
        <f>Workings_risks!V36</f>
        <v>848.29543300905254</v>
      </c>
      <c r="AA30" s="168">
        <f>Workings_risks!W36</f>
        <v>866.17599942629147</v>
      </c>
      <c r="AB30" s="168">
        <f>Workings_risks!X36</f>
        <v>884.20986067124636</v>
      </c>
      <c r="AC30" s="168">
        <f>Workings_risks!Y36</f>
        <v>902.39646029598725</v>
      </c>
      <c r="AD30" s="168">
        <f>Workings_risks!Z36</f>
        <v>920.73525050095986</v>
      </c>
      <c r="AE30" s="168">
        <f>Workings_risks!AA36</f>
        <v>920.73525050095986</v>
      </c>
      <c r="AF30" s="168">
        <f>Workings_risks!AB36</f>
        <v>920.73525050095986</v>
      </c>
      <c r="AG30" s="168">
        <f>Workings_risks!AC36</f>
        <v>920.73525050095986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 risk</v>
      </c>
      <c r="D31" s="206"/>
      <c r="E31"/>
      <c r="G31" s="207">
        <f>input_dollars</f>
        <v>45291</v>
      </c>
      <c r="H31" s="149"/>
      <c r="I31" s="168">
        <f>Workings_risks!E37</f>
        <v>29234.77988021445</v>
      </c>
      <c r="J31" s="168">
        <f>Workings_risks!F37</f>
        <v>28514.79042665329</v>
      </c>
      <c r="K31" s="168">
        <f>Workings_risks!G37</f>
        <v>29264.571413645644</v>
      </c>
      <c r="L31" s="168">
        <f>Workings_risks!H37</f>
        <v>30022.347143481107</v>
      </c>
      <c r="M31" s="168">
        <f>Workings_risks!I37</f>
        <v>30788.081628445339</v>
      </c>
      <c r="N31" s="168">
        <f>Workings_risks!J37</f>
        <v>31561.73957246288</v>
      </c>
      <c r="O31" s="168">
        <f>Workings_risks!K37</f>
        <v>32343.286347921312</v>
      </c>
      <c r="P31" s="168">
        <f>Workings_risks!L37</f>
        <v>33132.687973593624</v>
      </c>
      <c r="Q31" s="168">
        <f>Workings_risks!M37</f>
        <v>33929.911093592156</v>
      </c>
      <c r="R31" s="168">
        <f>Workings_risks!N37</f>
        <v>34734.922957291747</v>
      </c>
      <c r="S31" s="168">
        <f>Workings_risks!O37</f>
        <v>35547.691400165371</v>
      </c>
      <c r="T31" s="168">
        <f>Workings_risks!P37</f>
        <v>36368.184825478354</v>
      </c>
      <c r="U31" s="168">
        <f>Workings_risks!Q37</f>
        <v>37196.372186792316</v>
      </c>
      <c r="V31" s="168">
        <f>Workings_risks!R37</f>
        <v>38032.222971231786</v>
      </c>
      <c r="W31" s="168">
        <f>Workings_risks!S37</f>
        <v>38875.707183472099</v>
      </c>
      <c r="X31" s="168">
        <f>Workings_risks!T37</f>
        <v>39726.795330407571</v>
      </c>
      <c r="Y31" s="168">
        <f>Workings_risks!U37</f>
        <v>40585.458406462887</v>
      </c>
      <c r="Z31" s="168">
        <f>Workings_risks!V37</f>
        <v>41451.667879513574</v>
      </c>
      <c r="AA31" s="168">
        <f>Workings_risks!W37</f>
        <v>42325.395677382148</v>
      </c>
      <c r="AB31" s="168">
        <f>Workings_risks!X37</f>
        <v>43206.614174880684</v>
      </c>
      <c r="AC31" s="168">
        <f>Workings_risks!Y37</f>
        <v>44095.296181370279</v>
      </c>
      <c r="AD31" s="168">
        <f>Workings_risks!Z37</f>
        <v>44991.414928811988</v>
      </c>
      <c r="AE31" s="168">
        <f>Workings_risks!AA37</f>
        <v>44991.414928811988</v>
      </c>
      <c r="AF31" s="168">
        <f>Workings_risks!AB37</f>
        <v>44991.414928811988</v>
      </c>
      <c r="AG31" s="168">
        <f>Workings_risks!AC37</f>
        <v>44991.414928811988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Unplanned fault risk</v>
      </c>
      <c r="D32" s="205"/>
      <c r="E32"/>
      <c r="G32" s="207">
        <f>input_dollars</f>
        <v>45291</v>
      </c>
      <c r="H32"/>
      <c r="I32" s="168">
        <f>Workings_risks!E38</f>
        <v>2122.032987897745</v>
      </c>
      <c r="J32" s="168">
        <f>Workings_risks!F38</f>
        <v>2178.7072642235275</v>
      </c>
      <c r="K32" s="168">
        <f>Workings_risks!G38</f>
        <v>2235.99519299645</v>
      </c>
      <c r="L32" s="168">
        <f>Workings_risks!H38</f>
        <v>2293.8939698256713</v>
      </c>
      <c r="M32" s="168">
        <f>Workings_risks!I38</f>
        <v>2352.4008450260808</v>
      </c>
      <c r="N32" s="168">
        <f>Workings_risks!J38</f>
        <v>2411.5131217580788</v>
      </c>
      <c r="O32" s="168">
        <f>Workings_risks!K38</f>
        <v>2471.2281542567976</v>
      </c>
      <c r="P32" s="168">
        <f>Workings_risks!L38</f>
        <v>2531.543346145233</v>
      </c>
      <c r="Q32" s="168">
        <f>Workings_risks!M38</f>
        <v>2592.4561488261966</v>
      </c>
      <c r="R32" s="168">
        <f>Workings_risks!N38</f>
        <v>2653.9640599483146</v>
      </c>
      <c r="S32" s="168">
        <f>Workings_risks!O38</f>
        <v>2716.0646219417577</v>
      </c>
      <c r="T32" s="168">
        <f>Workings_risks!P38</f>
        <v>2778.75542061956</v>
      </c>
      <c r="U32" s="168">
        <f>Workings_risks!Q38</f>
        <v>2842.0340838408138</v>
      </c>
      <c r="V32" s="168">
        <f>Workings_risks!R38</f>
        <v>2905.898280232137</v>
      </c>
      <c r="W32" s="168">
        <f>Workings_risks!S38</f>
        <v>2970.3457179642446</v>
      </c>
      <c r="X32" s="168">
        <f>Workings_risks!T38</f>
        <v>3035.3741435805041</v>
      </c>
      <c r="Y32" s="168">
        <f>Workings_risks!U38</f>
        <v>3100.981340874634</v>
      </c>
      <c r="Z32" s="168">
        <f>Workings_risks!V38</f>
        <v>3167.1651298149441</v>
      </c>
      <c r="AA32" s="168">
        <f>Workings_risks!W38</f>
        <v>3233.9233655125477</v>
      </c>
      <c r="AB32" s="168">
        <f>Workings_risks!X38</f>
        <v>3301.2539372313427</v>
      </c>
      <c r="AC32" s="168">
        <f>Workings_risks!Y38</f>
        <v>3369.1547674374747</v>
      </c>
      <c r="AD32" s="168">
        <f>Workings_risks!Z38</f>
        <v>3437.6238108863522</v>
      </c>
      <c r="AE32" s="168">
        <f>Workings_risks!AA38</f>
        <v>3437.6238108863522</v>
      </c>
      <c r="AF32" s="168">
        <f>Workings_risks!AB38</f>
        <v>3437.6238108863522</v>
      </c>
      <c r="AG32" s="168">
        <f>Workings_risks!AC38</f>
        <v>3437.6238108863522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Enviromental risk</v>
      </c>
      <c r="D33" s="205" t="s">
        <v>209</v>
      </c>
      <c r="E33"/>
      <c r="G33" s="207">
        <f>input_dollars</f>
        <v>45291</v>
      </c>
      <c r="H33"/>
      <c r="I33" s="168">
        <f>Workings_risks!E39</f>
        <v>176250</v>
      </c>
      <c r="J33" s="168">
        <f>Workings_risks!F39</f>
        <v>105750</v>
      </c>
      <c r="K33" s="168">
        <f>Workings_risks!G39</f>
        <v>105750</v>
      </c>
      <c r="L33" s="168">
        <f>Workings_risks!H39</f>
        <v>105750</v>
      </c>
      <c r="M33" s="168">
        <f>Workings_risks!I39</f>
        <v>105750</v>
      </c>
      <c r="N33" s="168">
        <f>Workings_risks!J39</f>
        <v>105750</v>
      </c>
      <c r="O33" s="168">
        <f>Workings_risks!K39</f>
        <v>105750</v>
      </c>
      <c r="P33" s="168">
        <f>Workings_risks!L39</f>
        <v>105750</v>
      </c>
      <c r="Q33" s="168">
        <f>Workings_risks!M39</f>
        <v>105750</v>
      </c>
      <c r="R33" s="168">
        <f>Workings_risks!N39</f>
        <v>105750</v>
      </c>
      <c r="S33" s="168">
        <f>Workings_risks!O39</f>
        <v>105750</v>
      </c>
      <c r="T33" s="168">
        <f>Workings_risks!P39</f>
        <v>105750</v>
      </c>
      <c r="U33" s="168">
        <f>Workings_risks!Q39</f>
        <v>105750</v>
      </c>
      <c r="V33" s="168">
        <f>Workings_risks!R39</f>
        <v>105750</v>
      </c>
      <c r="W33" s="168">
        <f>Workings_risks!S39</f>
        <v>105750</v>
      </c>
      <c r="X33" s="168">
        <f>Workings_risks!T39</f>
        <v>105750</v>
      </c>
      <c r="Y33" s="168">
        <f>Workings_risks!U39</f>
        <v>105750</v>
      </c>
      <c r="Z33" s="168">
        <f>Workings_risks!V39</f>
        <v>105750</v>
      </c>
      <c r="AA33" s="168">
        <f>Workings_risks!W39</f>
        <v>105750</v>
      </c>
      <c r="AB33" s="168">
        <f>Workings_risks!X39</f>
        <v>105750</v>
      </c>
      <c r="AC33" s="168">
        <f>Workings_risks!Y39</f>
        <v>105750</v>
      </c>
      <c r="AD33" s="168">
        <f>Workings_risks!Z39</f>
        <v>105750</v>
      </c>
      <c r="AE33" s="168">
        <f>Workings_risks!AA39</f>
        <v>105750</v>
      </c>
      <c r="AF33" s="168">
        <f>Workings_risks!AB39</f>
        <v>105750</v>
      </c>
      <c r="AG33" s="168">
        <f>Workings_risks!AC39</f>
        <v>105750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435717.77517066011</v>
      </c>
      <c r="J36" s="170">
        <f t="shared" ref="J36:AB36" si="2">SUM(J28:J34)</f>
        <v>357707.13339376892</v>
      </c>
      <c r="K36" s="170">
        <f t="shared" si="2"/>
        <v>366908.64400187711</v>
      </c>
      <c r="L36" s="170">
        <f t="shared" si="2"/>
        <v>375138.79771029932</v>
      </c>
      <c r="M36" s="170">
        <f t="shared" si="2"/>
        <v>379860.31450130383</v>
      </c>
      <c r="N36" s="170">
        <f t="shared" si="2"/>
        <v>385619.01012940693</v>
      </c>
      <c r="O36" s="170">
        <f t="shared" si="2"/>
        <v>395872.03222935769</v>
      </c>
      <c r="P36" s="170">
        <f t="shared" si="2"/>
        <v>408290.31810223561</v>
      </c>
      <c r="Q36" s="170">
        <f t="shared" si="2"/>
        <v>414242.10607172607</v>
      </c>
      <c r="R36" s="170">
        <f t="shared" si="2"/>
        <v>421600.4587218407</v>
      </c>
      <c r="S36" s="170">
        <f t="shared" si="2"/>
        <v>429031.55285590218</v>
      </c>
      <c r="T36" s="170">
        <f t="shared" si="2"/>
        <v>436535.15244227176</v>
      </c>
      <c r="U36" s="170">
        <f t="shared" si="2"/>
        <v>444111.02669611952</v>
      </c>
      <c r="V36" s="170">
        <f t="shared" si="2"/>
        <v>451758.94992591551</v>
      </c>
      <c r="W36" s="170">
        <f t="shared" si="2"/>
        <v>459478.7013864906</v>
      </c>
      <c r="X36" s="170">
        <f t="shared" si="2"/>
        <v>467270.0651382936</v>
      </c>
      <c r="Y36" s="170">
        <f t="shared" si="2"/>
        <v>475132.82991250983</v>
      </c>
      <c r="Z36" s="170">
        <f t="shared" si="2"/>
        <v>483066.78898172767</v>
      </c>
      <c r="AA36" s="170">
        <f t="shared" si="2"/>
        <v>491071.74003585445</v>
      </c>
      <c r="AB36" s="170">
        <f t="shared" si="2"/>
        <v>499147.48506301088</v>
      </c>
      <c r="AC36" s="170">
        <f>SUM(AC28:AC34)</f>
        <v>507293.83023513848</v>
      </c>
      <c r="AD36" s="170">
        <f>SUM(AD28:AD34)</f>
        <v>515510.58579808939</v>
      </c>
      <c r="AE36" s="170">
        <f>SUM(AE28:AE34)</f>
        <v>522806.51115022559</v>
      </c>
      <c r="AF36" s="170">
        <f>SUM(AF28:AF34)</f>
        <v>530164.3794246621</v>
      </c>
      <c r="AG36" s="170">
        <f>SUM(AG28:AG34)</f>
        <v>537584.04051505402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204</v>
      </c>
      <c r="D49" s="205" t="s">
        <v>207</v>
      </c>
      <c r="E49" s="112">
        <f>Assumptions!G98</f>
        <v>0.35181336539087127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205</v>
      </c>
      <c r="D50" s="205" t="s">
        <v>207</v>
      </c>
      <c r="E50" s="112">
        <f>Assumptions!G99</f>
        <v>0.35181336539087127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84006.772863178747</v>
      </c>
      <c r="K64" s="132">
        <f>(1-INDEX(Data!$C$9:$C$13, MATCH($A$3, options,0)))*('Option1 (base case)'!K36-K36)</f>
        <v>84503.71232810209</v>
      </c>
      <c r="L64" s="132">
        <f>(1-INDEX(Data!$C$9:$C$13, MATCH($A$3, options,0)))*('Option1 (base case)'!L36-L36)</f>
        <v>84947.911734294845</v>
      </c>
      <c r="M64" s="132">
        <f>(1-INDEX(Data!$C$9:$C$13, MATCH($A$3, options,0)))*('Option1 (base case)'!M36-M36)</f>
        <v>85201.342540965066</v>
      </c>
      <c r="N64" s="132">
        <f>(1-INDEX(Data!$C$9:$C$13, MATCH($A$3, options,0)))*('Option1 (base case)'!N36-N36)</f>
        <v>85511.225112254266</v>
      </c>
      <c r="O64" s="132">
        <f>(1-INDEX(Data!$C$9:$C$13, MATCH($A$3, options,0)))*('Option1 (base case)'!O36-O36)</f>
        <v>86065.684604210546</v>
      </c>
      <c r="P64" s="132">
        <f>(1-INDEX(Data!$C$9:$C$13, MATCH($A$3, options,0)))*('Option1 (base case)'!P36-P36)</f>
        <v>86738.079743103764</v>
      </c>
      <c r="Q64" s="132">
        <f>(1-INDEX(Data!$C$9:$C$13, MATCH($A$3, options,0)))*('Option1 (base case)'!Q36-Q36)</f>
        <v>87058.688647876144</v>
      </c>
      <c r="R64" s="132">
        <f>(1-INDEX(Data!$C$9:$C$13, MATCH($A$3, options,0)))*('Option1 (base case)'!R36-R36)</f>
        <v>87455.905896080832</v>
      </c>
      <c r="S64" s="132">
        <f>(1-INDEX(Data!$C$9:$C$13, MATCH($A$3, options,0)))*('Option1 (base case)'!S36-S36)</f>
        <v>87857.155042899365</v>
      </c>
      <c r="T64" s="132">
        <f>(1-INDEX(Data!$C$9:$C$13, MATCH($A$3, options,0)))*('Option1 (base case)'!T36-T36)</f>
        <v>88262.426362420141</v>
      </c>
      <c r="U64" s="132">
        <f>(1-INDEX(Data!$C$9:$C$13, MATCH($A$3, options,0)))*('Option1 (base case)'!U36-U36)</f>
        <v>88671.71042434586</v>
      </c>
      <c r="V64" s="132">
        <f>(1-INDEX(Data!$C$9:$C$13, MATCH($A$3, options,0)))*('Option1 (base case)'!V36-V36)</f>
        <v>89084.998085674888</v>
      </c>
      <c r="W64" s="132">
        <f>(1-INDEX(Data!$C$9:$C$13, MATCH($A$3, options,0)))*('Option1 (base case)'!W36-W36)</f>
        <v>89502.280482735485</v>
      </c>
      <c r="X64" s="132">
        <f>(1-INDEX(Data!$C$9:$C$13, MATCH($A$3, options,0)))*('Option1 (base case)'!X36-X36)</f>
        <v>89923.549023554719</v>
      </c>
      <c r="Y64" s="132">
        <f>(1-INDEX(Data!$C$9:$C$13, MATCH($A$3, options,0)))*('Option1 (base case)'!Y36-Y36)</f>
        <v>90348.795380541764</v>
      </c>
      <c r="Z64" s="132">
        <f>(1-INDEX(Data!$C$9:$C$13, MATCH($A$3, options,0)))*('Option1 (base case)'!Z36-Z36)</f>
        <v>90778.011483471026</v>
      </c>
      <c r="AA64" s="132">
        <f>(1-INDEX(Data!$C$9:$C$13, MATCH($A$3, options,0)))*('Option1 (base case)'!AA36-AA36)</f>
        <v>91211.189512743673</v>
      </c>
      <c r="AB64" s="132">
        <f>(1-INDEX(Data!$C$9:$C$13, MATCH($A$3, options,0)))*('Option1 (base case)'!AB36-AB36)</f>
        <v>91648.321892923617</v>
      </c>
      <c r="AC64" s="132">
        <f>(1-INDEX(Data!$C$9:$C$13, MATCH($A$3, options,0)))*('Option1 (base case)'!AC36-AC36)</f>
        <v>92089.40128652117</v>
      </c>
      <c r="AD64" s="132">
        <f>(1-INDEX(Data!$C$9:$C$13, MATCH($A$3, options,0)))*('Option1 (base case)'!AD36-AD36)</f>
        <v>92534.420588021982</v>
      </c>
      <c r="AE64" s="132">
        <f>(1-INDEX(Data!$C$9:$C$13, MATCH($A$3, options,0)))*('Option1 (base case)'!AE36-AE36)</f>
        <v>92935.63198119303</v>
      </c>
      <c r="AF64" s="132">
        <f>(1-INDEX(Data!$C$9:$C$13, MATCH($A$3, options,0)))*('Option1 (base case)'!AF36-AF36)</f>
        <v>93340.379563877475</v>
      </c>
      <c r="AG64" s="132">
        <f>(1-INDEX(Data!$C$9:$C$13, MATCH($A$3, options,0)))*('Option1 (base case)'!AG36-AG36)</f>
        <v>93748.65824381751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Refurbish 1 transformer</v>
      </c>
      <c r="D67" s="38"/>
      <c r="F67" s="97"/>
      <c r="G67" s="210">
        <f>input_dollars</f>
        <v>45291</v>
      </c>
      <c r="H67" s="31"/>
      <c r="I67" s="119">
        <f t="shared" ref="I67:AG67" si="4">-I14</f>
        <v>-500000</v>
      </c>
      <c r="J67" s="119">
        <f t="shared" si="4"/>
        <v>0</v>
      </c>
      <c r="K67" s="119">
        <f t="shared" si="4"/>
        <v>0</v>
      </c>
      <c r="L67" s="119">
        <f t="shared" si="4"/>
        <v>0</v>
      </c>
      <c r="M67" s="119">
        <f t="shared" si="4"/>
        <v>0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Refurbish 1 transformer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-500000</v>
      </c>
      <c r="J72" s="119" cm="1">
        <f t="array" ref="J72">SUMPRODUCT(($I67:J67))-SUMPRODUCT(($I67:J67)*($I$6:J$6&lt;=(J$6-$E14)))</f>
        <v>-500000</v>
      </c>
      <c r="K72" s="119" cm="1">
        <f t="array" ref="K72">SUMPRODUCT(($I67:K67))-SUMPRODUCT(($I67:K67)*($I$6:K$6&lt;=(K$6-$E14)))</f>
        <v>-500000</v>
      </c>
      <c r="L72" s="119" cm="1">
        <f t="array" ref="L72">SUMPRODUCT(($I67:L67))-SUMPRODUCT(($I67:L67)*($I$6:L$6&lt;=(L$6-$E14)))</f>
        <v>-500000</v>
      </c>
      <c r="M72" s="119" cm="1">
        <f t="array" ref="M72">SUMPRODUCT(($I67:M67))-SUMPRODUCT(($I67:M67)*($I$6:M$6&lt;=(M$6-$E14)))</f>
        <v>-500000</v>
      </c>
      <c r="N72" s="119" cm="1">
        <f t="array" ref="N72">SUMPRODUCT(($I67:N67))-SUMPRODUCT(($I67:N67)*($I$6:N$6&lt;=(N$6-$E14)))</f>
        <v>-500000</v>
      </c>
      <c r="O72" s="119" cm="1">
        <f t="array" ref="O72">SUMPRODUCT(($I67:O67))-SUMPRODUCT(($I67:O67)*($I$6:O$6&lt;=(O$6-$E14)))</f>
        <v>-500000</v>
      </c>
      <c r="P72" s="119" cm="1">
        <f t="array" ref="P72">SUMPRODUCT(($I67:P67))-SUMPRODUCT(($I67:P67)*($I$6:P$6&lt;=(P$6-$E14)))</f>
        <v>-500000</v>
      </c>
      <c r="Q72" s="119" cm="1">
        <f t="array" ref="Q72">SUMPRODUCT(($I67:Q67))-SUMPRODUCT(($I67:Q67)*($I$6:Q$6&lt;=(Q$6-$E14)))</f>
        <v>-500000</v>
      </c>
      <c r="R72" s="119" cm="1">
        <f t="array" ref="R72">SUMPRODUCT(($I67:R67))-SUMPRODUCT(($I67:R67)*($I$6:R$6&lt;=(R$6-$E14)))</f>
        <v>-500000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Refurbish 1 transformer</v>
      </c>
      <c r="D77" s="38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-60120.68393369564</v>
      </c>
      <c r="K77" s="119">
        <f t="shared" si="7"/>
        <v>-60120.68393369564</v>
      </c>
      <c r="L77" s="119">
        <f t="shared" si="7"/>
        <v>-60120.68393369564</v>
      </c>
      <c r="M77" s="119">
        <f t="shared" si="7"/>
        <v>-60120.68393369564</v>
      </c>
      <c r="N77" s="119">
        <f t="shared" si="7"/>
        <v>-60120.68393369564</v>
      </c>
      <c r="O77" s="119">
        <f t="shared" si="7"/>
        <v>-60120.68393369564</v>
      </c>
      <c r="P77" s="119">
        <f t="shared" si="7"/>
        <v>-60120.68393369564</v>
      </c>
      <c r="Q77" s="119">
        <f t="shared" si="7"/>
        <v>-60120.68393369564</v>
      </c>
      <c r="R77" s="119">
        <f t="shared" si="7"/>
        <v>-60120.68393369564</v>
      </c>
      <c r="S77" s="119">
        <f t="shared" si="7"/>
        <v>-60120.68393369564</v>
      </c>
      <c r="T77" s="119">
        <f t="shared" si="7"/>
        <v>0</v>
      </c>
      <c r="U77" s="119">
        <f t="shared" si="7"/>
        <v>0</v>
      </c>
      <c r="V77" s="119">
        <f t="shared" si="7"/>
        <v>0</v>
      </c>
      <c r="W77" s="119">
        <f t="shared" si="7"/>
        <v>0</v>
      </c>
      <c r="X77" s="119">
        <f t="shared" si="7"/>
        <v>0</v>
      </c>
      <c r="Y77" s="119">
        <f t="shared" si="7"/>
        <v>0</v>
      </c>
      <c r="Z77" s="119">
        <f t="shared" si="7"/>
        <v>0</v>
      </c>
      <c r="AA77" s="119">
        <f t="shared" si="7"/>
        <v>0</v>
      </c>
      <c r="AB77" s="119">
        <f t="shared" si="7"/>
        <v>0</v>
      </c>
      <c r="AC77" s="119">
        <f t="shared" si="7"/>
        <v>0</v>
      </c>
      <c r="AD77" s="119">
        <f t="shared" si="7"/>
        <v>0</v>
      </c>
      <c r="AE77" s="119">
        <f t="shared" si="7"/>
        <v>0</v>
      </c>
      <c r="AF77" s="119">
        <f t="shared" si="7"/>
        <v>0</v>
      </c>
      <c r="AG77" s="119">
        <f t="shared" si="7"/>
        <v>0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  <c r="AH79"/>
    </row>
    <row r="80" spans="1:34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-60120.68393369564</v>
      </c>
      <c r="K80" s="176">
        <f t="shared" si="10"/>
        <v>-60120.68393369564</v>
      </c>
      <c r="L80" s="176">
        <f t="shared" si="10"/>
        <v>-60120.68393369564</v>
      </c>
      <c r="M80" s="176">
        <f t="shared" si="10"/>
        <v>-60120.68393369564</v>
      </c>
      <c r="N80" s="176">
        <f t="shared" si="10"/>
        <v>-60120.68393369564</v>
      </c>
      <c r="O80" s="176">
        <f t="shared" si="10"/>
        <v>-60120.68393369564</v>
      </c>
      <c r="P80" s="176">
        <f t="shared" si="10"/>
        <v>-60120.68393369564</v>
      </c>
      <c r="Q80" s="176">
        <f t="shared" si="10"/>
        <v>-60120.68393369564</v>
      </c>
      <c r="R80" s="176">
        <f t="shared" si="10"/>
        <v>-60120.68393369564</v>
      </c>
      <c r="S80" s="176">
        <f t="shared" si="10"/>
        <v>-60120.68393369564</v>
      </c>
      <c r="T80" s="176">
        <f t="shared" si="10"/>
        <v>0</v>
      </c>
      <c r="U80" s="176">
        <f t="shared" si="10"/>
        <v>0</v>
      </c>
      <c r="V80" s="176">
        <f t="shared" si="10"/>
        <v>0</v>
      </c>
      <c r="W80" s="176">
        <f t="shared" si="10"/>
        <v>0</v>
      </c>
      <c r="X80" s="176">
        <f t="shared" si="10"/>
        <v>0</v>
      </c>
      <c r="Y80" s="176">
        <f t="shared" si="10"/>
        <v>0</v>
      </c>
      <c r="Z80" s="176">
        <f t="shared" si="10"/>
        <v>0</v>
      </c>
      <c r="AA80" s="176">
        <f t="shared" si="10"/>
        <v>0</v>
      </c>
      <c r="AB80" s="176">
        <f t="shared" si="10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-60120.68393369564</v>
      </c>
      <c r="K82" s="119">
        <f t="shared" si="12"/>
        <v>-60120.68393369564</v>
      </c>
      <c r="L82" s="119">
        <f t="shared" si="12"/>
        <v>-60120.68393369564</v>
      </c>
      <c r="M82" s="119">
        <f t="shared" si="12"/>
        <v>-60120.68393369564</v>
      </c>
      <c r="N82" s="119">
        <f t="shared" si="12"/>
        <v>-60120.68393369564</v>
      </c>
      <c r="O82" s="119">
        <f t="shared" si="12"/>
        <v>-60120.68393369564</v>
      </c>
      <c r="P82" s="119">
        <f t="shared" si="12"/>
        <v>-60120.68393369564</v>
      </c>
      <c r="Q82" s="119">
        <f t="shared" si="12"/>
        <v>-60120.68393369564</v>
      </c>
      <c r="R82" s="119">
        <f t="shared" si="12"/>
        <v>-60120.68393369564</v>
      </c>
      <c r="S82" s="119">
        <f t="shared" si="12"/>
        <v>-60120.68393369564</v>
      </c>
      <c r="T82" s="119">
        <f t="shared" si="12"/>
        <v>0</v>
      </c>
      <c r="U82" s="119">
        <f t="shared" si="12"/>
        <v>0</v>
      </c>
      <c r="V82" s="119">
        <f t="shared" si="12"/>
        <v>0</v>
      </c>
      <c r="W82" s="119">
        <f t="shared" si="12"/>
        <v>0</v>
      </c>
      <c r="X82" s="119">
        <f t="shared" si="12"/>
        <v>0</v>
      </c>
      <c r="Y82" s="119">
        <f t="shared" si="12"/>
        <v>0</v>
      </c>
      <c r="Z82" s="119">
        <f t="shared" si="12"/>
        <v>0</v>
      </c>
      <c r="AA82" s="119">
        <f t="shared" si="12"/>
        <v>0</v>
      </c>
      <c r="AB82" s="119">
        <f t="shared" si="12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  <c r="AH83"/>
    </row>
    <row r="84" spans="1:34" x14ac:dyDescent="0.2">
      <c r="A84" s="8"/>
      <c r="B84" s="8"/>
      <c r="C84" s="4" t="s">
        <v>141</v>
      </c>
      <c r="D84" s="38"/>
      <c r="F84" s="97"/>
      <c r="G84" s="210">
        <f t="shared" si="11"/>
        <v>45291</v>
      </c>
      <c r="H84" s="31"/>
      <c r="I84" s="31">
        <f t="shared" ref="I84:AG84" si="14">I64</f>
        <v>0</v>
      </c>
      <c r="J84" s="31">
        <f t="shared" si="14"/>
        <v>84006.772863178747</v>
      </c>
      <c r="K84" s="31">
        <f t="shared" si="14"/>
        <v>84503.71232810209</v>
      </c>
      <c r="L84" s="31">
        <f t="shared" si="14"/>
        <v>84947.911734294845</v>
      </c>
      <c r="M84" s="31">
        <f t="shared" si="14"/>
        <v>85201.342540965066</v>
      </c>
      <c r="N84" s="31">
        <f t="shared" si="14"/>
        <v>85511.225112254266</v>
      </c>
      <c r="O84" s="31">
        <f t="shared" si="14"/>
        <v>86065.684604210546</v>
      </c>
      <c r="P84" s="31">
        <f t="shared" si="14"/>
        <v>86738.079743103764</v>
      </c>
      <c r="Q84" s="31">
        <f t="shared" si="14"/>
        <v>87058.688647876144</v>
      </c>
      <c r="R84" s="31">
        <f t="shared" si="14"/>
        <v>87455.905896080832</v>
      </c>
      <c r="S84" s="31">
        <f t="shared" si="14"/>
        <v>87857.155042899365</v>
      </c>
      <c r="T84" s="31">
        <f t="shared" si="14"/>
        <v>88262.426362420141</v>
      </c>
      <c r="U84" s="31">
        <f t="shared" si="14"/>
        <v>88671.71042434586</v>
      </c>
      <c r="V84" s="31">
        <f t="shared" si="14"/>
        <v>89084.998085674888</v>
      </c>
      <c r="W84" s="31">
        <f t="shared" si="14"/>
        <v>89502.280482735485</v>
      </c>
      <c r="X84" s="31">
        <f t="shared" si="14"/>
        <v>89923.549023554719</v>
      </c>
      <c r="Y84" s="31">
        <f t="shared" si="14"/>
        <v>90348.795380541764</v>
      </c>
      <c r="Z84" s="31">
        <f t="shared" si="14"/>
        <v>90778.011483471026</v>
      </c>
      <c r="AA84" s="31">
        <f t="shared" si="14"/>
        <v>91211.189512743673</v>
      </c>
      <c r="AB84" s="31">
        <f t="shared" si="14"/>
        <v>91648.321892923617</v>
      </c>
      <c r="AC84" s="31">
        <f t="shared" si="14"/>
        <v>92089.40128652117</v>
      </c>
      <c r="AD84" s="31">
        <f t="shared" si="14"/>
        <v>92534.420588021982</v>
      </c>
      <c r="AE84" s="31">
        <f t="shared" si="14"/>
        <v>92935.63198119303</v>
      </c>
      <c r="AF84" s="31">
        <f t="shared" si="14"/>
        <v>93340.379563877475</v>
      </c>
      <c r="AG84" s="31">
        <f t="shared" si="14"/>
        <v>93748.65824381751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189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23886.088929483107</v>
      </c>
      <c r="K87" s="179">
        <f t="shared" si="16"/>
        <v>24383.02839440645</v>
      </c>
      <c r="L87" s="179">
        <f t="shared" si="16"/>
        <v>24827.227800599205</v>
      </c>
      <c r="M87" s="179">
        <f t="shared" si="16"/>
        <v>25080.658607269426</v>
      </c>
      <c r="N87" s="179">
        <f t="shared" si="16"/>
        <v>25390.541178558626</v>
      </c>
      <c r="O87" s="179">
        <f t="shared" si="16"/>
        <v>25945.000670514906</v>
      </c>
      <c r="P87" s="179">
        <f t="shared" si="16"/>
        <v>26617.395809408124</v>
      </c>
      <c r="Q87" s="179">
        <f t="shared" si="16"/>
        <v>26938.004714180504</v>
      </c>
      <c r="R87" s="179">
        <f t="shared" si="16"/>
        <v>27335.221962385192</v>
      </c>
      <c r="S87" s="179">
        <f t="shared" si="16"/>
        <v>27736.471109203725</v>
      </c>
      <c r="T87" s="179">
        <f t="shared" si="16"/>
        <v>88262.426362420141</v>
      </c>
      <c r="U87" s="179">
        <f t="shared" si="16"/>
        <v>88671.71042434586</v>
      </c>
      <c r="V87" s="179">
        <f t="shared" si="16"/>
        <v>89084.998085674888</v>
      </c>
      <c r="W87" s="179">
        <f t="shared" si="16"/>
        <v>89502.280482735485</v>
      </c>
      <c r="X87" s="179">
        <f t="shared" si="16"/>
        <v>89923.549023554719</v>
      </c>
      <c r="Y87" s="179">
        <f t="shared" si="16"/>
        <v>90348.795380541764</v>
      </c>
      <c r="Z87" s="179">
        <f t="shared" si="16"/>
        <v>90778.011483471026</v>
      </c>
      <c r="AA87" s="179">
        <f t="shared" si="16"/>
        <v>91211.189512743673</v>
      </c>
      <c r="AB87" s="179">
        <f t="shared" si="16"/>
        <v>91648.321892923617</v>
      </c>
      <c r="AC87" s="179">
        <f>SUM(AC82:AC86)</f>
        <v>92089.40128652117</v>
      </c>
      <c r="AD87" s="179">
        <f>SUM(AD82:AD86)</f>
        <v>92534.420588021982</v>
      </c>
      <c r="AE87" s="179">
        <f>SUM(AE82:AE86)</f>
        <v>92935.63198119303</v>
      </c>
      <c r="AF87" s="179">
        <f>SUM(AF82:AF86)</f>
        <v>93340.379563877475</v>
      </c>
      <c r="AG87" s="179">
        <f>SUM(AG82:AG86)</f>
        <v>93748.65824381751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194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7">J87</f>
        <v>23886.088929483107</v>
      </c>
      <c r="K106" s="31">
        <f t="shared" si="17"/>
        <v>24383.02839440645</v>
      </c>
      <c r="L106" s="31">
        <f t="shared" si="17"/>
        <v>24827.227800599205</v>
      </c>
      <c r="M106" s="31">
        <f t="shared" si="17"/>
        <v>25080.658607269426</v>
      </c>
      <c r="N106" s="31">
        <f t="shared" si="17"/>
        <v>25390.541178558626</v>
      </c>
      <c r="O106" s="31">
        <f t="shared" si="17"/>
        <v>25945.000670514906</v>
      </c>
      <c r="P106" s="31">
        <f t="shared" si="17"/>
        <v>26617.395809408124</v>
      </c>
      <c r="Q106" s="31">
        <f t="shared" si="17"/>
        <v>26938.004714180504</v>
      </c>
      <c r="R106" s="31">
        <f t="shared" si="17"/>
        <v>27335.221962385192</v>
      </c>
      <c r="S106" s="31">
        <f t="shared" si="17"/>
        <v>27736.471109203725</v>
      </c>
      <c r="T106" s="31">
        <f t="shared" si="17"/>
        <v>88262.426362420141</v>
      </c>
      <c r="U106" s="31">
        <f t="shared" si="17"/>
        <v>88671.71042434586</v>
      </c>
      <c r="V106" s="31">
        <f t="shared" si="17"/>
        <v>89084.998085674888</v>
      </c>
      <c r="W106" s="31">
        <f t="shared" si="17"/>
        <v>89502.280482735485</v>
      </c>
      <c r="X106" s="31">
        <f t="shared" si="17"/>
        <v>89923.549023554719</v>
      </c>
      <c r="Y106" s="31">
        <f t="shared" si="17"/>
        <v>90348.795380541764</v>
      </c>
      <c r="Z106" s="31">
        <f t="shared" si="17"/>
        <v>90778.011483471026</v>
      </c>
      <c r="AA106" s="31">
        <f t="shared" si="17"/>
        <v>91211.189512743673</v>
      </c>
      <c r="AB106" s="31">
        <f t="shared" si="17"/>
        <v>91648.321892923617</v>
      </c>
      <c r="AC106" s="31">
        <f t="shared" si="17"/>
        <v>92089.40128652117</v>
      </c>
      <c r="AD106" s="31">
        <f t="shared" si="17"/>
        <v>92534.420588021982</v>
      </c>
      <c r="AE106" s="31">
        <f t="shared" si="17"/>
        <v>92935.63198119303</v>
      </c>
      <c r="AF106" s="31">
        <f t="shared" si="17"/>
        <v>93340.379563877475</v>
      </c>
      <c r="AG106" s="31">
        <f t="shared" si="17"/>
        <v>93748.65824381751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8">J82</f>
        <v>-60120.68393369564</v>
      </c>
      <c r="K107" s="31">
        <f t="shared" si="18"/>
        <v>-60120.68393369564</v>
      </c>
      <c r="L107" s="31">
        <f t="shared" si="18"/>
        <v>-60120.68393369564</v>
      </c>
      <c r="M107" s="31">
        <f t="shared" si="18"/>
        <v>-60120.68393369564</v>
      </c>
      <c r="N107" s="31">
        <f t="shared" si="18"/>
        <v>-60120.68393369564</v>
      </c>
      <c r="O107" s="31">
        <f t="shared" si="18"/>
        <v>-60120.68393369564</v>
      </c>
      <c r="P107" s="31">
        <f t="shared" si="18"/>
        <v>-60120.68393369564</v>
      </c>
      <c r="Q107" s="31">
        <f t="shared" si="18"/>
        <v>-60120.68393369564</v>
      </c>
      <c r="R107" s="31">
        <f t="shared" si="18"/>
        <v>-60120.68393369564</v>
      </c>
      <c r="S107" s="31">
        <f t="shared" si="18"/>
        <v>-60120.68393369564</v>
      </c>
      <c r="T107" s="31">
        <f t="shared" si="18"/>
        <v>0</v>
      </c>
      <c r="U107" s="31">
        <f t="shared" si="18"/>
        <v>0</v>
      </c>
      <c r="V107" s="31">
        <f t="shared" si="18"/>
        <v>0</v>
      </c>
      <c r="W107" s="31">
        <f t="shared" si="18"/>
        <v>0</v>
      </c>
      <c r="X107" s="31">
        <f t="shared" si="18"/>
        <v>0</v>
      </c>
      <c r="Y107" s="31">
        <f t="shared" si="18"/>
        <v>0</v>
      </c>
      <c r="Z107" s="31">
        <f t="shared" si="18"/>
        <v>0</v>
      </c>
      <c r="AA107" s="31">
        <f t="shared" si="18"/>
        <v>0</v>
      </c>
      <c r="AB107" s="31">
        <f t="shared" si="18"/>
        <v>0</v>
      </c>
      <c r="AC107" s="31">
        <f t="shared" si="18"/>
        <v>0</v>
      </c>
      <c r="AD107" s="31">
        <f t="shared" si="18"/>
        <v>0</v>
      </c>
      <c r="AE107" s="31">
        <f t="shared" si="18"/>
        <v>0</v>
      </c>
      <c r="AF107" s="31">
        <f t="shared" si="18"/>
        <v>0</v>
      </c>
      <c r="AG107" s="31">
        <f t="shared" si="18"/>
        <v>0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19">SUM(J84:J85)</f>
        <v>84006.772863178747</v>
      </c>
      <c r="K108" s="31">
        <f t="shared" si="19"/>
        <v>84503.71232810209</v>
      </c>
      <c r="L108" s="31">
        <f t="shared" si="19"/>
        <v>84947.911734294845</v>
      </c>
      <c r="M108" s="31">
        <f t="shared" si="19"/>
        <v>85201.342540965066</v>
      </c>
      <c r="N108" s="31">
        <f t="shared" si="19"/>
        <v>85511.225112254266</v>
      </c>
      <c r="O108" s="31">
        <f t="shared" si="19"/>
        <v>86065.684604210546</v>
      </c>
      <c r="P108" s="31">
        <f t="shared" si="19"/>
        <v>86738.079743103764</v>
      </c>
      <c r="Q108" s="31">
        <f t="shared" si="19"/>
        <v>87058.688647876144</v>
      </c>
      <c r="R108" s="31">
        <f t="shared" si="19"/>
        <v>87455.905896080832</v>
      </c>
      <c r="S108" s="31">
        <f t="shared" si="19"/>
        <v>87857.155042899365</v>
      </c>
      <c r="T108" s="31">
        <f t="shared" si="19"/>
        <v>88262.426362420141</v>
      </c>
      <c r="U108" s="31">
        <f t="shared" si="19"/>
        <v>88671.71042434586</v>
      </c>
      <c r="V108" s="31">
        <f t="shared" si="19"/>
        <v>89084.998085674888</v>
      </c>
      <c r="W108" s="31">
        <f t="shared" si="19"/>
        <v>89502.280482735485</v>
      </c>
      <c r="X108" s="31">
        <f t="shared" si="19"/>
        <v>89923.549023554719</v>
      </c>
      <c r="Y108" s="31">
        <f t="shared" si="19"/>
        <v>90348.795380541764</v>
      </c>
      <c r="Z108" s="31">
        <f t="shared" si="19"/>
        <v>90778.011483471026</v>
      </c>
      <c r="AA108" s="31">
        <f t="shared" si="19"/>
        <v>91211.189512743673</v>
      </c>
      <c r="AB108" s="31">
        <f t="shared" si="19"/>
        <v>91648.321892923617</v>
      </c>
      <c r="AC108" s="31">
        <f t="shared" si="19"/>
        <v>92089.40128652117</v>
      </c>
      <c r="AD108" s="31">
        <f t="shared" si="19"/>
        <v>92534.420588021982</v>
      </c>
      <c r="AE108" s="31">
        <f t="shared" si="19"/>
        <v>92935.63198119303</v>
      </c>
      <c r="AF108" s="31">
        <f t="shared" si="19"/>
        <v>93340.379563877475</v>
      </c>
      <c r="AG108" s="31">
        <f t="shared" si="19"/>
        <v>93748.65824381751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17874.020536113541</v>
      </c>
      <c r="K110" s="31" cm="1">
        <f t="array" ref="K110">K$106+IF($C110&lt;&gt;0,SUMPRODUCT((K$107:K$108)*TRANSPOSE(($D110:$E110))),0)</f>
        <v>18370.960001036885</v>
      </c>
      <c r="L110" s="31" cm="1">
        <f t="array" ref="L110">L$106+IF($C110&lt;&gt;0,SUMPRODUCT((L$107:L$108)*TRANSPOSE(($D110:$E110))),0)</f>
        <v>18815.159407229639</v>
      </c>
      <c r="M110" s="31" cm="1">
        <f t="array" ref="M110">M$106+IF($C110&lt;&gt;0,SUMPRODUCT((M$107:M$108)*TRANSPOSE(($D110:$E110))),0)</f>
        <v>19068.590213899861</v>
      </c>
      <c r="N110" s="31" cm="1">
        <f t="array" ref="N110">N$106+IF($C110&lt;&gt;0,SUMPRODUCT((N$107:N$108)*TRANSPOSE(($D110:$E110))),0)</f>
        <v>19378.47278518906</v>
      </c>
      <c r="O110" s="31" cm="1">
        <f t="array" ref="O110">O$106+IF($C110&lt;&gt;0,SUMPRODUCT((O$107:O$108)*TRANSPOSE(($D110:$E110))),0)</f>
        <v>19932.932277145341</v>
      </c>
      <c r="P110" s="31" cm="1">
        <f t="array" ref="P110">P$106+IF($C110&lt;&gt;0,SUMPRODUCT((P$107:P$108)*TRANSPOSE(($D110:$E110))),0)</f>
        <v>20605.327416038559</v>
      </c>
      <c r="Q110" s="31" cm="1">
        <f t="array" ref="Q110">Q$106+IF($C110&lt;&gt;0,SUMPRODUCT((Q$107:Q$108)*TRANSPOSE(($D110:$E110))),0)</f>
        <v>20925.936320810939</v>
      </c>
      <c r="R110" s="31" cm="1">
        <f t="array" ref="R110">R$106+IF($C110&lt;&gt;0,SUMPRODUCT((R$107:R$108)*TRANSPOSE(($D110:$E110))),0)</f>
        <v>21323.153569015627</v>
      </c>
      <c r="S110" s="31" cm="1">
        <f t="array" ref="S110">S$106+IF($C110&lt;&gt;0,SUMPRODUCT((S$107:S$108)*TRANSPOSE(($D110:$E110))),0)</f>
        <v>21724.40271583416</v>
      </c>
      <c r="T110" s="31" cm="1">
        <f t="array" ref="T110">T$106+IF($C110&lt;&gt;0,SUMPRODUCT((T$107:T$108)*TRANSPOSE(($D110:$E110))),0)</f>
        <v>88262.426362420141</v>
      </c>
      <c r="U110" s="31" cm="1">
        <f t="array" ref="U110">U$106+IF($C110&lt;&gt;0,SUMPRODUCT((U$107:U$108)*TRANSPOSE(($D110:$E110))),0)</f>
        <v>88671.71042434586</v>
      </c>
      <c r="V110" s="31" cm="1">
        <f t="array" ref="V110">V$106+IF($C110&lt;&gt;0,SUMPRODUCT((V$107:V$108)*TRANSPOSE(($D110:$E110))),0)</f>
        <v>89084.998085674888</v>
      </c>
      <c r="W110" s="31" cm="1">
        <f t="array" ref="W110">W$106+IF($C110&lt;&gt;0,SUMPRODUCT((W$107:W$108)*TRANSPOSE(($D110:$E110))),0)</f>
        <v>89502.280482735485</v>
      </c>
      <c r="X110" s="31" cm="1">
        <f t="array" ref="X110">X$106+IF($C110&lt;&gt;0,SUMPRODUCT((X$107:X$108)*TRANSPOSE(($D110:$E110))),0)</f>
        <v>89923.549023554719</v>
      </c>
      <c r="Y110" s="31" cm="1">
        <f t="array" ref="Y110">Y$106+IF($C110&lt;&gt;0,SUMPRODUCT((Y$107:Y$108)*TRANSPOSE(($D110:$E110))),0)</f>
        <v>90348.795380541764</v>
      </c>
      <c r="Z110" s="31" cm="1">
        <f t="array" ref="Z110">Z$106+IF($C110&lt;&gt;0,SUMPRODUCT((Z$107:Z$108)*TRANSPOSE(($D110:$E110))),0)</f>
        <v>90778.011483471026</v>
      </c>
      <c r="AA110" s="31" cm="1">
        <f t="array" ref="AA110">AA$106+IF($C110&lt;&gt;0,SUMPRODUCT((AA$107:AA$108)*TRANSPOSE(($D110:$E110))),0)</f>
        <v>91211.189512743673</v>
      </c>
      <c r="AB110" s="31" cm="1">
        <f t="array" ref="AB110">AB$106+IF($C110&lt;&gt;0,SUMPRODUCT((AB$107:AB$108)*TRANSPOSE(($D110:$E110))),0)</f>
        <v>91648.321892923617</v>
      </c>
      <c r="AC110" s="31" cm="1">
        <f t="array" ref="AC110">AC$106+IF($C110&lt;&gt;0,SUMPRODUCT((AC$107:AC$108)*TRANSPOSE(($D110:$E110))),0)</f>
        <v>92089.40128652117</v>
      </c>
      <c r="AD110" s="31" cm="1">
        <f t="array" ref="AD110">AD$106+IF($C110&lt;&gt;0,SUMPRODUCT((AD$107:AD$108)*TRANSPOSE(($D110:$E110))),0)</f>
        <v>92534.420588021982</v>
      </c>
      <c r="AE110" s="31" cm="1">
        <f t="array" ref="AE110">AE$106+IF($C110&lt;&gt;0,SUMPRODUCT((AE$107:AE$108)*TRANSPOSE(($D110:$E110))),0)</f>
        <v>92935.63198119303</v>
      </c>
      <c r="AF110" s="31" cm="1">
        <f t="array" ref="AF110">AF$106+IF($C110&lt;&gt;0,SUMPRODUCT((AF$107:AF$108)*TRANSPOSE(($D110:$E110))),0)</f>
        <v>93340.379563877475</v>
      </c>
      <c r="AG110" s="31" cm="1">
        <f t="array" ref="AG110">AG$106+IF($C110&lt;&gt;0,SUMPRODUCT((AG$107:AG$108)*TRANSPOSE(($D110:$E110))),0)</f>
        <v>93748.65824381751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29898.157322852672</v>
      </c>
      <c r="K111" s="31" cm="1">
        <f t="array" ref="K111">K$106+IF($C111&lt;&gt;0,SUMPRODUCT((K$107:K$108)*TRANSPOSE(($D111:$E111))),0)</f>
        <v>30395.096787776016</v>
      </c>
      <c r="L111" s="31" cm="1">
        <f t="array" ref="L111">L$106+IF($C111&lt;&gt;0,SUMPRODUCT((L$107:L$108)*TRANSPOSE(($D111:$E111))),0)</f>
        <v>30839.29619396877</v>
      </c>
      <c r="M111" s="31" cm="1">
        <f t="array" ref="M111">M$106+IF($C111&lt;&gt;0,SUMPRODUCT((M$107:M$108)*TRANSPOSE(($D111:$E111))),0)</f>
        <v>31092.727000638992</v>
      </c>
      <c r="N111" s="31" cm="1">
        <f t="array" ref="N111">N$106+IF($C111&lt;&gt;0,SUMPRODUCT((N$107:N$108)*TRANSPOSE(($D111:$E111))),0)</f>
        <v>31402.609571928191</v>
      </c>
      <c r="O111" s="31" cm="1">
        <f t="array" ref="O111">O$106+IF($C111&lt;&gt;0,SUMPRODUCT((O$107:O$108)*TRANSPOSE(($D111:$E111))),0)</f>
        <v>31957.069063884472</v>
      </c>
      <c r="P111" s="31" cm="1">
        <f t="array" ref="P111">P$106+IF($C111&lt;&gt;0,SUMPRODUCT((P$107:P$108)*TRANSPOSE(($D111:$E111))),0)</f>
        <v>32629.46420277769</v>
      </c>
      <c r="Q111" s="31" cm="1">
        <f t="array" ref="Q111">Q$106+IF($C111&lt;&gt;0,SUMPRODUCT((Q$107:Q$108)*TRANSPOSE(($D111:$E111))),0)</f>
        <v>32950.073107550066</v>
      </c>
      <c r="R111" s="31" cm="1">
        <f t="array" ref="R111">R$106+IF($C111&lt;&gt;0,SUMPRODUCT((R$107:R$108)*TRANSPOSE(($D111:$E111))),0)</f>
        <v>33347.290355754754</v>
      </c>
      <c r="S111" s="31" cm="1">
        <f t="array" ref="S111">S$106+IF($C111&lt;&gt;0,SUMPRODUCT((S$107:S$108)*TRANSPOSE(($D111:$E111))),0)</f>
        <v>33748.539502573287</v>
      </c>
      <c r="T111" s="31" cm="1">
        <f t="array" ref="T111">T$106+IF($C111&lt;&gt;0,SUMPRODUCT((T$107:T$108)*TRANSPOSE(($D111:$E111))),0)</f>
        <v>88262.426362420141</v>
      </c>
      <c r="U111" s="31" cm="1">
        <f t="array" ref="U111">U$106+IF($C111&lt;&gt;0,SUMPRODUCT((U$107:U$108)*TRANSPOSE(($D111:$E111))),0)</f>
        <v>88671.71042434586</v>
      </c>
      <c r="V111" s="31" cm="1">
        <f t="array" ref="V111">V$106+IF($C111&lt;&gt;0,SUMPRODUCT((V$107:V$108)*TRANSPOSE(($D111:$E111))),0)</f>
        <v>89084.998085674888</v>
      </c>
      <c r="W111" s="31" cm="1">
        <f t="array" ref="W111">W$106+IF($C111&lt;&gt;0,SUMPRODUCT((W$107:W$108)*TRANSPOSE(($D111:$E111))),0)</f>
        <v>89502.280482735485</v>
      </c>
      <c r="X111" s="31" cm="1">
        <f t="array" ref="X111">X$106+IF($C111&lt;&gt;0,SUMPRODUCT((X$107:X$108)*TRANSPOSE(($D111:$E111))),0)</f>
        <v>89923.549023554719</v>
      </c>
      <c r="Y111" s="31" cm="1">
        <f t="array" ref="Y111">Y$106+IF($C111&lt;&gt;0,SUMPRODUCT((Y$107:Y$108)*TRANSPOSE(($D111:$E111))),0)</f>
        <v>90348.795380541764</v>
      </c>
      <c r="Z111" s="31" cm="1">
        <f t="array" ref="Z111">Z$106+IF($C111&lt;&gt;0,SUMPRODUCT((Z$107:Z$108)*TRANSPOSE(($D111:$E111))),0)</f>
        <v>90778.011483471026</v>
      </c>
      <c r="AA111" s="31" cm="1">
        <f t="array" ref="AA111">AA$106+IF($C111&lt;&gt;0,SUMPRODUCT((AA$107:AA$108)*TRANSPOSE(($D111:$E111))),0)</f>
        <v>91211.189512743673</v>
      </c>
      <c r="AB111" s="31" cm="1">
        <f t="array" ref="AB111">AB$106+IF($C111&lt;&gt;0,SUMPRODUCT((AB$107:AB$108)*TRANSPOSE(($D111:$E111))),0)</f>
        <v>91648.321892923617</v>
      </c>
      <c r="AC111" s="31" cm="1">
        <f t="array" ref="AC111">AC$106+IF($C111&lt;&gt;0,SUMPRODUCT((AC$107:AC$108)*TRANSPOSE(($D111:$E111))),0)</f>
        <v>92089.40128652117</v>
      </c>
      <c r="AD111" s="31" cm="1">
        <f t="array" ref="AD111">AD$106+IF($C111&lt;&gt;0,SUMPRODUCT((AD$107:AD$108)*TRANSPOSE(($D111:$E111))),0)</f>
        <v>92534.420588021982</v>
      </c>
      <c r="AE111" s="31" cm="1">
        <f t="array" ref="AE111">AE$106+IF($C111&lt;&gt;0,SUMPRODUCT((AE$107:AE$108)*TRANSPOSE(($D111:$E111))),0)</f>
        <v>92935.63198119303</v>
      </c>
      <c r="AF111" s="31" cm="1">
        <f t="array" ref="AF111">AF$106+IF($C111&lt;&gt;0,SUMPRODUCT((AF$107:AF$108)*TRANSPOSE(($D111:$E111))),0)</f>
        <v>93340.379563877475</v>
      </c>
      <c r="AG111" s="31" cm="1">
        <f t="array" ref="AG111">AG$106+IF($C111&lt;&gt;0,SUMPRODUCT((AG$107:AG$108)*TRANSPOSE(($D111:$E111))),0)</f>
        <v>93748.65824381751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32286.766215800984</v>
      </c>
      <c r="K112" s="31" cm="1">
        <f t="array" ref="K112">K$106+IF($C112&lt;&gt;0,SUMPRODUCT((K$107:K$108)*TRANSPOSE(($D112:$E112))),0)</f>
        <v>32833.399627216662</v>
      </c>
      <c r="L112" s="31" cm="1">
        <f t="array" ref="L112">L$106+IF($C112&lt;&gt;0,SUMPRODUCT((L$107:L$108)*TRANSPOSE(($D112:$E112))),0)</f>
        <v>33322.018974028688</v>
      </c>
      <c r="M112" s="31" cm="1">
        <f t="array" ref="M112">M$106+IF($C112&lt;&gt;0,SUMPRODUCT((M$107:M$108)*TRANSPOSE(($D112:$E112))),0)</f>
        <v>33600.792861365931</v>
      </c>
      <c r="N112" s="31" cm="1">
        <f t="array" ref="N112">N$106+IF($C112&lt;&gt;0,SUMPRODUCT((N$107:N$108)*TRANSPOSE(($D112:$E112))),0)</f>
        <v>33941.663689784051</v>
      </c>
      <c r="O112" s="31" cm="1">
        <f t="array" ref="O112">O$106+IF($C112&lt;&gt;0,SUMPRODUCT((O$107:O$108)*TRANSPOSE(($D112:$E112))),0)</f>
        <v>34551.569130935961</v>
      </c>
      <c r="P112" s="31" cm="1">
        <f t="array" ref="P112">P$106+IF($C112&lt;&gt;0,SUMPRODUCT((P$107:P$108)*TRANSPOSE(($D112:$E112))),0)</f>
        <v>35291.203783718505</v>
      </c>
      <c r="Q112" s="31" cm="1">
        <f t="array" ref="Q112">Q$106+IF($C112&lt;&gt;0,SUMPRODUCT((Q$107:Q$108)*TRANSPOSE(($D112:$E112))),0)</f>
        <v>35643.873578968123</v>
      </c>
      <c r="R112" s="31" cm="1">
        <f t="array" ref="R112">R$106+IF($C112&lt;&gt;0,SUMPRODUCT((R$107:R$108)*TRANSPOSE(($D112:$E112))),0)</f>
        <v>36080.81255199328</v>
      </c>
      <c r="S112" s="31" cm="1">
        <f t="array" ref="S112">S$106+IF($C112&lt;&gt;0,SUMPRODUCT((S$107:S$108)*TRANSPOSE(($D112:$E112))),0)</f>
        <v>36522.186613493664</v>
      </c>
      <c r="T112" s="31" cm="1">
        <f t="array" ref="T112">T$106+IF($C112&lt;&gt;0,SUMPRODUCT((T$107:T$108)*TRANSPOSE(($D112:$E112))),0)</f>
        <v>97088.66899866215</v>
      </c>
      <c r="U112" s="31" cm="1">
        <f t="array" ref="U112">U$106+IF($C112&lt;&gt;0,SUMPRODUCT((U$107:U$108)*TRANSPOSE(($D112:$E112))),0)</f>
        <v>97538.88146678044</v>
      </c>
      <c r="V112" s="31" cm="1">
        <f t="array" ref="V112">V$106+IF($C112&lt;&gt;0,SUMPRODUCT((V$107:V$108)*TRANSPOSE(($D112:$E112))),0)</f>
        <v>97993.497894242377</v>
      </c>
      <c r="W112" s="31" cm="1">
        <f t="array" ref="W112">W$106+IF($C112&lt;&gt;0,SUMPRODUCT((W$107:W$108)*TRANSPOSE(($D112:$E112))),0)</f>
        <v>98452.508531009036</v>
      </c>
      <c r="X112" s="31" cm="1">
        <f t="array" ref="X112">X$106+IF($C112&lt;&gt;0,SUMPRODUCT((X$107:X$108)*TRANSPOSE(($D112:$E112))),0)</f>
        <v>98915.903925910185</v>
      </c>
      <c r="Y112" s="31" cm="1">
        <f t="array" ref="Y112">Y$106+IF($C112&lt;&gt;0,SUMPRODUCT((Y$107:Y$108)*TRANSPOSE(($D112:$E112))),0)</f>
        <v>99383.674918595934</v>
      </c>
      <c r="Z112" s="31" cm="1">
        <f t="array" ref="Z112">Z$106+IF($C112&lt;&gt;0,SUMPRODUCT((Z$107:Z$108)*TRANSPOSE(($D112:$E112))),0)</f>
        <v>99855.812631818131</v>
      </c>
      <c r="AA112" s="31" cm="1">
        <f t="array" ref="AA112">AA$106+IF($C112&lt;&gt;0,SUMPRODUCT((AA$107:AA$108)*TRANSPOSE(($D112:$E112))),0)</f>
        <v>100332.30846401805</v>
      </c>
      <c r="AB112" s="31" cm="1">
        <f t="array" ref="AB112">AB$106+IF($C112&lt;&gt;0,SUMPRODUCT((AB$107:AB$108)*TRANSPOSE(($D112:$E112))),0)</f>
        <v>100813.15408221597</v>
      </c>
      <c r="AC112" s="31" cm="1">
        <f t="array" ref="AC112">AC$106+IF($C112&lt;&gt;0,SUMPRODUCT((AC$107:AC$108)*TRANSPOSE(($D112:$E112))),0)</f>
        <v>101298.34141517329</v>
      </c>
      <c r="AD112" s="31" cm="1">
        <f t="array" ref="AD112">AD$106+IF($C112&lt;&gt;0,SUMPRODUCT((AD$107:AD$108)*TRANSPOSE(($D112:$E112))),0)</f>
        <v>101787.86264682419</v>
      </c>
      <c r="AE112" s="31" cm="1">
        <f t="array" ref="AE112">AE$106+IF($C112&lt;&gt;0,SUMPRODUCT((AE$107:AE$108)*TRANSPOSE(($D112:$E112))),0)</f>
        <v>102229.19517931233</v>
      </c>
      <c r="AF112" s="31" cm="1">
        <f t="array" ref="AF112">AF$106+IF($C112&lt;&gt;0,SUMPRODUCT((AF$107:AF$108)*TRANSPOSE(($D112:$E112))),0)</f>
        <v>102674.41752026523</v>
      </c>
      <c r="AG112" s="31" cm="1">
        <f t="array" ref="AG112">AG$106+IF($C112&lt;&gt;0,SUMPRODUCT((AG$107:AG$108)*TRANSPOSE(($D112:$E112))),0)</f>
        <v>103123.52406819926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15485.411643165231</v>
      </c>
      <c r="K113" s="31" cm="1">
        <f t="array" ref="K113">K$106+IF($C113&lt;&gt;0,SUMPRODUCT((K$107:K$108)*TRANSPOSE(($D113:$E113))),0)</f>
        <v>15932.65716159624</v>
      </c>
      <c r="L113" s="31" cm="1">
        <f t="array" ref="L113">L$106+IF($C113&lt;&gt;0,SUMPRODUCT((L$107:L$108)*TRANSPOSE(($D113:$E113))),0)</f>
        <v>16332.43662716972</v>
      </c>
      <c r="M113" s="31" cm="1">
        <f t="array" ref="M113">M$106+IF($C113&lt;&gt;0,SUMPRODUCT((M$107:M$108)*TRANSPOSE(($D113:$E113))),0)</f>
        <v>16560.524353172921</v>
      </c>
      <c r="N113" s="31" cm="1">
        <f t="array" ref="N113">N$106+IF($C113&lt;&gt;0,SUMPRODUCT((N$107:N$108)*TRANSPOSE(($D113:$E113))),0)</f>
        <v>16839.418667333201</v>
      </c>
      <c r="O113" s="31" cm="1">
        <f t="array" ref="O113">O$106+IF($C113&lt;&gt;0,SUMPRODUCT((O$107:O$108)*TRANSPOSE(($D113:$E113))),0)</f>
        <v>17338.432210093852</v>
      </c>
      <c r="P113" s="31" cm="1">
        <f t="array" ref="P113">P$106+IF($C113&lt;&gt;0,SUMPRODUCT((P$107:P$108)*TRANSPOSE(($D113:$E113))),0)</f>
        <v>17943.587835097747</v>
      </c>
      <c r="Q113" s="31" cm="1">
        <f t="array" ref="Q113">Q$106+IF($C113&lt;&gt;0,SUMPRODUCT((Q$107:Q$108)*TRANSPOSE(($D113:$E113))),0)</f>
        <v>18232.135849392889</v>
      </c>
      <c r="R113" s="31" cm="1">
        <f t="array" ref="R113">R$106+IF($C113&lt;&gt;0,SUMPRODUCT((R$107:R$108)*TRANSPOSE(($D113:$E113))),0)</f>
        <v>18589.631372777108</v>
      </c>
      <c r="S113" s="31" cm="1">
        <f t="array" ref="S113">S$106+IF($C113&lt;&gt;0,SUMPRODUCT((S$107:S$108)*TRANSPOSE(($D113:$E113))),0)</f>
        <v>18950.755604913786</v>
      </c>
      <c r="T113" s="31" cm="1">
        <f t="array" ref="T113">T$106+IF($C113&lt;&gt;0,SUMPRODUCT((T$107:T$108)*TRANSPOSE(($D113:$E113))),0)</f>
        <v>79436.183726178133</v>
      </c>
      <c r="U113" s="31" cm="1">
        <f t="array" ref="U113">U$106+IF($C113&lt;&gt;0,SUMPRODUCT((U$107:U$108)*TRANSPOSE(($D113:$E113))),0)</f>
        <v>79804.53938191128</v>
      </c>
      <c r="V113" s="31" cm="1">
        <f t="array" ref="V113">V$106+IF($C113&lt;&gt;0,SUMPRODUCT((V$107:V$108)*TRANSPOSE(($D113:$E113))),0)</f>
        <v>80176.498277107399</v>
      </c>
      <c r="W113" s="31" cm="1">
        <f t="array" ref="W113">W$106+IF($C113&lt;&gt;0,SUMPRODUCT((W$107:W$108)*TRANSPOSE(($D113:$E113))),0)</f>
        <v>80552.052434461933</v>
      </c>
      <c r="X113" s="31" cm="1">
        <f t="array" ref="X113">X$106+IF($C113&lt;&gt;0,SUMPRODUCT((X$107:X$108)*TRANSPOSE(($D113:$E113))),0)</f>
        <v>80931.194121199253</v>
      </c>
      <c r="Y113" s="31" cm="1">
        <f t="array" ref="Y113">Y$106+IF($C113&lt;&gt;0,SUMPRODUCT((Y$107:Y$108)*TRANSPOSE(($D113:$E113))),0)</f>
        <v>81313.915842487593</v>
      </c>
      <c r="Z113" s="31" cm="1">
        <f t="array" ref="Z113">Z$106+IF($C113&lt;&gt;0,SUMPRODUCT((Z$107:Z$108)*TRANSPOSE(($D113:$E113))),0)</f>
        <v>81700.21033512392</v>
      </c>
      <c r="AA113" s="31" cm="1">
        <f t="array" ref="AA113">AA$106+IF($C113&lt;&gt;0,SUMPRODUCT((AA$107:AA$108)*TRANSPOSE(($D113:$E113))),0)</f>
        <v>82090.0705614693</v>
      </c>
      <c r="AB113" s="31" cm="1">
        <f t="array" ref="AB113">AB$106+IF($C113&lt;&gt;0,SUMPRODUCT((AB$107:AB$108)*TRANSPOSE(($D113:$E113))),0)</f>
        <v>82483.489703631261</v>
      </c>
      <c r="AC113" s="31" cm="1">
        <f t="array" ref="AC113">AC$106+IF($C113&lt;&gt;0,SUMPRODUCT((AC$107:AC$108)*TRANSPOSE(($D113:$E113))),0)</f>
        <v>82880.461157869053</v>
      </c>
      <c r="AD113" s="31" cm="1">
        <f t="array" ref="AD113">AD$106+IF($C113&lt;&gt;0,SUMPRODUCT((AD$107:AD$108)*TRANSPOSE(($D113:$E113))),0)</f>
        <v>83280.978529219778</v>
      </c>
      <c r="AE113" s="31" cm="1">
        <f t="array" ref="AE113">AE$106+IF($C113&lt;&gt;0,SUMPRODUCT((AE$107:AE$108)*TRANSPOSE(($D113:$E113))),0)</f>
        <v>83642.06878307373</v>
      </c>
      <c r="AF113" s="31" cm="1">
        <f t="array" ref="AF113">AF$106+IF($C113&lt;&gt;0,SUMPRODUCT((AF$107:AF$108)*TRANSPOSE(($D113:$E113))),0)</f>
        <v>84006.341607489725</v>
      </c>
      <c r="AG113" s="31" cm="1">
        <f t="array" ref="AG113">AG$106+IF($C113&lt;&gt;0,SUMPRODUCT((AG$107:AG$108)*TRANSPOSE(($D113:$E113))),0)</f>
        <v>84373.792419435762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9473.3432497956674</v>
      </c>
      <c r="K114" s="31" cm="1">
        <f t="array" ref="K114">K$106+IF($C114&lt;&gt;0,SUMPRODUCT((K$107:K$108)*TRANSPOSE(($D114:$E114))),0)</f>
        <v>9920.5887682266766</v>
      </c>
      <c r="L114" s="31" cm="1">
        <f t="array" ref="L114">L$106+IF($C114&lt;&gt;0,SUMPRODUCT((L$107:L$108)*TRANSPOSE(($D114:$E114))),0)</f>
        <v>10320.368233800156</v>
      </c>
      <c r="M114" s="31" cm="1">
        <f t="array" ref="M114">M$106+IF($C114&lt;&gt;0,SUMPRODUCT((M$107:M$108)*TRANSPOSE(($D114:$E114))),0)</f>
        <v>10548.455959803356</v>
      </c>
      <c r="N114" s="31" cm="1">
        <f t="array" ref="N114">N$106+IF($C114&lt;&gt;0,SUMPRODUCT((N$107:N$108)*TRANSPOSE(($D114:$E114))),0)</f>
        <v>10827.350273963635</v>
      </c>
      <c r="O114" s="31" cm="1">
        <f t="array" ref="O114">O$106+IF($C114&lt;&gt;0,SUMPRODUCT((O$107:O$108)*TRANSPOSE(($D114:$E114))),0)</f>
        <v>11326.363816724286</v>
      </c>
      <c r="P114" s="31" cm="1">
        <f t="array" ref="P114">P$106+IF($C114&lt;&gt;0,SUMPRODUCT((P$107:P$108)*TRANSPOSE(($D114:$E114))),0)</f>
        <v>11931.519441728182</v>
      </c>
      <c r="Q114" s="31" cm="1">
        <f t="array" ref="Q114">Q$106+IF($C114&lt;&gt;0,SUMPRODUCT((Q$107:Q$108)*TRANSPOSE(($D114:$E114))),0)</f>
        <v>12220.067456023324</v>
      </c>
      <c r="R114" s="31" cm="1">
        <f t="array" ref="R114">R$106+IF($C114&lt;&gt;0,SUMPRODUCT((R$107:R$108)*TRANSPOSE(($D114:$E114))),0)</f>
        <v>12577.562979407543</v>
      </c>
      <c r="S114" s="31" cm="1">
        <f t="array" ref="S114">S$106+IF($C114&lt;&gt;0,SUMPRODUCT((S$107:S$108)*TRANSPOSE(($D114:$E114))),0)</f>
        <v>12938.687211544224</v>
      </c>
      <c r="T114" s="31" cm="1">
        <f t="array" ref="T114">T$106+IF($C114&lt;&gt;0,SUMPRODUCT((T$107:T$108)*TRANSPOSE(($D114:$E114))),0)</f>
        <v>79436.183726178133</v>
      </c>
      <c r="U114" s="31" cm="1">
        <f t="array" ref="U114">U$106+IF($C114&lt;&gt;0,SUMPRODUCT((U$107:U$108)*TRANSPOSE(($D114:$E114))),0)</f>
        <v>79804.53938191128</v>
      </c>
      <c r="V114" s="31" cm="1">
        <f t="array" ref="V114">V$106+IF($C114&lt;&gt;0,SUMPRODUCT((V$107:V$108)*TRANSPOSE(($D114:$E114))),0)</f>
        <v>80176.498277107399</v>
      </c>
      <c r="W114" s="31" cm="1">
        <f t="array" ref="W114">W$106+IF($C114&lt;&gt;0,SUMPRODUCT((W$107:W$108)*TRANSPOSE(($D114:$E114))),0)</f>
        <v>80552.052434461933</v>
      </c>
      <c r="X114" s="31" cm="1">
        <f t="array" ref="X114">X$106+IF($C114&lt;&gt;0,SUMPRODUCT((X$107:X$108)*TRANSPOSE(($D114:$E114))),0)</f>
        <v>80931.194121199253</v>
      </c>
      <c r="Y114" s="31" cm="1">
        <f t="array" ref="Y114">Y$106+IF($C114&lt;&gt;0,SUMPRODUCT((Y$107:Y$108)*TRANSPOSE(($D114:$E114))),0)</f>
        <v>81313.915842487593</v>
      </c>
      <c r="Z114" s="31" cm="1">
        <f t="array" ref="Z114">Z$106+IF($C114&lt;&gt;0,SUMPRODUCT((Z$107:Z$108)*TRANSPOSE(($D114:$E114))),0)</f>
        <v>81700.21033512392</v>
      </c>
      <c r="AA114" s="31" cm="1">
        <f t="array" ref="AA114">AA$106+IF($C114&lt;&gt;0,SUMPRODUCT((AA$107:AA$108)*TRANSPOSE(($D114:$E114))),0)</f>
        <v>82090.0705614693</v>
      </c>
      <c r="AB114" s="31" cm="1">
        <f t="array" ref="AB114">AB$106+IF($C114&lt;&gt;0,SUMPRODUCT((AB$107:AB$108)*TRANSPOSE(($D114:$E114))),0)</f>
        <v>82483.489703631261</v>
      </c>
      <c r="AC114" s="31" cm="1">
        <f t="array" ref="AC114">AC$106+IF($C114&lt;&gt;0,SUMPRODUCT((AC$107:AC$108)*TRANSPOSE(($D114:$E114))),0)</f>
        <v>82880.461157869053</v>
      </c>
      <c r="AD114" s="31" cm="1">
        <f t="array" ref="AD114">AD$106+IF($C114&lt;&gt;0,SUMPRODUCT((AD$107:AD$108)*TRANSPOSE(($D114:$E114))),0)</f>
        <v>83280.978529219778</v>
      </c>
      <c r="AE114" s="31" cm="1">
        <f t="array" ref="AE114">AE$106+IF($C114&lt;&gt;0,SUMPRODUCT((AE$107:AE$108)*TRANSPOSE(($D114:$E114))),0)</f>
        <v>83642.06878307373</v>
      </c>
      <c r="AF114" s="31" cm="1">
        <f t="array" ref="AF114">AF$106+IF($C114&lt;&gt;0,SUMPRODUCT((AF$107:AF$108)*TRANSPOSE(($D114:$E114))),0)</f>
        <v>84006.341607489725</v>
      </c>
      <c r="AG114" s="31" cm="1">
        <f t="array" ref="AG114">AG$106+IF($C114&lt;&gt;0,SUMPRODUCT((AG$107:AG$108)*TRANSPOSE(($D114:$E114))),0)</f>
        <v>84373.792419435762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23886.088929483107</v>
      </c>
      <c r="K115" s="31" cm="1">
        <f t="array" ref="K115">K$106+IF($C115&lt;&gt;0,SUMPRODUCT((K$107:K$108)*TRANSPOSE(($D115:$E115))),0)</f>
        <v>24383.02839440645</v>
      </c>
      <c r="L115" s="31" cm="1">
        <f t="array" ref="L115">L$106+IF($C115&lt;&gt;0,SUMPRODUCT((L$107:L$108)*TRANSPOSE(($D115:$E115))),0)</f>
        <v>24827.227800599205</v>
      </c>
      <c r="M115" s="31" cm="1">
        <f t="array" ref="M115">M$106+IF($C115&lt;&gt;0,SUMPRODUCT((M$107:M$108)*TRANSPOSE(($D115:$E115))),0)</f>
        <v>25080.658607269426</v>
      </c>
      <c r="N115" s="31" cm="1">
        <f t="array" ref="N115">N$106+IF($C115&lt;&gt;0,SUMPRODUCT((N$107:N$108)*TRANSPOSE(($D115:$E115))),0)</f>
        <v>25390.541178558626</v>
      </c>
      <c r="O115" s="31" cm="1">
        <f t="array" ref="O115">O$106+IF($C115&lt;&gt;0,SUMPRODUCT((O$107:O$108)*TRANSPOSE(($D115:$E115))),0)</f>
        <v>25945.000670514906</v>
      </c>
      <c r="P115" s="31" cm="1">
        <f t="array" ref="P115">P$106+IF($C115&lt;&gt;0,SUMPRODUCT((P$107:P$108)*TRANSPOSE(($D115:$E115))),0)</f>
        <v>26617.395809408124</v>
      </c>
      <c r="Q115" s="31" cm="1">
        <f t="array" ref="Q115">Q$106+IF($C115&lt;&gt;0,SUMPRODUCT((Q$107:Q$108)*TRANSPOSE(($D115:$E115))),0)</f>
        <v>26938.004714180504</v>
      </c>
      <c r="R115" s="31" cm="1">
        <f t="array" ref="R115">R$106+IF($C115&lt;&gt;0,SUMPRODUCT((R$107:R$108)*TRANSPOSE(($D115:$E115))),0)</f>
        <v>27335.221962385192</v>
      </c>
      <c r="S115" s="31" cm="1">
        <f t="array" ref="S115">S$106+IF($C115&lt;&gt;0,SUMPRODUCT((S$107:S$108)*TRANSPOSE(($D115:$E115))),0)</f>
        <v>27736.471109203725</v>
      </c>
      <c r="T115" s="31" cm="1">
        <f t="array" ref="T115">T$106+IF($C115&lt;&gt;0,SUMPRODUCT((T$107:T$108)*TRANSPOSE(($D115:$E115))),0)</f>
        <v>88262.426362420141</v>
      </c>
      <c r="U115" s="31" cm="1">
        <f t="array" ref="U115">U$106+IF($C115&lt;&gt;0,SUMPRODUCT((U$107:U$108)*TRANSPOSE(($D115:$E115))),0)</f>
        <v>88671.71042434586</v>
      </c>
      <c r="V115" s="31" cm="1">
        <f t="array" ref="V115">V$106+IF($C115&lt;&gt;0,SUMPRODUCT((V$107:V$108)*TRANSPOSE(($D115:$E115))),0)</f>
        <v>89084.998085674888</v>
      </c>
      <c r="W115" s="31" cm="1">
        <f t="array" ref="W115">W$106+IF($C115&lt;&gt;0,SUMPRODUCT((W$107:W$108)*TRANSPOSE(($D115:$E115))),0)</f>
        <v>89502.280482735485</v>
      </c>
      <c r="X115" s="31" cm="1">
        <f t="array" ref="X115">X$106+IF($C115&lt;&gt;0,SUMPRODUCT((X$107:X$108)*TRANSPOSE(($D115:$E115))),0)</f>
        <v>89923.549023554719</v>
      </c>
      <c r="Y115" s="31" cm="1">
        <f t="array" ref="Y115">Y$106+IF($C115&lt;&gt;0,SUMPRODUCT((Y$107:Y$108)*TRANSPOSE(($D115:$E115))),0)</f>
        <v>90348.795380541764</v>
      </c>
      <c r="Z115" s="31" cm="1">
        <f t="array" ref="Z115">Z$106+IF($C115&lt;&gt;0,SUMPRODUCT((Z$107:Z$108)*TRANSPOSE(($D115:$E115))),0)</f>
        <v>90778.011483471026</v>
      </c>
      <c r="AA115" s="31" cm="1">
        <f t="array" ref="AA115">AA$106+IF($C115&lt;&gt;0,SUMPRODUCT((AA$107:AA$108)*TRANSPOSE(($D115:$E115))),0)</f>
        <v>91211.189512743673</v>
      </c>
      <c r="AB115" s="31" cm="1">
        <f t="array" ref="AB115">AB$106+IF($C115&lt;&gt;0,SUMPRODUCT((AB$107:AB$108)*TRANSPOSE(($D115:$E115))),0)</f>
        <v>91648.321892923617</v>
      </c>
      <c r="AC115" s="31" cm="1">
        <f t="array" ref="AC115">AC$106+IF($C115&lt;&gt;0,SUMPRODUCT((AC$107:AC$108)*TRANSPOSE(($D115:$E115))),0)</f>
        <v>92089.40128652117</v>
      </c>
      <c r="AD115" s="31" cm="1">
        <f t="array" ref="AD115">AD$106+IF($C115&lt;&gt;0,SUMPRODUCT((AD$107:AD$108)*TRANSPOSE(($D115:$E115))),0)</f>
        <v>92534.420588021982</v>
      </c>
      <c r="AE115" s="31" cm="1">
        <f t="array" ref="AE115">AE$106+IF($C115&lt;&gt;0,SUMPRODUCT((AE$107:AE$108)*TRANSPOSE(($D115:$E115))),0)</f>
        <v>92935.63198119303</v>
      </c>
      <c r="AF115" s="31" cm="1">
        <f t="array" ref="AF115">AF$106+IF($C115&lt;&gt;0,SUMPRODUCT((AF$107:AF$108)*TRANSPOSE(($D115:$E115))),0)</f>
        <v>93340.379563877475</v>
      </c>
      <c r="AG115" s="31" cm="1">
        <f t="array" ref="AG115">AG$106+IF($C115&lt;&gt;0,SUMPRODUCT((AG$107:AG$108)*TRANSPOSE(($D115:$E115))),0)</f>
        <v>93748.65824381751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23886.088929483107</v>
      </c>
      <c r="K116" s="31" cm="1">
        <f t="array" ref="K116">K$106+IF($C116&lt;&gt;0,SUMPRODUCT((K$107:K$108)*TRANSPOSE(($D116:$E116))),0)</f>
        <v>24383.02839440645</v>
      </c>
      <c r="L116" s="31" cm="1">
        <f t="array" ref="L116">L$106+IF($C116&lt;&gt;0,SUMPRODUCT((L$107:L$108)*TRANSPOSE(($D116:$E116))),0)</f>
        <v>24827.227800599205</v>
      </c>
      <c r="M116" s="31" cm="1">
        <f t="array" ref="M116">M$106+IF($C116&lt;&gt;0,SUMPRODUCT((M$107:M$108)*TRANSPOSE(($D116:$E116))),0)</f>
        <v>25080.658607269426</v>
      </c>
      <c r="N116" s="31" cm="1">
        <f t="array" ref="N116">N$106+IF($C116&lt;&gt;0,SUMPRODUCT((N$107:N$108)*TRANSPOSE(($D116:$E116))),0)</f>
        <v>25390.541178558626</v>
      </c>
      <c r="O116" s="31" cm="1">
        <f t="array" ref="O116">O$106+IF($C116&lt;&gt;0,SUMPRODUCT((O$107:O$108)*TRANSPOSE(($D116:$E116))),0)</f>
        <v>25945.000670514906</v>
      </c>
      <c r="P116" s="31" cm="1">
        <f t="array" ref="P116">P$106+IF($C116&lt;&gt;0,SUMPRODUCT((P$107:P$108)*TRANSPOSE(($D116:$E116))),0)</f>
        <v>26617.395809408124</v>
      </c>
      <c r="Q116" s="31" cm="1">
        <f t="array" ref="Q116">Q$106+IF($C116&lt;&gt;0,SUMPRODUCT((Q$107:Q$108)*TRANSPOSE(($D116:$E116))),0)</f>
        <v>26938.004714180504</v>
      </c>
      <c r="R116" s="31" cm="1">
        <f t="array" ref="R116">R$106+IF($C116&lt;&gt;0,SUMPRODUCT((R$107:R$108)*TRANSPOSE(($D116:$E116))),0)</f>
        <v>27335.221962385192</v>
      </c>
      <c r="S116" s="31" cm="1">
        <f t="array" ref="S116">S$106+IF($C116&lt;&gt;0,SUMPRODUCT((S$107:S$108)*TRANSPOSE(($D116:$E116))),0)</f>
        <v>27736.471109203725</v>
      </c>
      <c r="T116" s="31" cm="1">
        <f t="array" ref="T116">T$106+IF($C116&lt;&gt;0,SUMPRODUCT((T$107:T$108)*TRANSPOSE(($D116:$E116))),0)</f>
        <v>88262.426362420141</v>
      </c>
      <c r="U116" s="31" cm="1">
        <f t="array" ref="U116">U$106+IF($C116&lt;&gt;0,SUMPRODUCT((U$107:U$108)*TRANSPOSE(($D116:$E116))),0)</f>
        <v>88671.71042434586</v>
      </c>
      <c r="V116" s="31" cm="1">
        <f t="array" ref="V116">V$106+IF($C116&lt;&gt;0,SUMPRODUCT((V$107:V$108)*TRANSPOSE(($D116:$E116))),0)</f>
        <v>89084.998085674888</v>
      </c>
      <c r="W116" s="31" cm="1">
        <f t="array" ref="W116">W$106+IF($C116&lt;&gt;0,SUMPRODUCT((W$107:W$108)*TRANSPOSE(($D116:$E116))),0)</f>
        <v>89502.280482735485</v>
      </c>
      <c r="X116" s="31" cm="1">
        <f t="array" ref="X116">X$106+IF($C116&lt;&gt;0,SUMPRODUCT((X$107:X$108)*TRANSPOSE(($D116:$E116))),0)</f>
        <v>89923.549023554719</v>
      </c>
      <c r="Y116" s="31" cm="1">
        <f t="array" ref="Y116">Y$106+IF($C116&lt;&gt;0,SUMPRODUCT((Y$107:Y$108)*TRANSPOSE(($D116:$E116))),0)</f>
        <v>90348.795380541764</v>
      </c>
      <c r="Z116" s="31" cm="1">
        <f t="array" ref="Z116">Z$106+IF($C116&lt;&gt;0,SUMPRODUCT((Z$107:Z$108)*TRANSPOSE(($D116:$E116))),0)</f>
        <v>90778.011483471026</v>
      </c>
      <c r="AA116" s="31" cm="1">
        <f t="array" ref="AA116">AA$106+IF($C116&lt;&gt;0,SUMPRODUCT((AA$107:AA$108)*TRANSPOSE(($D116:$E116))),0)</f>
        <v>91211.189512743673</v>
      </c>
      <c r="AB116" s="31" cm="1">
        <f t="array" ref="AB116">AB$106+IF($C116&lt;&gt;0,SUMPRODUCT((AB$107:AB$108)*TRANSPOSE(($D116:$E116))),0)</f>
        <v>91648.321892923617</v>
      </c>
      <c r="AC116" s="31" cm="1">
        <f t="array" ref="AC116">AC$106+IF($C116&lt;&gt;0,SUMPRODUCT((AC$107:AC$108)*TRANSPOSE(($D116:$E116))),0)</f>
        <v>92089.40128652117</v>
      </c>
      <c r="AD116" s="31" cm="1">
        <f t="array" ref="AD116">AD$106+IF($C116&lt;&gt;0,SUMPRODUCT((AD$107:AD$108)*TRANSPOSE(($D116:$E116))),0)</f>
        <v>92534.420588021982</v>
      </c>
      <c r="AE116" s="31" cm="1">
        <f t="array" ref="AE116">AE$106+IF($C116&lt;&gt;0,SUMPRODUCT((AE$107:AE$108)*TRANSPOSE(($D116:$E116))),0)</f>
        <v>92935.63198119303</v>
      </c>
      <c r="AF116" s="31" cm="1">
        <f t="array" ref="AF116">AF$106+IF($C116&lt;&gt;0,SUMPRODUCT((AF$107:AF$108)*TRANSPOSE(($D116:$E116))),0)</f>
        <v>93340.379563877475</v>
      </c>
      <c r="AG116" s="31" cm="1">
        <f t="array" ref="AG116">AG$106+IF($C116&lt;&gt;0,SUMPRODUCT((AG$107:AG$108)*TRANSPOSE(($D116:$E116))),0)</f>
        <v>93748.65824381751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23886.088929483107</v>
      </c>
      <c r="K117" s="31" cm="1">
        <f t="array" ref="K117">K$106+IF($C117&lt;&gt;0,SUMPRODUCT((K$107:K$108)*TRANSPOSE(($D117:$E117))),0)</f>
        <v>24383.02839440645</v>
      </c>
      <c r="L117" s="31" cm="1">
        <f t="array" ref="L117">L$106+IF($C117&lt;&gt;0,SUMPRODUCT((L$107:L$108)*TRANSPOSE(($D117:$E117))),0)</f>
        <v>24827.227800599205</v>
      </c>
      <c r="M117" s="31" cm="1">
        <f t="array" ref="M117">M$106+IF($C117&lt;&gt;0,SUMPRODUCT((M$107:M$108)*TRANSPOSE(($D117:$E117))),0)</f>
        <v>25080.658607269426</v>
      </c>
      <c r="N117" s="31" cm="1">
        <f t="array" ref="N117">N$106+IF($C117&lt;&gt;0,SUMPRODUCT((N$107:N$108)*TRANSPOSE(($D117:$E117))),0)</f>
        <v>25390.541178558626</v>
      </c>
      <c r="O117" s="31" cm="1">
        <f t="array" ref="O117">O$106+IF($C117&lt;&gt;0,SUMPRODUCT((O$107:O$108)*TRANSPOSE(($D117:$E117))),0)</f>
        <v>25945.000670514906</v>
      </c>
      <c r="P117" s="31" cm="1">
        <f t="array" ref="P117">P$106+IF($C117&lt;&gt;0,SUMPRODUCT((P$107:P$108)*TRANSPOSE(($D117:$E117))),0)</f>
        <v>26617.395809408124</v>
      </c>
      <c r="Q117" s="31" cm="1">
        <f t="array" ref="Q117">Q$106+IF($C117&lt;&gt;0,SUMPRODUCT((Q$107:Q$108)*TRANSPOSE(($D117:$E117))),0)</f>
        <v>26938.004714180504</v>
      </c>
      <c r="R117" s="31" cm="1">
        <f t="array" ref="R117">R$106+IF($C117&lt;&gt;0,SUMPRODUCT((R$107:R$108)*TRANSPOSE(($D117:$E117))),0)</f>
        <v>27335.221962385192</v>
      </c>
      <c r="S117" s="31" cm="1">
        <f t="array" ref="S117">S$106+IF($C117&lt;&gt;0,SUMPRODUCT((S$107:S$108)*TRANSPOSE(($D117:$E117))),0)</f>
        <v>27736.471109203725</v>
      </c>
      <c r="T117" s="31" cm="1">
        <f t="array" ref="T117">T$106+IF($C117&lt;&gt;0,SUMPRODUCT((T$107:T$108)*TRANSPOSE(($D117:$E117))),0)</f>
        <v>88262.426362420141</v>
      </c>
      <c r="U117" s="31" cm="1">
        <f t="array" ref="U117">U$106+IF($C117&lt;&gt;0,SUMPRODUCT((U$107:U$108)*TRANSPOSE(($D117:$E117))),0)</f>
        <v>88671.71042434586</v>
      </c>
      <c r="V117" s="31" cm="1">
        <f t="array" ref="V117">V$106+IF($C117&lt;&gt;0,SUMPRODUCT((V$107:V$108)*TRANSPOSE(($D117:$E117))),0)</f>
        <v>89084.998085674888</v>
      </c>
      <c r="W117" s="31" cm="1">
        <f t="array" ref="W117">W$106+IF($C117&lt;&gt;0,SUMPRODUCT((W$107:W$108)*TRANSPOSE(($D117:$E117))),0)</f>
        <v>89502.280482735485</v>
      </c>
      <c r="X117" s="31" cm="1">
        <f t="array" ref="X117">X$106+IF($C117&lt;&gt;0,SUMPRODUCT((X$107:X$108)*TRANSPOSE(($D117:$E117))),0)</f>
        <v>89923.549023554719</v>
      </c>
      <c r="Y117" s="31" cm="1">
        <f t="array" ref="Y117">Y$106+IF($C117&lt;&gt;0,SUMPRODUCT((Y$107:Y$108)*TRANSPOSE(($D117:$E117))),0)</f>
        <v>90348.795380541764</v>
      </c>
      <c r="Z117" s="31" cm="1">
        <f t="array" ref="Z117">Z$106+IF($C117&lt;&gt;0,SUMPRODUCT((Z$107:Z$108)*TRANSPOSE(($D117:$E117))),0)</f>
        <v>90778.011483471026</v>
      </c>
      <c r="AA117" s="31" cm="1">
        <f t="array" ref="AA117">AA$106+IF($C117&lt;&gt;0,SUMPRODUCT((AA$107:AA$108)*TRANSPOSE(($D117:$E117))),0)</f>
        <v>91211.189512743673</v>
      </c>
      <c r="AB117" s="31" cm="1">
        <f t="array" ref="AB117">AB$106+IF($C117&lt;&gt;0,SUMPRODUCT((AB$107:AB$108)*TRANSPOSE(($D117:$E117))),0)</f>
        <v>91648.321892923617</v>
      </c>
      <c r="AC117" s="31" cm="1">
        <f t="array" ref="AC117">AC$106+IF($C117&lt;&gt;0,SUMPRODUCT((AC$107:AC$108)*TRANSPOSE(($D117:$E117))),0)</f>
        <v>92089.40128652117</v>
      </c>
      <c r="AD117" s="31" cm="1">
        <f t="array" ref="AD117">AD$106+IF($C117&lt;&gt;0,SUMPRODUCT((AD$107:AD$108)*TRANSPOSE(($D117:$E117))),0)</f>
        <v>92534.420588021982</v>
      </c>
      <c r="AE117" s="31" cm="1">
        <f t="array" ref="AE117">AE$106+IF($C117&lt;&gt;0,SUMPRODUCT((AE$107:AE$108)*TRANSPOSE(($D117:$E117))),0)</f>
        <v>92935.63198119303</v>
      </c>
      <c r="AF117" s="31" cm="1">
        <f t="array" ref="AF117">AF$106+IF($C117&lt;&gt;0,SUMPRODUCT((AF$107:AF$108)*TRANSPOSE(($D117:$E117))),0)</f>
        <v>93340.379563877475</v>
      </c>
      <c r="AG117" s="31" cm="1">
        <f t="array" ref="AG117">AG$106+IF($C117&lt;&gt;0,SUMPRODUCT((AG$107:AG$108)*TRANSPOSE(($D117:$E117))),0)</f>
        <v>93748.65824381751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CHA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48008.750708019099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209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209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174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5" t="s">
        <v>207</v>
      </c>
      <c r="E49" s="112">
        <f>Assumptions!G98</f>
        <v>0.35181336539087127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5" t="s">
        <v>207</v>
      </c>
      <c r="E50" s="112">
        <f>Assumptions!G99</f>
        <v>0.35181336539087127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189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194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CHA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186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48008.750708019099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209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209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174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5" t="s">
        <v>207</v>
      </c>
      <c r="E49" s="112">
        <f>Assumptions!G98</f>
        <v>0.35181336539087127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5" t="s">
        <v>207</v>
      </c>
      <c r="E50" s="112">
        <f>Assumptions!G99</f>
        <v>0.35181336539087127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189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194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CHA transformer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195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196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154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5617247.2471614992</v>
      </c>
      <c r="G14" s="271">
        <f>output_dollars</f>
        <v>46203</v>
      </c>
      <c r="H14" s="272"/>
      <c r="I14" s="31">
        <f>'Option1 (base case)'!I$28*conv_2026</f>
        <v>253228.64303325731</v>
      </c>
      <c r="J14" s="31">
        <f>'Option1 (base case)'!J$28*conv_2026</f>
        <v>258952.72539627133</v>
      </c>
      <c r="K14" s="31">
        <f>'Option1 (base case)'!K$28*conv_2026</f>
        <v>268786.88893678982</v>
      </c>
      <c r="L14" s="31">
        <f>'Option1 (base case)'!L$28*conv_2026</f>
        <v>277471.09254055325</v>
      </c>
      <c r="M14" s="31">
        <f>'Option1 (base case)'!M$28*conv_2026</f>
        <v>282027.9975269268</v>
      </c>
      <c r="N14" s="31">
        <f>'Option1 (base case)'!N$28*conv_2026</f>
        <v>287791.87956933922</v>
      </c>
      <c r="O14" s="31">
        <f>'Option1 (base case)'!O$28*conv_2026</f>
        <v>298819.653163234</v>
      </c>
      <c r="P14" s="31">
        <f>'Option1 (base case)'!P$28*conv_2026</f>
        <v>312378.37778145331</v>
      </c>
      <c r="Q14" s="31">
        <f>'Option1 (base case)'!Q$28*conv_2026</f>
        <v>318338.9399515668</v>
      </c>
      <c r="R14" s="31">
        <f>'Option1 (base case)'!R$28*conv_2026</f>
        <v>325940.17823763896</v>
      </c>
      <c r="S14" s="31">
        <f>'Option1 (base case)'!S$28*conv_2026</f>
        <v>333616.93384807889</v>
      </c>
      <c r="T14" s="31">
        <f>'Option1 (base case)'!T$28*conv_2026</f>
        <v>341368.97370504157</v>
      </c>
      <c r="U14" s="31">
        <f>'Option1 (base case)'!U$28*conv_2026</f>
        <v>349196.07019479614</v>
      </c>
      <c r="V14" s="31">
        <f>'Option1 (base case)'!V$28*conv_2026</f>
        <v>357098.0010090369</v>
      </c>
      <c r="W14" s="31">
        <f>'Option1 (base case)'!W$28*conv_2026</f>
        <v>365074.54899297643</v>
      </c>
      <c r="X14" s="31">
        <f>'Option1 (base case)'!X$28*conv_2026</f>
        <v>373125.50199983473</v>
      </c>
      <c r="Y14" s="31">
        <f>'Option1 (base case)'!Y$28*conv_2026</f>
        <v>381250.65275138023</v>
      </c>
      <c r="Z14" s="31">
        <f>'Option1 (base case)'!Z$28*conv_2026</f>
        <v>389449.7987041978</v>
      </c>
      <c r="AA14" s="31">
        <f>'Option1 (base case)'!AA$28*conv_2026</f>
        <v>397722.74192137551</v>
      </c>
      <c r="AB14" s="31">
        <f>'Option1 (base case)'!AB$28*conv_2026</f>
        <v>406069.28894933301</v>
      </c>
      <c r="AC14" s="31">
        <f>'Option1 (base case)'!AC$28*conv_2026</f>
        <v>414489.25069951511</v>
      </c>
      <c r="AD14" s="31">
        <f>'Option1 (base case)'!AD$28*conv_2026</f>
        <v>422982.44233471318</v>
      </c>
      <c r="AE14" s="31">
        <f>'Option1 (base case)'!AE$28*conv_2026</f>
        <v>431548.6831597634</v>
      </c>
      <c r="AF14" s="31">
        <f>'Option1 (base case)'!AF$28*conv_2026</f>
        <v>440187.79651642736</v>
      </c>
      <c r="AG14" s="31">
        <f>'Option1 (base case)'!AG$28*conv_2026</f>
        <v>448899.60968221724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8093843.5752733918</v>
      </c>
      <c r="G16" s="225">
        <f>output_dollars</f>
        <v>46203</v>
      </c>
      <c r="H16" s="31"/>
      <c r="I16" s="31">
        <f>'Option1 (base case)'!I$36*conv_2026</f>
        <v>484915.8222559311</v>
      </c>
      <c r="J16" s="31">
        <f>'Option1 (base case)'!J$36*conv_2026</f>
        <v>491588.99237143219</v>
      </c>
      <c r="K16" s="31">
        <f>'Option1 (base case)'!K$36*conv_2026</f>
        <v>502382.52010834898</v>
      </c>
      <c r="L16" s="31">
        <f>'Option1 (base case)'!L$36*conv_2026</f>
        <v>512036.31738908711</v>
      </c>
      <c r="M16" s="31">
        <f>'Option1 (base case)'!M$36*conv_2026</f>
        <v>517572.99948579923</v>
      </c>
      <c r="N16" s="31">
        <f>'Option1 (base case)'!N$36*conv_2026</f>
        <v>524326.79690967093</v>
      </c>
      <c r="O16" s="31">
        <f>'Option1 (base case)'!O$36*conv_2026</f>
        <v>536354.57984921883</v>
      </c>
      <c r="P16" s="31">
        <f>'Option1 (base case)'!P$36*conv_2026</f>
        <v>550923.36429742456</v>
      </c>
      <c r="Q16" s="31">
        <f>'Option1 (base case)'!Q$36*conv_2026</f>
        <v>557903.99410213565</v>
      </c>
      <c r="R16" s="31">
        <f>'Option1 (base case)'!R$36*conv_2026</f>
        <v>566535.26592214312</v>
      </c>
      <c r="S16" s="31">
        <f>'Option1 (base case)'!S$36*conv_2026</f>
        <v>575251.97981051053</v>
      </c>
      <c r="T16" s="31">
        <f>'Option1 (base case)'!T$36*conv_2026</f>
        <v>584053.86226055224</v>
      </c>
      <c r="U16" s="31">
        <f>'Option1 (base case)'!U$36*conv_2026</f>
        <v>592940.64593381516</v>
      </c>
      <c r="V16" s="31">
        <f>'Option1 (base case)'!V$36*conv_2026</f>
        <v>601912.06947997934</v>
      </c>
      <c r="W16" s="31">
        <f>'Option1 (base case)'!W$36*conv_2026</f>
        <v>610967.87736446213</v>
      </c>
      <c r="X16" s="31">
        <f>'Option1 (base case)'!X$36*conv_2026</f>
        <v>620107.81970329082</v>
      </c>
      <c r="Y16" s="31">
        <f>'Option1 (base case)'!Y$36*conv_2026</f>
        <v>629331.65210484841</v>
      </c>
      <c r="Z16" s="31">
        <f>'Option1 (base case)'!Z$36*conv_2026</f>
        <v>638639.13551812829</v>
      </c>
      <c r="AA16" s="31">
        <f>'Option1 (base case)'!AA$36*conv_2026</f>
        <v>648030.03608713916</v>
      </c>
      <c r="AB16" s="31">
        <f>'Option1 (base case)'!AB$36*conv_2026</f>
        <v>657504.12501115794</v>
      </c>
      <c r="AC16" s="31">
        <f>'Option1 (base case)'!AC$36*conv_2026</f>
        <v>667061.17841050203</v>
      </c>
      <c r="AD16" s="31">
        <f>'Option1 (base case)'!AD$36*conv_2026</f>
        <v>676700.97719756374</v>
      </c>
      <c r="AE16" s="31">
        <f>'Option1 (base case)'!AE$36*conv_2026</f>
        <v>685267.21802261402</v>
      </c>
      <c r="AF16" s="31">
        <f>'Option1 (base case)'!AF$36*conv_2026</f>
        <v>693906.33137927798</v>
      </c>
      <c r="AG16" s="31">
        <f>'Option1 (base case)'!AG$36*conv_2026</f>
        <v>702618.1445450678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190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191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1456948.6319332302</v>
      </c>
      <c r="G28" s="271">
        <f>output_dollars</f>
        <v>46203</v>
      </c>
      <c r="H28" s="272"/>
      <c r="I28" s="31">
        <f>Option2!I$28*conv_2026</f>
        <v>253228.64303325731</v>
      </c>
      <c r="J28" s="31">
        <f>Option2!J$28*conv_2026</f>
        <v>258952.72539627133</v>
      </c>
      <c r="K28" s="31">
        <f>Option2!K$28*conv_2026</f>
        <v>7594.6761243792407</v>
      </c>
      <c r="L28" s="31">
        <f>Option2!L$28*conv_2026</f>
        <v>13952.010176031727</v>
      </c>
      <c r="M28" s="31">
        <f>Option2!M$28*conv_2026</f>
        <v>19765.628953630763</v>
      </c>
      <c r="N28" s="31">
        <f>Option2!N$28*conv_2026</f>
        <v>25438.687165693333</v>
      </c>
      <c r="O28" s="31">
        <f>Option2!O$28*conv_2026</f>
        <v>31541.015279461255</v>
      </c>
      <c r="P28" s="31">
        <f>Option2!P$28*conv_2026</f>
        <v>38036.734173469151</v>
      </c>
      <c r="Q28" s="31">
        <f>Option2!Q$28*conv_2026</f>
        <v>43665.634467859934</v>
      </c>
      <c r="R28" s="31">
        <f>Option2!R$28*conv_2026</f>
        <v>49496.562549695118</v>
      </c>
      <c r="S28" s="31">
        <f>Option2!S$28*conv_2026</f>
        <v>55351.28420985987</v>
      </c>
      <c r="T28" s="31">
        <f>Option2!T$28*conv_2026</f>
        <v>61238.907488103912</v>
      </c>
      <c r="U28" s="31">
        <f>Option2!U$28*conv_2026</f>
        <v>67166.354171277577</v>
      </c>
      <c r="V28" s="31">
        <f>Option2!V$28*conv_2026</f>
        <v>73139.007944634053</v>
      </c>
      <c r="W28" s="31">
        <f>Option2!W$28*conv_2026</f>
        <v>79161.134479332526</v>
      </c>
      <c r="X28" s="31">
        <f>Option2!X$28*conv_2026</f>
        <v>85236.164836004624</v>
      </c>
      <c r="Y28" s="31">
        <f>Option2!Y$28*conv_2026</f>
        <v>91366.893070766237</v>
      </c>
      <c r="Z28" s="31">
        <f>Option2!Z$28*conv_2026</f>
        <v>97555.617881496146</v>
      </c>
      <c r="AA28" s="31">
        <f>Option2!AA$28*conv_2026</f>
        <v>103804.2465578179</v>
      </c>
      <c r="AB28" s="31">
        <f>Option2!AB$28*conv_2026</f>
        <v>110114.37282726237</v>
      </c>
      <c r="AC28" s="31">
        <f>Option2!AC$28*conv_2026</f>
        <v>116487.33618868858</v>
      </c>
      <c r="AD28" s="31">
        <f>Option2!AD$28*conv_2026</f>
        <v>122924.26784004757</v>
      </c>
      <c r="AE28" s="31">
        <f>Option2!AE$28*conv_2026</f>
        <v>129426.12671878452</v>
      </c>
      <c r="AF28" s="31">
        <f>Option2!AF$28*conv_2026</f>
        <v>135993.72812992954</v>
      </c>
      <c r="AG28" s="31">
        <f>Option2!AG$28*conv_2026</f>
        <v>142627.76673578055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-7809706.9872324485</v>
      </c>
      <c r="G29" s="225">
        <f>output_dollars</f>
        <v>46203</v>
      </c>
      <c r="H29" s="31"/>
      <c r="I29" s="31">
        <f>SUM(Option2!I$67:I$69)*conv_2026*I$7</f>
        <v>-5357187.9678168157</v>
      </c>
      <c r="J29" s="31">
        <f>SUM(Option2!J$67:J$69)*conv_2026*J$7</f>
        <v>-2678593.9839084079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2390974.0527393357</v>
      </c>
      <c r="G30" s="225">
        <f>output_dollars</f>
        <v>46203</v>
      </c>
      <c r="H30" s="31"/>
      <c r="I30" s="31">
        <f>Option2!I$36*conv_2026*I$7</f>
        <v>484915.8222559311</v>
      </c>
      <c r="J30" s="31">
        <f>Option2!J$36*conv_2026*J$7</f>
        <v>491588.99237143219</v>
      </c>
      <c r="K30" s="31">
        <f>Option2!K$36*conv_2026*K$7</f>
        <v>65562.341185726924</v>
      </c>
      <c r="L30" s="31">
        <f>Option2!L$36*conv_2026*L$7</f>
        <v>72438.444500302852</v>
      </c>
      <c r="M30" s="31">
        <f>Option2!M$36*conv_2026*M$7</f>
        <v>78790.652102423468</v>
      </c>
      <c r="N30" s="31">
        <f>Option2!N$36*conv_2026*N$7</f>
        <v>85020.344806602254</v>
      </c>
      <c r="O30" s="31">
        <f>Option2!O$36*conv_2026*O$7</f>
        <v>91696.238351854365</v>
      </c>
      <c r="P30" s="31">
        <f>Option2!P$36*conv_2026*P$7</f>
        <v>98781.654044136289</v>
      </c>
      <c r="Q30" s="31">
        <f>Option2!Q$36*conv_2026*Q$7</f>
        <v>105015.76576790732</v>
      </c>
      <c r="R30" s="31">
        <f>Option2!R$36*conv_2026*R$7</f>
        <v>111466.9215235319</v>
      </c>
      <c r="S30" s="31">
        <f>Option2!S$36*conv_2026*S$7</f>
        <v>117956.47102908111</v>
      </c>
      <c r="T30" s="31">
        <f>Option2!T$36*conv_2026*T$7</f>
        <v>124493.16650743382</v>
      </c>
      <c r="U30" s="31">
        <f>Option2!U$36*conv_2026*U$7</f>
        <v>131083.61976529888</v>
      </c>
      <c r="V30" s="31">
        <f>Option2!V$36*conv_2026*V$7</f>
        <v>137732.94043702725</v>
      </c>
      <c r="W30" s="31">
        <f>Option2!W$36*conv_2026*W$7</f>
        <v>144445.14899246182</v>
      </c>
      <c r="X30" s="31">
        <f>Option2!X$36*conv_2026*X$7</f>
        <v>151223.45491862507</v>
      </c>
      <c r="Y30" s="31">
        <f>Option2!Y$36*conv_2026*Y$7</f>
        <v>158070.45037192409</v>
      </c>
      <c r="Z30" s="31">
        <f>Option2!Z$36*conv_2026*Z$7</f>
        <v>164988.24876410892</v>
      </c>
      <c r="AA30" s="31">
        <f>Option2!AA$36*conv_2026*AA$7</f>
        <v>171978.5862985948</v>
      </c>
      <c r="AB30" s="31">
        <f>Option2!AB$36*conv_2026*AB$7</f>
        <v>179042.89788185703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-4508369.8404624173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-228396.79591330752</v>
      </c>
      <c r="K32" s="31">
        <f>Option2!K$82*conv_2026*K$7</f>
        <v>-342595.19386996131</v>
      </c>
      <c r="L32" s="31">
        <f>Option2!L$82*conv_2026*L$7</f>
        <v>-342595.19386996131</v>
      </c>
      <c r="M32" s="31">
        <f>Option2!M$82*conv_2026*M$7</f>
        <v>-342595.19386996131</v>
      </c>
      <c r="N32" s="31">
        <f>Option2!N$82*conv_2026*N$7</f>
        <v>-342595.19386996131</v>
      </c>
      <c r="O32" s="31">
        <f>Option2!O$82*conv_2026*O$7</f>
        <v>-342595.19386996131</v>
      </c>
      <c r="P32" s="31">
        <f>Option2!P$82*conv_2026*P$7</f>
        <v>-342595.19386996131</v>
      </c>
      <c r="Q32" s="31">
        <f>Option2!Q$82*conv_2026*Q$7</f>
        <v>-342595.19386996131</v>
      </c>
      <c r="R32" s="31">
        <f>Option2!R$82*conv_2026*R$7</f>
        <v>-342595.19386996131</v>
      </c>
      <c r="S32" s="31">
        <f>Option2!S$82*conv_2026*S$7</f>
        <v>-342595.19386996131</v>
      </c>
      <c r="T32" s="31">
        <f>Option2!T$82*conv_2026*T$7</f>
        <v>-342595.19386996131</v>
      </c>
      <c r="U32" s="31">
        <f>Option2!U$82*conv_2026*U$7</f>
        <v>-342595.19386996131</v>
      </c>
      <c r="V32" s="31">
        <f>Option2!V$82*conv_2026*V$7</f>
        <v>-342595.19386996131</v>
      </c>
      <c r="W32" s="31">
        <f>Option2!W$82*conv_2026*W$7</f>
        <v>-342595.19386996131</v>
      </c>
      <c r="X32" s="31">
        <f>Option2!X$82*conv_2026*X$7</f>
        <v>-342595.19386996131</v>
      </c>
      <c r="Y32" s="31">
        <f>Option2!Y$82*conv_2026*Y$7</f>
        <v>-342595.19386996131</v>
      </c>
      <c r="Z32" s="31">
        <f>Option2!Z$82*conv_2026*Z$7</f>
        <v>-342595.19386996131</v>
      </c>
      <c r="AA32" s="31">
        <f>Option2!AA$82*conv_2026*AA$7</f>
        <v>-342595.19386996131</v>
      </c>
      <c r="AB32" s="31">
        <f>Option2!AB$82*conv_2026*AB$7</f>
        <v>-342595.19386996131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5702869.5225340556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436820.17892262206</v>
      </c>
      <c r="L34" s="31">
        <f>Option2!L$84*conv_2026*L$7</f>
        <v>439597.87288878427</v>
      </c>
      <c r="M34" s="31">
        <f>Option2!M$84*conv_2026*M$7</f>
        <v>438782.34738337575</v>
      </c>
      <c r="N34" s="31">
        <f>Option2!N$84*conv_2026*N$7</f>
        <v>439306.45210306876</v>
      </c>
      <c r="O34" s="31">
        <f>Option2!O$84*conv_2026*O$7</f>
        <v>444658.34149736451</v>
      </c>
      <c r="P34" s="31">
        <f>Option2!P$84*conv_2026*P$7</f>
        <v>452141.71025328827</v>
      </c>
      <c r="Q34" s="31">
        <f>Option2!Q$84*conv_2026*Q$7</f>
        <v>452888.22833422833</v>
      </c>
      <c r="R34" s="31">
        <f>Option2!R$84*conv_2026*R$7</f>
        <v>455068.34439861123</v>
      </c>
      <c r="S34" s="31">
        <f>Option2!S$84*conv_2026*S$7</f>
        <v>457295.50878142938</v>
      </c>
      <c r="T34" s="31">
        <f>Option2!T$84*conv_2026*T$7</f>
        <v>459560.69575311843</v>
      </c>
      <c r="U34" s="31">
        <f>Option2!U$84*conv_2026*U$7</f>
        <v>461857.02616851625</v>
      </c>
      <c r="V34" s="31">
        <f>Option2!V$84*conv_2026*V$7</f>
        <v>464179.12904295215</v>
      </c>
      <c r="W34" s="31">
        <f>Option2!W$84*conv_2026*W$7</f>
        <v>466522.72837200033</v>
      </c>
      <c r="X34" s="31">
        <f>Option2!X$84*conv_2026*X$7</f>
        <v>468884.3647846657</v>
      </c>
      <c r="Y34" s="31">
        <f>Option2!Y$84*conv_2026*Y$7</f>
        <v>471261.20173292432</v>
      </c>
      <c r="Z34" s="31">
        <f>Option2!Z$84*conv_2026*Z$7</f>
        <v>473650.88675401924</v>
      </c>
      <c r="AA34" s="31">
        <f>Option2!AA$84*conv_2026*AA$7</f>
        <v>476051.44978854433</v>
      </c>
      <c r="AB34" s="31">
        <f>Option2!AB$84*conv_2026*AB$7</f>
        <v>478461.22712930088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-228396.79591330752</v>
      </c>
      <c r="K36" s="52">
        <f t="shared" si="9"/>
        <v>94224.985052660748</v>
      </c>
      <c r="L36" s="52">
        <f t="shared" si="9"/>
        <v>97002.679018822964</v>
      </c>
      <c r="M36" s="52">
        <f t="shared" si="9"/>
        <v>96187.153513414436</v>
      </c>
      <c r="N36" s="52">
        <f t="shared" si="9"/>
        <v>96711.258233107452</v>
      </c>
      <c r="O36" s="52">
        <f t="shared" si="9"/>
        <v>102063.1476274032</v>
      </c>
      <c r="P36" s="52">
        <f t="shared" si="9"/>
        <v>109546.51638332696</v>
      </c>
      <c r="Q36" s="52">
        <f t="shared" si="9"/>
        <v>110293.03446426702</v>
      </c>
      <c r="R36" s="52">
        <f t="shared" si="9"/>
        <v>112473.15052864992</v>
      </c>
      <c r="S36" s="52">
        <f t="shared" si="9"/>
        <v>114700.31491146807</v>
      </c>
      <c r="T36" s="52">
        <f t="shared" si="9"/>
        <v>116965.50188315712</v>
      </c>
      <c r="U36" s="52">
        <f t="shared" si="9"/>
        <v>119261.83229855495</v>
      </c>
      <c r="V36" s="52">
        <f t="shared" si="9"/>
        <v>121583.93517299084</v>
      </c>
      <c r="W36" s="52">
        <f t="shared" si="9"/>
        <v>123927.53450203902</v>
      </c>
      <c r="X36" s="52">
        <f t="shared" si="9"/>
        <v>126289.17091470439</v>
      </c>
      <c r="Y36" s="52">
        <f t="shared" si="9"/>
        <v>128666.00786296302</v>
      </c>
      <c r="Z36" s="52">
        <f t="shared" si="9"/>
        <v>131055.69288405793</v>
      </c>
      <c r="AA36" s="52">
        <f t="shared" si="9"/>
        <v>133456.25591858302</v>
      </c>
      <c r="AB36" s="52">
        <f t="shared" si="9"/>
        <v>135866.03325933957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1194499.6820716392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190</v>
      </c>
      <c r="D38" s="38" t="str">
        <f t="shared" si="6"/>
        <v>Option 2PV of costs</v>
      </c>
      <c r="E38" s="1"/>
      <c r="F38" s="108">
        <f>SUM(F32:F33)</f>
        <v>-4508369.8404624173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191</v>
      </c>
      <c r="D39" s="38" t="str">
        <f t="shared" si="6"/>
        <v>Option 2PV of benefits</v>
      </c>
      <c r="E39" s="1"/>
      <c r="F39" s="108">
        <f>SUM(F34:F35)</f>
        <v>5702869.5225340556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5339961.0323699778</v>
      </c>
      <c r="G42" s="271">
        <f>output_dollars</f>
        <v>46203</v>
      </c>
      <c r="H42" s="272"/>
      <c r="I42" s="31">
        <f>Option3!I$28*conv_2026</f>
        <v>253228.64303325731</v>
      </c>
      <c r="J42" s="31">
        <f>Option3!J$28*conv_2026</f>
        <v>245597.66233373329</v>
      </c>
      <c r="K42" s="31">
        <f>Option3!K$28*conv_2026</f>
        <v>254922.86608364608</v>
      </c>
      <c r="L42" s="31">
        <f>Option3!L$28*conv_2026</f>
        <v>263157.27510122949</v>
      </c>
      <c r="M42" s="31">
        <f>Option3!M$28*conv_2026</f>
        <v>267477.16229822638</v>
      </c>
      <c r="N42" s="31">
        <f>Option3!N$28*conv_2026</f>
        <v>272941.66660279606</v>
      </c>
      <c r="O42" s="31">
        <f>Option3!O$28*conv_2026</f>
        <v>283398.33360885078</v>
      </c>
      <c r="P42" s="31">
        <f>Option3!P$28*conv_2026</f>
        <v>296255.16146607947</v>
      </c>
      <c r="Q42" s="31">
        <f>Option3!Q$28*conv_2026</f>
        <v>301905.79416230647</v>
      </c>
      <c r="R42" s="31">
        <f>Option3!R$28*conv_2026</f>
        <v>309112.30259270006</v>
      </c>
      <c r="S42" s="31">
        <f>Option3!S$28*conv_2026</f>
        <v>316390.29731752403</v>
      </c>
      <c r="T42" s="31">
        <f>Option3!T$28*conv_2026</f>
        <v>323739.55422499601</v>
      </c>
      <c r="U42" s="31">
        <f>Option3!U$28*conv_2026</f>
        <v>331159.85437081498</v>
      </c>
      <c r="V42" s="31">
        <f>Option3!V$28*conv_2026</f>
        <v>338650.98382774618</v>
      </c>
      <c r="W42" s="31">
        <f>Option3!W$28*conv_2026</f>
        <v>346212.73354163725</v>
      </c>
      <c r="X42" s="31">
        <f>Option3!X$28*conv_2026</f>
        <v>353844.89919349877</v>
      </c>
      <c r="Y42" s="31">
        <f>Option3!Y$28*conv_2026</f>
        <v>361547.28106732457</v>
      </c>
      <c r="Z42" s="31">
        <f>Option3!Z$28*conv_2026</f>
        <v>369319.68392334197</v>
      </c>
      <c r="AA42" s="31">
        <f>Option3!AA$28*conv_2026</f>
        <v>377161.9168764007</v>
      </c>
      <c r="AB42" s="31">
        <f>Option3!AB$28*conv_2026</f>
        <v>385073.79327923717</v>
      </c>
      <c r="AC42" s="31">
        <f>Option3!AC$28*conv_2026</f>
        <v>393055.13061035128</v>
      </c>
      <c r="AD42" s="31">
        <f>Option3!AD$28*conv_2026</f>
        <v>401105.75036627299</v>
      </c>
      <c r="AE42" s="31">
        <f>Option3!AE$28*conv_2026</f>
        <v>409225.47795797681</v>
      </c>
      <c r="AF42" s="31">
        <f>Option3!AF$28*conv_2026</f>
        <v>417414.14261126472</v>
      </c>
      <c r="AG42" s="31">
        <f>Option3!AG$28*conv_2026</f>
        <v>425671.57727088692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-546966.72539062134</v>
      </c>
      <c r="G43" s="225">
        <f>output_dollars</f>
        <v>46203</v>
      </c>
      <c r="H43" s="31"/>
      <c r="I43" s="31">
        <f>SUM(Option3!I$67:I$69)*conv_2026*I$7</f>
        <v>-556456.32320829842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6783093.625522132</v>
      </c>
      <c r="G44" s="225">
        <f>output_dollars</f>
        <v>46203</v>
      </c>
      <c r="H44" s="31"/>
      <c r="I44" s="31">
        <f>Option3!I$36*conv_2026*I$7</f>
        <v>484915.8222559311</v>
      </c>
      <c r="J44" s="31">
        <f>Option3!J$36*conv_2026*J$7</f>
        <v>398096.79246735398</v>
      </c>
      <c r="K44" s="31">
        <f>Option3!K$36*conv_2026*K$7</f>
        <v>408337.26998925407</v>
      </c>
      <c r="L44" s="31">
        <f>Option3!L$36*conv_2026*L$7</f>
        <v>417496.71213330957</v>
      </c>
      <c r="M44" s="31">
        <f>Option3!M$36*conv_2026*M$7</f>
        <v>422751.3478802868</v>
      </c>
      <c r="N44" s="31">
        <f>Option3!N$36*conv_2026*N$7</f>
        <v>429160.27307166671</v>
      </c>
      <c r="O44" s="31">
        <f>Option3!O$36*conv_2026*O$7</f>
        <v>440570.99103069078</v>
      </c>
      <c r="P44" s="31">
        <f>Option3!P$36*conv_2026*P$7</f>
        <v>454391.4584254332</v>
      </c>
      <c r="Q44" s="31">
        <f>Option3!Q$36*conv_2026*Q$7</f>
        <v>461015.27852546924</v>
      </c>
      <c r="R44" s="31">
        <f>Option3!R$36*conv_2026*R$7</f>
        <v>469204.48224657489</v>
      </c>
      <c r="S44" s="31">
        <f>Option3!S$36*conv_2026*S$7</f>
        <v>477474.64088508411</v>
      </c>
      <c r="T44" s="31">
        <f>Option3!T$36*conv_2026*T$7</f>
        <v>485825.49175840116</v>
      </c>
      <c r="U44" s="31">
        <f>Option3!U$36*conv_2026*U$7</f>
        <v>494256.77802317025</v>
      </c>
      <c r="V44" s="31">
        <f>Option3!V$36*conv_2026*V$7</f>
        <v>502768.24850443349</v>
      </c>
      <c r="W44" s="31">
        <f>Option3!W$36*conv_2026*W$7</f>
        <v>511359.65753210051</v>
      </c>
      <c r="X44" s="31">
        <f>Option3!X$36*conv_2026*X$7</f>
        <v>520030.76478431391</v>
      </c>
      <c r="Y44" s="31">
        <f>Option3!Y$36*conv_2026*Y$7</f>
        <v>528781.33513733803</v>
      </c>
      <c r="Z44" s="31">
        <f>Option3!Z$36*conv_2026*Z$7</f>
        <v>537611.13852162228</v>
      </c>
      <c r="AA44" s="31">
        <f>Option3!AA$36*conv_2026*AA$7</f>
        <v>546519.94978370587</v>
      </c>
      <c r="AB44" s="31">
        <f>Option3!AB$36*conv_2026*AB$7</f>
        <v>555507.54855366412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-546966.72539062169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-66909.069461024992</v>
      </c>
      <c r="K46" s="31">
        <f>Option3!K$82*conv_2026*K$7</f>
        <v>-66909.069461024992</v>
      </c>
      <c r="L46" s="31">
        <f>Option3!L$82*conv_2026*L$7</f>
        <v>-66909.069461024992</v>
      </c>
      <c r="M46" s="31">
        <f>Option3!M$82*conv_2026*M$7</f>
        <v>-66909.069461024992</v>
      </c>
      <c r="N46" s="31">
        <f>Option3!N$82*conv_2026*N$7</f>
        <v>-66909.069461024992</v>
      </c>
      <c r="O46" s="31">
        <f>Option3!O$82*conv_2026*O$7</f>
        <v>-66909.069461024992</v>
      </c>
      <c r="P46" s="31">
        <f>Option3!P$82*conv_2026*P$7</f>
        <v>-66909.069461024992</v>
      </c>
      <c r="Q46" s="31">
        <f>Option3!Q$82*conv_2026*Q$7</f>
        <v>-66909.069461024992</v>
      </c>
      <c r="R46" s="31">
        <f>Option3!R$82*conv_2026*R$7</f>
        <v>-66909.069461024992</v>
      </c>
      <c r="S46" s="31">
        <f>Option3!S$82*conv_2026*S$7</f>
        <v>-66909.069461024992</v>
      </c>
      <c r="T46" s="31">
        <f>Option3!T$82*conv_2026*T$7</f>
        <v>0</v>
      </c>
      <c r="U46" s="31">
        <f>Option3!U$82*conv_2026*U$7</f>
        <v>0</v>
      </c>
      <c r="V46" s="31">
        <f>Option3!V$82*conv_2026*V$7</f>
        <v>0</v>
      </c>
      <c r="W46" s="31">
        <f>Option3!W$82*conv_2026*W$7</f>
        <v>0</v>
      </c>
      <c r="X46" s="31">
        <f>Option3!X$82*conv_2026*X$7</f>
        <v>0</v>
      </c>
      <c r="Y46" s="31">
        <f>Option3!Y$82*conv_2026*Y$7</f>
        <v>0</v>
      </c>
      <c r="Z46" s="31">
        <f>Option3!Z$82*conv_2026*Z$7</f>
        <v>0</v>
      </c>
      <c r="AA46" s="31">
        <f>Option3!AA$82*conv_2026*AA$7</f>
        <v>0</v>
      </c>
      <c r="AB46" s="31">
        <f>Option3!AB$82*conv_2026*AB$7</f>
        <v>0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1310749.9497512609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93492.19990407821</v>
      </c>
      <c r="K48" s="31">
        <f>Option3!K$84*conv_2026*K$7</f>
        <v>94045.250119094897</v>
      </c>
      <c r="L48" s="31">
        <f>Option3!L$84*conv_2026*L$7</f>
        <v>94539.605255777555</v>
      </c>
      <c r="M48" s="31">
        <f>Option3!M$84*conv_2026*M$7</f>
        <v>94821.651605512408</v>
      </c>
      <c r="N48" s="31">
        <f>Option3!N$84*conv_2026*N$7</f>
        <v>95166.523838004243</v>
      </c>
      <c r="O48" s="31">
        <f>Option3!O$84*conv_2026*O$7</f>
        <v>95783.588818528107</v>
      </c>
      <c r="P48" s="31">
        <f>Option3!P$84*conv_2026*P$7</f>
        <v>96531.905871991417</v>
      </c>
      <c r="Q48" s="31">
        <f>Option3!Q$84*conv_2026*Q$7</f>
        <v>96888.715576666378</v>
      </c>
      <c r="R48" s="31">
        <f>Option3!R$84*conv_2026*R$7</f>
        <v>97330.783675568178</v>
      </c>
      <c r="S48" s="31">
        <f>Option3!S$84*conv_2026*S$7</f>
        <v>97777.338925426389</v>
      </c>
      <c r="T48" s="31">
        <f>Option3!T$84*conv_2026*T$7</f>
        <v>98228.370502150996</v>
      </c>
      <c r="U48" s="31">
        <f>Option3!U$84*conv_2026*U$7</f>
        <v>98683.867910644884</v>
      </c>
      <c r="V48" s="31">
        <f>Option3!V$84*conv_2026*V$7</f>
        <v>99143.820975545896</v>
      </c>
      <c r="W48" s="31">
        <f>Option3!W$84*conv_2026*W$7</f>
        <v>99608.219832361676</v>
      </c>
      <c r="X48" s="31">
        <f>Option3!X$84*conv_2026*X$7</f>
        <v>100077.05491897686</v>
      </c>
      <c r="Y48" s="31">
        <f>Option3!Y$84*conv_2026*Y$7</f>
        <v>100550.31696751033</v>
      </c>
      <c r="Z48" s="31">
        <f>Option3!Z$84*conv_2026*Z$7</f>
        <v>101027.99699650596</v>
      </c>
      <c r="AA48" s="31">
        <f>Option3!AA$84*conv_2026*AA$7</f>
        <v>101510.0863034333</v>
      </c>
      <c r="AB48" s="31">
        <f>Option3!AB$84*conv_2026*AB$7</f>
        <v>101996.57645749375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26583.130443053218</v>
      </c>
      <c r="K50" s="52">
        <f t="shared" si="13"/>
        <v>27136.180658069905</v>
      </c>
      <c r="L50" s="52">
        <f t="shared" si="13"/>
        <v>27630.535794752563</v>
      </c>
      <c r="M50" s="52">
        <f t="shared" si="13"/>
        <v>27912.582144487416</v>
      </c>
      <c r="N50" s="52">
        <f t="shared" si="13"/>
        <v>28257.454376979251</v>
      </c>
      <c r="O50" s="52">
        <f t="shared" si="13"/>
        <v>28874.519357503115</v>
      </c>
      <c r="P50" s="52">
        <f t="shared" si="13"/>
        <v>29622.836410966425</v>
      </c>
      <c r="Q50" s="52">
        <f t="shared" si="13"/>
        <v>29979.646115641386</v>
      </c>
      <c r="R50" s="52">
        <f t="shared" si="13"/>
        <v>30421.714214543186</v>
      </c>
      <c r="S50" s="52">
        <f t="shared" si="13"/>
        <v>30868.269464401397</v>
      </c>
      <c r="T50" s="52">
        <f t="shared" si="13"/>
        <v>98228.370502150996</v>
      </c>
      <c r="U50" s="52">
        <f t="shared" si="13"/>
        <v>98683.867910644884</v>
      </c>
      <c r="V50" s="52">
        <f t="shared" si="13"/>
        <v>99143.820975545896</v>
      </c>
      <c r="W50" s="52">
        <f t="shared" si="13"/>
        <v>99608.219832361676</v>
      </c>
      <c r="X50" s="52">
        <f t="shared" si="13"/>
        <v>100077.05491897686</v>
      </c>
      <c r="Y50" s="52">
        <f t="shared" si="13"/>
        <v>100550.31696751033</v>
      </c>
      <c r="Z50" s="52">
        <f t="shared" si="13"/>
        <v>101027.99699650596</v>
      </c>
      <c r="AA50" s="52">
        <f t="shared" si="13"/>
        <v>101510.0863034333</v>
      </c>
      <c r="AB50" s="52">
        <f t="shared" si="13"/>
        <v>101996.57645749375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763783.22436063911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190</v>
      </c>
      <c r="D52" s="38" t="str">
        <f t="shared" si="11"/>
        <v>Option 3PV of costs</v>
      </c>
      <c r="E52" s="1"/>
      <c r="F52" s="108">
        <f>SUM(F46:F47)</f>
        <v>-546966.72539062169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191</v>
      </c>
      <c r="D53" s="38" t="str">
        <f t="shared" si="11"/>
        <v>Option 3PV of benefits</v>
      </c>
      <c r="E53" s="1"/>
      <c r="F53" s="108">
        <f>SUM(F48:F49)</f>
        <v>1310749.9497512609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190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191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190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191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203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0.34259519386996129</v>
      </c>
      <c r="J91" s="297" cm="1">
        <f t="array" ref="J91">MAX($D91*INDEX(J$15:X$81, MATCH($A91&amp;$C91, $D$15:$D$81,0),))/mill_conv</f>
        <v>0.34259519386996129</v>
      </c>
      <c r="K91" s="297" cm="1">
        <f t="array" ref="K91">MAX($D91*INDEX(K$15:Y$81, MATCH($A91&amp;$C91, $D$15:$D$81,0),))/mill_conv</f>
        <v>0.34259519386996129</v>
      </c>
      <c r="L91" s="297" cm="1">
        <f t="array" ref="L91">MAX($D91*INDEX(L$15:Z$81, MATCH($A91&amp;$C91, $D$15:$D$81,0),))/mill_conv</f>
        <v>0.34259519386996129</v>
      </c>
      <c r="M91" s="297" cm="1">
        <f t="array" ref="M91">MAX($D91*INDEX(M$15:AA$81, MATCH($A91&amp;$C91, $D$15:$D$81,0),))/mill_conv</f>
        <v>0.34259519386996129</v>
      </c>
      <c r="N91" s="297" cm="1">
        <f t="array" ref="N91">MAX($D91*INDEX(N$15:AB$81, MATCH($A91&amp;$C91, $D$15:$D$81,0),))/mill_conv</f>
        <v>0.34259519386996129</v>
      </c>
      <c r="O91" s="297" cm="1">
        <f t="array" ref="O91">MAX($D91*INDEX(O$15:AC$81, MATCH($A91&amp;$C91, $D$15:$D$81,0),))/mill_conv</f>
        <v>0.34259519386996129</v>
      </c>
      <c r="P91" s="297" cm="1">
        <f t="array" ref="P91">MAX($D91*INDEX(P$15:AD$81, MATCH($A91&amp;$C91, $D$15:$D$81,0),))/mill_conv</f>
        <v>0.34259519386996129</v>
      </c>
      <c r="Q91" s="297" cm="1">
        <f t="array" ref="Q91">MAX($D91*INDEX(Q$15:AE$81, MATCH($A91&amp;$C91, $D$15:$D$81,0),))/mill_conv</f>
        <v>0.34259519386996129</v>
      </c>
      <c r="R91" s="297" cm="1">
        <f t="array" ref="R91">MAX($D91*INDEX(R$15:AF$81, MATCH($A91&amp;$C91, $D$15:$D$81,0),))/mill_conv</f>
        <v>0.34259519386996129</v>
      </c>
      <c r="S91" s="297" cm="1">
        <f t="array" ref="S91">MAX($D91*INDEX(S$15:AG$81, MATCH($A91&amp;$C91, $D$15:$D$81,0),))/mill_conv</f>
        <v>0.34259519386996129</v>
      </c>
      <c r="T91" s="297" cm="1">
        <f t="array" ref="T91">MAX($D91*INDEX(T$15:AH$81, MATCH($A91&amp;$C91, $D$15:$D$81,0),))/mill_conv</f>
        <v>0.34259519386996129</v>
      </c>
      <c r="U91" s="297" cm="1">
        <f t="array" ref="U91">MAX($D91*INDEX(U$15:AI$81, MATCH($A91&amp;$C91, $D$15:$D$81,0),))/mill_conv</f>
        <v>0.34259519386996129</v>
      </c>
      <c r="V91" s="297" cm="1">
        <f t="array" ref="V91">MAX($D91*INDEX(V$15:AJ$81, MATCH($A91&amp;$C91, $D$15:$D$81,0),))/mill_conv</f>
        <v>0.34259519386996129</v>
      </c>
      <c r="W91" s="297" cm="1">
        <f t="array" ref="W91">MAX($D91*INDEX(W$15:AK$81, MATCH($A91&amp;$C91, $D$15:$D$81,0),))/mill_conv</f>
        <v>0.34259519386996129</v>
      </c>
      <c r="X91" s="297" cm="1">
        <f t="array" ref="X91">MAX($D91*INDEX(X$15:AL$81, MATCH($A91&amp;$C91, $D$15:$D$81,0),))/mill_conv</f>
        <v>0.34259519386996129</v>
      </c>
      <c r="Y91" s="297" cm="1">
        <f t="array" ref="Y91">MAX($D91*INDEX(Y$15:AM$81, MATCH($A91&amp;$C91, $D$15:$D$81,0),))/mill_conv</f>
        <v>0.34259519386996129</v>
      </c>
      <c r="Z91" s="297" cm="1">
        <f t="array" ref="Z91">MAX($D91*INDEX(Z$15:AN$81, MATCH($A91&amp;$C91, $D$15:$D$81,0),))/mill_conv</f>
        <v>0.34259519386996129</v>
      </c>
      <c r="AA91" s="297" cm="1">
        <f t="array" ref="AA91">MAX($D91*INDEX(AA$15:AO$81, MATCH($A91&amp;$C91, $D$15:$D$81,0),))/mill_conv</f>
        <v>0.34259519386996129</v>
      </c>
      <c r="AB91" s="297" cm="1">
        <f t="array" ref="AB91">MAX($D91*INDEX(AB$15:AP$81, MATCH($A91&amp;$C91, $D$15:$D$81,0),))/mill_conv</f>
        <v>0.34259519386996129</v>
      </c>
      <c r="AC91" s="297" cm="1">
        <f t="array" ref="AC91">MAX($D91*INDEX(AC$15:AQ$81, MATCH($A91&amp;$C91, $D$15:$D$81,0),))/mill_conv</f>
        <v>0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173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0.48491582225593111</v>
      </c>
      <c r="J92" s="297">
        <f t="shared" si="23"/>
        <v>0.49158899237143217</v>
      </c>
      <c r="K92" s="297">
        <f t="shared" si="23"/>
        <v>0.50238252010834894</v>
      </c>
      <c r="L92" s="297">
        <f t="shared" si="23"/>
        <v>0.51203631738908706</v>
      </c>
      <c r="M92" s="297">
        <f t="shared" si="23"/>
        <v>0.51757299948579927</v>
      </c>
      <c r="N92" s="297">
        <f t="shared" si="23"/>
        <v>0.52432679690967088</v>
      </c>
      <c r="O92" s="297">
        <f t="shared" si="23"/>
        <v>0.53635457984921886</v>
      </c>
      <c r="P92" s="297">
        <f t="shared" si="23"/>
        <v>0.55092336429742461</v>
      </c>
      <c r="Q92" s="297">
        <f t="shared" si="23"/>
        <v>0.55790399410213565</v>
      </c>
      <c r="R92" s="297">
        <f t="shared" si="23"/>
        <v>0.56653526592214309</v>
      </c>
      <c r="S92" s="297">
        <f t="shared" ref="S92:AG92" si="24">$D92*INDEX(S$15:S$81, MATCH($A92&amp;$C92, $D$15:$D$81,0))/mill_conv</f>
        <v>0.57525197981051057</v>
      </c>
      <c r="T92" s="297">
        <f t="shared" si="24"/>
        <v>0.58405386226055223</v>
      </c>
      <c r="U92" s="297">
        <f t="shared" si="24"/>
        <v>0.59294064593381512</v>
      </c>
      <c r="V92" s="297">
        <f t="shared" si="24"/>
        <v>0.60191206947997933</v>
      </c>
      <c r="W92" s="297">
        <f t="shared" si="24"/>
        <v>0.61096787736446212</v>
      </c>
      <c r="X92" s="297">
        <f t="shared" si="24"/>
        <v>0.62010781970329087</v>
      </c>
      <c r="Y92" s="297">
        <f t="shared" si="24"/>
        <v>0.62933165210484843</v>
      </c>
      <c r="Z92" s="297">
        <f t="shared" si="24"/>
        <v>0.63863913551812823</v>
      </c>
      <c r="AA92" s="297">
        <f t="shared" si="24"/>
        <v>0.64803003608713916</v>
      </c>
      <c r="AB92" s="297">
        <f t="shared" si="24"/>
        <v>0.65750412501115796</v>
      </c>
      <c r="AC92" s="297">
        <f t="shared" si="24"/>
        <v>0.66706117841050205</v>
      </c>
      <c r="AD92" s="297">
        <f t="shared" si="24"/>
        <v>0.67670097719756372</v>
      </c>
      <c r="AE92" s="297">
        <f t="shared" si="24"/>
        <v>0.68526721802261403</v>
      </c>
      <c r="AF92" s="297">
        <f t="shared" si="24"/>
        <v>0.69390633137927793</v>
      </c>
      <c r="AG92" s="297">
        <f t="shared" si="24"/>
        <v>0.70261814454506777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235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0.40335565520582695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0.22753685462072301</v>
      </c>
      <c r="J99" s="119">
        <f>INDEX('Option1 (base case)'!J$14:J$87, MATCH($C99, 'Option1 (base case)'!$C$14:$C$87,0))/10^6</f>
        <v>0.23268018943810034</v>
      </c>
      <c r="K99" s="119">
        <f>INDEX('Option1 (base case)'!K$14:K$87, MATCH($C99, 'Option1 (base case)'!$C$14:$C$87,0))/10^6</f>
        <v>0.24151660941426195</v>
      </c>
      <c r="L99" s="119">
        <f>INDEX('Option1 (base case)'!L$14:L$87, MATCH($C99, 'Option1 (base case)'!$C$14:$C$87,0))/10^6</f>
        <v>0.2493197408026285</v>
      </c>
      <c r="M99" s="119">
        <f>INDEX('Option1 (base case)'!M$14:M$87, MATCH($C99, 'Option1 (base case)'!$C$14:$C$87,0))/10^6</f>
        <v>0.25341431642008244</v>
      </c>
      <c r="N99" s="119">
        <f>INDEX('Option1 (base case)'!N$14:N$87, MATCH($C99, 'Option1 (base case)'!$C$14:$C$87,0))/10^6</f>
        <v>0.2585934129655042</v>
      </c>
      <c r="O99" s="119">
        <f>INDEX('Option1 (base case)'!O$14:O$87, MATCH($C99, 'Option1 (base case)'!$C$14:$C$87,0))/10^6</f>
        <v>0.26850234304137538</v>
      </c>
      <c r="P99" s="119">
        <f>INDEX('Option1 (base case)'!P$14:P$87, MATCH($C99, 'Option1 (base case)'!$C$14:$C$87,0))/10^6</f>
        <v>0.28068544174357474</v>
      </c>
      <c r="Q99" s="119">
        <f>INDEX('Option1 (base case)'!Q$14:Q$87, MATCH($C99, 'Option1 (base case)'!$C$14:$C$87,0))/10^6</f>
        <v>0.28604126386430057</v>
      </c>
      <c r="R99" s="119">
        <f>INDEX('Option1 (base case)'!R$14:R$87, MATCH($C99, 'Option1 (base case)'!$C$14:$C$87,0))/10^6</f>
        <v>0.29287130421881263</v>
      </c>
      <c r="S99" s="119">
        <f>INDEX('Option1 (base case)'!S$14:S$87, MATCH($C99, 'Option1 (base case)'!$C$14:$C$87,0))/10^6</f>
        <v>0.29976920014546765</v>
      </c>
      <c r="T99" s="119">
        <f>INDEX('Option1 (base case)'!T$14:T$87, MATCH($C99, 'Option1 (base case)'!$C$14:$C$87,0))/10^6</f>
        <v>0.30673474221377195</v>
      </c>
      <c r="U99" s="119">
        <f>INDEX('Option1 (base case)'!U$14:U$87, MATCH($C99, 'Option1 (base case)'!$C$14:$C$87,0))/10^6</f>
        <v>0.31376772590297397</v>
      </c>
      <c r="V99" s="119">
        <f>INDEX('Option1 (base case)'!V$14:V$87, MATCH($C99, 'Option1 (base case)'!$C$14:$C$87,0))/10^6</f>
        <v>0.32086795145947539</v>
      </c>
      <c r="W99" s="119">
        <f>INDEX('Option1 (base case)'!W$14:W$87, MATCH($C99, 'Option1 (base case)'!$C$14:$C$87,0))/10^6</f>
        <v>0.32803522376033634</v>
      </c>
      <c r="X99" s="119">
        <f>INDEX('Option1 (base case)'!X$14:X$87, MATCH($C99, 'Option1 (base case)'!$C$14:$C$87,0))/10^6</f>
        <v>0.33526935218252751</v>
      </c>
      <c r="Y99" s="119">
        <f>INDEX('Option1 (base case)'!Y$14:Y$87, MATCH($C99, 'Option1 (base case)'!$C$14:$C$87,0))/10^6</f>
        <v>0.34257015047762029</v>
      </c>
      <c r="Z99" s="119">
        <f>INDEX('Option1 (base case)'!Z$14:Z$87, MATCH($C99, 'Option1 (base case)'!$C$14:$C$87,0))/10^6</f>
        <v>0.34993743665162286</v>
      </c>
      <c r="AA99" s="119">
        <f>INDEX('Option1 (base case)'!AA$14:AA$87, MATCH($C99, 'Option1 (base case)'!$C$14:$C$87,0))/10^6</f>
        <v>0.35737103284968502</v>
      </c>
      <c r="AB99" s="119">
        <f>INDEX('Option1 (base case)'!AB$14:AB$87, MATCH($C99, 'Option1 (base case)'!$C$14:$C$87,0))/10^6</f>
        <v>0.36487076524542345</v>
      </c>
      <c r="AC99" s="119">
        <f>INDEX('Option1 (base case)'!AC$14:AC$87, MATCH($C99, 'Option1 (base case)'!$C$14:$C$87,0))/10^6</f>
        <v>0.37243646393461799</v>
      </c>
      <c r="AD99" s="119">
        <f>INDEX('Option1 (base case)'!AD$14:AD$87, MATCH($C99, 'Option1 (base case)'!$C$14:$C$87,0))/10^6</f>
        <v>0.38006796283306682</v>
      </c>
      <c r="AE99" s="119">
        <f>INDEX('Option1 (base case)'!AE$14:AE$87, MATCH($C99, 'Option1 (base case)'!$C$14:$C$87,0))/10^6</f>
        <v>0.38776509957837402</v>
      </c>
      <c r="AF99" s="119">
        <f>INDEX('Option1 (base case)'!AF$14:AF$87, MATCH($C99, 'Option1 (base case)'!$C$14:$C$87,0))/10^6</f>
        <v>0.39552771543549503</v>
      </c>
      <c r="AG99" s="119">
        <f>INDEX('Option1 (base case)'!AG$14:AG$87, MATCH($C99, 'Option1 (base case)'!$C$14:$C$87,0))/10^6</f>
        <v>0.40335565520582695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CHA transformer replacement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223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195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196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0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154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133456.25591858302</v>
      </c>
      <c r="AA12" s="31">
        <f>Consol!AB36</f>
        <v>135866.03325933957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143</v>
      </c>
      <c r="B14" s="253" t="s">
        <v>119</v>
      </c>
      <c r="C14" s="253" t="s">
        <v>189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143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143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143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143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143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143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143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143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189</v>
      </c>
      <c r="D28" s="253" t="str">
        <f>A28&amp;B28</f>
        <v>Option 2NPV</v>
      </c>
      <c r="E28" s="254"/>
      <c r="F28" s="31">
        <f>SUMPRODUCT($H28:$AG28, $H$5:$AG$5)</f>
        <v>1194499.6820716392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-228396.79591330752</v>
      </c>
      <c r="K28" s="31">
        <f>(INDEX(Option2!K$106:K$117, MATCH($D28, Option2!$G$106:$G$117,0)))*conv_2026*K$7</f>
        <v>94224.985052660748</v>
      </c>
      <c r="L28" s="31">
        <f>(INDEX(Option2!L$106:L$117, MATCH($D28, Option2!$G$106:$G$117,0)))*conv_2026*L$7</f>
        <v>97002.679018822979</v>
      </c>
      <c r="M28" s="31">
        <f>(INDEX(Option2!M$106:M$117, MATCH($D28, Option2!$G$106:$G$117,0)))*conv_2026*M$7</f>
        <v>96187.153513414421</v>
      </c>
      <c r="N28" s="31">
        <f>(INDEX(Option2!N$106:N$117, MATCH($D28, Option2!$G$106:$G$117,0)))*conv_2026*N$7</f>
        <v>96711.258233107437</v>
      </c>
      <c r="O28" s="31">
        <f>(INDEX(Option2!O$106:O$117, MATCH($D28, Option2!$G$106:$G$117,0)))*conv_2026*O$7</f>
        <v>102063.14762740325</v>
      </c>
      <c r="P28" s="31">
        <f>(INDEX(Option2!P$106:P$117, MATCH($D28, Option2!$G$106:$G$117,0)))*conv_2026*P$7</f>
        <v>109546.51638332701</v>
      </c>
      <c r="Q28" s="31">
        <f>(INDEX(Option2!Q$106:Q$117, MATCH($D28, Option2!$G$106:$G$117,0)))*conv_2026*Q$7</f>
        <v>110293.03446426704</v>
      </c>
      <c r="R28" s="31">
        <f>(INDEX(Option2!R$106:R$117, MATCH($D28, Option2!$G$106:$G$117,0)))*conv_2026*R$7</f>
        <v>112473.15052864992</v>
      </c>
      <c r="S28" s="31">
        <f>(INDEX(Option2!S$106:S$117, MATCH($D28, Option2!$G$106:$G$117,0)))*conv_2026*S$7</f>
        <v>114700.31491146809</v>
      </c>
      <c r="T28" s="31">
        <f>(INDEX(Option2!T$106:T$117, MATCH($D28, Option2!$G$106:$G$117,0)))*conv_2026*T$7</f>
        <v>116965.50188315711</v>
      </c>
      <c r="U28" s="31">
        <f>(INDEX(Option2!U$106:U$117, MATCH($D28, Option2!$G$106:$G$117,0)))*conv_2026*U$7</f>
        <v>119261.83229855497</v>
      </c>
      <c r="V28" s="31">
        <f>(INDEX(Option2!V$106:V$117, MATCH($D28, Option2!$G$106:$G$117,0)))*conv_2026*V$7</f>
        <v>121583.93517299085</v>
      </c>
      <c r="W28" s="31">
        <f>(INDEX(Option2!W$106:W$117, MATCH($D28, Option2!$G$106:$G$117,0)))*conv_2026*W$7</f>
        <v>123927.53450203902</v>
      </c>
      <c r="X28" s="31">
        <f>(INDEX(Option2!X$106:X$117, MATCH($D28, Option2!$G$106:$G$117,0)))*conv_2026*X$7</f>
        <v>126289.1709147044</v>
      </c>
      <c r="Y28" s="31">
        <f>(INDEX(Option2!Y$106:Y$117, MATCH($D28, Option2!$G$106:$G$117,0)))*conv_2026*Y$7</f>
        <v>128666.00786296304</v>
      </c>
      <c r="Z28" s="31">
        <f>(INDEX(Option2!Z$106:Z$117, MATCH($D28, Option2!$G$106:$G$117,0)))*conv_2026*Z$7</f>
        <v>131055.69288405798</v>
      </c>
      <c r="AA28" s="31">
        <f>(INDEX(Option2!AA$106:AA$117, MATCH($D28, Option2!$G$106:$G$117,0)))*conv_2026*AA$7</f>
        <v>133456.25591858305</v>
      </c>
      <c r="AB28" s="31">
        <f>(INDEX(Option2!AB$106:AB$117, MATCH($D28, Option2!$G$106:$G$117,0)))*conv_2026*AB$7</f>
        <v>135866.0332593396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743662.69802539761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-251236.47550463828</v>
      </c>
      <c r="K30" s="31">
        <f>IF($B30=0,0, (INDEX(Option2!K$106:K$117, MATCH($D30, Option2!$G$106:$G$117,0)))*conv_2026*K$7)</f>
        <v>59965.465665664618</v>
      </c>
      <c r="L30" s="31">
        <f>IF($B30=0,0, (INDEX(Option2!L$106:L$117, MATCH($D30, Option2!$G$106:$G$117,0)))*conv_2026*L$7)</f>
        <v>62743.159631826849</v>
      </c>
      <c r="M30" s="31">
        <f>IF($B30=0,0, (INDEX(Option2!M$106:M$117, MATCH($D30, Option2!$G$106:$G$117,0)))*conv_2026*M$7)</f>
        <v>61927.634126418299</v>
      </c>
      <c r="N30" s="31">
        <f>IF($B30=0,0, (INDEX(Option2!N$106:N$117, MATCH($D30, Option2!$G$106:$G$117,0)))*conv_2026*N$7)</f>
        <v>62451.738846111315</v>
      </c>
      <c r="O30" s="31">
        <f>IF($B30=0,0, (INDEX(Option2!O$106:O$117, MATCH($D30, Option2!$G$106:$G$117,0)))*conv_2026*O$7)</f>
        <v>67803.62824040711</v>
      </c>
      <c r="P30" s="31">
        <f>IF($B30=0,0, (INDEX(Option2!P$106:P$117, MATCH($D30, Option2!$G$106:$G$117,0)))*conv_2026*P$7)</f>
        <v>75286.996996330869</v>
      </c>
      <c r="Q30" s="31">
        <f>IF($B30=0,0, (INDEX(Option2!Q$106:Q$117, MATCH($D30, Option2!$G$106:$G$117,0)))*conv_2026*Q$7)</f>
        <v>76033.515077270917</v>
      </c>
      <c r="R30" s="31">
        <f>IF($B30=0,0, (INDEX(Option2!R$106:R$117, MATCH($D30, Option2!$G$106:$G$117,0)))*conv_2026*R$7)</f>
        <v>78213.631141653794</v>
      </c>
      <c r="S30" s="31">
        <f>IF($B30=0,0, (INDEX(Option2!S$106:S$117, MATCH($D30, Option2!$G$106:$G$117,0)))*conv_2026*S$7)</f>
        <v>80440.795524471963</v>
      </c>
      <c r="T30" s="31">
        <f>IF($B30=0,0, (INDEX(Option2!T$106:T$117, MATCH($D30, Option2!$G$106:$G$117,0)))*conv_2026*T$7)</f>
        <v>82705.982496160985</v>
      </c>
      <c r="U30" s="31">
        <f>IF($B30=0,0, (INDEX(Option2!U$106:U$117, MATCH($D30, Option2!$G$106:$G$117,0)))*conv_2026*U$7)</f>
        <v>85002.312911558853</v>
      </c>
      <c r="V30" s="31">
        <f>IF($B30=0,0, (INDEX(Option2!V$106:V$117, MATCH($D30, Option2!$G$106:$G$117,0)))*conv_2026*V$7)</f>
        <v>87324.41578599473</v>
      </c>
      <c r="W30" s="31">
        <f>IF($B30=0,0, (INDEX(Option2!W$106:W$117, MATCH($D30, Option2!$G$106:$G$117,0)))*conv_2026*W$7)</f>
        <v>89668.015115042901</v>
      </c>
      <c r="X30" s="31">
        <f>IF($B30=0,0, (INDEX(Option2!X$106:X$117, MATCH($D30, Option2!$G$106:$G$117,0)))*conv_2026*X$7)</f>
        <v>92029.651527708265</v>
      </c>
      <c r="Y30" s="31">
        <f>IF($B30=0,0, (INDEX(Option2!Y$106:Y$117, MATCH($D30, Option2!$G$106:$G$117,0)))*conv_2026*Y$7)</f>
        <v>94406.488475966908</v>
      </c>
      <c r="Z30" s="31">
        <f>IF($B30=0,0, (INDEX(Option2!Z$106:Z$117, MATCH($D30, Option2!$G$106:$G$117,0)))*conv_2026*Z$7)</f>
        <v>96796.173497061842</v>
      </c>
      <c r="AA30" s="31">
        <f>IF($B30=0,0, (INDEX(Option2!AA$106:AA$117, MATCH($D30, Option2!$G$106:$G$117,0)))*conv_2026*AA$7)</f>
        <v>99196.736531586925</v>
      </c>
      <c r="AB30" s="31">
        <f>IF($B30=0,0, (INDEX(Option2!AB$106:AB$117, MATCH($D30, Option2!$G$106:$G$117,0)))*conv_2026*AB$7)</f>
        <v>101606.51387234348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1645336.666117881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-205557.11632197676</v>
      </c>
      <c r="K31" s="31">
        <f>IF($B31=0,0, (INDEX(Option2!K$106:K$117, MATCH($D31, Option2!$G$106:$G$117,0)))*conv_2026*K$7)</f>
        <v>128484.50443965687</v>
      </c>
      <c r="L31" s="31">
        <f>IF($B31=0,0, (INDEX(Option2!L$106:L$117, MATCH($D31, Option2!$G$106:$G$117,0)))*conv_2026*L$7)</f>
        <v>131262.1984058191</v>
      </c>
      <c r="M31" s="31">
        <f>IF($B31=0,0, (INDEX(Option2!M$106:M$117, MATCH($D31, Option2!$G$106:$G$117,0)))*conv_2026*M$7)</f>
        <v>130446.67290041056</v>
      </c>
      <c r="N31" s="31">
        <f>IF($B31=0,0, (INDEX(Option2!N$106:N$117, MATCH($D31, Option2!$G$106:$G$117,0)))*conv_2026*N$7)</f>
        <v>130970.77762010357</v>
      </c>
      <c r="O31" s="31">
        <f>IF($B31=0,0, (INDEX(Option2!O$106:O$117, MATCH($D31, Option2!$G$106:$G$117,0)))*conv_2026*O$7)</f>
        <v>136322.66701439937</v>
      </c>
      <c r="P31" s="31">
        <f>IF($B31=0,0, (INDEX(Option2!P$106:P$117, MATCH($D31, Option2!$G$106:$G$117,0)))*conv_2026*P$7)</f>
        <v>143806.03577032313</v>
      </c>
      <c r="Q31" s="31">
        <f>IF($B31=0,0, (INDEX(Option2!Q$106:Q$117, MATCH($D31, Option2!$G$106:$G$117,0)))*conv_2026*Q$7)</f>
        <v>144552.55385126316</v>
      </c>
      <c r="R31" s="31">
        <f>IF($B31=0,0, (INDEX(Option2!R$106:R$117, MATCH($D31, Option2!$G$106:$G$117,0)))*conv_2026*R$7)</f>
        <v>146732.66991564605</v>
      </c>
      <c r="S31" s="31">
        <f>IF($B31=0,0, (INDEX(Option2!S$106:S$117, MATCH($D31, Option2!$G$106:$G$117,0)))*conv_2026*S$7)</f>
        <v>148959.83429846421</v>
      </c>
      <c r="T31" s="31">
        <f>IF($B31=0,0, (INDEX(Option2!T$106:T$117, MATCH($D31, Option2!$G$106:$G$117,0)))*conv_2026*T$7)</f>
        <v>151225.02127015323</v>
      </c>
      <c r="U31" s="31">
        <f>IF($B31=0,0, (INDEX(Option2!U$106:U$117, MATCH($D31, Option2!$G$106:$G$117,0)))*conv_2026*U$7)</f>
        <v>153521.35168555111</v>
      </c>
      <c r="V31" s="31">
        <f>IF($B31=0,0, (INDEX(Option2!V$106:V$117, MATCH($D31, Option2!$G$106:$G$117,0)))*conv_2026*V$7)</f>
        <v>155843.45455998697</v>
      </c>
      <c r="W31" s="31">
        <f>IF($B31=0,0, (INDEX(Option2!W$106:W$117, MATCH($D31, Option2!$G$106:$G$117,0)))*conv_2026*W$7)</f>
        <v>158187.05388903516</v>
      </c>
      <c r="X31" s="31">
        <f>IF($B31=0,0, (INDEX(Option2!X$106:X$117, MATCH($D31, Option2!$G$106:$G$117,0)))*conv_2026*X$7)</f>
        <v>160548.69030170052</v>
      </c>
      <c r="Y31" s="31">
        <f>IF($B31=0,0, (INDEX(Option2!Y$106:Y$117, MATCH($D31, Option2!$G$106:$G$117,0)))*conv_2026*Y$7)</f>
        <v>162925.52724995918</v>
      </c>
      <c r="Z31" s="31">
        <f>IF($B31=0,0, (INDEX(Option2!Z$106:Z$117, MATCH($D31, Option2!$G$106:$G$117,0)))*conv_2026*Z$7)</f>
        <v>165315.2122710541</v>
      </c>
      <c r="AA31" s="31">
        <f>IF($B31=0,0, (INDEX(Option2!AA$106:AA$117, MATCH($D31, Option2!$G$106:$G$117,0)))*conv_2026*AA$7)</f>
        <v>167715.77530557918</v>
      </c>
      <c r="AB31" s="31">
        <f>IF($B31=0,0, (INDEX(Option2!AB$106:AB$117, MATCH($D31, Option2!$G$106:$G$117,0)))*conv_2026*AB$7)</f>
        <v>170125.55264633574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1764786.6343250449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-228396.79591330752</v>
      </c>
      <c r="K32" s="31">
        <f>IF($B32=0,0, (INDEX(Option2!K$106:K$117, MATCH($D32, Option2!$G$106:$G$117,0)))*conv_2026*K$7)</f>
        <v>137907.00294492295</v>
      </c>
      <c r="L32" s="31">
        <f>IF($B32=0,0, (INDEX(Option2!L$106:L$117, MATCH($D32, Option2!$G$106:$G$117,0)))*conv_2026*L$7)</f>
        <v>140962.46630770143</v>
      </c>
      <c r="M32" s="31">
        <f>IF($B32=0,0, (INDEX(Option2!M$106:M$117, MATCH($D32, Option2!$G$106:$G$117,0)))*conv_2026*M$7)</f>
        <v>140065.38825175201</v>
      </c>
      <c r="N32" s="31">
        <f>IF($B32=0,0, (INDEX(Option2!N$106:N$117, MATCH($D32, Option2!$G$106:$G$117,0)))*conv_2026*N$7)</f>
        <v>140641.90344341431</v>
      </c>
      <c r="O32" s="31">
        <f>IF($B32=0,0, (INDEX(Option2!O$106:O$117, MATCH($D32, Option2!$G$106:$G$117,0)))*conv_2026*O$7)</f>
        <v>146528.98177713971</v>
      </c>
      <c r="P32" s="31">
        <f>IF($B32=0,0, (INDEX(Option2!P$106:P$117, MATCH($D32, Option2!$G$106:$G$117,0)))*conv_2026*P$7)</f>
        <v>154760.68740865585</v>
      </c>
      <c r="Q32" s="31">
        <f>IF($B32=0,0, (INDEX(Option2!Q$106:Q$117, MATCH($D32, Option2!$G$106:$G$117,0)))*conv_2026*Q$7)</f>
        <v>155581.85729768989</v>
      </c>
      <c r="R32" s="31">
        <f>IF($B32=0,0, (INDEX(Option2!R$106:R$117, MATCH($D32, Option2!$G$106:$G$117,0)))*conv_2026*R$7)</f>
        <v>157979.98496851104</v>
      </c>
      <c r="S32" s="31">
        <f>IF($B32=0,0, (INDEX(Option2!S$106:S$117, MATCH($D32, Option2!$G$106:$G$117,0)))*conv_2026*S$7)</f>
        <v>160429.86578961101</v>
      </c>
      <c r="T32" s="31">
        <f>IF($B32=0,0, (INDEX(Option2!T$106:T$117, MATCH($D32, Option2!$G$106:$G$117,0)))*conv_2026*T$7)</f>
        <v>162921.57145846894</v>
      </c>
      <c r="U32" s="31">
        <f>IF($B32=0,0, (INDEX(Option2!U$106:U$117, MATCH($D32, Option2!$G$106:$G$117,0)))*conv_2026*U$7)</f>
        <v>165447.53491540661</v>
      </c>
      <c r="V32" s="31">
        <f>IF($B32=0,0, (INDEX(Option2!V$106:V$117, MATCH($D32, Option2!$G$106:$G$117,0)))*conv_2026*V$7)</f>
        <v>168001.84807728609</v>
      </c>
      <c r="W32" s="31">
        <f>IF($B32=0,0, (INDEX(Option2!W$106:W$117, MATCH($D32, Option2!$G$106:$G$117,0)))*conv_2026*W$7)</f>
        <v>170579.80733923905</v>
      </c>
      <c r="X32" s="31">
        <f>IF($B32=0,0, (INDEX(Option2!X$106:X$117, MATCH($D32, Option2!$G$106:$G$117,0)))*conv_2026*X$7)</f>
        <v>173177.60739317097</v>
      </c>
      <c r="Y32" s="31">
        <f>IF($B32=0,0, (INDEX(Option2!Y$106:Y$117, MATCH($D32, Option2!$G$106:$G$117,0)))*conv_2026*Y$7)</f>
        <v>175792.12803625548</v>
      </c>
      <c r="Z32" s="31">
        <f>IF($B32=0,0, (INDEX(Option2!Z$106:Z$117, MATCH($D32, Option2!$G$106:$G$117,0)))*conv_2026*Z$7)</f>
        <v>178420.78155945989</v>
      </c>
      <c r="AA32" s="31">
        <f>IF($B32=0,0, (INDEX(Option2!AA$106:AA$117, MATCH($D32, Option2!$G$106:$G$117,0)))*conv_2026*AA$7)</f>
        <v>181061.4008974375</v>
      </c>
      <c r="AB32" s="31">
        <f>IF($B32=0,0, (INDEX(Option2!AB$106:AB$117, MATCH($D32, Option2!$G$106:$G$117,0)))*conv_2026*AB$7)</f>
        <v>183712.15597226968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624212.72981823364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-228396.79591330752</v>
      </c>
      <c r="K33" s="31">
        <f>IF($B33=0,0, (INDEX(Option2!K$106:K$117, MATCH($D33, Option2!$G$106:$G$117,0)))*conv_2026*K$7)</f>
        <v>50542.967160398541</v>
      </c>
      <c r="L33" s="31">
        <f>IF($B33=0,0, (INDEX(Option2!L$106:L$117, MATCH($D33, Option2!$G$106:$G$117,0)))*conv_2026*L$7)</f>
        <v>53042.891729944546</v>
      </c>
      <c r="M33" s="31">
        <f>IF($B33=0,0, (INDEX(Option2!M$106:M$117, MATCH($D33, Option2!$G$106:$G$117,0)))*conv_2026*M$7)</f>
        <v>52308.918775076847</v>
      </c>
      <c r="N33" s="31">
        <f>IF($B33=0,0, (INDEX(Option2!N$106:N$117, MATCH($D33, Option2!$G$106:$G$117,0)))*conv_2026*N$7)</f>
        <v>52780.613022800564</v>
      </c>
      <c r="O33" s="31">
        <f>IF($B33=0,0, (INDEX(Option2!O$106:O$117, MATCH($D33, Option2!$G$106:$G$117,0)))*conv_2026*O$7)</f>
        <v>57597.313477666794</v>
      </c>
      <c r="P33" s="31">
        <f>IF($B33=0,0, (INDEX(Option2!P$106:P$117, MATCH($D33, Option2!$G$106:$G$117,0)))*conv_2026*P$7)</f>
        <v>64332.345357998165</v>
      </c>
      <c r="Q33" s="31">
        <f>IF($B33=0,0, (INDEX(Option2!Q$106:Q$117, MATCH($D33, Option2!$G$106:$G$117,0)))*conv_2026*Q$7)</f>
        <v>65004.211630844206</v>
      </c>
      <c r="R33" s="31">
        <f>IF($B33=0,0, (INDEX(Option2!R$106:R$117, MATCH($D33, Option2!$G$106:$G$117,0)))*conv_2026*R$7)</f>
        <v>66966.316088788793</v>
      </c>
      <c r="S33" s="31">
        <f>IF($B33=0,0, (INDEX(Option2!S$106:S$117, MATCH($D33, Option2!$G$106:$G$117,0)))*conv_2026*S$7)</f>
        <v>68970.764033325147</v>
      </c>
      <c r="T33" s="31">
        <f>IF($B33=0,0, (INDEX(Option2!T$106:T$117, MATCH($D33, Option2!$G$106:$G$117,0)))*conv_2026*T$7)</f>
        <v>71009.432307845273</v>
      </c>
      <c r="U33" s="31">
        <f>IF($B33=0,0, (INDEX(Option2!U$106:U$117, MATCH($D33, Option2!$G$106:$G$117,0)))*conv_2026*U$7)</f>
        <v>73076.129681703358</v>
      </c>
      <c r="V33" s="31">
        <f>IF($B33=0,0, (INDEX(Option2!V$106:V$117, MATCH($D33, Option2!$G$106:$G$117,0)))*conv_2026*V$7)</f>
        <v>75166.02226869564</v>
      </c>
      <c r="W33" s="31">
        <f>IF($B33=0,0, (INDEX(Option2!W$106:W$117, MATCH($D33, Option2!$G$106:$G$117,0)))*conv_2026*W$7)</f>
        <v>77275.261664838996</v>
      </c>
      <c r="X33" s="31">
        <f>IF($B33=0,0, (INDEX(Option2!X$106:X$117, MATCH($D33, Option2!$G$106:$G$117,0)))*conv_2026*X$7)</f>
        <v>79400.734436237821</v>
      </c>
      <c r="Y33" s="31">
        <f>IF($B33=0,0, (INDEX(Option2!Y$106:Y$117, MATCH($D33, Option2!$G$106:$G$117,0)))*conv_2026*Y$7)</f>
        <v>81539.887689670606</v>
      </c>
      <c r="Z33" s="31">
        <f>IF($B33=0,0, (INDEX(Option2!Z$106:Z$117, MATCH($D33, Option2!$G$106:$G$117,0)))*conv_2026*Z$7)</f>
        <v>83690.604208656048</v>
      </c>
      <c r="AA33" s="31">
        <f>IF($B33=0,0, (INDEX(Option2!AA$106:AA$117, MATCH($D33, Option2!$G$106:$G$117,0)))*conv_2026*AA$7)</f>
        <v>85851.11093972862</v>
      </c>
      <c r="AB33" s="31">
        <f>IF($B33=0,0, (INDEX(Option2!AB$106:AB$117, MATCH($D33, Option2!$G$106:$G$117,0)))*conv_2026*AB$7)</f>
        <v>88019.910546409519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173375.74577199202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-251236.47550463828</v>
      </c>
      <c r="K34" s="31">
        <f>IF($B34=0,0, (INDEX(Option2!K$106:K$117, MATCH($D34, Option2!$G$106:$G$117,0)))*conv_2026*K$7)</f>
        <v>16283.447773402413</v>
      </c>
      <c r="L34" s="31">
        <f>IF($B34=0,0, (INDEX(Option2!L$106:L$117, MATCH($D34, Option2!$G$106:$G$117,0)))*conv_2026*L$7)</f>
        <v>18783.372342948416</v>
      </c>
      <c r="M34" s="31">
        <f>IF($B34=0,0, (INDEX(Option2!M$106:M$117, MATCH($D34, Option2!$G$106:$G$117,0)))*conv_2026*M$7)</f>
        <v>18049.39938808071</v>
      </c>
      <c r="N34" s="31">
        <f>IF($B34=0,0, (INDEX(Option2!N$106:N$117, MATCH($D34, Option2!$G$106:$G$117,0)))*conv_2026*N$7)</f>
        <v>18521.093635804438</v>
      </c>
      <c r="O34" s="31">
        <f>IF($B34=0,0, (INDEX(Option2!O$106:O$117, MATCH($D34, Option2!$G$106:$G$117,0)))*conv_2026*O$7)</f>
        <v>23337.794090670664</v>
      </c>
      <c r="P34" s="31">
        <f>IF($B34=0,0, (INDEX(Option2!P$106:P$117, MATCH($D34, Option2!$G$106:$G$117,0)))*conv_2026*P$7)</f>
        <v>30072.825971002039</v>
      </c>
      <c r="Q34" s="31">
        <f>IF($B34=0,0, (INDEX(Option2!Q$106:Q$117, MATCH($D34, Option2!$G$106:$G$117,0)))*conv_2026*Q$7)</f>
        <v>30744.692243848069</v>
      </c>
      <c r="R34" s="31">
        <f>IF($B34=0,0, (INDEX(Option2!R$106:R$117, MATCH($D34, Option2!$G$106:$G$117,0)))*conv_2026*R$7)</f>
        <v>32706.796701792668</v>
      </c>
      <c r="S34" s="31">
        <f>IF($B34=0,0, (INDEX(Option2!S$106:S$117, MATCH($D34, Option2!$G$106:$G$117,0)))*conv_2026*S$7)</f>
        <v>34711.244646329033</v>
      </c>
      <c r="T34" s="31">
        <f>IF($B34=0,0, (INDEX(Option2!T$106:T$117, MATCH($D34, Option2!$G$106:$G$117,0)))*conv_2026*T$7)</f>
        <v>36749.912920849136</v>
      </c>
      <c r="U34" s="31">
        <f>IF($B34=0,0, (INDEX(Option2!U$106:U$117, MATCH($D34, Option2!$G$106:$G$117,0)))*conv_2026*U$7)</f>
        <v>38816.610294707221</v>
      </c>
      <c r="V34" s="31">
        <f>IF($B34=0,0, (INDEX(Option2!V$106:V$117, MATCH($D34, Option2!$G$106:$G$117,0)))*conv_2026*V$7)</f>
        <v>40906.502881699511</v>
      </c>
      <c r="W34" s="31">
        <f>IF($B34=0,0, (INDEX(Option2!W$106:W$117, MATCH($D34, Option2!$G$106:$G$117,0)))*conv_2026*W$7)</f>
        <v>43015.742277842866</v>
      </c>
      <c r="X34" s="31">
        <f>IF($B34=0,0, (INDEX(Option2!X$106:X$117, MATCH($D34, Option2!$G$106:$G$117,0)))*conv_2026*X$7)</f>
        <v>45141.215049241684</v>
      </c>
      <c r="Y34" s="31">
        <f>IF($B34=0,0, (INDEX(Option2!Y$106:Y$117, MATCH($D34, Option2!$G$106:$G$117,0)))*conv_2026*Y$7)</f>
        <v>47280.368302674469</v>
      </c>
      <c r="Z34" s="31">
        <f>IF($B34=0,0, (INDEX(Option2!Z$106:Z$117, MATCH($D34, Option2!$G$106:$G$117,0)))*conv_2026*Z$7)</f>
        <v>49431.084821659912</v>
      </c>
      <c r="AA34" s="31">
        <f>IF($B34=0,0, (INDEX(Option2!AA$106:AA$117, MATCH($D34, Option2!$G$106:$G$117,0)))*conv_2026*AA$7)</f>
        <v>51591.591552732483</v>
      </c>
      <c r="AB34" s="31">
        <f>IF($B34=0,0, (INDEX(Option2!AB$106:AB$117, MATCH($D34, Option2!$G$106:$G$117,0)))*conv_2026*AB$7)</f>
        <v>53760.39115941339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1194499.6820716392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-228396.79591330752</v>
      </c>
      <c r="K35" s="31">
        <f>IF($B35=0,0, (INDEX(Option2!K$106:K$117, MATCH($D35, Option2!$G$106:$G$117,0)))*conv_2026*K$7)</f>
        <v>94224.985052660748</v>
      </c>
      <c r="L35" s="31">
        <f>IF($B35=0,0, (INDEX(Option2!L$106:L$117, MATCH($D35, Option2!$G$106:$G$117,0)))*conv_2026*L$7)</f>
        <v>97002.679018822979</v>
      </c>
      <c r="M35" s="31">
        <f>IF($B35=0,0, (INDEX(Option2!M$106:M$117, MATCH($D35, Option2!$G$106:$G$117,0)))*conv_2026*M$7)</f>
        <v>96187.153513414421</v>
      </c>
      <c r="N35" s="31">
        <f>IF($B35=0,0, (INDEX(Option2!N$106:N$117, MATCH($D35, Option2!$G$106:$G$117,0)))*conv_2026*N$7)</f>
        <v>96711.258233107437</v>
      </c>
      <c r="O35" s="31">
        <f>IF($B35=0,0, (INDEX(Option2!O$106:O$117, MATCH($D35, Option2!$G$106:$G$117,0)))*conv_2026*O$7)</f>
        <v>102063.14762740325</v>
      </c>
      <c r="P35" s="31">
        <f>IF($B35=0,0, (INDEX(Option2!P$106:P$117, MATCH($D35, Option2!$G$106:$G$117,0)))*conv_2026*P$7)</f>
        <v>109546.51638332701</v>
      </c>
      <c r="Q35" s="31">
        <f>IF($B35=0,0, (INDEX(Option2!Q$106:Q$117, MATCH($D35, Option2!$G$106:$G$117,0)))*conv_2026*Q$7)</f>
        <v>110293.03446426704</v>
      </c>
      <c r="R35" s="31">
        <f>IF($B35=0,0, (INDEX(Option2!R$106:R$117, MATCH($D35, Option2!$G$106:$G$117,0)))*conv_2026*R$7)</f>
        <v>112473.15052864992</v>
      </c>
      <c r="S35" s="31">
        <f>IF($B35=0,0, (INDEX(Option2!S$106:S$117, MATCH($D35, Option2!$G$106:$G$117,0)))*conv_2026*S$7)</f>
        <v>114700.31491146809</v>
      </c>
      <c r="T35" s="31">
        <f>IF($B35=0,0, (INDEX(Option2!T$106:T$117, MATCH($D35, Option2!$G$106:$G$117,0)))*conv_2026*T$7)</f>
        <v>116965.50188315711</v>
      </c>
      <c r="U35" s="31">
        <f>IF($B35=0,0, (INDEX(Option2!U$106:U$117, MATCH($D35, Option2!$G$106:$G$117,0)))*conv_2026*U$7)</f>
        <v>119261.83229855497</v>
      </c>
      <c r="V35" s="31">
        <f>IF($B35=0,0, (INDEX(Option2!V$106:V$117, MATCH($D35, Option2!$G$106:$G$117,0)))*conv_2026*V$7)</f>
        <v>121583.93517299085</v>
      </c>
      <c r="W35" s="31">
        <f>IF($B35=0,0, (INDEX(Option2!W$106:W$117, MATCH($D35, Option2!$G$106:$G$117,0)))*conv_2026*W$7)</f>
        <v>123927.53450203902</v>
      </c>
      <c r="X35" s="31">
        <f>IF($B35=0,0, (INDEX(Option2!X$106:X$117, MATCH($D35, Option2!$G$106:$G$117,0)))*conv_2026*X$7)</f>
        <v>126289.1709147044</v>
      </c>
      <c r="Y35" s="31">
        <f>IF($B35=0,0, (INDEX(Option2!Y$106:Y$117, MATCH($D35, Option2!$G$106:$G$117,0)))*conv_2026*Y$7)</f>
        <v>128666.00786296304</v>
      </c>
      <c r="Z35" s="31">
        <f>IF($B35=0,0, (INDEX(Option2!Z$106:Z$117, MATCH($D35, Option2!$G$106:$G$117,0)))*conv_2026*Z$7)</f>
        <v>131055.69288405798</v>
      </c>
      <c r="AA35" s="31">
        <f>IF($B35=0,0, (INDEX(Option2!AA$106:AA$117, MATCH($D35, Option2!$G$106:$G$117,0)))*conv_2026*AA$7)</f>
        <v>133456.25591858305</v>
      </c>
      <c r="AB35" s="31">
        <f>IF($B35=0,0, (INDEX(Option2!AB$106:AB$117, MATCH($D35, Option2!$G$106:$G$117,0)))*conv_2026*AB$7)</f>
        <v>135866.0332593396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1194499.6820716392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-228396.79591330752</v>
      </c>
      <c r="K36" s="31">
        <f>IF($B36=0,0, (INDEX(Option2!K$106:K$117, MATCH($D36, Option2!$G$106:$G$117,0)))*conv_2026*K$7)</f>
        <v>94224.985052660748</v>
      </c>
      <c r="L36" s="31">
        <f>IF($B36=0,0, (INDEX(Option2!L$106:L$117, MATCH($D36, Option2!$G$106:$G$117,0)))*conv_2026*L$7)</f>
        <v>97002.679018822979</v>
      </c>
      <c r="M36" s="31">
        <f>IF($B36=0,0, (INDEX(Option2!M$106:M$117, MATCH($D36, Option2!$G$106:$G$117,0)))*conv_2026*M$7)</f>
        <v>96187.153513414421</v>
      </c>
      <c r="N36" s="31">
        <f>IF($B36=0,0, (INDEX(Option2!N$106:N$117, MATCH($D36, Option2!$G$106:$G$117,0)))*conv_2026*N$7)</f>
        <v>96711.258233107437</v>
      </c>
      <c r="O36" s="31">
        <f>IF($B36=0,0, (INDEX(Option2!O$106:O$117, MATCH($D36, Option2!$G$106:$G$117,0)))*conv_2026*O$7)</f>
        <v>102063.14762740325</v>
      </c>
      <c r="P36" s="31">
        <f>IF($B36=0,0, (INDEX(Option2!P$106:P$117, MATCH($D36, Option2!$G$106:$G$117,0)))*conv_2026*P$7)</f>
        <v>109546.51638332701</v>
      </c>
      <c r="Q36" s="31">
        <f>IF($B36=0,0, (INDEX(Option2!Q$106:Q$117, MATCH($D36, Option2!$G$106:$G$117,0)))*conv_2026*Q$7)</f>
        <v>110293.03446426704</v>
      </c>
      <c r="R36" s="31">
        <f>IF($B36=0,0, (INDEX(Option2!R$106:R$117, MATCH($D36, Option2!$G$106:$G$117,0)))*conv_2026*R$7)</f>
        <v>112473.15052864992</v>
      </c>
      <c r="S36" s="31">
        <f>IF($B36=0,0, (INDEX(Option2!S$106:S$117, MATCH($D36, Option2!$G$106:$G$117,0)))*conv_2026*S$7)</f>
        <v>114700.31491146809</v>
      </c>
      <c r="T36" s="31">
        <f>IF($B36=0,0, (INDEX(Option2!T$106:T$117, MATCH($D36, Option2!$G$106:$G$117,0)))*conv_2026*T$7)</f>
        <v>116965.50188315711</v>
      </c>
      <c r="U36" s="31">
        <f>IF($B36=0,0, (INDEX(Option2!U$106:U$117, MATCH($D36, Option2!$G$106:$G$117,0)))*conv_2026*U$7)</f>
        <v>119261.83229855497</v>
      </c>
      <c r="V36" s="31">
        <f>IF($B36=0,0, (INDEX(Option2!V$106:V$117, MATCH($D36, Option2!$G$106:$G$117,0)))*conv_2026*V$7)</f>
        <v>121583.93517299085</v>
      </c>
      <c r="W36" s="31">
        <f>IF($B36=0,0, (INDEX(Option2!W$106:W$117, MATCH($D36, Option2!$G$106:$G$117,0)))*conv_2026*W$7)</f>
        <v>123927.53450203902</v>
      </c>
      <c r="X36" s="31">
        <f>IF($B36=0,0, (INDEX(Option2!X$106:X$117, MATCH($D36, Option2!$G$106:$G$117,0)))*conv_2026*X$7)</f>
        <v>126289.1709147044</v>
      </c>
      <c r="Y36" s="31">
        <f>IF($B36=0,0, (INDEX(Option2!Y$106:Y$117, MATCH($D36, Option2!$G$106:$G$117,0)))*conv_2026*Y$7)</f>
        <v>128666.00786296304</v>
      </c>
      <c r="Z36" s="31">
        <f>IF($B36=0,0, (INDEX(Option2!Z$106:Z$117, MATCH($D36, Option2!$G$106:$G$117,0)))*conv_2026*Z$7)</f>
        <v>131055.69288405798</v>
      </c>
      <c r="AA36" s="31">
        <f>IF($B36=0,0, (INDEX(Option2!AA$106:AA$117, MATCH($D36, Option2!$G$106:$G$117,0)))*conv_2026*AA$7)</f>
        <v>133456.25591858305</v>
      </c>
      <c r="AB36" s="31">
        <f>IF($B36=0,0, (INDEX(Option2!AB$106:AB$117, MATCH($D36, Option2!$G$106:$G$117,0)))*conv_2026*AB$7)</f>
        <v>135866.0332593396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1194499.6820716392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-228396.79591330752</v>
      </c>
      <c r="K37" s="31">
        <f>IF($B37=0,0, (INDEX(Option2!K$106:K$117, MATCH($D37, Option2!$G$106:$G$117,0)))*conv_2026*K$7)</f>
        <v>94224.985052660748</v>
      </c>
      <c r="L37" s="31">
        <f>IF($B37=0,0, (INDEX(Option2!L$106:L$117, MATCH($D37, Option2!$G$106:$G$117,0)))*conv_2026*L$7)</f>
        <v>97002.679018822979</v>
      </c>
      <c r="M37" s="31">
        <f>IF($B37=0,0, (INDEX(Option2!M$106:M$117, MATCH($D37, Option2!$G$106:$G$117,0)))*conv_2026*M$7)</f>
        <v>96187.153513414421</v>
      </c>
      <c r="N37" s="31">
        <f>IF($B37=0,0, (INDEX(Option2!N$106:N$117, MATCH($D37, Option2!$G$106:$G$117,0)))*conv_2026*N$7)</f>
        <v>96711.258233107437</v>
      </c>
      <c r="O37" s="31">
        <f>IF($B37=0,0, (INDEX(Option2!O$106:O$117, MATCH($D37, Option2!$G$106:$G$117,0)))*conv_2026*O$7)</f>
        <v>102063.14762740325</v>
      </c>
      <c r="P37" s="31">
        <f>IF($B37=0,0, (INDEX(Option2!P$106:P$117, MATCH($D37, Option2!$G$106:$G$117,0)))*conv_2026*P$7)</f>
        <v>109546.51638332701</v>
      </c>
      <c r="Q37" s="31">
        <f>IF($B37=0,0, (INDEX(Option2!Q$106:Q$117, MATCH($D37, Option2!$G$106:$G$117,0)))*conv_2026*Q$7)</f>
        <v>110293.03446426704</v>
      </c>
      <c r="R37" s="31">
        <f>IF($B37=0,0, (INDEX(Option2!R$106:R$117, MATCH($D37, Option2!$G$106:$G$117,0)))*conv_2026*R$7)</f>
        <v>112473.15052864992</v>
      </c>
      <c r="S37" s="31">
        <f>IF($B37=0,0, (INDEX(Option2!S$106:S$117, MATCH($D37, Option2!$G$106:$G$117,0)))*conv_2026*S$7)</f>
        <v>114700.31491146809</v>
      </c>
      <c r="T37" s="31">
        <f>IF($B37=0,0, (INDEX(Option2!T$106:T$117, MATCH($D37, Option2!$G$106:$G$117,0)))*conv_2026*T$7)</f>
        <v>116965.50188315711</v>
      </c>
      <c r="U37" s="31">
        <f>IF($B37=0,0, (INDEX(Option2!U$106:U$117, MATCH($D37, Option2!$G$106:$G$117,0)))*conv_2026*U$7)</f>
        <v>119261.83229855497</v>
      </c>
      <c r="V37" s="31">
        <f>IF($B37=0,0, (INDEX(Option2!V$106:V$117, MATCH($D37, Option2!$G$106:$G$117,0)))*conv_2026*V$7)</f>
        <v>121583.93517299085</v>
      </c>
      <c r="W37" s="31">
        <f>IF($B37=0,0, (INDEX(Option2!W$106:W$117, MATCH($D37, Option2!$G$106:$G$117,0)))*conv_2026*W$7)</f>
        <v>123927.53450203902</v>
      </c>
      <c r="X37" s="31">
        <f>IF($B37=0,0, (INDEX(Option2!X$106:X$117, MATCH($D37, Option2!$G$106:$G$117,0)))*conv_2026*X$7)</f>
        <v>126289.1709147044</v>
      </c>
      <c r="Y37" s="31">
        <f>IF($B37=0,0, (INDEX(Option2!Y$106:Y$117, MATCH($D37, Option2!$G$106:$G$117,0)))*conv_2026*Y$7)</f>
        <v>128666.00786296304</v>
      </c>
      <c r="Z37" s="31">
        <f>IF($B37=0,0, (INDEX(Option2!Z$106:Z$117, MATCH($D37, Option2!$G$106:$G$117,0)))*conv_2026*Z$7)</f>
        <v>131055.69288405798</v>
      </c>
      <c r="AA37" s="31">
        <f>IF($B37=0,0, (INDEX(Option2!AA$106:AA$117, MATCH($D37, Option2!$G$106:$G$117,0)))*conv_2026*AA$7)</f>
        <v>133456.25591858305</v>
      </c>
      <c r="AB37" s="31">
        <f>IF($B37=0,0, (INDEX(Option2!AB$106:AB$117, MATCH($D37, Option2!$G$106:$G$117,0)))*conv_2026*AB$7)</f>
        <v>135866.0332593396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26583.130443053218</v>
      </c>
      <c r="K40" s="31">
        <f>Consol!K50</f>
        <v>27136.180658069905</v>
      </c>
      <c r="L40" s="31">
        <f>Consol!L50</f>
        <v>27630.535794752563</v>
      </c>
      <c r="M40" s="31">
        <f>Consol!M50</f>
        <v>27912.582144487416</v>
      </c>
      <c r="N40" s="31">
        <f>Consol!N50</f>
        <v>28257.454376979251</v>
      </c>
      <c r="O40" s="31">
        <f>Consol!O50</f>
        <v>28874.519357503115</v>
      </c>
      <c r="P40" s="31">
        <f>Consol!P50</f>
        <v>29622.836410966425</v>
      </c>
      <c r="Q40" s="31">
        <f>Consol!Q50</f>
        <v>29979.646115641386</v>
      </c>
      <c r="R40" s="31">
        <f>Consol!R50</f>
        <v>30421.714214543186</v>
      </c>
      <c r="S40" s="31">
        <f>Consol!S50</f>
        <v>30868.269464401397</v>
      </c>
      <c r="T40" s="31">
        <f>Consol!T50</f>
        <v>98228.370502150996</v>
      </c>
      <c r="U40" s="31">
        <f>Consol!U50</f>
        <v>98683.867910644884</v>
      </c>
      <c r="V40" s="31">
        <f>Consol!V50</f>
        <v>99143.820975545896</v>
      </c>
      <c r="W40" s="31">
        <f>Consol!W50</f>
        <v>99608.219832361676</v>
      </c>
      <c r="X40" s="31">
        <f>Consol!X50</f>
        <v>100077.05491897686</v>
      </c>
      <c r="Y40" s="31">
        <f>Consol!Y50</f>
        <v>100550.31696751033</v>
      </c>
      <c r="Z40" s="31">
        <f>Consol!Z50</f>
        <v>101027.99699650596</v>
      </c>
      <c r="AA40" s="31">
        <f>Consol!AA50</f>
        <v>101510.0863034333</v>
      </c>
      <c r="AB40" s="31">
        <f>Consol!AB50</f>
        <v>101996.57645749375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189</v>
      </c>
      <c r="D42" s="253" t="str">
        <f>A42&amp;B42</f>
        <v>Option 3NPV</v>
      </c>
      <c r="E42" s="254"/>
      <c r="F42" s="31">
        <f t="shared" ref="F42:F51" si="4">SUMPRODUCT($H42:$AG42, $H$5:$AG$5)</f>
        <v>763783.22436063911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26583.130443053222</v>
      </c>
      <c r="K42" s="31">
        <f>(INDEX(Option3!K$106:K$117, MATCH($D42, Option3!$G$106:$G$117,0)))*conv_2026*K$7</f>
        <v>27136.180658069905</v>
      </c>
      <c r="L42" s="31">
        <f>(INDEX(Option3!L$106:L$117, MATCH($D42, Option3!$G$106:$G$117,0)))*conv_2026*L$7</f>
        <v>27630.535794752566</v>
      </c>
      <c r="M42" s="31">
        <f>(INDEX(Option3!M$106:M$117, MATCH($D42, Option3!$G$106:$G$117,0)))*conv_2026*M$7</f>
        <v>27912.582144487416</v>
      </c>
      <c r="N42" s="31">
        <f>(INDEX(Option3!N$106:N$117, MATCH($D42, Option3!$G$106:$G$117,0)))*conv_2026*N$7</f>
        <v>28257.454376979258</v>
      </c>
      <c r="O42" s="31">
        <f>(INDEX(Option3!O$106:O$117, MATCH($D42, Option3!$G$106:$G$117,0)))*conv_2026*O$7</f>
        <v>28874.519357503123</v>
      </c>
      <c r="P42" s="31">
        <f>(INDEX(Option3!P$106:P$117, MATCH($D42, Option3!$G$106:$G$117,0)))*conv_2026*P$7</f>
        <v>29622.836410966429</v>
      </c>
      <c r="Q42" s="31">
        <f>(INDEX(Option3!Q$106:Q$117, MATCH($D42, Option3!$G$106:$G$117,0)))*conv_2026*Q$7</f>
        <v>29979.646115641386</v>
      </c>
      <c r="R42" s="31">
        <f>(INDEX(Option3!R$106:R$117, MATCH($D42, Option3!$G$106:$G$117,0)))*conv_2026*R$7</f>
        <v>30421.714214543183</v>
      </c>
      <c r="S42" s="31">
        <f>(INDEX(Option3!S$106:S$117, MATCH($D42, Option3!$G$106:$G$117,0)))*conv_2026*S$7</f>
        <v>30868.269464401397</v>
      </c>
      <c r="T42" s="31">
        <f>(INDEX(Option3!T$106:T$117, MATCH($D42, Option3!$G$106:$G$117,0)))*conv_2026*T$7</f>
        <v>98228.370502150996</v>
      </c>
      <c r="U42" s="31">
        <f>(INDEX(Option3!U$106:U$117, MATCH($D42, Option3!$G$106:$G$117,0)))*conv_2026*U$7</f>
        <v>98683.867910644884</v>
      </c>
      <c r="V42" s="31">
        <f>(INDEX(Option3!V$106:V$117, MATCH($D42, Option3!$G$106:$G$117,0)))*conv_2026*V$7</f>
        <v>99143.820975545896</v>
      </c>
      <c r="W42" s="31">
        <f>(INDEX(Option3!W$106:W$117, MATCH($D42, Option3!$G$106:$G$117,0)))*conv_2026*W$7</f>
        <v>99608.219832361676</v>
      </c>
      <c r="X42" s="31">
        <f>(INDEX(Option3!X$106:X$117, MATCH($D42, Option3!$G$106:$G$117,0)))*conv_2026*X$7</f>
        <v>100077.05491897686</v>
      </c>
      <c r="Y42" s="31">
        <f>(INDEX(Option3!Y$106:Y$117, MATCH($D42, Option3!$G$106:$G$117,0)))*conv_2026*Y$7</f>
        <v>100550.31696751033</v>
      </c>
      <c r="Z42" s="31">
        <f>(INDEX(Option3!Z$106:Z$117, MATCH($D42, Option3!$G$106:$G$117,0)))*conv_2026*Z$7</f>
        <v>101027.99699650596</v>
      </c>
      <c r="AA42" s="31">
        <f>(INDEX(Option3!AA$106:AA$117, MATCH($D42, Option3!$G$106:$G$117,0)))*conv_2026*AA$7</f>
        <v>101510.0863034333</v>
      </c>
      <c r="AB42" s="31">
        <f>(INDEX(Option3!AB$106:AB$117, MATCH($D42, Option3!$G$106:$G$117,0)))*conv_2026*AB$7</f>
        <v>101996.57645749375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709086.5518215769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19892.223496950719</v>
      </c>
      <c r="K44" s="31">
        <f>(INDEX(Option3!K$106:K$117, MATCH($D44, Option3!$G$106:$G$117,0)))*conv_2026*K$7</f>
        <v>20445.273711967406</v>
      </c>
      <c r="L44" s="31">
        <f>(INDEX(Option3!L$106:L$117, MATCH($D44, Option3!$G$106:$G$117,0)))*conv_2026*L$7</f>
        <v>20939.628848650063</v>
      </c>
      <c r="M44" s="31">
        <f>(INDEX(Option3!M$106:M$117, MATCH($D44, Option3!$G$106:$G$117,0)))*conv_2026*M$7</f>
        <v>21221.675198384914</v>
      </c>
      <c r="N44" s="31">
        <f>(INDEX(Option3!N$106:N$117, MATCH($D44, Option3!$G$106:$G$117,0)))*conv_2026*N$7</f>
        <v>21566.547430876755</v>
      </c>
      <c r="O44" s="31">
        <f>(INDEX(Option3!O$106:O$117, MATCH($D44, Option3!$G$106:$G$117,0)))*conv_2026*O$7</f>
        <v>22183.612411400623</v>
      </c>
      <c r="P44" s="31">
        <f>(INDEX(Option3!P$106:P$117, MATCH($D44, Option3!$G$106:$G$117,0)))*conv_2026*P$7</f>
        <v>22931.92946486393</v>
      </c>
      <c r="Q44" s="31">
        <f>(INDEX(Option3!Q$106:Q$117, MATCH($D44, Option3!$G$106:$G$117,0)))*conv_2026*Q$7</f>
        <v>23288.739169538887</v>
      </c>
      <c r="R44" s="31">
        <f>(INDEX(Option3!R$106:R$117, MATCH($D44, Option3!$G$106:$G$117,0)))*conv_2026*R$7</f>
        <v>23730.807268440683</v>
      </c>
      <c r="S44" s="31">
        <f>(INDEX(Option3!S$106:S$117, MATCH($D44, Option3!$G$106:$G$117,0)))*conv_2026*S$7</f>
        <v>24177.362518298898</v>
      </c>
      <c r="T44" s="31">
        <f>(INDEX(Option3!T$106:T$117, MATCH($D44, Option3!$G$106:$G$117,0)))*conv_2026*T$7</f>
        <v>98228.370502150996</v>
      </c>
      <c r="U44" s="31">
        <f>(INDEX(Option3!U$106:U$117, MATCH($D44, Option3!$G$106:$G$117,0)))*conv_2026*U$7</f>
        <v>98683.867910644884</v>
      </c>
      <c r="V44" s="31">
        <f>(INDEX(Option3!V$106:V$117, MATCH($D44, Option3!$G$106:$G$117,0)))*conv_2026*V$7</f>
        <v>99143.820975545896</v>
      </c>
      <c r="W44" s="31">
        <f>(INDEX(Option3!W$106:W$117, MATCH($D44, Option3!$G$106:$G$117,0)))*conv_2026*W$7</f>
        <v>99608.219832361676</v>
      </c>
      <c r="X44" s="31">
        <f>(INDEX(Option3!X$106:X$117, MATCH($D44, Option3!$G$106:$G$117,0)))*conv_2026*X$7</f>
        <v>100077.05491897686</v>
      </c>
      <c r="Y44" s="31">
        <f>(INDEX(Option3!Y$106:Y$117, MATCH($D44, Option3!$G$106:$G$117,0)))*conv_2026*Y$7</f>
        <v>100550.31696751033</v>
      </c>
      <c r="Z44" s="31">
        <f>(INDEX(Option3!Z$106:Z$117, MATCH($D44, Option3!$G$106:$G$117,0)))*conv_2026*Z$7</f>
        <v>101027.99699650596</v>
      </c>
      <c r="AA44" s="31">
        <f>(INDEX(Option3!AA$106:AA$117, MATCH($D44, Option3!$G$106:$G$117,0)))*conv_2026*AA$7</f>
        <v>101510.0863034333</v>
      </c>
      <c r="AB44" s="31">
        <f>(INDEX(Option3!AB$106:AB$117, MATCH($D44, Option3!$G$106:$G$117,0)))*conv_2026*AB$7</f>
        <v>101996.57645749375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818479.89689970133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33274.037389155717</v>
      </c>
      <c r="K45" s="31">
        <f>(INDEX(Option3!K$106:K$117, MATCH($D45, Option3!$G$106:$G$117,0)))*conv_2026*K$7</f>
        <v>33827.087604172404</v>
      </c>
      <c r="L45" s="31">
        <f>(INDEX(Option3!L$106:L$117, MATCH($D45, Option3!$G$106:$G$117,0)))*conv_2026*L$7</f>
        <v>34321.442740855069</v>
      </c>
      <c r="M45" s="31">
        <f>(INDEX(Option3!M$106:M$117, MATCH($D45, Option3!$G$106:$G$117,0)))*conv_2026*M$7</f>
        <v>34603.489090589916</v>
      </c>
      <c r="N45" s="31">
        <f>(INDEX(Option3!N$106:N$117, MATCH($D45, Option3!$G$106:$G$117,0)))*conv_2026*N$7</f>
        <v>34948.361323081757</v>
      </c>
      <c r="O45" s="31">
        <f>(INDEX(Option3!O$106:O$117, MATCH($D45, Option3!$G$106:$G$117,0)))*conv_2026*O$7</f>
        <v>35565.426303605622</v>
      </c>
      <c r="P45" s="31">
        <f>(INDEX(Option3!P$106:P$117, MATCH($D45, Option3!$G$106:$G$117,0)))*conv_2026*P$7</f>
        <v>36313.743357068932</v>
      </c>
      <c r="Q45" s="31">
        <f>(INDEX(Option3!Q$106:Q$117, MATCH($D45, Option3!$G$106:$G$117,0)))*conv_2026*Q$7</f>
        <v>36670.553061743885</v>
      </c>
      <c r="R45" s="31">
        <f>(INDEX(Option3!R$106:R$117, MATCH($D45, Option3!$G$106:$G$117,0)))*conv_2026*R$7</f>
        <v>37112.621160645678</v>
      </c>
      <c r="S45" s="31">
        <f>(INDEX(Option3!S$106:S$117, MATCH($D45, Option3!$G$106:$G$117,0)))*conv_2026*S$7</f>
        <v>37559.176410503896</v>
      </c>
      <c r="T45" s="31">
        <f>(INDEX(Option3!T$106:T$117, MATCH($D45, Option3!$G$106:$G$117,0)))*conv_2026*T$7</f>
        <v>98228.370502150996</v>
      </c>
      <c r="U45" s="31">
        <f>(INDEX(Option3!U$106:U$117, MATCH($D45, Option3!$G$106:$G$117,0)))*conv_2026*U$7</f>
        <v>98683.867910644884</v>
      </c>
      <c r="V45" s="31">
        <f>(INDEX(Option3!V$106:V$117, MATCH($D45, Option3!$G$106:$G$117,0)))*conv_2026*V$7</f>
        <v>99143.820975545896</v>
      </c>
      <c r="W45" s="31">
        <f>(INDEX(Option3!W$106:W$117, MATCH($D45, Option3!$G$106:$G$117,0)))*conv_2026*W$7</f>
        <v>99608.219832361676</v>
      </c>
      <c r="X45" s="31">
        <f>(INDEX(Option3!X$106:X$117, MATCH($D45, Option3!$G$106:$G$117,0)))*conv_2026*X$7</f>
        <v>100077.05491897686</v>
      </c>
      <c r="Y45" s="31">
        <f>(INDEX(Option3!Y$106:Y$117, MATCH($D45, Option3!$G$106:$G$117,0)))*conv_2026*Y$7</f>
        <v>100550.31696751033</v>
      </c>
      <c r="Z45" s="31">
        <f>(INDEX(Option3!Z$106:Z$117, MATCH($D45, Option3!$G$106:$G$117,0)))*conv_2026*Z$7</f>
        <v>101027.99699650596</v>
      </c>
      <c r="AA45" s="31">
        <f>(INDEX(Option3!AA$106:AA$117, MATCH($D45, Option3!$G$106:$G$117,0)))*conv_2026*AA$7</f>
        <v>101510.0863034333</v>
      </c>
      <c r="AB45" s="31">
        <f>(INDEX(Option3!AB$106:AB$117, MATCH($D45, Option3!$G$106:$G$117,0)))*conv_2026*AB$7</f>
        <v>101996.57645749375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894858.21933576523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35932.350433461048</v>
      </c>
      <c r="K46" s="31">
        <f>(INDEX(Option3!K$106:K$117, MATCH($D46, Option3!$G$106:$G$117,0)))*conv_2026*K$7</f>
        <v>36540.705669979397</v>
      </c>
      <c r="L46" s="31">
        <f>(INDEX(Option3!L$106:L$117, MATCH($D46, Option3!$G$106:$G$117,0)))*conv_2026*L$7</f>
        <v>37084.49632033032</v>
      </c>
      <c r="M46" s="31">
        <f>(INDEX(Option3!M$106:M$117, MATCH($D46, Option3!$G$106:$G$117,0)))*conv_2026*M$7</f>
        <v>37394.747305038654</v>
      </c>
      <c r="N46" s="31">
        <f>(INDEX(Option3!N$106:N$117, MATCH($D46, Option3!$G$106:$G$117,0)))*conv_2026*N$7</f>
        <v>37774.106760779679</v>
      </c>
      <c r="O46" s="31">
        <f>(INDEX(Option3!O$106:O$117, MATCH($D46, Option3!$G$106:$G$117,0)))*conv_2026*O$7</f>
        <v>38452.878239355938</v>
      </c>
      <c r="P46" s="31">
        <f>(INDEX(Option3!P$106:P$117, MATCH($D46, Option3!$G$106:$G$117,0)))*conv_2026*P$7</f>
        <v>39276.02699816558</v>
      </c>
      <c r="Q46" s="31">
        <f>(INDEX(Option3!Q$106:Q$117, MATCH($D46, Option3!$G$106:$G$117,0)))*conv_2026*Q$7</f>
        <v>39668.51767330803</v>
      </c>
      <c r="R46" s="31">
        <f>(INDEX(Option3!R$106:R$117, MATCH($D46, Option3!$G$106:$G$117,0)))*conv_2026*R$7</f>
        <v>40154.792582100003</v>
      </c>
      <c r="S46" s="31">
        <f>(INDEX(Option3!S$106:S$117, MATCH($D46, Option3!$G$106:$G$117,0)))*conv_2026*S$7</f>
        <v>40646.003356944042</v>
      </c>
      <c r="T46" s="31">
        <f>(INDEX(Option3!T$106:T$117, MATCH($D46, Option3!$G$106:$G$117,0)))*conv_2026*T$7</f>
        <v>108051.20755236609</v>
      </c>
      <c r="U46" s="31">
        <f>(INDEX(Option3!U$106:U$117, MATCH($D46, Option3!$G$106:$G$117,0)))*conv_2026*U$7</f>
        <v>108552.25470170937</v>
      </c>
      <c r="V46" s="31">
        <f>(INDEX(Option3!V$106:V$117, MATCH($D46, Option3!$G$106:$G$117,0)))*conv_2026*V$7</f>
        <v>109058.20307310049</v>
      </c>
      <c r="W46" s="31">
        <f>(INDEX(Option3!W$106:W$117, MATCH($D46, Option3!$G$106:$G$117,0)))*conv_2026*W$7</f>
        <v>109569.04181559784</v>
      </c>
      <c r="X46" s="31">
        <f>(INDEX(Option3!X$106:X$117, MATCH($D46, Option3!$G$106:$G$117,0)))*conv_2026*X$7</f>
        <v>110084.76041087454</v>
      </c>
      <c r="Y46" s="31">
        <f>(INDEX(Option3!Y$106:Y$117, MATCH($D46, Option3!$G$106:$G$117,0)))*conv_2026*Y$7</f>
        <v>110605.34866426136</v>
      </c>
      <c r="Z46" s="31">
        <f>(INDEX(Option3!Z$106:Z$117, MATCH($D46, Option3!$G$106:$G$117,0)))*conv_2026*Z$7</f>
        <v>111130.79669615655</v>
      </c>
      <c r="AA46" s="31">
        <f>(INDEX(Option3!AA$106:AA$117, MATCH($D46, Option3!$G$106:$G$117,0)))*conv_2026*AA$7</f>
        <v>111661.09493377664</v>
      </c>
      <c r="AB46" s="31">
        <f>(INDEX(Option3!AB$106:AB$117, MATCH($D46, Option3!$G$106:$G$117,0)))*conv_2026*AB$7</f>
        <v>112196.23410324311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632708.22938551311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17233.910452645399</v>
      </c>
      <c r="K47" s="31">
        <f>(INDEX(Option3!K$106:K$117, MATCH($D47, Option3!$G$106:$G$117,0)))*conv_2026*K$7</f>
        <v>17731.655646160416</v>
      </c>
      <c r="L47" s="31">
        <f>(INDEX(Option3!L$106:L$117, MATCH($D47, Option3!$G$106:$G$117,0)))*conv_2026*L$7</f>
        <v>18176.575269174809</v>
      </c>
      <c r="M47" s="31">
        <f>(INDEX(Option3!M$106:M$117, MATCH($D47, Option3!$G$106:$G$117,0)))*conv_2026*M$7</f>
        <v>18430.416983936175</v>
      </c>
      <c r="N47" s="31">
        <f>(INDEX(Option3!N$106:N$117, MATCH($D47, Option3!$G$106:$G$117,0)))*conv_2026*N$7</f>
        <v>18740.801993178833</v>
      </c>
      <c r="O47" s="31">
        <f>(INDEX(Option3!O$106:O$117, MATCH($D47, Option3!$G$106:$G$117,0)))*conv_2026*O$7</f>
        <v>19296.160475650311</v>
      </c>
      <c r="P47" s="31">
        <f>(INDEX(Option3!P$106:P$117, MATCH($D47, Option3!$G$106:$G$117,0)))*conv_2026*P$7</f>
        <v>19969.645823767289</v>
      </c>
      <c r="Q47" s="31">
        <f>(INDEX(Option3!Q$106:Q$117, MATCH($D47, Option3!$G$106:$G$117,0)))*conv_2026*Q$7</f>
        <v>20290.774557974746</v>
      </c>
      <c r="R47" s="31">
        <f>(INDEX(Option3!R$106:R$117, MATCH($D47, Option3!$G$106:$G$117,0)))*conv_2026*R$7</f>
        <v>20688.635846986366</v>
      </c>
      <c r="S47" s="31">
        <f>(INDEX(Option3!S$106:S$117, MATCH($D47, Option3!$G$106:$G$117,0)))*conv_2026*S$7</f>
        <v>21090.535571858756</v>
      </c>
      <c r="T47" s="31">
        <f>(INDEX(Option3!T$106:T$117, MATCH($D47, Option3!$G$106:$G$117,0)))*conv_2026*T$7</f>
        <v>88405.533451935902</v>
      </c>
      <c r="U47" s="31">
        <f>(INDEX(Option3!U$106:U$117, MATCH($D47, Option3!$G$106:$G$117,0)))*conv_2026*U$7</f>
        <v>88815.481119580407</v>
      </c>
      <c r="V47" s="31">
        <f>(INDEX(Option3!V$106:V$117, MATCH($D47, Option3!$G$106:$G$117,0)))*conv_2026*V$7</f>
        <v>89229.438877991313</v>
      </c>
      <c r="W47" s="31">
        <f>(INDEX(Option3!W$106:W$117, MATCH($D47, Option3!$G$106:$G$117,0)))*conv_2026*W$7</f>
        <v>89647.397849125497</v>
      </c>
      <c r="X47" s="31">
        <f>(INDEX(Option3!X$106:X$117, MATCH($D47, Option3!$G$106:$G$117,0)))*conv_2026*X$7</f>
        <v>90069.349427079185</v>
      </c>
      <c r="Y47" s="31">
        <f>(INDEX(Option3!Y$106:Y$117, MATCH($D47, Option3!$G$106:$G$117,0)))*conv_2026*Y$7</f>
        <v>90495.285270759312</v>
      </c>
      <c r="Z47" s="31">
        <f>(INDEX(Option3!Z$106:Z$117, MATCH($D47, Option3!$G$106:$G$117,0)))*conv_2026*Z$7</f>
        <v>90925.19729685536</v>
      </c>
      <c r="AA47" s="31">
        <f>(INDEX(Option3!AA$106:AA$117, MATCH($D47, Option3!$G$106:$G$117,0)))*conv_2026*AA$7</f>
        <v>91359.077673089967</v>
      </c>
      <c r="AB47" s="31">
        <f>(INDEX(Option3!AB$106:AB$117, MATCH($D47, Option3!$G$106:$G$117,0)))*conv_2026*AB$7</f>
        <v>91796.918811744385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578011.5568464509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10543.0035065429</v>
      </c>
      <c r="K48" s="31">
        <f>(INDEX(Option3!K$106:K$117, MATCH($D48, Option3!$G$106:$G$117,0)))*conv_2026*K$7</f>
        <v>11040.748700057917</v>
      </c>
      <c r="L48" s="31">
        <f>(INDEX(Option3!L$106:L$117, MATCH($D48, Option3!$G$106:$G$117,0)))*conv_2026*L$7</f>
        <v>11485.668323072312</v>
      </c>
      <c r="M48" s="31">
        <f>(INDEX(Option3!M$106:M$117, MATCH($D48, Option3!$G$106:$G$117,0)))*conv_2026*M$7</f>
        <v>11739.510037833676</v>
      </c>
      <c r="N48" s="31">
        <f>(INDEX(Option3!N$106:N$117, MATCH($D48, Option3!$G$106:$G$117,0)))*conv_2026*N$7</f>
        <v>12049.895047076334</v>
      </c>
      <c r="O48" s="31">
        <f>(INDEX(Option3!O$106:O$117, MATCH($D48, Option3!$G$106:$G$117,0)))*conv_2026*O$7</f>
        <v>12605.253529547812</v>
      </c>
      <c r="P48" s="31">
        <f>(INDEX(Option3!P$106:P$117, MATCH($D48, Option3!$G$106:$G$117,0)))*conv_2026*P$7</f>
        <v>13278.738877664786</v>
      </c>
      <c r="Q48" s="31">
        <f>(INDEX(Option3!Q$106:Q$117, MATCH($D48, Option3!$G$106:$G$117,0)))*conv_2026*Q$7</f>
        <v>13599.867611872247</v>
      </c>
      <c r="R48" s="31">
        <f>(INDEX(Option3!R$106:R$117, MATCH($D48, Option3!$G$106:$G$117,0)))*conv_2026*R$7</f>
        <v>13997.728900883865</v>
      </c>
      <c r="S48" s="31">
        <f>(INDEX(Option3!S$106:S$117, MATCH($D48, Option3!$G$106:$G$117,0)))*conv_2026*S$7</f>
        <v>14399.628625756261</v>
      </c>
      <c r="T48" s="31">
        <f>(INDEX(Option3!T$106:T$117, MATCH($D48, Option3!$G$106:$G$117,0)))*conv_2026*T$7</f>
        <v>88405.533451935902</v>
      </c>
      <c r="U48" s="31">
        <f>(INDEX(Option3!U$106:U$117, MATCH($D48, Option3!$G$106:$G$117,0)))*conv_2026*U$7</f>
        <v>88815.481119580407</v>
      </c>
      <c r="V48" s="31">
        <f>(INDEX(Option3!V$106:V$117, MATCH($D48, Option3!$G$106:$G$117,0)))*conv_2026*V$7</f>
        <v>89229.438877991313</v>
      </c>
      <c r="W48" s="31">
        <f>(INDEX(Option3!W$106:W$117, MATCH($D48, Option3!$G$106:$G$117,0)))*conv_2026*W$7</f>
        <v>89647.397849125497</v>
      </c>
      <c r="X48" s="31">
        <f>(INDEX(Option3!X$106:X$117, MATCH($D48, Option3!$G$106:$G$117,0)))*conv_2026*X$7</f>
        <v>90069.349427079185</v>
      </c>
      <c r="Y48" s="31">
        <f>(INDEX(Option3!Y$106:Y$117, MATCH($D48, Option3!$G$106:$G$117,0)))*conv_2026*Y$7</f>
        <v>90495.285270759312</v>
      </c>
      <c r="Z48" s="31">
        <f>(INDEX(Option3!Z$106:Z$117, MATCH($D48, Option3!$G$106:$G$117,0)))*conv_2026*Z$7</f>
        <v>90925.19729685536</v>
      </c>
      <c r="AA48" s="31">
        <f>(INDEX(Option3!AA$106:AA$117, MATCH($D48, Option3!$G$106:$G$117,0)))*conv_2026*AA$7</f>
        <v>91359.077673089967</v>
      </c>
      <c r="AB48" s="31">
        <f>(INDEX(Option3!AB$106:AB$117, MATCH($D48, Option3!$G$106:$G$117,0)))*conv_2026*AB$7</f>
        <v>91796.918811744385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763783.22436063911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26583.130443053222</v>
      </c>
      <c r="K49" s="31">
        <f>(INDEX(Option3!K$106:K$117, MATCH($D49, Option3!$G$106:$G$117,0)))*conv_2026*K$7</f>
        <v>27136.180658069905</v>
      </c>
      <c r="L49" s="31">
        <f>(INDEX(Option3!L$106:L$117, MATCH($D49, Option3!$G$106:$G$117,0)))*conv_2026*L$7</f>
        <v>27630.535794752566</v>
      </c>
      <c r="M49" s="31">
        <f>(INDEX(Option3!M$106:M$117, MATCH($D49, Option3!$G$106:$G$117,0)))*conv_2026*M$7</f>
        <v>27912.582144487416</v>
      </c>
      <c r="N49" s="31">
        <f>(INDEX(Option3!N$106:N$117, MATCH($D49, Option3!$G$106:$G$117,0)))*conv_2026*N$7</f>
        <v>28257.454376979258</v>
      </c>
      <c r="O49" s="31">
        <f>(INDEX(Option3!O$106:O$117, MATCH($D49, Option3!$G$106:$G$117,0)))*conv_2026*O$7</f>
        <v>28874.519357503123</v>
      </c>
      <c r="P49" s="31">
        <f>(INDEX(Option3!P$106:P$117, MATCH($D49, Option3!$G$106:$G$117,0)))*conv_2026*P$7</f>
        <v>29622.836410966429</v>
      </c>
      <c r="Q49" s="31">
        <f>(INDEX(Option3!Q$106:Q$117, MATCH($D49, Option3!$G$106:$G$117,0)))*conv_2026*Q$7</f>
        <v>29979.646115641386</v>
      </c>
      <c r="R49" s="31">
        <f>(INDEX(Option3!R$106:R$117, MATCH($D49, Option3!$G$106:$G$117,0)))*conv_2026*R$7</f>
        <v>30421.714214543183</v>
      </c>
      <c r="S49" s="31">
        <f>(INDEX(Option3!S$106:S$117, MATCH($D49, Option3!$G$106:$G$117,0)))*conv_2026*S$7</f>
        <v>30868.269464401397</v>
      </c>
      <c r="T49" s="31">
        <f>(INDEX(Option3!T$106:T$117, MATCH($D49, Option3!$G$106:$G$117,0)))*conv_2026*T$7</f>
        <v>98228.370502150996</v>
      </c>
      <c r="U49" s="31">
        <f>(INDEX(Option3!U$106:U$117, MATCH($D49, Option3!$G$106:$G$117,0)))*conv_2026*U$7</f>
        <v>98683.867910644884</v>
      </c>
      <c r="V49" s="31">
        <f>(INDEX(Option3!V$106:V$117, MATCH($D49, Option3!$G$106:$G$117,0)))*conv_2026*V$7</f>
        <v>99143.820975545896</v>
      </c>
      <c r="W49" s="31">
        <f>(INDEX(Option3!W$106:W$117, MATCH($D49, Option3!$G$106:$G$117,0)))*conv_2026*W$7</f>
        <v>99608.219832361676</v>
      </c>
      <c r="X49" s="31">
        <f>(INDEX(Option3!X$106:X$117, MATCH($D49, Option3!$G$106:$G$117,0)))*conv_2026*X$7</f>
        <v>100077.05491897686</v>
      </c>
      <c r="Y49" s="31">
        <f>(INDEX(Option3!Y$106:Y$117, MATCH($D49, Option3!$G$106:$G$117,0)))*conv_2026*Y$7</f>
        <v>100550.31696751033</v>
      </c>
      <c r="Z49" s="31">
        <f>(INDEX(Option3!Z$106:Z$117, MATCH($D49, Option3!$G$106:$G$117,0)))*conv_2026*Z$7</f>
        <v>101027.99699650596</v>
      </c>
      <c r="AA49" s="31">
        <f>(INDEX(Option3!AA$106:AA$117, MATCH($D49, Option3!$G$106:$G$117,0)))*conv_2026*AA$7</f>
        <v>101510.0863034333</v>
      </c>
      <c r="AB49" s="31">
        <f>(INDEX(Option3!AB$106:AB$117, MATCH($D49, Option3!$G$106:$G$117,0)))*conv_2026*AB$7</f>
        <v>101996.57645749375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763783.22436063911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26583.130443053222</v>
      </c>
      <c r="K50" s="31">
        <f>(INDEX(Option3!K$106:K$117, MATCH($D50, Option3!$G$106:$G$117,0)))*conv_2026*K$7</f>
        <v>27136.180658069905</v>
      </c>
      <c r="L50" s="31">
        <f>(INDEX(Option3!L$106:L$117, MATCH($D50, Option3!$G$106:$G$117,0)))*conv_2026*L$7</f>
        <v>27630.535794752566</v>
      </c>
      <c r="M50" s="31">
        <f>(INDEX(Option3!M$106:M$117, MATCH($D50, Option3!$G$106:$G$117,0)))*conv_2026*M$7</f>
        <v>27912.582144487416</v>
      </c>
      <c r="N50" s="31">
        <f>(INDEX(Option3!N$106:N$117, MATCH($D50, Option3!$G$106:$G$117,0)))*conv_2026*N$7</f>
        <v>28257.454376979258</v>
      </c>
      <c r="O50" s="31">
        <f>(INDEX(Option3!O$106:O$117, MATCH($D50, Option3!$G$106:$G$117,0)))*conv_2026*O$7</f>
        <v>28874.519357503123</v>
      </c>
      <c r="P50" s="31">
        <f>(INDEX(Option3!P$106:P$117, MATCH($D50, Option3!$G$106:$G$117,0)))*conv_2026*P$7</f>
        <v>29622.836410966429</v>
      </c>
      <c r="Q50" s="31">
        <f>(INDEX(Option3!Q$106:Q$117, MATCH($D50, Option3!$G$106:$G$117,0)))*conv_2026*Q$7</f>
        <v>29979.646115641386</v>
      </c>
      <c r="R50" s="31">
        <f>(INDEX(Option3!R$106:R$117, MATCH($D50, Option3!$G$106:$G$117,0)))*conv_2026*R$7</f>
        <v>30421.714214543183</v>
      </c>
      <c r="S50" s="31">
        <f>(INDEX(Option3!S$106:S$117, MATCH($D50, Option3!$G$106:$G$117,0)))*conv_2026*S$7</f>
        <v>30868.269464401397</v>
      </c>
      <c r="T50" s="31">
        <f>(INDEX(Option3!T$106:T$117, MATCH($D50, Option3!$G$106:$G$117,0)))*conv_2026*T$7</f>
        <v>98228.370502150996</v>
      </c>
      <c r="U50" s="31">
        <f>(INDEX(Option3!U$106:U$117, MATCH($D50, Option3!$G$106:$G$117,0)))*conv_2026*U$7</f>
        <v>98683.867910644884</v>
      </c>
      <c r="V50" s="31">
        <f>(INDEX(Option3!V$106:V$117, MATCH($D50, Option3!$G$106:$G$117,0)))*conv_2026*V$7</f>
        <v>99143.820975545896</v>
      </c>
      <c r="W50" s="31">
        <f>(INDEX(Option3!W$106:W$117, MATCH($D50, Option3!$G$106:$G$117,0)))*conv_2026*W$7</f>
        <v>99608.219832361676</v>
      </c>
      <c r="X50" s="31">
        <f>(INDEX(Option3!X$106:X$117, MATCH($D50, Option3!$G$106:$G$117,0)))*conv_2026*X$7</f>
        <v>100077.05491897686</v>
      </c>
      <c r="Y50" s="31">
        <f>(INDEX(Option3!Y$106:Y$117, MATCH($D50, Option3!$G$106:$G$117,0)))*conv_2026*Y$7</f>
        <v>100550.31696751033</v>
      </c>
      <c r="Z50" s="31">
        <f>(INDEX(Option3!Z$106:Z$117, MATCH($D50, Option3!$G$106:$G$117,0)))*conv_2026*Z$7</f>
        <v>101027.99699650596</v>
      </c>
      <c r="AA50" s="31">
        <f>(INDEX(Option3!AA$106:AA$117, MATCH($D50, Option3!$G$106:$G$117,0)))*conv_2026*AA$7</f>
        <v>101510.0863034333</v>
      </c>
      <c r="AB50" s="31">
        <f>(INDEX(Option3!AB$106:AB$117, MATCH($D50, Option3!$G$106:$G$117,0)))*conv_2026*AB$7</f>
        <v>101996.57645749375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763783.22436063911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26583.130443053222</v>
      </c>
      <c r="K51" s="31">
        <f>(INDEX(Option3!K$106:K$117, MATCH($D51, Option3!$G$106:$G$117,0)))*conv_2026*K$7</f>
        <v>27136.180658069905</v>
      </c>
      <c r="L51" s="31">
        <f>(INDEX(Option3!L$106:L$117, MATCH($D51, Option3!$G$106:$G$117,0)))*conv_2026*L$7</f>
        <v>27630.535794752566</v>
      </c>
      <c r="M51" s="31">
        <f>(INDEX(Option3!M$106:M$117, MATCH($D51, Option3!$G$106:$G$117,0)))*conv_2026*M$7</f>
        <v>27912.582144487416</v>
      </c>
      <c r="N51" s="31">
        <f>(INDEX(Option3!N$106:N$117, MATCH($D51, Option3!$G$106:$G$117,0)))*conv_2026*N$7</f>
        <v>28257.454376979258</v>
      </c>
      <c r="O51" s="31">
        <f>(INDEX(Option3!O$106:O$117, MATCH($D51, Option3!$G$106:$G$117,0)))*conv_2026*O$7</f>
        <v>28874.519357503123</v>
      </c>
      <c r="P51" s="31">
        <f>(INDEX(Option3!P$106:P$117, MATCH($D51, Option3!$G$106:$G$117,0)))*conv_2026*P$7</f>
        <v>29622.836410966429</v>
      </c>
      <c r="Q51" s="31">
        <f>(INDEX(Option3!Q$106:Q$117, MATCH($D51, Option3!$G$106:$G$117,0)))*conv_2026*Q$7</f>
        <v>29979.646115641386</v>
      </c>
      <c r="R51" s="31">
        <f>(INDEX(Option3!R$106:R$117, MATCH($D51, Option3!$G$106:$G$117,0)))*conv_2026*R$7</f>
        <v>30421.714214543183</v>
      </c>
      <c r="S51" s="31">
        <f>(INDEX(Option3!S$106:S$117, MATCH($D51, Option3!$G$106:$G$117,0)))*conv_2026*S$7</f>
        <v>30868.269464401397</v>
      </c>
      <c r="T51" s="31">
        <f>(INDEX(Option3!T$106:T$117, MATCH($D51, Option3!$G$106:$G$117,0)))*conv_2026*T$7</f>
        <v>98228.370502150996</v>
      </c>
      <c r="U51" s="31">
        <f>(INDEX(Option3!U$106:U$117, MATCH($D51, Option3!$G$106:$G$117,0)))*conv_2026*U$7</f>
        <v>98683.867910644884</v>
      </c>
      <c r="V51" s="31">
        <f>(INDEX(Option3!V$106:V$117, MATCH($D51, Option3!$G$106:$G$117,0)))*conv_2026*V$7</f>
        <v>99143.820975545896</v>
      </c>
      <c r="W51" s="31">
        <f>(INDEX(Option3!W$106:W$117, MATCH($D51, Option3!$G$106:$G$117,0)))*conv_2026*W$7</f>
        <v>99608.219832361676</v>
      </c>
      <c r="X51" s="31">
        <f>(INDEX(Option3!X$106:X$117, MATCH($D51, Option3!$G$106:$G$117,0)))*conv_2026*X$7</f>
        <v>100077.05491897686</v>
      </c>
      <c r="Y51" s="31">
        <f>(INDEX(Option3!Y$106:Y$117, MATCH($D51, Option3!$G$106:$G$117,0)))*conv_2026*Y$7</f>
        <v>100550.31696751033</v>
      </c>
      <c r="Z51" s="31">
        <f>(INDEX(Option3!Z$106:Z$117, MATCH($D51, Option3!$G$106:$G$117,0)))*conv_2026*Z$7</f>
        <v>101027.99699650596</v>
      </c>
      <c r="AA51" s="31">
        <f>(INDEX(Option3!AA$106:AA$117, MATCH($D51, Option3!$G$106:$G$117,0)))*conv_2026*AA$7</f>
        <v>101510.0863034333</v>
      </c>
      <c r="AB51" s="31">
        <f>(INDEX(Option3!AB$106:AB$117, MATCH($D51, Option3!$G$106:$G$117,0)))*conv_2026*AB$7</f>
        <v>101996.57645749375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189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155</v>
      </c>
      <c r="B70" s="253" t="s">
        <v>119</v>
      </c>
      <c r="C70" s="253" t="s">
        <v>189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155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155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155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155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155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155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155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155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160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0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229</v>
      </c>
      <c r="K89" s="283" t="s">
        <v>230</v>
      </c>
    </row>
    <row r="90" spans="1:34" s="8" customFormat="1" x14ac:dyDescent="0.2">
      <c r="A90" s="261" t="s">
        <v>119</v>
      </c>
      <c r="B90" s="261" t="s">
        <v>220</v>
      </c>
      <c r="C90" s="105">
        <f t="shared" ref="C90:G98" si="10">IF(OR($B90=0,C$88),"", INDEX($F$14:$F$81, MATCH(C$89&amp;$A90,$D$14:$D$81,0))/10^6)</f>
        <v>0</v>
      </c>
      <c r="D90" s="105">
        <f t="shared" si="10"/>
        <v>1.1944996820716391</v>
      </c>
      <c r="E90" s="105">
        <f t="shared" si="10"/>
        <v>0.76378322436063917</v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1.1944996820716391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0.74366269802539764</v>
      </c>
      <c r="E91" s="105">
        <f t="shared" si="10"/>
        <v>0.70908655182157687</v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0.74366269802539764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1.645336666117881</v>
      </c>
      <c r="E92" s="105">
        <f t="shared" si="10"/>
        <v>0.81847989689970135</v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1.645336666117881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1.7647866343250449</v>
      </c>
      <c r="E93" s="105">
        <f t="shared" si="10"/>
        <v>0.89485821933576526</v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1.7647866343250449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0.62421272981823361</v>
      </c>
      <c r="E94" s="105">
        <f t="shared" si="10"/>
        <v>0.63270822938551308</v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0.63270822938551308</v>
      </c>
      <c r="K94" s="8" t="str">
        <f t="shared" si="12"/>
        <v>Option 3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0.17337574577199202</v>
      </c>
      <c r="E95" s="105">
        <f t="shared" si="10"/>
        <v>0.57801155684645089</v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0.57801155684645089</v>
      </c>
      <c r="K95" s="8" t="str">
        <f t="shared" si="12"/>
        <v>Option 3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5163-69F2-4B23-A1D3-4374371C1F1C}">
  <sheetPr codeName="Sheet4">
    <tabColor rgb="FFFFFF00"/>
  </sheetPr>
  <dimension ref="A1:AR47"/>
  <sheetViews>
    <sheetView showGridLines="0" zoomScale="90" zoomScaleNormal="90" workbookViewId="0">
      <pane xSplit="4" ySplit="5" topLeftCell="E6" activePane="bottomRight" state="frozen"/>
      <selection activeCell="F23" sqref="F23:G23"/>
      <selection pane="topRight" activeCell="F23" sqref="F23:G23"/>
      <selection pane="bottomLeft" activeCell="F23" sqref="F23:G23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31.75" style="1" bestFit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44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44" ht="18.75" x14ac:dyDescent="0.3">
      <c r="A2" s="56" t="str">
        <f>proj</f>
        <v>CHA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4" ht="18.75" x14ac:dyDescent="0.3">
      <c r="A3" s="5" t="s">
        <v>248</v>
      </c>
      <c r="B3" s="330"/>
      <c r="C3" s="5"/>
      <c r="D3" s="5"/>
    </row>
    <row r="5" spans="1:44" ht="15" x14ac:dyDescent="0.2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</row>
    <row r="6" spans="1:44" x14ac:dyDescent="0.2">
      <c r="C6" s="3"/>
      <c r="D6" s="3"/>
    </row>
    <row r="7" spans="1:44" x14ac:dyDescent="0.2">
      <c r="A7" s="332"/>
      <c r="B7" s="333" t="s">
        <v>249</v>
      </c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2"/>
    </row>
    <row r="8" spans="1:44" x14ac:dyDescent="0.2">
      <c r="A8" s="335"/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</row>
    <row r="9" spans="1:44" x14ac:dyDescent="0.2">
      <c r="A9" s="335"/>
      <c r="B9" s="335"/>
      <c r="C9" s="335"/>
      <c r="D9" s="336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</row>
    <row r="10" spans="1:44" x14ac:dyDescent="0.2">
      <c r="A10" s="335"/>
      <c r="B10" s="335"/>
      <c r="C10" s="335"/>
      <c r="D10" s="335"/>
      <c r="E10" s="337" t="s">
        <v>19</v>
      </c>
      <c r="F10" s="337" t="s">
        <v>21</v>
      </c>
      <c r="G10" s="337" t="s">
        <v>20</v>
      </c>
      <c r="H10" s="337" t="s">
        <v>22</v>
      </c>
      <c r="I10" s="337" t="s">
        <v>93</v>
      </c>
      <c r="J10" s="337" t="s">
        <v>94</v>
      </c>
      <c r="K10" s="337" t="s">
        <v>250</v>
      </c>
      <c r="L10" s="337" t="s">
        <v>251</v>
      </c>
      <c r="M10" s="337" t="s">
        <v>252</v>
      </c>
      <c r="N10" s="337" t="s">
        <v>253</v>
      </c>
      <c r="O10" s="337" t="s">
        <v>254</v>
      </c>
      <c r="P10" s="337" t="s">
        <v>255</v>
      </c>
      <c r="Q10" s="337" t="s">
        <v>256</v>
      </c>
      <c r="R10" s="337" t="s">
        <v>257</v>
      </c>
      <c r="S10" s="337" t="s">
        <v>258</v>
      </c>
      <c r="T10" s="337" t="s">
        <v>259</v>
      </c>
      <c r="U10" s="337" t="s">
        <v>260</v>
      </c>
      <c r="V10" s="337" t="s">
        <v>261</v>
      </c>
      <c r="W10" s="337" t="s">
        <v>262</v>
      </c>
      <c r="X10" s="337" t="s">
        <v>263</v>
      </c>
      <c r="Y10" s="337" t="s">
        <v>264</v>
      </c>
      <c r="Z10" s="337" t="s">
        <v>265</v>
      </c>
      <c r="AA10" s="337" t="s">
        <v>266</v>
      </c>
      <c r="AB10" s="337" t="s">
        <v>267</v>
      </c>
      <c r="AC10" s="337" t="s">
        <v>268</v>
      </c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</row>
    <row r="11" spans="1:44" x14ac:dyDescent="0.2">
      <c r="A11" s="335"/>
      <c r="B11" s="335"/>
      <c r="C11" s="335"/>
      <c r="D11" s="338" t="s">
        <v>2</v>
      </c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</row>
    <row r="12" spans="1:44" x14ac:dyDescent="0.2">
      <c r="A12" s="335"/>
      <c r="B12" s="335"/>
      <c r="C12" s="335"/>
      <c r="D12" s="339" t="s">
        <v>269</v>
      </c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</row>
    <row r="13" spans="1:44" x14ac:dyDescent="0.2">
      <c r="A13" s="335"/>
      <c r="B13" s="335"/>
      <c r="C13" s="335"/>
      <c r="D13" s="341" t="s">
        <v>270</v>
      </c>
      <c r="E13" s="342">
        <f>E12</f>
        <v>0</v>
      </c>
      <c r="F13" s="342">
        <f t="shared" ref="F13:AC13" si="0">F12</f>
        <v>0</v>
      </c>
      <c r="G13" s="342">
        <f t="shared" si="0"/>
        <v>0</v>
      </c>
      <c r="H13" s="342">
        <f t="shared" si="0"/>
        <v>0</v>
      </c>
      <c r="I13" s="342">
        <f t="shared" si="0"/>
        <v>0</v>
      </c>
      <c r="J13" s="342">
        <f t="shared" si="0"/>
        <v>0</v>
      </c>
      <c r="K13" s="342">
        <f t="shared" si="0"/>
        <v>0</v>
      </c>
      <c r="L13" s="342">
        <f t="shared" si="0"/>
        <v>0</v>
      </c>
      <c r="M13" s="342">
        <f t="shared" si="0"/>
        <v>0</v>
      </c>
      <c r="N13" s="342">
        <f t="shared" si="0"/>
        <v>0</v>
      </c>
      <c r="O13" s="342">
        <f t="shared" si="0"/>
        <v>0</v>
      </c>
      <c r="P13" s="342">
        <f t="shared" si="0"/>
        <v>0</v>
      </c>
      <c r="Q13" s="342">
        <f t="shared" si="0"/>
        <v>0</v>
      </c>
      <c r="R13" s="342">
        <f t="shared" si="0"/>
        <v>0</v>
      </c>
      <c r="S13" s="342">
        <f t="shared" si="0"/>
        <v>0</v>
      </c>
      <c r="T13" s="342">
        <f t="shared" si="0"/>
        <v>0</v>
      </c>
      <c r="U13" s="342">
        <f t="shared" si="0"/>
        <v>0</v>
      </c>
      <c r="V13" s="342">
        <f t="shared" si="0"/>
        <v>0</v>
      </c>
      <c r="W13" s="342">
        <f t="shared" si="0"/>
        <v>0</v>
      </c>
      <c r="X13" s="342">
        <f t="shared" si="0"/>
        <v>0</v>
      </c>
      <c r="Y13" s="342">
        <f t="shared" si="0"/>
        <v>0</v>
      </c>
      <c r="Z13" s="342">
        <f t="shared" si="0"/>
        <v>0</v>
      </c>
      <c r="AA13" s="342">
        <f t="shared" si="0"/>
        <v>0</v>
      </c>
      <c r="AB13" s="342">
        <f t="shared" si="0"/>
        <v>0</v>
      </c>
      <c r="AC13" s="342">
        <f t="shared" si="0"/>
        <v>0</v>
      </c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</row>
    <row r="14" spans="1:44" x14ac:dyDescent="0.2">
      <c r="A14" s="335"/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</row>
    <row r="15" spans="1:44" x14ac:dyDescent="0.2">
      <c r="A15" s="335"/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</row>
    <row r="16" spans="1:44" x14ac:dyDescent="0.2">
      <c r="A16" s="343"/>
      <c r="B16" s="333" t="str">
        <f>Assumptions!C15&amp;" - "&amp;Assumptions!E15</f>
        <v>Option 2 - Replace transformer #2 completed in 2026-2027</v>
      </c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  <c r="AM16" s="343"/>
      <c r="AN16" s="343"/>
      <c r="AO16" s="343"/>
      <c r="AP16" s="343"/>
      <c r="AQ16" s="343"/>
      <c r="AR16" s="343"/>
    </row>
    <row r="17" spans="1:44" x14ac:dyDescent="0.2">
      <c r="A17" s="335"/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</row>
    <row r="18" spans="1:44" x14ac:dyDescent="0.2">
      <c r="A18" s="335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</row>
    <row r="19" spans="1:44" x14ac:dyDescent="0.2">
      <c r="A19" s="335"/>
      <c r="B19" s="335"/>
      <c r="C19" s="335"/>
      <c r="D19" s="335"/>
      <c r="E19" s="337" t="s">
        <v>19</v>
      </c>
      <c r="F19" s="337" t="s">
        <v>21</v>
      </c>
      <c r="G19" s="337" t="s">
        <v>20</v>
      </c>
      <c r="H19" s="337" t="s">
        <v>22</v>
      </c>
      <c r="I19" s="337" t="s">
        <v>93</v>
      </c>
      <c r="J19" s="337" t="s">
        <v>94</v>
      </c>
      <c r="K19" s="337" t="s">
        <v>250</v>
      </c>
      <c r="L19" s="337" t="s">
        <v>251</v>
      </c>
      <c r="M19" s="337" t="s">
        <v>252</v>
      </c>
      <c r="N19" s="337" t="s">
        <v>253</v>
      </c>
      <c r="O19" s="337" t="s">
        <v>254</v>
      </c>
      <c r="P19" s="337" t="s">
        <v>255</v>
      </c>
      <c r="Q19" s="337" t="s">
        <v>256</v>
      </c>
      <c r="R19" s="337" t="s">
        <v>257</v>
      </c>
      <c r="S19" s="337" t="s">
        <v>258</v>
      </c>
      <c r="T19" s="337" t="s">
        <v>259</v>
      </c>
      <c r="U19" s="337" t="s">
        <v>260</v>
      </c>
      <c r="V19" s="337" t="s">
        <v>261</v>
      </c>
      <c r="W19" s="337" t="s">
        <v>262</v>
      </c>
      <c r="X19" s="337" t="s">
        <v>263</v>
      </c>
      <c r="Y19" s="337" t="s">
        <v>264</v>
      </c>
      <c r="Z19" s="337" t="s">
        <v>265</v>
      </c>
      <c r="AA19" s="337" t="s">
        <v>266</v>
      </c>
      <c r="AB19" s="337" t="s">
        <v>267</v>
      </c>
      <c r="AC19" s="337" t="s">
        <v>268</v>
      </c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</row>
    <row r="20" spans="1:44" x14ac:dyDescent="0.2">
      <c r="A20" s="335"/>
      <c r="B20" s="335"/>
      <c r="C20" s="335"/>
      <c r="D20" s="338" t="s">
        <v>271</v>
      </c>
      <c r="E20" s="340">
        <v>4813664.3833333338</v>
      </c>
      <c r="F20" s="340">
        <v>2406832.1916666669</v>
      </c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</row>
    <row r="21" spans="1:44" x14ac:dyDescent="0.2">
      <c r="A21" s="335"/>
      <c r="B21" s="335"/>
      <c r="C21" s="335"/>
      <c r="D21" s="344" t="s">
        <v>272</v>
      </c>
      <c r="E21" s="345">
        <f>E20</f>
        <v>4813664.3833333338</v>
      </c>
      <c r="F21" s="345">
        <f t="shared" ref="F21:AC21" si="1">F20</f>
        <v>2406832.1916666669</v>
      </c>
      <c r="G21" s="345">
        <f t="shared" si="1"/>
        <v>0</v>
      </c>
      <c r="H21" s="345">
        <f t="shared" si="1"/>
        <v>0</v>
      </c>
      <c r="I21" s="345">
        <f t="shared" si="1"/>
        <v>0</v>
      </c>
      <c r="J21" s="345">
        <f t="shared" si="1"/>
        <v>0</v>
      </c>
      <c r="K21" s="345">
        <f t="shared" si="1"/>
        <v>0</v>
      </c>
      <c r="L21" s="345">
        <f t="shared" si="1"/>
        <v>0</v>
      </c>
      <c r="M21" s="345">
        <f t="shared" si="1"/>
        <v>0</v>
      </c>
      <c r="N21" s="345">
        <f t="shared" si="1"/>
        <v>0</v>
      </c>
      <c r="O21" s="345">
        <f t="shared" si="1"/>
        <v>0</v>
      </c>
      <c r="P21" s="345">
        <f t="shared" si="1"/>
        <v>0</v>
      </c>
      <c r="Q21" s="345">
        <f t="shared" si="1"/>
        <v>0</v>
      </c>
      <c r="R21" s="345">
        <f t="shared" si="1"/>
        <v>0</v>
      </c>
      <c r="S21" s="345">
        <f t="shared" si="1"/>
        <v>0</v>
      </c>
      <c r="T21" s="345">
        <f t="shared" si="1"/>
        <v>0</v>
      </c>
      <c r="U21" s="345">
        <f t="shared" si="1"/>
        <v>0</v>
      </c>
      <c r="V21" s="345">
        <f t="shared" si="1"/>
        <v>0</v>
      </c>
      <c r="W21" s="345">
        <f t="shared" si="1"/>
        <v>0</v>
      </c>
      <c r="X21" s="345">
        <f t="shared" si="1"/>
        <v>0</v>
      </c>
      <c r="Y21" s="345">
        <f t="shared" si="1"/>
        <v>0</v>
      </c>
      <c r="Z21" s="345">
        <f t="shared" si="1"/>
        <v>0</v>
      </c>
      <c r="AA21" s="345">
        <f t="shared" si="1"/>
        <v>0</v>
      </c>
      <c r="AB21" s="345">
        <f t="shared" si="1"/>
        <v>0</v>
      </c>
      <c r="AC21" s="345">
        <f t="shared" si="1"/>
        <v>0</v>
      </c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</row>
    <row r="22" spans="1:44" x14ac:dyDescent="0.2">
      <c r="A22" s="335"/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</row>
    <row r="23" spans="1:44" x14ac:dyDescent="0.2">
      <c r="A23" s="335"/>
      <c r="B23" s="335"/>
      <c r="C23" s="335"/>
      <c r="D23" s="335"/>
      <c r="E23" s="337" t="s">
        <v>19</v>
      </c>
      <c r="F23" s="337" t="s">
        <v>21</v>
      </c>
      <c r="G23" s="337" t="s">
        <v>20</v>
      </c>
      <c r="H23" s="337" t="s">
        <v>22</v>
      </c>
      <c r="I23" s="337" t="s">
        <v>93</v>
      </c>
      <c r="J23" s="337" t="s">
        <v>94</v>
      </c>
      <c r="K23" s="337" t="s">
        <v>250</v>
      </c>
      <c r="L23" s="337" t="s">
        <v>251</v>
      </c>
      <c r="M23" s="337" t="s">
        <v>252</v>
      </c>
      <c r="N23" s="337" t="s">
        <v>253</v>
      </c>
      <c r="O23" s="337" t="s">
        <v>254</v>
      </c>
      <c r="P23" s="337" t="s">
        <v>255</v>
      </c>
      <c r="Q23" s="337" t="s">
        <v>256</v>
      </c>
      <c r="R23" s="337" t="s">
        <v>257</v>
      </c>
      <c r="S23" s="337" t="s">
        <v>258</v>
      </c>
      <c r="T23" s="337" t="s">
        <v>259</v>
      </c>
      <c r="U23" s="337" t="s">
        <v>260</v>
      </c>
      <c r="V23" s="337" t="s">
        <v>261</v>
      </c>
      <c r="W23" s="337" t="s">
        <v>262</v>
      </c>
      <c r="X23" s="337" t="s">
        <v>263</v>
      </c>
      <c r="Y23" s="337" t="s">
        <v>264</v>
      </c>
      <c r="Z23" s="337" t="s">
        <v>265</v>
      </c>
      <c r="AA23" s="337" t="s">
        <v>266</v>
      </c>
      <c r="AB23" s="337" t="s">
        <v>267</v>
      </c>
      <c r="AC23" s="337" t="s">
        <v>268</v>
      </c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</row>
    <row r="24" spans="1:44" x14ac:dyDescent="0.2">
      <c r="A24" s="335"/>
      <c r="B24" s="335"/>
      <c r="C24" s="335"/>
      <c r="D24" s="338" t="s">
        <v>2</v>
      </c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</row>
    <row r="25" spans="1:44" x14ac:dyDescent="0.2">
      <c r="A25" s="335"/>
      <c r="B25" s="335"/>
      <c r="C25" s="335"/>
      <c r="D25" s="339" t="s">
        <v>273</v>
      </c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</row>
    <row r="26" spans="1:44" x14ac:dyDescent="0.2">
      <c r="A26" s="335"/>
      <c r="B26" s="335"/>
      <c r="C26" s="335"/>
      <c r="D26" s="341" t="s">
        <v>270</v>
      </c>
      <c r="E26" s="342">
        <f>E25</f>
        <v>0</v>
      </c>
      <c r="F26" s="342">
        <f t="shared" ref="F26:AC26" si="2">F25</f>
        <v>0</v>
      </c>
      <c r="G26" s="342">
        <f t="shared" si="2"/>
        <v>0</v>
      </c>
      <c r="H26" s="342">
        <f t="shared" si="2"/>
        <v>0</v>
      </c>
      <c r="I26" s="342">
        <f t="shared" si="2"/>
        <v>0</v>
      </c>
      <c r="J26" s="342">
        <f t="shared" si="2"/>
        <v>0</v>
      </c>
      <c r="K26" s="342">
        <f t="shared" si="2"/>
        <v>0</v>
      </c>
      <c r="L26" s="342">
        <f t="shared" si="2"/>
        <v>0</v>
      </c>
      <c r="M26" s="342">
        <f t="shared" si="2"/>
        <v>0</v>
      </c>
      <c r="N26" s="342">
        <f t="shared" si="2"/>
        <v>0</v>
      </c>
      <c r="O26" s="342">
        <f t="shared" si="2"/>
        <v>0</v>
      </c>
      <c r="P26" s="342">
        <f t="shared" si="2"/>
        <v>0</v>
      </c>
      <c r="Q26" s="342">
        <f t="shared" si="2"/>
        <v>0</v>
      </c>
      <c r="R26" s="342">
        <f t="shared" si="2"/>
        <v>0</v>
      </c>
      <c r="S26" s="342">
        <f t="shared" si="2"/>
        <v>0</v>
      </c>
      <c r="T26" s="342">
        <f t="shared" si="2"/>
        <v>0</v>
      </c>
      <c r="U26" s="342">
        <f t="shared" si="2"/>
        <v>0</v>
      </c>
      <c r="V26" s="342">
        <f t="shared" si="2"/>
        <v>0</v>
      </c>
      <c r="W26" s="342">
        <f t="shared" si="2"/>
        <v>0</v>
      </c>
      <c r="X26" s="342">
        <f t="shared" si="2"/>
        <v>0</v>
      </c>
      <c r="Y26" s="342">
        <f t="shared" si="2"/>
        <v>0</v>
      </c>
      <c r="Z26" s="342">
        <f t="shared" si="2"/>
        <v>0</v>
      </c>
      <c r="AA26" s="342">
        <f t="shared" si="2"/>
        <v>0</v>
      </c>
      <c r="AB26" s="342">
        <f t="shared" si="2"/>
        <v>0</v>
      </c>
      <c r="AC26" s="342">
        <f t="shared" si="2"/>
        <v>0</v>
      </c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</row>
    <row r="27" spans="1:44" x14ac:dyDescent="0.2">
      <c r="A27" s="335"/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</row>
    <row r="28" spans="1:44" x14ac:dyDescent="0.2">
      <c r="A28" s="335"/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</row>
    <row r="29" spans="1:44" x14ac:dyDescent="0.2">
      <c r="A29" s="335"/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</row>
    <row r="30" spans="1:44" x14ac:dyDescent="0.2">
      <c r="A30" s="343"/>
      <c r="B30" s="333" t="str">
        <f>Assumptions!C16&amp;" - "&amp;Assumptions!E16</f>
        <v>Option 3 - Refurb transformer #2 completed in 2026-2027</v>
      </c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343"/>
      <c r="AP30" s="343"/>
      <c r="AQ30" s="343"/>
      <c r="AR30" s="343"/>
    </row>
    <row r="31" spans="1:44" x14ac:dyDescent="0.2">
      <c r="A31" s="335"/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</row>
    <row r="32" spans="1:44" x14ac:dyDescent="0.2">
      <c r="A32" s="335"/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</row>
    <row r="33" spans="1:44" x14ac:dyDescent="0.2">
      <c r="A33" s="335"/>
      <c r="B33" s="335"/>
      <c r="C33" s="335"/>
      <c r="D33" s="335"/>
      <c r="E33" s="337" t="s">
        <v>19</v>
      </c>
      <c r="F33" s="337" t="s">
        <v>21</v>
      </c>
      <c r="G33" s="337" t="s">
        <v>20</v>
      </c>
      <c r="H33" s="337" t="s">
        <v>22</v>
      </c>
      <c r="I33" s="337" t="s">
        <v>93</v>
      </c>
      <c r="J33" s="337" t="s">
        <v>94</v>
      </c>
      <c r="K33" s="337" t="s">
        <v>250</v>
      </c>
      <c r="L33" s="337" t="s">
        <v>251</v>
      </c>
      <c r="M33" s="337" t="s">
        <v>252</v>
      </c>
      <c r="N33" s="337" t="s">
        <v>253</v>
      </c>
      <c r="O33" s="337" t="s">
        <v>254</v>
      </c>
      <c r="P33" s="337" t="s">
        <v>255</v>
      </c>
      <c r="Q33" s="337" t="s">
        <v>256</v>
      </c>
      <c r="R33" s="337" t="s">
        <v>257</v>
      </c>
      <c r="S33" s="337" t="s">
        <v>258</v>
      </c>
      <c r="T33" s="337" t="s">
        <v>259</v>
      </c>
      <c r="U33" s="337" t="s">
        <v>260</v>
      </c>
      <c r="V33" s="337" t="s">
        <v>261</v>
      </c>
      <c r="W33" s="337" t="s">
        <v>262</v>
      </c>
      <c r="X33" s="337" t="s">
        <v>263</v>
      </c>
      <c r="Y33" s="337" t="s">
        <v>264</v>
      </c>
      <c r="Z33" s="337" t="s">
        <v>265</v>
      </c>
      <c r="AA33" s="337" t="s">
        <v>266</v>
      </c>
      <c r="AB33" s="337" t="s">
        <v>267</v>
      </c>
      <c r="AC33" s="337" t="s">
        <v>268</v>
      </c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</row>
    <row r="34" spans="1:44" x14ac:dyDescent="0.2">
      <c r="A34" s="335"/>
      <c r="B34" s="335"/>
      <c r="C34" s="335"/>
      <c r="D34" s="338" t="s">
        <v>271</v>
      </c>
      <c r="E34" s="340">
        <v>500000</v>
      </c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</row>
    <row r="35" spans="1:44" x14ac:dyDescent="0.2">
      <c r="A35" s="335"/>
      <c r="B35" s="335"/>
      <c r="C35" s="335"/>
      <c r="D35" s="344" t="s">
        <v>272</v>
      </c>
      <c r="E35" s="345">
        <f>E34</f>
        <v>500000</v>
      </c>
      <c r="F35" s="345">
        <f t="shared" ref="F35:AC35" si="3">F34</f>
        <v>0</v>
      </c>
      <c r="G35" s="345">
        <f t="shared" si="3"/>
        <v>0</v>
      </c>
      <c r="H35" s="345">
        <f t="shared" si="3"/>
        <v>0</v>
      </c>
      <c r="I35" s="345">
        <f t="shared" si="3"/>
        <v>0</v>
      </c>
      <c r="J35" s="345">
        <f t="shared" si="3"/>
        <v>0</v>
      </c>
      <c r="K35" s="345">
        <f t="shared" si="3"/>
        <v>0</v>
      </c>
      <c r="L35" s="345">
        <f t="shared" si="3"/>
        <v>0</v>
      </c>
      <c r="M35" s="345">
        <f t="shared" si="3"/>
        <v>0</v>
      </c>
      <c r="N35" s="345">
        <f t="shared" si="3"/>
        <v>0</v>
      </c>
      <c r="O35" s="345">
        <f t="shared" si="3"/>
        <v>0</v>
      </c>
      <c r="P35" s="345">
        <f t="shared" si="3"/>
        <v>0</v>
      </c>
      <c r="Q35" s="345">
        <f t="shared" si="3"/>
        <v>0</v>
      </c>
      <c r="R35" s="345">
        <f t="shared" si="3"/>
        <v>0</v>
      </c>
      <c r="S35" s="345">
        <f t="shared" si="3"/>
        <v>0</v>
      </c>
      <c r="T35" s="345">
        <f t="shared" si="3"/>
        <v>0</v>
      </c>
      <c r="U35" s="345">
        <f t="shared" si="3"/>
        <v>0</v>
      </c>
      <c r="V35" s="345">
        <f t="shared" si="3"/>
        <v>0</v>
      </c>
      <c r="W35" s="345">
        <f t="shared" si="3"/>
        <v>0</v>
      </c>
      <c r="X35" s="345">
        <f t="shared" si="3"/>
        <v>0</v>
      </c>
      <c r="Y35" s="345">
        <f t="shared" si="3"/>
        <v>0</v>
      </c>
      <c r="Z35" s="345">
        <f t="shared" si="3"/>
        <v>0</v>
      </c>
      <c r="AA35" s="345">
        <f t="shared" si="3"/>
        <v>0</v>
      </c>
      <c r="AB35" s="345">
        <f t="shared" si="3"/>
        <v>0</v>
      </c>
      <c r="AC35" s="345">
        <f t="shared" si="3"/>
        <v>0</v>
      </c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</row>
    <row r="36" spans="1:44" x14ac:dyDescent="0.2">
      <c r="A36" s="335"/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</row>
    <row r="37" spans="1:44" x14ac:dyDescent="0.2">
      <c r="A37" s="335"/>
      <c r="B37" s="335"/>
      <c r="C37" s="335"/>
      <c r="D37" s="335"/>
      <c r="E37" s="337" t="s">
        <v>19</v>
      </c>
      <c r="F37" s="337" t="s">
        <v>21</v>
      </c>
      <c r="G37" s="337" t="s">
        <v>20</v>
      </c>
      <c r="H37" s="337" t="s">
        <v>22</v>
      </c>
      <c r="I37" s="337" t="s">
        <v>93</v>
      </c>
      <c r="J37" s="337" t="s">
        <v>94</v>
      </c>
      <c r="K37" s="337" t="s">
        <v>250</v>
      </c>
      <c r="L37" s="337" t="s">
        <v>251</v>
      </c>
      <c r="M37" s="337" t="s">
        <v>252</v>
      </c>
      <c r="N37" s="337" t="s">
        <v>253</v>
      </c>
      <c r="O37" s="337" t="s">
        <v>254</v>
      </c>
      <c r="P37" s="337" t="s">
        <v>255</v>
      </c>
      <c r="Q37" s="337" t="s">
        <v>256</v>
      </c>
      <c r="R37" s="337" t="s">
        <v>257</v>
      </c>
      <c r="S37" s="337" t="s">
        <v>258</v>
      </c>
      <c r="T37" s="337" t="s">
        <v>259</v>
      </c>
      <c r="U37" s="337" t="s">
        <v>260</v>
      </c>
      <c r="V37" s="337" t="s">
        <v>261</v>
      </c>
      <c r="W37" s="337" t="s">
        <v>262</v>
      </c>
      <c r="X37" s="337" t="s">
        <v>263</v>
      </c>
      <c r="Y37" s="337" t="s">
        <v>264</v>
      </c>
      <c r="Z37" s="337" t="s">
        <v>265</v>
      </c>
      <c r="AA37" s="337" t="s">
        <v>266</v>
      </c>
      <c r="AB37" s="337" t="s">
        <v>267</v>
      </c>
      <c r="AC37" s="337" t="s">
        <v>268</v>
      </c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</row>
    <row r="38" spans="1:44" x14ac:dyDescent="0.2">
      <c r="A38" s="335"/>
      <c r="B38" s="335"/>
      <c r="C38" s="335"/>
      <c r="D38" s="338" t="s">
        <v>2</v>
      </c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</row>
    <row r="39" spans="1:44" x14ac:dyDescent="0.2">
      <c r="A39" s="335"/>
      <c r="B39" s="335"/>
      <c r="C39" s="335"/>
      <c r="D39" s="339" t="s">
        <v>273</v>
      </c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</row>
    <row r="40" spans="1:44" x14ac:dyDescent="0.2">
      <c r="A40" s="335"/>
      <c r="B40" s="335"/>
      <c r="C40" s="335"/>
      <c r="D40" s="341" t="s">
        <v>270</v>
      </c>
      <c r="E40" s="342">
        <v>0</v>
      </c>
      <c r="F40" s="342">
        <v>0</v>
      </c>
      <c r="G40" s="342">
        <v>0</v>
      </c>
      <c r="H40" s="342">
        <v>0</v>
      </c>
      <c r="I40" s="342">
        <v>0</v>
      </c>
      <c r="J40" s="342">
        <v>0</v>
      </c>
      <c r="K40" s="342">
        <v>0</v>
      </c>
      <c r="L40" s="342">
        <v>0</v>
      </c>
      <c r="M40" s="342">
        <v>0</v>
      </c>
      <c r="N40" s="342">
        <v>0</v>
      </c>
      <c r="O40" s="342">
        <v>0</v>
      </c>
      <c r="P40" s="342">
        <v>0</v>
      </c>
      <c r="Q40" s="342">
        <v>0</v>
      </c>
      <c r="R40" s="342">
        <v>0</v>
      </c>
      <c r="S40" s="342">
        <v>0</v>
      </c>
      <c r="T40" s="342">
        <v>0</v>
      </c>
      <c r="U40" s="342">
        <v>0</v>
      </c>
      <c r="V40" s="342">
        <v>0</v>
      </c>
      <c r="W40" s="342">
        <v>0</v>
      </c>
      <c r="X40" s="342">
        <v>0</v>
      </c>
      <c r="Y40" s="342">
        <v>0</v>
      </c>
      <c r="Z40" s="342">
        <v>0</v>
      </c>
      <c r="AA40" s="342">
        <v>0</v>
      </c>
      <c r="AB40" s="342">
        <v>0</v>
      </c>
      <c r="AC40" s="342">
        <v>0</v>
      </c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</row>
    <row r="41" spans="1:44" x14ac:dyDescent="0.2">
      <c r="A41" s="335"/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</row>
    <row r="42" spans="1:44" x14ac:dyDescent="0.2">
      <c r="A42" s="335"/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</row>
    <row r="43" spans="1:44" x14ac:dyDescent="0.2">
      <c r="A43" s="335"/>
      <c r="B43" s="335"/>
      <c r="C43" s="335"/>
      <c r="D43" s="335"/>
      <c r="E43" s="335"/>
      <c r="F43" s="347"/>
      <c r="G43" s="335"/>
      <c r="H43" s="335"/>
      <c r="I43" s="335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</row>
    <row r="44" spans="1:44" x14ac:dyDescent="0.2">
      <c r="A44" s="335"/>
      <c r="B44" s="335"/>
      <c r="C44" s="335"/>
      <c r="D44" s="335"/>
      <c r="E44" s="335"/>
      <c r="F44" s="347"/>
      <c r="G44" s="335"/>
      <c r="H44" s="335"/>
      <c r="I44" s="335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</row>
    <row r="45" spans="1:44" x14ac:dyDescent="0.2">
      <c r="A45" s="335"/>
      <c r="B45" s="335"/>
      <c r="C45" s="335"/>
      <c r="D45" s="335"/>
      <c r="E45" s="335"/>
      <c r="F45" s="347"/>
      <c r="G45" s="335"/>
      <c r="H45" s="335"/>
      <c r="I45" s="335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</row>
    <row r="46" spans="1:44" x14ac:dyDescent="0.2">
      <c r="A46" s="335"/>
      <c r="B46" s="335"/>
      <c r="C46" s="335"/>
      <c r="D46" s="335"/>
      <c r="E46" s="335"/>
      <c r="F46" s="347"/>
      <c r="G46" s="335"/>
      <c r="H46" s="335"/>
      <c r="I46" s="335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</row>
    <row r="47" spans="1:44" x14ac:dyDescent="0.2">
      <c r="A47" s="335"/>
      <c r="B47" s="335"/>
      <c r="C47" s="335"/>
      <c r="D47" s="335"/>
      <c r="E47" s="335"/>
      <c r="F47" s="347"/>
      <c r="G47" s="335"/>
      <c r="H47" s="335"/>
      <c r="I47" s="335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5710-E35D-4694-9BC6-D8FD8F8BE172}">
  <sheetPr codeName="Sheet10">
    <tabColor rgb="FFFFFF00"/>
  </sheetPr>
  <dimension ref="A1:AR40"/>
  <sheetViews>
    <sheetView showGridLines="0" zoomScale="90" zoomScaleNormal="90" workbookViewId="0">
      <pane xSplit="4" ySplit="5" topLeftCell="E6" activePane="bottomRight" state="frozen"/>
      <selection activeCell="F23" sqref="F23:G23"/>
      <selection pane="topRight" activeCell="F23" sqref="F23:G23"/>
      <selection pane="bottomLeft" activeCell="F23" sqref="F23:G23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23.875" style="1" bestFit="1" customWidth="1"/>
    <col min="5" max="5" width="12.1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44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44" ht="18.75" x14ac:dyDescent="0.3">
      <c r="A2" s="56" t="str">
        <f>proj</f>
        <v>CHA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4" ht="18.75" x14ac:dyDescent="0.3">
      <c r="A3" s="5" t="s">
        <v>274</v>
      </c>
      <c r="B3" s="330"/>
      <c r="C3" s="5"/>
      <c r="D3" s="5"/>
    </row>
    <row r="5" spans="1:44" ht="15" x14ac:dyDescent="0.2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</row>
    <row r="6" spans="1:44" x14ac:dyDescent="0.2">
      <c r="C6" s="3"/>
      <c r="D6" s="3"/>
    </row>
    <row r="7" spans="1:44" x14ac:dyDescent="0.2">
      <c r="A7" s="332"/>
      <c r="B7" s="333" t="s">
        <v>249</v>
      </c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2"/>
    </row>
    <row r="8" spans="1:44" x14ac:dyDescent="0.2">
      <c r="A8" s="335"/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</row>
    <row r="9" spans="1:44" x14ac:dyDescent="0.2">
      <c r="A9" s="335"/>
      <c r="B9" s="335"/>
      <c r="C9" s="335"/>
      <c r="D9" s="335"/>
      <c r="E9" s="337" t="s">
        <v>19</v>
      </c>
      <c r="F9" s="337" t="s">
        <v>21</v>
      </c>
      <c r="G9" s="337" t="s">
        <v>20</v>
      </c>
      <c r="H9" s="337" t="s">
        <v>22</v>
      </c>
      <c r="I9" s="337" t="s">
        <v>93</v>
      </c>
      <c r="J9" s="337" t="s">
        <v>94</v>
      </c>
      <c r="K9" s="337" t="s">
        <v>250</v>
      </c>
      <c r="L9" s="337" t="s">
        <v>251</v>
      </c>
      <c r="M9" s="337" t="s">
        <v>252</v>
      </c>
      <c r="N9" s="337" t="s">
        <v>253</v>
      </c>
      <c r="O9" s="337" t="s">
        <v>254</v>
      </c>
      <c r="P9" s="337" t="s">
        <v>255</v>
      </c>
      <c r="Q9" s="337" t="s">
        <v>256</v>
      </c>
      <c r="R9" s="337" t="s">
        <v>257</v>
      </c>
      <c r="S9" s="337" t="s">
        <v>258</v>
      </c>
      <c r="T9" s="337" t="s">
        <v>259</v>
      </c>
      <c r="U9" s="337" t="s">
        <v>260</v>
      </c>
      <c r="V9" s="337" t="s">
        <v>261</v>
      </c>
      <c r="W9" s="337" t="s">
        <v>262</v>
      </c>
      <c r="X9" s="337" t="s">
        <v>263</v>
      </c>
      <c r="Y9" s="337" t="s">
        <v>264</v>
      </c>
      <c r="Z9" s="337" t="s">
        <v>265</v>
      </c>
      <c r="AA9" s="337" t="s">
        <v>266</v>
      </c>
      <c r="AB9" s="337" t="s">
        <v>267</v>
      </c>
      <c r="AC9" s="337" t="s">
        <v>268</v>
      </c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</row>
    <row r="10" spans="1:44" x14ac:dyDescent="0.2">
      <c r="A10" s="335"/>
      <c r="B10" s="335"/>
      <c r="C10" s="335"/>
      <c r="D10" s="349" t="s">
        <v>275</v>
      </c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</row>
    <row r="11" spans="1:44" x14ac:dyDescent="0.2">
      <c r="A11" s="335"/>
      <c r="B11" s="335"/>
      <c r="C11" s="335"/>
      <c r="D11" s="335" t="s">
        <v>276</v>
      </c>
      <c r="E11" s="350">
        <v>227536.85462072302</v>
      </c>
      <c r="F11" s="350">
        <v>232680.18943810035</v>
      </c>
      <c r="G11" s="350">
        <v>241516.60941426194</v>
      </c>
      <c r="H11" s="350">
        <v>249319.74080262851</v>
      </c>
      <c r="I11" s="350">
        <v>253414.31642008247</v>
      </c>
      <c r="J11" s="350">
        <v>258593.41296550422</v>
      </c>
      <c r="K11" s="350">
        <v>268502.3430413754</v>
      </c>
      <c r="L11" s="350">
        <v>280685.44174357475</v>
      </c>
      <c r="M11" s="350">
        <v>286041.26386430056</v>
      </c>
      <c r="N11" s="350">
        <v>292871.30421881261</v>
      </c>
      <c r="O11" s="350">
        <v>299769.20014546765</v>
      </c>
      <c r="P11" s="350">
        <v>306734.74221377197</v>
      </c>
      <c r="Q11" s="350">
        <v>313767.72590297397</v>
      </c>
      <c r="R11" s="350">
        <v>320867.95145947539</v>
      </c>
      <c r="S11" s="350">
        <v>328035.22376033635</v>
      </c>
      <c r="T11" s="350">
        <v>335269.35218252754</v>
      </c>
      <c r="U11" s="350">
        <v>342570.15047762031</v>
      </c>
      <c r="V11" s="350">
        <v>349937.43665162288</v>
      </c>
      <c r="W11" s="350">
        <v>357371.032849685</v>
      </c>
      <c r="X11" s="350">
        <v>364870.76524542342</v>
      </c>
      <c r="Y11" s="350">
        <v>372436.46393461799</v>
      </c>
      <c r="Z11" s="350">
        <v>380067.96283306682</v>
      </c>
      <c r="AA11" s="350">
        <v>387765.09957837401</v>
      </c>
      <c r="AB11" s="350">
        <v>395527.71543549502</v>
      </c>
      <c r="AC11" s="350">
        <v>403355.65520582697</v>
      </c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</row>
    <row r="12" spans="1:44" x14ac:dyDescent="0.2">
      <c r="A12" s="335"/>
      <c r="B12" s="335"/>
      <c r="C12" s="335"/>
      <c r="D12" s="335" t="s">
        <v>321</v>
      </c>
      <c r="E12" s="350">
        <v>574.10768182484969</v>
      </c>
      <c r="F12" s="350">
        <v>589.44068446244296</v>
      </c>
      <c r="G12" s="350">
        <v>604.93970835695484</v>
      </c>
      <c r="H12" s="350">
        <v>620.60399479146929</v>
      </c>
      <c r="I12" s="350">
        <v>636.43279984949004</v>
      </c>
      <c r="J12" s="350">
        <v>652.42539391166656</v>
      </c>
      <c r="K12" s="350">
        <v>668.58106117671628</v>
      </c>
      <c r="L12" s="350">
        <v>684.8990992050484</v>
      </c>
      <c r="M12" s="350">
        <v>701.37881848371387</v>
      </c>
      <c r="N12" s="350">
        <v>718.01954201138676</v>
      </c>
      <c r="O12" s="350">
        <v>734.82060490221204</v>
      </c>
      <c r="P12" s="350">
        <v>751.78135400739791</v>
      </c>
      <c r="Q12" s="350">
        <v>768.90114755354796</v>
      </c>
      <c r="R12" s="350">
        <v>786.17935479675998</v>
      </c>
      <c r="S12" s="350">
        <v>803.61535569163129</v>
      </c>
      <c r="T12" s="350">
        <v>821.20854057432996</v>
      </c>
      <c r="U12" s="350">
        <v>838.95830985895975</v>
      </c>
      <c r="V12" s="350">
        <v>856.86407374651776</v>
      </c>
      <c r="W12" s="350">
        <v>874.92525194574898</v>
      </c>
      <c r="X12" s="350">
        <v>893.14127340529933</v>
      </c>
      <c r="Y12" s="350">
        <v>911.51157605655271</v>
      </c>
      <c r="Z12" s="350">
        <v>930.03560656662614</v>
      </c>
      <c r="AA12" s="350">
        <v>930.03560656662614</v>
      </c>
      <c r="AB12" s="350">
        <v>930.03560656662614</v>
      </c>
      <c r="AC12" s="350">
        <v>930.03560656662614</v>
      </c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</row>
    <row r="13" spans="1:44" x14ac:dyDescent="0.2">
      <c r="A13" s="335"/>
      <c r="B13" s="335"/>
      <c r="C13" s="335"/>
      <c r="D13" s="335" t="s">
        <v>322</v>
      </c>
      <c r="E13" s="350">
        <v>29234.77988021445</v>
      </c>
      <c r="F13" s="350">
        <v>30015.568870161358</v>
      </c>
      <c r="G13" s="350">
        <v>30804.812014363837</v>
      </c>
      <c r="H13" s="350">
        <v>31602.470677348534</v>
      </c>
      <c r="I13" s="350">
        <v>32408.506977310884</v>
      </c>
      <c r="J13" s="350">
        <v>33222.883760487246</v>
      </c>
      <c r="K13" s="350">
        <v>34045.564576759272</v>
      </c>
      <c r="L13" s="350">
        <v>34876.513656414339</v>
      </c>
      <c r="M13" s="350">
        <v>35715.695887991744</v>
      </c>
      <c r="N13" s="350">
        <v>36563.076797149202</v>
      </c>
      <c r="O13" s="350">
        <v>37418.622526489868</v>
      </c>
      <c r="P13" s="350">
        <v>38282.299816293009</v>
      </c>
      <c r="Q13" s="350">
        <v>39154.075986097174</v>
      </c>
      <c r="R13" s="350">
        <v>40033.918917086092</v>
      </c>
      <c r="S13" s="350">
        <v>40921.797035233794</v>
      </c>
      <c r="T13" s="350">
        <v>41817.679295165864</v>
      </c>
      <c r="U13" s="350">
        <v>42721.535164697765</v>
      </c>
      <c r="V13" s="350">
        <v>43633.334610014288</v>
      </c>
      <c r="W13" s="350">
        <v>44553.048081454894</v>
      </c>
      <c r="X13" s="350">
        <v>45480.646499874398</v>
      </c>
      <c r="Y13" s="350">
        <v>46416.101243547659</v>
      </c>
      <c r="Z13" s="350">
        <v>47359.384135591572</v>
      </c>
      <c r="AA13" s="350">
        <v>47359.384135591572</v>
      </c>
      <c r="AB13" s="350">
        <v>47359.384135591572</v>
      </c>
      <c r="AC13" s="350">
        <v>47359.384135591572</v>
      </c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</row>
    <row r="14" spans="1:44" x14ac:dyDescent="0.2">
      <c r="A14" s="335"/>
      <c r="B14" s="335"/>
      <c r="C14" s="335"/>
      <c r="D14" s="335" t="s">
        <v>323</v>
      </c>
      <c r="E14" s="350">
        <v>2122.032987897745</v>
      </c>
      <c r="F14" s="350">
        <v>2178.7072642235275</v>
      </c>
      <c r="G14" s="350">
        <v>2235.99519299645</v>
      </c>
      <c r="H14" s="350">
        <v>2293.8939698256713</v>
      </c>
      <c r="I14" s="350">
        <v>2352.4008450260808</v>
      </c>
      <c r="J14" s="350">
        <v>2411.5131217580788</v>
      </c>
      <c r="K14" s="350">
        <v>2471.2281542567976</v>
      </c>
      <c r="L14" s="350">
        <v>2531.543346145233</v>
      </c>
      <c r="M14" s="350">
        <v>2592.4561488261966</v>
      </c>
      <c r="N14" s="350">
        <v>2653.9640599483146</v>
      </c>
      <c r="O14" s="350">
        <v>2716.0646219417577</v>
      </c>
      <c r="P14" s="350">
        <v>2778.75542061956</v>
      </c>
      <c r="Q14" s="350">
        <v>2842.0340838408138</v>
      </c>
      <c r="R14" s="350">
        <v>2905.898280232137</v>
      </c>
      <c r="S14" s="350">
        <v>2970.3457179642446</v>
      </c>
      <c r="T14" s="350">
        <v>3035.3741435805041</v>
      </c>
      <c r="U14" s="350">
        <v>3100.981340874634</v>
      </c>
      <c r="V14" s="350">
        <v>3167.1651298149441</v>
      </c>
      <c r="W14" s="350">
        <v>3233.9233655125477</v>
      </c>
      <c r="X14" s="350">
        <v>3301.2539372313427</v>
      </c>
      <c r="Y14" s="350">
        <v>3369.1547674374747</v>
      </c>
      <c r="Z14" s="350">
        <v>3437.6238108863522</v>
      </c>
      <c r="AA14" s="350">
        <v>3437.6238108863522</v>
      </c>
      <c r="AB14" s="350">
        <v>3437.6238108863522</v>
      </c>
      <c r="AC14" s="350">
        <v>3437.6238108863522</v>
      </c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</row>
    <row r="15" spans="1:44" x14ac:dyDescent="0.2">
      <c r="A15" s="335"/>
      <c r="B15" s="335"/>
      <c r="C15" s="335"/>
      <c r="D15" s="335" t="s">
        <v>324</v>
      </c>
      <c r="E15" s="350">
        <v>176250</v>
      </c>
      <c r="F15" s="350">
        <v>176250</v>
      </c>
      <c r="G15" s="350">
        <v>176250</v>
      </c>
      <c r="H15" s="350">
        <v>176250</v>
      </c>
      <c r="I15" s="350">
        <v>176250</v>
      </c>
      <c r="J15" s="350">
        <v>176250</v>
      </c>
      <c r="K15" s="350">
        <v>176250</v>
      </c>
      <c r="L15" s="350">
        <v>176250</v>
      </c>
      <c r="M15" s="350">
        <v>176250</v>
      </c>
      <c r="N15" s="350">
        <v>176250</v>
      </c>
      <c r="O15" s="350">
        <v>176250</v>
      </c>
      <c r="P15" s="350">
        <v>176250</v>
      </c>
      <c r="Q15" s="350">
        <v>176250</v>
      </c>
      <c r="R15" s="350">
        <v>176250</v>
      </c>
      <c r="S15" s="350">
        <v>176250</v>
      </c>
      <c r="T15" s="350">
        <v>176250</v>
      </c>
      <c r="U15" s="350">
        <v>176250</v>
      </c>
      <c r="V15" s="350">
        <v>176250</v>
      </c>
      <c r="W15" s="350">
        <v>176250</v>
      </c>
      <c r="X15" s="350">
        <v>176250</v>
      </c>
      <c r="Y15" s="350">
        <v>176250</v>
      </c>
      <c r="Z15" s="350">
        <v>176250</v>
      </c>
      <c r="AA15" s="350">
        <v>176250</v>
      </c>
      <c r="AB15" s="350">
        <v>176250</v>
      </c>
      <c r="AC15" s="350">
        <v>176250</v>
      </c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</row>
    <row r="16" spans="1:44" x14ac:dyDescent="0.2">
      <c r="A16" s="335"/>
      <c r="B16" s="335"/>
      <c r="C16" s="335"/>
      <c r="D16" s="351" t="s">
        <v>281</v>
      </c>
      <c r="E16" s="345">
        <f>SUM(E11:E15)</f>
        <v>435717.77517066011</v>
      </c>
      <c r="F16" s="345">
        <f t="shared" ref="F16:AC16" si="0">SUM(F11:F15)</f>
        <v>441713.90625694767</v>
      </c>
      <c r="G16" s="345">
        <f t="shared" si="0"/>
        <v>451412.3563299792</v>
      </c>
      <c r="H16" s="345">
        <f t="shared" si="0"/>
        <v>460086.70944459416</v>
      </c>
      <c r="I16" s="345">
        <f t="shared" si="0"/>
        <v>465061.6570422689</v>
      </c>
      <c r="J16" s="345">
        <f t="shared" si="0"/>
        <v>471130.2352416612</v>
      </c>
      <c r="K16" s="345">
        <f t="shared" si="0"/>
        <v>481937.71683356824</v>
      </c>
      <c r="L16" s="345">
        <f t="shared" si="0"/>
        <v>495028.39784533938</v>
      </c>
      <c r="M16" s="345">
        <f t="shared" si="0"/>
        <v>501300.79471960221</v>
      </c>
      <c r="N16" s="345">
        <f t="shared" si="0"/>
        <v>509056.36461792153</v>
      </c>
      <c r="O16" s="345">
        <f t="shared" si="0"/>
        <v>516888.70789880154</v>
      </c>
      <c r="P16" s="345">
        <f t="shared" si="0"/>
        <v>524797.5788046919</v>
      </c>
      <c r="Q16" s="345">
        <f t="shared" si="0"/>
        <v>532782.73712046538</v>
      </c>
      <c r="R16" s="345">
        <f t="shared" si="0"/>
        <v>540843.9480115904</v>
      </c>
      <c r="S16" s="345">
        <f t="shared" si="0"/>
        <v>548980.98186922609</v>
      </c>
      <c r="T16" s="345">
        <f t="shared" si="0"/>
        <v>557193.61416184832</v>
      </c>
      <c r="U16" s="345">
        <f t="shared" si="0"/>
        <v>565481.62529305159</v>
      </c>
      <c r="V16" s="345">
        <f t="shared" si="0"/>
        <v>573844.8004651987</v>
      </c>
      <c r="W16" s="345">
        <f t="shared" si="0"/>
        <v>582282.92954859813</v>
      </c>
      <c r="X16" s="345">
        <f t="shared" si="0"/>
        <v>590795.8069559345</v>
      </c>
      <c r="Y16" s="345">
        <f t="shared" si="0"/>
        <v>599383.23152165965</v>
      </c>
      <c r="Z16" s="345">
        <f t="shared" si="0"/>
        <v>608045.00638611137</v>
      </c>
      <c r="AA16" s="345">
        <f t="shared" si="0"/>
        <v>615742.14313141862</v>
      </c>
      <c r="AB16" s="345">
        <f t="shared" si="0"/>
        <v>623504.75898853957</v>
      </c>
      <c r="AC16" s="345">
        <f t="shared" si="0"/>
        <v>631332.69875887153</v>
      </c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</row>
    <row r="17" spans="1:44" x14ac:dyDescent="0.2">
      <c r="A17" s="335"/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</row>
    <row r="18" spans="1:44" x14ac:dyDescent="0.2">
      <c r="A18" s="335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</row>
    <row r="19" spans="1:44" x14ac:dyDescent="0.2">
      <c r="A19" s="332"/>
      <c r="B19" s="333" t="str">
        <f>Workings_costs!B16</f>
        <v>Option 2 - Replace transformer #2 completed in 2026-2027</v>
      </c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2"/>
    </row>
    <row r="20" spans="1:44" x14ac:dyDescent="0.2">
      <c r="A20" s="335"/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</row>
    <row r="21" spans="1:44" x14ac:dyDescent="0.2">
      <c r="A21" s="335"/>
      <c r="B21" s="335"/>
      <c r="C21" s="335"/>
      <c r="D21" s="335"/>
      <c r="E21" s="337" t="s">
        <v>19</v>
      </c>
      <c r="F21" s="337" t="s">
        <v>21</v>
      </c>
      <c r="G21" s="337" t="s">
        <v>20</v>
      </c>
      <c r="H21" s="337" t="s">
        <v>22</v>
      </c>
      <c r="I21" s="337" t="s">
        <v>93</v>
      </c>
      <c r="J21" s="337" t="s">
        <v>94</v>
      </c>
      <c r="K21" s="337" t="s">
        <v>250</v>
      </c>
      <c r="L21" s="337" t="s">
        <v>251</v>
      </c>
      <c r="M21" s="337" t="s">
        <v>252</v>
      </c>
      <c r="N21" s="337" t="s">
        <v>253</v>
      </c>
      <c r="O21" s="337" t="s">
        <v>254</v>
      </c>
      <c r="P21" s="337" t="s">
        <v>255</v>
      </c>
      <c r="Q21" s="337" t="s">
        <v>256</v>
      </c>
      <c r="R21" s="337" t="s">
        <v>257</v>
      </c>
      <c r="S21" s="337" t="s">
        <v>258</v>
      </c>
      <c r="T21" s="337" t="s">
        <v>259</v>
      </c>
      <c r="U21" s="337" t="s">
        <v>260</v>
      </c>
      <c r="V21" s="337" t="s">
        <v>261</v>
      </c>
      <c r="W21" s="337" t="s">
        <v>262</v>
      </c>
      <c r="X21" s="337" t="s">
        <v>263</v>
      </c>
      <c r="Y21" s="337" t="s">
        <v>264</v>
      </c>
      <c r="Z21" s="337" t="s">
        <v>265</v>
      </c>
      <c r="AA21" s="337" t="s">
        <v>266</v>
      </c>
      <c r="AB21" s="337" t="s">
        <v>267</v>
      </c>
      <c r="AC21" s="337" t="s">
        <v>268</v>
      </c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</row>
    <row r="22" spans="1:44" x14ac:dyDescent="0.2">
      <c r="A22" s="335"/>
      <c r="B22" s="335"/>
      <c r="C22" s="335"/>
      <c r="D22" s="349" t="s">
        <v>275</v>
      </c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</row>
    <row r="23" spans="1:44" x14ac:dyDescent="0.2">
      <c r="A23" s="335"/>
      <c r="B23" s="335"/>
      <c r="C23" s="335"/>
      <c r="D23" s="335" t="s">
        <v>276</v>
      </c>
      <c r="E23" s="350">
        <v>227536.85462072302</v>
      </c>
      <c r="F23" s="350">
        <v>232680.18943810035</v>
      </c>
      <c r="G23" s="350">
        <v>6824.1439692799786</v>
      </c>
      <c r="H23" s="350">
        <v>12536.482733802153</v>
      </c>
      <c r="I23" s="350">
        <v>17760.269880365697</v>
      </c>
      <c r="J23" s="350">
        <v>22857.757298025044</v>
      </c>
      <c r="K23" s="350">
        <v>28340.962231868198</v>
      </c>
      <c r="L23" s="350">
        <v>34177.645744202331</v>
      </c>
      <c r="M23" s="350">
        <v>39235.455368807598</v>
      </c>
      <c r="N23" s="350">
        <v>44474.795671579654</v>
      </c>
      <c r="O23" s="350">
        <v>49735.51553042575</v>
      </c>
      <c r="P23" s="350">
        <v>55025.798911786595</v>
      </c>
      <c r="Q23" s="350">
        <v>60351.86533960473</v>
      </c>
      <c r="R23" s="350">
        <v>65718.552287216895</v>
      </c>
      <c r="S23" s="350">
        <v>71129.692644089271</v>
      </c>
      <c r="T23" s="350">
        <v>76588.369366141749</v>
      </c>
      <c r="U23" s="350">
        <v>82097.093033270154</v>
      </c>
      <c r="V23" s="350">
        <v>87657.92912463512</v>
      </c>
      <c r="W23" s="350">
        <v>93272.591422202982</v>
      </c>
      <c r="X23" s="350">
        <v>98942.511958879506</v>
      </c>
      <c r="Y23" s="350">
        <v>104668.89433214677</v>
      </c>
      <c r="Z23" s="350">
        <v>110452.75497213939</v>
      </c>
      <c r="AA23" s="350">
        <v>116294.9555254999</v>
      </c>
      <c r="AB23" s="350">
        <v>122196.22857895262</v>
      </c>
      <c r="AC23" s="350">
        <v>128157.19831652509</v>
      </c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</row>
    <row r="24" spans="1:44" x14ac:dyDescent="0.2">
      <c r="A24" s="335"/>
      <c r="B24" s="335"/>
      <c r="C24" s="335"/>
      <c r="D24" s="335" t="s">
        <v>321</v>
      </c>
      <c r="E24" s="350">
        <v>574.10768182484969</v>
      </c>
      <c r="F24" s="350">
        <v>589.44068446244296</v>
      </c>
      <c r="G24" s="350">
        <v>302.71389383127502</v>
      </c>
      <c r="H24" s="350">
        <v>311.09487910462065</v>
      </c>
      <c r="I24" s="350">
        <v>319.79605962805124</v>
      </c>
      <c r="J24" s="350">
        <v>328.78877722811211</v>
      </c>
      <c r="K24" s="350">
        <v>338.05502289478812</v>
      </c>
      <c r="L24" s="350">
        <v>347.58187912027552</v>
      </c>
      <c r="M24" s="350">
        <v>357.35938222119597</v>
      </c>
      <c r="N24" s="350">
        <v>367.37948050315123</v>
      </c>
      <c r="O24" s="350">
        <v>377.63545209501871</v>
      </c>
      <c r="P24" s="350">
        <v>388.12154859154839</v>
      </c>
      <c r="Q24" s="350">
        <v>398.8327621035175</v>
      </c>
      <c r="R24" s="350">
        <v>409.76466519711346</v>
      </c>
      <c r="S24" s="350">
        <v>420.91329651847877</v>
      </c>
      <c r="T24" s="350">
        <v>432.27507643156281</v>
      </c>
      <c r="U24" s="350">
        <v>443.84674314233399</v>
      </c>
      <c r="V24" s="350">
        <v>455.6253032577215</v>
      </c>
      <c r="W24" s="350">
        <v>467.60799279170163</v>
      </c>
      <c r="X24" s="350">
        <v>479.79224590812635</v>
      </c>
      <c r="Y24" s="350">
        <v>492.1756695081441</v>
      </c>
      <c r="Z24" s="350">
        <v>504.7560223103377</v>
      </c>
      <c r="AA24" s="350">
        <v>504.7560223103377</v>
      </c>
      <c r="AB24" s="350">
        <v>504.7560223103377</v>
      </c>
      <c r="AC24" s="350">
        <v>504.7560223103377</v>
      </c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</row>
    <row r="25" spans="1:44" x14ac:dyDescent="0.2">
      <c r="A25" s="335"/>
      <c r="B25" s="335"/>
      <c r="C25" s="335"/>
      <c r="D25" s="335" t="s">
        <v>322</v>
      </c>
      <c r="E25" s="350">
        <v>29234.77988021445</v>
      </c>
      <c r="F25" s="350">
        <v>30015.568870161358</v>
      </c>
      <c r="G25" s="350">
        <v>15414.833023502102</v>
      </c>
      <c r="H25" s="350">
        <v>15841.610555666057</v>
      </c>
      <c r="I25" s="350">
        <v>16284.693108562655</v>
      </c>
      <c r="J25" s="350">
        <v>16742.621347263554</v>
      </c>
      <c r="K25" s="350">
        <v>17214.47821481181</v>
      </c>
      <c r="L25" s="350">
        <v>17699.605924333639</v>
      </c>
      <c r="M25" s="350">
        <v>18197.497103955109</v>
      </c>
      <c r="N25" s="350">
        <v>18707.7417443333</v>
      </c>
      <c r="O25" s="350">
        <v>19229.997553544807</v>
      </c>
      <c r="P25" s="350">
        <v>19763.971810611551</v>
      </c>
      <c r="Q25" s="350">
        <v>20309.40950320095</v>
      </c>
      <c r="R25" s="350">
        <v>20866.085177000095</v>
      </c>
      <c r="S25" s="350">
        <v>21433.797111475156</v>
      </c>
      <c r="T25" s="350">
        <v>22012.363023972019</v>
      </c>
      <c r="U25" s="350">
        <v>22601.616817025788</v>
      </c>
      <c r="V25" s="350">
        <v>23201.406060717327</v>
      </c>
      <c r="W25" s="350">
        <v>23811.59000702051</v>
      </c>
      <c r="X25" s="350">
        <v>24432.037998120839</v>
      </c>
      <c r="Y25" s="350">
        <v>25062.628172353026</v>
      </c>
      <c r="Z25" s="350">
        <v>25703.246398917316</v>
      </c>
      <c r="AA25" s="350">
        <v>25703.246398917316</v>
      </c>
      <c r="AB25" s="350">
        <v>25703.246398917316</v>
      </c>
      <c r="AC25" s="350">
        <v>25703.246398917316</v>
      </c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</row>
    <row r="26" spans="1:44" x14ac:dyDescent="0.2">
      <c r="A26" s="335"/>
      <c r="B26" s="335"/>
      <c r="C26" s="335"/>
      <c r="D26" s="335" t="s">
        <v>323</v>
      </c>
      <c r="E26" s="350">
        <v>2122.032987897745</v>
      </c>
      <c r="F26" s="350">
        <v>2178.7072642235275</v>
      </c>
      <c r="G26" s="350">
        <v>1118.8996227382249</v>
      </c>
      <c r="H26" s="350">
        <v>1149.8776566230779</v>
      </c>
      <c r="I26" s="350">
        <v>1182.0392052121563</v>
      </c>
      <c r="J26" s="350">
        <v>1215.2783413573502</v>
      </c>
      <c r="K26" s="350">
        <v>1249.5284996484736</v>
      </c>
      <c r="L26" s="350">
        <v>1284.7419340292577</v>
      </c>
      <c r="M26" s="350">
        <v>1320.8818164524919</v>
      </c>
      <c r="N26" s="350">
        <v>1357.9183860185015</v>
      </c>
      <c r="O26" s="350">
        <v>1395.8267971578678</v>
      </c>
      <c r="P26" s="350">
        <v>1434.5858024531562</v>
      </c>
      <c r="Q26" s="350">
        <v>1474.1768916031335</v>
      </c>
      <c r="R26" s="350">
        <v>1514.5836998022082</v>
      </c>
      <c r="S26" s="350">
        <v>1555.7915849826486</v>
      </c>
      <c r="T26" s="350">
        <v>1597.7873159928351</v>
      </c>
      <c r="U26" s="350">
        <v>1640.5588364977743</v>
      </c>
      <c r="V26" s="350">
        <v>1684.0950822336647</v>
      </c>
      <c r="W26" s="350">
        <v>1728.3858368774954</v>
      </c>
      <c r="X26" s="350">
        <v>1773.4216165134092</v>
      </c>
      <c r="Y26" s="350">
        <v>1819.1935757020096</v>
      </c>
      <c r="Z26" s="350">
        <v>1865.6934301557794</v>
      </c>
      <c r="AA26" s="350">
        <v>1865.6934301557794</v>
      </c>
      <c r="AB26" s="350">
        <v>1865.6934301557794</v>
      </c>
      <c r="AC26" s="350">
        <v>1865.6934301557794</v>
      </c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</row>
    <row r="27" spans="1:44" x14ac:dyDescent="0.2">
      <c r="A27" s="335"/>
      <c r="B27" s="335"/>
      <c r="C27" s="335"/>
      <c r="D27" s="335" t="s">
        <v>324</v>
      </c>
      <c r="E27" s="350">
        <v>176250</v>
      </c>
      <c r="F27" s="350">
        <v>176250</v>
      </c>
      <c r="G27" s="350">
        <v>35250</v>
      </c>
      <c r="H27" s="350">
        <v>35250</v>
      </c>
      <c r="I27" s="350">
        <v>35250</v>
      </c>
      <c r="J27" s="350">
        <v>35250</v>
      </c>
      <c r="K27" s="350">
        <v>35250</v>
      </c>
      <c r="L27" s="350">
        <v>35250</v>
      </c>
      <c r="M27" s="350">
        <v>35250</v>
      </c>
      <c r="N27" s="350">
        <v>35250</v>
      </c>
      <c r="O27" s="350">
        <v>35250</v>
      </c>
      <c r="P27" s="350">
        <v>35250</v>
      </c>
      <c r="Q27" s="350">
        <v>35250</v>
      </c>
      <c r="R27" s="350">
        <v>35250</v>
      </c>
      <c r="S27" s="350">
        <v>35250</v>
      </c>
      <c r="T27" s="350">
        <v>35250</v>
      </c>
      <c r="U27" s="350">
        <v>35250</v>
      </c>
      <c r="V27" s="350">
        <v>35250</v>
      </c>
      <c r="W27" s="350">
        <v>35250</v>
      </c>
      <c r="X27" s="350">
        <v>35250</v>
      </c>
      <c r="Y27" s="350">
        <v>35250</v>
      </c>
      <c r="Z27" s="350">
        <v>35250</v>
      </c>
      <c r="AA27" s="350">
        <v>35250</v>
      </c>
      <c r="AB27" s="350">
        <v>35250</v>
      </c>
      <c r="AC27" s="350">
        <v>35250</v>
      </c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</row>
    <row r="28" spans="1:44" x14ac:dyDescent="0.2">
      <c r="A28" s="335"/>
      <c r="B28" s="335"/>
      <c r="C28" s="335"/>
      <c r="D28" s="351" t="s">
        <v>281</v>
      </c>
      <c r="E28" s="345">
        <f>SUM(E23:E27)</f>
        <v>435717.77517066011</v>
      </c>
      <c r="F28" s="345">
        <f t="shared" ref="F28:AC28" si="1">SUM(F23:F27)</f>
        <v>441713.90625694767</v>
      </c>
      <c r="G28" s="345">
        <f t="shared" si="1"/>
        <v>58910.590509351583</v>
      </c>
      <c r="H28" s="345">
        <f t="shared" si="1"/>
        <v>65089.06582519591</v>
      </c>
      <c r="I28" s="345">
        <f t="shared" si="1"/>
        <v>70796.79825376856</v>
      </c>
      <c r="J28" s="345">
        <f t="shared" si="1"/>
        <v>76394.445763874057</v>
      </c>
      <c r="K28" s="345">
        <f t="shared" si="1"/>
        <v>82393.023969223272</v>
      </c>
      <c r="L28" s="345">
        <f t="shared" si="1"/>
        <v>88759.575481685504</v>
      </c>
      <c r="M28" s="345">
        <f t="shared" si="1"/>
        <v>94361.193671436398</v>
      </c>
      <c r="N28" s="345">
        <f t="shared" si="1"/>
        <v>100157.83528243461</v>
      </c>
      <c r="O28" s="345">
        <f t="shared" si="1"/>
        <v>105988.97533322344</v>
      </c>
      <c r="P28" s="345">
        <f t="shared" si="1"/>
        <v>111862.47807344285</v>
      </c>
      <c r="Q28" s="345">
        <f t="shared" si="1"/>
        <v>117784.28449651232</v>
      </c>
      <c r="R28" s="345">
        <f t="shared" si="1"/>
        <v>123758.98582921633</v>
      </c>
      <c r="S28" s="345">
        <f t="shared" si="1"/>
        <v>129790.19463706556</v>
      </c>
      <c r="T28" s="345">
        <f t="shared" si="1"/>
        <v>135880.79478253817</v>
      </c>
      <c r="U28" s="345">
        <f t="shared" si="1"/>
        <v>142033.11542993604</v>
      </c>
      <c r="V28" s="345">
        <f t="shared" si="1"/>
        <v>148249.05557084383</v>
      </c>
      <c r="W28" s="345">
        <f t="shared" si="1"/>
        <v>154530.1752588927</v>
      </c>
      <c r="X28" s="345">
        <f t="shared" si="1"/>
        <v>160877.76381942187</v>
      </c>
      <c r="Y28" s="345">
        <f t="shared" si="1"/>
        <v>167292.89174970993</v>
      </c>
      <c r="Z28" s="345">
        <f t="shared" si="1"/>
        <v>173776.45082352281</v>
      </c>
      <c r="AA28" s="345">
        <f t="shared" si="1"/>
        <v>179618.65137688332</v>
      </c>
      <c r="AB28" s="345">
        <f t="shared" si="1"/>
        <v>185519.92443033605</v>
      </c>
      <c r="AC28" s="345">
        <f t="shared" si="1"/>
        <v>191480.89416790853</v>
      </c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</row>
    <row r="31" spans="1:44" x14ac:dyDescent="0.2">
      <c r="A31" s="332"/>
      <c r="B31" s="333" t="str">
        <f>Workings_costs!B30</f>
        <v>Option 3 - Refurb transformer #2 completed in 2026-2027</v>
      </c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2"/>
    </row>
    <row r="32" spans="1:44" x14ac:dyDescent="0.2">
      <c r="A32" s="335"/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</row>
    <row r="33" spans="1:44" x14ac:dyDescent="0.2">
      <c r="A33" s="335"/>
      <c r="B33" s="335"/>
      <c r="C33" s="335"/>
      <c r="D33" s="335"/>
      <c r="E33" s="337" t="s">
        <v>19</v>
      </c>
      <c r="F33" s="337" t="s">
        <v>21</v>
      </c>
      <c r="G33" s="337" t="s">
        <v>20</v>
      </c>
      <c r="H33" s="337" t="s">
        <v>22</v>
      </c>
      <c r="I33" s="337" t="s">
        <v>93</v>
      </c>
      <c r="J33" s="337" t="s">
        <v>94</v>
      </c>
      <c r="K33" s="337" t="s">
        <v>250</v>
      </c>
      <c r="L33" s="337" t="s">
        <v>251</v>
      </c>
      <c r="M33" s="337" t="s">
        <v>252</v>
      </c>
      <c r="N33" s="337" t="s">
        <v>253</v>
      </c>
      <c r="O33" s="337" t="s">
        <v>254</v>
      </c>
      <c r="P33" s="337" t="s">
        <v>255</v>
      </c>
      <c r="Q33" s="337" t="s">
        <v>256</v>
      </c>
      <c r="R33" s="337" t="s">
        <v>257</v>
      </c>
      <c r="S33" s="337" t="s">
        <v>258</v>
      </c>
      <c r="T33" s="337" t="s">
        <v>259</v>
      </c>
      <c r="U33" s="337" t="s">
        <v>260</v>
      </c>
      <c r="V33" s="337" t="s">
        <v>261</v>
      </c>
      <c r="W33" s="337" t="s">
        <v>262</v>
      </c>
      <c r="X33" s="337" t="s">
        <v>263</v>
      </c>
      <c r="Y33" s="337" t="s">
        <v>264</v>
      </c>
      <c r="Z33" s="337" t="s">
        <v>265</v>
      </c>
      <c r="AA33" s="337" t="s">
        <v>266</v>
      </c>
      <c r="AB33" s="337" t="s">
        <v>267</v>
      </c>
      <c r="AC33" s="337" t="s">
        <v>268</v>
      </c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</row>
    <row r="34" spans="1:44" x14ac:dyDescent="0.2">
      <c r="A34" s="335"/>
      <c r="B34" s="335"/>
      <c r="C34" s="335"/>
      <c r="D34" s="349" t="s">
        <v>275</v>
      </c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</row>
    <row r="35" spans="1:44" x14ac:dyDescent="0.2">
      <c r="A35" s="335"/>
      <c r="B35" s="335"/>
      <c r="C35" s="335"/>
      <c r="D35" s="335" t="s">
        <v>276</v>
      </c>
      <c r="E35" s="350">
        <v>227536.85462072302</v>
      </c>
      <c r="F35" s="350">
        <v>220680.08942527432</v>
      </c>
      <c r="G35" s="350">
        <v>229059.18708396162</v>
      </c>
      <c r="H35" s="350">
        <v>236458.15864214898</v>
      </c>
      <c r="I35" s="350">
        <v>240339.76355598139</v>
      </c>
      <c r="J35" s="350">
        <v>245249.85629521345</v>
      </c>
      <c r="K35" s="350">
        <v>254645.6224766146</v>
      </c>
      <c r="L35" s="350">
        <v>266198.03667428379</v>
      </c>
      <c r="M35" s="350">
        <v>271275.37379900884</v>
      </c>
      <c r="N35" s="350">
        <v>277750.73235800932</v>
      </c>
      <c r="O35" s="350">
        <v>284290.32443494187</v>
      </c>
      <c r="P35" s="350">
        <v>290893.94865570654</v>
      </c>
      <c r="Q35" s="350">
        <v>297561.40828940843</v>
      </c>
      <c r="R35" s="350">
        <v>304292.51111320278</v>
      </c>
      <c r="S35" s="350">
        <v>311087.06928291958</v>
      </c>
      <c r="T35" s="350">
        <v>317944.89920913696</v>
      </c>
      <c r="U35" s="350">
        <v>324865.82143841189</v>
      </c>
      <c r="V35" s="350">
        <v>331849.66053939011</v>
      </c>
      <c r="W35" s="350">
        <v>338896.24499353347</v>
      </c>
      <c r="X35" s="350">
        <v>346005.40709022764</v>
      </c>
      <c r="Y35" s="350">
        <v>353176.98282603471</v>
      </c>
      <c r="Z35" s="350">
        <v>360410.81180789007</v>
      </c>
      <c r="AA35" s="350">
        <v>367706.73716002627</v>
      </c>
      <c r="AB35" s="350">
        <v>375064.60543446284</v>
      </c>
      <c r="AC35" s="350">
        <v>382484.26652485464</v>
      </c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</row>
    <row r="36" spans="1:44" x14ac:dyDescent="0.2">
      <c r="A36" s="335"/>
      <c r="B36" s="335"/>
      <c r="C36" s="335"/>
      <c r="D36" s="335" t="s">
        <v>321</v>
      </c>
      <c r="E36" s="350">
        <v>574.10768182484969</v>
      </c>
      <c r="F36" s="350">
        <v>583.54627761781865</v>
      </c>
      <c r="G36" s="350">
        <v>598.89031127338535</v>
      </c>
      <c r="H36" s="350">
        <v>614.39795484355443</v>
      </c>
      <c r="I36" s="350">
        <v>630.06847185099514</v>
      </c>
      <c r="J36" s="350">
        <v>645.90113997254991</v>
      </c>
      <c r="K36" s="350">
        <v>661.89525056494904</v>
      </c>
      <c r="L36" s="350">
        <v>678.050108212998</v>
      </c>
      <c r="M36" s="350">
        <v>694.3650302988766</v>
      </c>
      <c r="N36" s="350">
        <v>710.83934659127283</v>
      </c>
      <c r="O36" s="350">
        <v>727.47239885318993</v>
      </c>
      <c r="P36" s="350">
        <v>744.26354046732388</v>
      </c>
      <c r="Q36" s="350">
        <v>761.21213607801246</v>
      </c>
      <c r="R36" s="350">
        <v>778.31756124879234</v>
      </c>
      <c r="S36" s="350">
        <v>795.57920213471505</v>
      </c>
      <c r="T36" s="350">
        <v>812.99645516858664</v>
      </c>
      <c r="U36" s="350">
        <v>830.56872676037017</v>
      </c>
      <c r="V36" s="350">
        <v>848.29543300905254</v>
      </c>
      <c r="W36" s="350">
        <v>866.17599942629147</v>
      </c>
      <c r="X36" s="350">
        <v>884.20986067124636</v>
      </c>
      <c r="Y36" s="350">
        <v>902.39646029598725</v>
      </c>
      <c r="Z36" s="350">
        <v>920.73525050095986</v>
      </c>
      <c r="AA36" s="350">
        <v>920.73525050095986</v>
      </c>
      <c r="AB36" s="350">
        <v>920.73525050095986</v>
      </c>
      <c r="AC36" s="350">
        <v>920.73525050095986</v>
      </c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</row>
    <row r="37" spans="1:44" x14ac:dyDescent="0.2">
      <c r="A37" s="335"/>
      <c r="B37" s="335"/>
      <c r="C37" s="335"/>
      <c r="D37" s="335" t="s">
        <v>322</v>
      </c>
      <c r="E37" s="350">
        <v>29234.77988021445</v>
      </c>
      <c r="F37" s="350">
        <v>28514.79042665329</v>
      </c>
      <c r="G37" s="350">
        <v>29264.571413645644</v>
      </c>
      <c r="H37" s="350">
        <v>30022.347143481107</v>
      </c>
      <c r="I37" s="350">
        <v>30788.081628445339</v>
      </c>
      <c r="J37" s="350">
        <v>31561.73957246288</v>
      </c>
      <c r="K37" s="350">
        <v>32343.286347921312</v>
      </c>
      <c r="L37" s="350">
        <v>33132.687973593624</v>
      </c>
      <c r="M37" s="350">
        <v>33929.911093592156</v>
      </c>
      <c r="N37" s="350">
        <v>34734.922957291747</v>
      </c>
      <c r="O37" s="350">
        <v>35547.691400165371</v>
      </c>
      <c r="P37" s="350">
        <v>36368.184825478354</v>
      </c>
      <c r="Q37" s="350">
        <v>37196.372186792316</v>
      </c>
      <c r="R37" s="350">
        <v>38032.222971231786</v>
      </c>
      <c r="S37" s="350">
        <v>38875.707183472099</v>
      </c>
      <c r="T37" s="350">
        <v>39726.795330407571</v>
      </c>
      <c r="U37" s="350">
        <v>40585.458406462887</v>
      </c>
      <c r="V37" s="350">
        <v>41451.667879513574</v>
      </c>
      <c r="W37" s="350">
        <v>42325.395677382148</v>
      </c>
      <c r="X37" s="350">
        <v>43206.614174880684</v>
      </c>
      <c r="Y37" s="350">
        <v>44095.296181370279</v>
      </c>
      <c r="Z37" s="350">
        <v>44991.414928811988</v>
      </c>
      <c r="AA37" s="350">
        <v>44991.414928811988</v>
      </c>
      <c r="AB37" s="350">
        <v>44991.414928811988</v>
      </c>
      <c r="AC37" s="350">
        <v>44991.414928811988</v>
      </c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</row>
    <row r="38" spans="1:44" x14ac:dyDescent="0.2">
      <c r="A38" s="335"/>
      <c r="B38" s="335"/>
      <c r="C38" s="335"/>
      <c r="D38" s="335" t="s">
        <v>323</v>
      </c>
      <c r="E38" s="350">
        <v>2122.032987897745</v>
      </c>
      <c r="F38" s="350">
        <v>2178.7072642235275</v>
      </c>
      <c r="G38" s="350">
        <v>2235.99519299645</v>
      </c>
      <c r="H38" s="350">
        <v>2293.8939698256713</v>
      </c>
      <c r="I38" s="350">
        <v>2352.4008450260808</v>
      </c>
      <c r="J38" s="350">
        <v>2411.5131217580788</v>
      </c>
      <c r="K38" s="350">
        <v>2471.2281542567976</v>
      </c>
      <c r="L38" s="350">
        <v>2531.543346145233</v>
      </c>
      <c r="M38" s="350">
        <v>2592.4561488261966</v>
      </c>
      <c r="N38" s="350">
        <v>2653.9640599483146</v>
      </c>
      <c r="O38" s="350">
        <v>2716.0646219417577</v>
      </c>
      <c r="P38" s="350">
        <v>2778.75542061956</v>
      </c>
      <c r="Q38" s="350">
        <v>2842.0340838408138</v>
      </c>
      <c r="R38" s="350">
        <v>2905.898280232137</v>
      </c>
      <c r="S38" s="350">
        <v>2970.3457179642446</v>
      </c>
      <c r="T38" s="350">
        <v>3035.3741435805041</v>
      </c>
      <c r="U38" s="350">
        <v>3100.981340874634</v>
      </c>
      <c r="V38" s="350">
        <v>3167.1651298149441</v>
      </c>
      <c r="W38" s="350">
        <v>3233.9233655125477</v>
      </c>
      <c r="X38" s="350">
        <v>3301.2539372313427</v>
      </c>
      <c r="Y38" s="350">
        <v>3369.1547674374747</v>
      </c>
      <c r="Z38" s="350">
        <v>3437.6238108863522</v>
      </c>
      <c r="AA38" s="350">
        <v>3437.6238108863522</v>
      </c>
      <c r="AB38" s="350">
        <v>3437.6238108863522</v>
      </c>
      <c r="AC38" s="350">
        <v>3437.6238108863522</v>
      </c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</row>
    <row r="39" spans="1:44" x14ac:dyDescent="0.2">
      <c r="A39" s="335"/>
      <c r="B39" s="335"/>
      <c r="C39" s="335"/>
      <c r="D39" s="335" t="s">
        <v>324</v>
      </c>
      <c r="E39" s="350">
        <v>176250</v>
      </c>
      <c r="F39" s="350">
        <v>105750</v>
      </c>
      <c r="G39" s="350">
        <v>105750</v>
      </c>
      <c r="H39" s="350">
        <v>105750</v>
      </c>
      <c r="I39" s="350">
        <v>105750</v>
      </c>
      <c r="J39" s="350">
        <v>105750</v>
      </c>
      <c r="K39" s="350">
        <v>105750</v>
      </c>
      <c r="L39" s="350">
        <v>105750</v>
      </c>
      <c r="M39" s="350">
        <v>105750</v>
      </c>
      <c r="N39" s="350">
        <v>105750</v>
      </c>
      <c r="O39" s="350">
        <v>105750</v>
      </c>
      <c r="P39" s="350">
        <v>105750</v>
      </c>
      <c r="Q39" s="350">
        <v>105750</v>
      </c>
      <c r="R39" s="350">
        <v>105750</v>
      </c>
      <c r="S39" s="350">
        <v>105750</v>
      </c>
      <c r="T39" s="350">
        <v>105750</v>
      </c>
      <c r="U39" s="350">
        <v>105750</v>
      </c>
      <c r="V39" s="350">
        <v>105750</v>
      </c>
      <c r="W39" s="350">
        <v>105750</v>
      </c>
      <c r="X39" s="350">
        <v>105750</v>
      </c>
      <c r="Y39" s="350">
        <v>105750</v>
      </c>
      <c r="Z39" s="350">
        <v>105750</v>
      </c>
      <c r="AA39" s="350">
        <v>105750</v>
      </c>
      <c r="AB39" s="350">
        <v>105750</v>
      </c>
      <c r="AC39" s="350">
        <v>105750</v>
      </c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</row>
    <row r="40" spans="1:44" x14ac:dyDescent="0.2">
      <c r="A40" s="335"/>
      <c r="B40" s="335"/>
      <c r="C40" s="335"/>
      <c r="D40" s="351" t="s">
        <v>281</v>
      </c>
      <c r="E40" s="345">
        <f t="shared" ref="E40:F40" si="2">SUM(E35:E39)</f>
        <v>435717.77517066011</v>
      </c>
      <c r="F40" s="345">
        <f t="shared" si="2"/>
        <v>357707.13339376892</v>
      </c>
      <c r="G40" s="345">
        <f>SUM(G35:G39)</f>
        <v>366908.64400187711</v>
      </c>
      <c r="H40" s="345">
        <f t="shared" ref="H40:AC40" si="3">SUM(H35:H39)</f>
        <v>375138.79771029932</v>
      </c>
      <c r="I40" s="345">
        <f t="shared" si="3"/>
        <v>379860.31450130383</v>
      </c>
      <c r="J40" s="345">
        <f t="shared" si="3"/>
        <v>385619.01012940693</v>
      </c>
      <c r="K40" s="345">
        <f t="shared" si="3"/>
        <v>395872.03222935769</v>
      </c>
      <c r="L40" s="345">
        <f t="shared" si="3"/>
        <v>408290.31810223561</v>
      </c>
      <c r="M40" s="345">
        <f t="shared" si="3"/>
        <v>414242.10607172607</v>
      </c>
      <c r="N40" s="345">
        <f t="shared" si="3"/>
        <v>421600.4587218407</v>
      </c>
      <c r="O40" s="345">
        <f t="shared" si="3"/>
        <v>429031.55285590218</v>
      </c>
      <c r="P40" s="345">
        <f t="shared" si="3"/>
        <v>436535.15244227176</v>
      </c>
      <c r="Q40" s="345">
        <f t="shared" si="3"/>
        <v>444111.02669611952</v>
      </c>
      <c r="R40" s="345">
        <f t="shared" si="3"/>
        <v>451758.94992591551</v>
      </c>
      <c r="S40" s="345">
        <f t="shared" si="3"/>
        <v>459478.7013864906</v>
      </c>
      <c r="T40" s="345">
        <f t="shared" si="3"/>
        <v>467270.0651382936</v>
      </c>
      <c r="U40" s="345">
        <f t="shared" si="3"/>
        <v>475132.82991250983</v>
      </c>
      <c r="V40" s="345">
        <f t="shared" si="3"/>
        <v>483066.78898172767</v>
      </c>
      <c r="W40" s="345">
        <f t="shared" si="3"/>
        <v>491071.74003585445</v>
      </c>
      <c r="X40" s="345">
        <f t="shared" si="3"/>
        <v>499147.48506301088</v>
      </c>
      <c r="Y40" s="345">
        <f t="shared" si="3"/>
        <v>507293.83023513848</v>
      </c>
      <c r="Z40" s="345">
        <f t="shared" si="3"/>
        <v>515510.58579808939</v>
      </c>
      <c r="AA40" s="345">
        <f t="shared" si="3"/>
        <v>522806.51115022559</v>
      </c>
      <c r="AB40" s="345">
        <f t="shared" si="3"/>
        <v>530164.3794246621</v>
      </c>
      <c r="AC40" s="345">
        <f t="shared" si="3"/>
        <v>537584.04051505402</v>
      </c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5D41-0DA1-4029-A2C0-179BECD38DA6}">
  <sheetPr codeName="Sheet12"/>
  <dimension ref="A1:AJ69"/>
  <sheetViews>
    <sheetView showGridLines="0" zoomScaleNormal="100" workbookViewId="0"/>
  </sheetViews>
  <sheetFormatPr defaultRowHeight="12.75" x14ac:dyDescent="0.2"/>
  <cols>
    <col min="1" max="1" width="27.875" bestFit="1" customWidth="1"/>
    <col min="3" max="3" width="19.125" bestFit="1" customWidth="1"/>
    <col min="4" max="4" width="9.875" bestFit="1" customWidth="1"/>
    <col min="5" max="5" width="10.125" bestFit="1" customWidth="1"/>
    <col min="6" max="6" width="12.125" bestFit="1" customWidth="1"/>
    <col min="7" max="7" width="9.875" bestFit="1" customWidth="1"/>
  </cols>
  <sheetData>
    <row r="1" spans="1:36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36" ht="18.75" x14ac:dyDescent="0.3">
      <c r="A2" s="56" t="str">
        <f>proj</f>
        <v>CHA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5" spans="1:36" x14ac:dyDescent="0.2">
      <c r="A5" s="352" t="s">
        <v>282</v>
      </c>
      <c r="B5" s="352"/>
      <c r="C5" s="353" t="s">
        <v>283</v>
      </c>
      <c r="D5" s="353"/>
      <c r="E5" s="206"/>
      <c r="F5" s="354" t="s">
        <v>284</v>
      </c>
      <c r="G5" s="355" t="s">
        <v>285</v>
      </c>
      <c r="H5" s="353" t="s">
        <v>286</v>
      </c>
      <c r="I5" s="353" t="s">
        <v>287</v>
      </c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</row>
    <row r="6" spans="1:36" x14ac:dyDescent="0.2">
      <c r="A6" s="356" t="s">
        <v>288</v>
      </c>
      <c r="B6" s="357" t="s">
        <v>330</v>
      </c>
      <c r="C6" s="358" t="s">
        <v>289</v>
      </c>
      <c r="D6" s="359"/>
      <c r="E6" s="206"/>
      <c r="F6" s="358" t="s">
        <v>290</v>
      </c>
      <c r="G6" s="360" t="b">
        <v>1</v>
      </c>
      <c r="H6" s="355">
        <v>1</v>
      </c>
      <c r="I6" s="361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</row>
    <row r="7" spans="1:36" x14ac:dyDescent="0.2">
      <c r="A7" s="356" t="s">
        <v>291</v>
      </c>
      <c r="B7" s="357" t="s">
        <v>292</v>
      </c>
      <c r="C7" s="358" t="s">
        <v>293</v>
      </c>
      <c r="D7" s="359"/>
      <c r="E7" s="206"/>
      <c r="F7" s="358" t="s">
        <v>294</v>
      </c>
      <c r="G7" s="360">
        <v>1.5746762386214339E-3</v>
      </c>
      <c r="H7" s="355">
        <v>1</v>
      </c>
      <c r="I7" s="361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</row>
    <row r="8" spans="1:36" x14ac:dyDescent="0.2">
      <c r="A8" s="362" t="s">
        <v>8</v>
      </c>
      <c r="B8" s="363">
        <v>48.009</v>
      </c>
      <c r="C8" s="362" t="s">
        <v>295</v>
      </c>
      <c r="D8" s="364">
        <v>9037567.1400000006</v>
      </c>
      <c r="E8" s="206"/>
      <c r="F8" s="358" t="s">
        <v>296</v>
      </c>
      <c r="G8" s="360">
        <v>1.5746762386214339E-3</v>
      </c>
      <c r="H8" s="355">
        <v>1</v>
      </c>
      <c r="I8" s="361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</row>
    <row r="9" spans="1:36" x14ac:dyDescent="0.2">
      <c r="A9" s="362" t="s">
        <v>297</v>
      </c>
      <c r="B9" s="365">
        <v>0.5</v>
      </c>
      <c r="C9" s="362" t="s">
        <v>298</v>
      </c>
      <c r="D9" s="364">
        <v>164000</v>
      </c>
      <c r="E9" s="206"/>
      <c r="F9" s="358" t="s">
        <v>299</v>
      </c>
      <c r="G9" s="366">
        <v>0</v>
      </c>
      <c r="H9" s="355">
        <v>1</v>
      </c>
      <c r="I9" s="361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</row>
    <row r="10" spans="1:36" ht="19.5" customHeight="1" x14ac:dyDescent="0.2">
      <c r="A10" s="367" t="s">
        <v>331</v>
      </c>
      <c r="B10" s="368" t="s">
        <v>300</v>
      </c>
      <c r="C10" s="353" t="s">
        <v>301</v>
      </c>
      <c r="D10" s="352" t="s">
        <v>302</v>
      </c>
      <c r="E10" s="353">
        <v>2025</v>
      </c>
      <c r="F10" s="353">
        <v>2026</v>
      </c>
      <c r="G10" s="353">
        <v>2027</v>
      </c>
      <c r="H10" s="353">
        <v>2028</v>
      </c>
      <c r="I10" s="353">
        <v>2029</v>
      </c>
      <c r="J10" s="353">
        <v>2030</v>
      </c>
      <c r="K10" s="353">
        <v>2031</v>
      </c>
      <c r="L10" s="353">
        <v>2032</v>
      </c>
      <c r="M10" s="353">
        <v>2033</v>
      </c>
      <c r="N10" s="353">
        <v>2034</v>
      </c>
      <c r="O10" s="353">
        <v>2035</v>
      </c>
      <c r="P10" s="353">
        <v>2036</v>
      </c>
      <c r="Q10" s="353">
        <v>2037</v>
      </c>
      <c r="R10" s="353">
        <v>2038</v>
      </c>
      <c r="S10" s="353">
        <v>2039</v>
      </c>
      <c r="T10" s="353">
        <v>2040</v>
      </c>
      <c r="U10" s="353">
        <v>2041</v>
      </c>
      <c r="V10" s="353">
        <v>2042</v>
      </c>
      <c r="W10" s="353">
        <v>2043</v>
      </c>
      <c r="X10" s="353">
        <v>2044</v>
      </c>
      <c r="Y10" s="353">
        <v>2045</v>
      </c>
      <c r="Z10" s="353">
        <v>2046</v>
      </c>
      <c r="AA10" s="353">
        <v>2047</v>
      </c>
      <c r="AB10" s="369">
        <v>2048</v>
      </c>
      <c r="AC10" s="369">
        <v>2049</v>
      </c>
      <c r="AD10" s="369">
        <v>2050</v>
      </c>
      <c r="AE10" s="369">
        <v>2051</v>
      </c>
      <c r="AF10" s="369">
        <v>2052</v>
      </c>
      <c r="AG10" s="369">
        <v>2053</v>
      </c>
      <c r="AH10" s="369">
        <v>2054</v>
      </c>
      <c r="AI10" s="369">
        <v>2055</v>
      </c>
      <c r="AJ10" s="369">
        <v>2056</v>
      </c>
    </row>
    <row r="11" spans="1:36" x14ac:dyDescent="0.2">
      <c r="A11" s="356" t="s">
        <v>303</v>
      </c>
      <c r="B11" s="370" t="b">
        <v>1</v>
      </c>
      <c r="C11" s="371">
        <v>0</v>
      </c>
      <c r="D11" s="356" t="s">
        <v>23</v>
      </c>
      <c r="E11" s="372">
        <v>4117.3886096781498</v>
      </c>
      <c r="F11" s="372">
        <v>4146.565735381957</v>
      </c>
      <c r="G11" s="372">
        <v>4219.814340120668</v>
      </c>
      <c r="H11" s="372">
        <v>4362.7904386813889</v>
      </c>
      <c r="I11" s="372">
        <v>4489.7887090494214</v>
      </c>
      <c r="J11" s="372">
        <v>4555.0756958139273</v>
      </c>
      <c r="K11" s="372">
        <v>4650.4009721342436</v>
      </c>
      <c r="L11" s="372">
        <v>4836.3352226614779</v>
      </c>
      <c r="M11" s="372">
        <v>5059.8406423902734</v>
      </c>
      <c r="N11" s="372">
        <v>5155.2226170163331</v>
      </c>
      <c r="O11" s="372">
        <v>5278.3205571743511</v>
      </c>
      <c r="P11" s="372">
        <v>5402.6415758123803</v>
      </c>
      <c r="Q11" s="372">
        <v>5528.1819016946547</v>
      </c>
      <c r="R11" s="372">
        <v>5654.9378520874616</v>
      </c>
      <c r="S11" s="372">
        <v>5782.9058301892355</v>
      </c>
      <c r="T11" s="372">
        <v>5912.0823226704688</v>
      </c>
      <c r="U11" s="372">
        <v>6042.4638973172014</v>
      </c>
      <c r="V11" s="372">
        <v>6174.047200772513</v>
      </c>
      <c r="W11" s="372">
        <v>6306.828956370784</v>
      </c>
      <c r="X11" s="372">
        <v>6440.8059620596696</v>
      </c>
      <c r="Y11" s="372">
        <v>6575.9750884053819</v>
      </c>
      <c r="Z11" s="372">
        <v>6712.3332766767153</v>
      </c>
      <c r="AA11" s="372">
        <v>6849.8775370040603</v>
      </c>
      <c r="AB11" s="372">
        <v>6988.6049466092609</v>
      </c>
      <c r="AC11" s="372">
        <v>7128.5126481032257</v>
      </c>
      <c r="AD11" s="372">
        <v>7269.5978478474153</v>
      </c>
      <c r="AE11" s="372">
        <v>7411.8578143765835</v>
      </c>
      <c r="AF11" s="372">
        <v>7555.2898768795021</v>
      </c>
      <c r="AG11" s="372">
        <v>7555.2898768795021</v>
      </c>
      <c r="AH11" s="372">
        <v>7555.2898768795021</v>
      </c>
      <c r="AI11" s="372">
        <v>7555.2898768795021</v>
      </c>
      <c r="AJ11" s="372">
        <v>7555.2898768795021</v>
      </c>
    </row>
    <row r="12" spans="1:36" x14ac:dyDescent="0.2">
      <c r="A12" s="356" t="s">
        <v>304</v>
      </c>
      <c r="B12" s="370" t="b">
        <v>0</v>
      </c>
      <c r="C12" s="371">
        <v>50000</v>
      </c>
      <c r="D12" s="356" t="s">
        <v>23</v>
      </c>
      <c r="E12" s="373">
        <v>6087.8548303426523</v>
      </c>
      <c r="F12" s="373">
        <v>6122.88824649242</v>
      </c>
      <c r="G12" s="373">
        <v>6309.0839064691436</v>
      </c>
      <c r="H12" s="373">
        <v>6588.9982499672697</v>
      </c>
      <c r="I12" s="373">
        <v>6834.4514924077394</v>
      </c>
      <c r="J12" s="373">
        <v>6966.4074141550473</v>
      </c>
      <c r="K12" s="373">
        <v>7103.5738282175698</v>
      </c>
      <c r="L12" s="373">
        <v>7357.7183894719001</v>
      </c>
      <c r="M12" s="373">
        <v>7682.0956600647478</v>
      </c>
      <c r="N12" s="373">
        <v>7831.4000867937657</v>
      </c>
      <c r="O12" s="373">
        <v>8018.3910015652782</v>
      </c>
      <c r="P12" s="373">
        <v>8207.2393756895617</v>
      </c>
      <c r="Q12" s="373">
        <v>8397.9394676589054</v>
      </c>
      <c r="R12" s="373">
        <v>8590.4856703511923</v>
      </c>
      <c r="S12" s="373">
        <v>8784.8725071262234</v>
      </c>
      <c r="T12" s="373">
        <v>8981.0946280888857</v>
      </c>
      <c r="U12" s="373">
        <v>9179.1468065096487</v>
      </c>
      <c r="V12" s="373">
        <v>9379.0239353939887</v>
      </c>
      <c r="W12" s="373">
        <v>9580.7210241926459</v>
      </c>
      <c r="X12" s="373">
        <v>9784.2331956451999</v>
      </c>
      <c r="Y12" s="373">
        <v>9989.5556827501496</v>
      </c>
      <c r="Z12" s="373">
        <v>10196.683825854687</v>
      </c>
      <c r="AA12" s="373">
        <v>10405.613069858242</v>
      </c>
      <c r="AB12" s="373">
        <v>10616.338961523828</v>
      </c>
      <c r="AC12" s="373">
        <v>10828.857146892155</v>
      </c>
      <c r="AD12" s="373">
        <v>11043.163368792822</v>
      </c>
      <c r="AE12" s="373">
        <v>11259.253464448626</v>
      </c>
      <c r="AF12" s="373">
        <v>11477.123363167844</v>
      </c>
      <c r="AG12" s="373">
        <v>11477.123363167844</v>
      </c>
      <c r="AH12" s="373">
        <v>11477.123363167844</v>
      </c>
      <c r="AI12" s="373">
        <v>11477.123363167844</v>
      </c>
      <c r="AJ12" s="373">
        <v>11477.123363167844</v>
      </c>
    </row>
    <row r="13" spans="1:36" x14ac:dyDescent="0.2">
      <c r="A13" s="356" t="s">
        <v>305</v>
      </c>
      <c r="B13" s="370" t="b">
        <v>0</v>
      </c>
      <c r="C13" s="371">
        <v>300000</v>
      </c>
      <c r="D13" s="356" t="s">
        <v>23</v>
      </c>
      <c r="E13" s="373">
        <v>4117.3886096781498</v>
      </c>
      <c r="F13" s="373">
        <v>4146.565735381957</v>
      </c>
      <c r="G13" s="373">
        <v>4219.814340120668</v>
      </c>
      <c r="H13" s="373">
        <v>4362.7904386813889</v>
      </c>
      <c r="I13" s="373">
        <v>4489.7887090494214</v>
      </c>
      <c r="J13" s="373">
        <v>4555.0756958139273</v>
      </c>
      <c r="K13" s="373">
        <v>4650.4009721342436</v>
      </c>
      <c r="L13" s="373">
        <v>4836.3352226614779</v>
      </c>
      <c r="M13" s="373">
        <v>5059.8406423902734</v>
      </c>
      <c r="N13" s="373">
        <v>5155.2226170163331</v>
      </c>
      <c r="O13" s="373">
        <v>5278.3205571743511</v>
      </c>
      <c r="P13" s="373">
        <v>5402.6415758123803</v>
      </c>
      <c r="Q13" s="373">
        <v>5528.1819016946547</v>
      </c>
      <c r="R13" s="373">
        <v>5654.9378520874616</v>
      </c>
      <c r="S13" s="373">
        <v>5782.9058301892355</v>
      </c>
      <c r="T13" s="373">
        <v>5912.0823226704688</v>
      </c>
      <c r="U13" s="373">
        <v>6042.4638973172014</v>
      </c>
      <c r="V13" s="373">
        <v>6174.047200772513</v>
      </c>
      <c r="W13" s="373">
        <v>6306.828956370784</v>
      </c>
      <c r="X13" s="373">
        <v>6440.8059620596696</v>
      </c>
      <c r="Y13" s="373">
        <v>6575.9750884053819</v>
      </c>
      <c r="Z13" s="373">
        <v>6712.3332766767153</v>
      </c>
      <c r="AA13" s="373">
        <v>6849.8775370040603</v>
      </c>
      <c r="AB13" s="373">
        <v>6988.6049466092609</v>
      </c>
      <c r="AC13" s="373">
        <v>7128.5126481032257</v>
      </c>
      <c r="AD13" s="373">
        <v>7269.5978478474153</v>
      </c>
      <c r="AE13" s="373">
        <v>7411.8578143765835</v>
      </c>
      <c r="AF13" s="373">
        <v>7555.2898768795021</v>
      </c>
      <c r="AG13" s="373">
        <v>7555.2898768795021</v>
      </c>
      <c r="AH13" s="373">
        <v>7555.2898768795021</v>
      </c>
      <c r="AI13" s="373">
        <v>7555.2898768795021</v>
      </c>
      <c r="AJ13" s="373">
        <v>7555.2898768795021</v>
      </c>
    </row>
    <row r="14" spans="1:36" x14ac:dyDescent="0.2">
      <c r="A14" s="356" t="s">
        <v>306</v>
      </c>
      <c r="B14" s="370" t="b">
        <v>0</v>
      </c>
      <c r="C14" s="371">
        <v>4000</v>
      </c>
      <c r="D14" s="356" t="s">
        <v>307</v>
      </c>
      <c r="E14" s="374">
        <v>3.1493524772428678E-3</v>
      </c>
      <c r="F14" s="374">
        <v>3.2348063839904651E-3</v>
      </c>
      <c r="G14" s="374">
        <v>3.3212000979017187E-3</v>
      </c>
      <c r="H14" s="374">
        <v>3.4085292576165396E-3</v>
      </c>
      <c r="I14" s="374">
        <v>3.4967895881488891E-3</v>
      </c>
      <c r="J14" s="374">
        <v>3.5859768979056108E-3</v>
      </c>
      <c r="K14" s="374">
        <v>3.6760870758507295E-3</v>
      </c>
      <c r="L14" s="374">
        <v>3.7671160888060936E-3</v>
      </c>
      <c r="M14" s="374">
        <v>3.8590599788799287E-3</v>
      </c>
      <c r="N14" s="374">
        <v>3.9519148610155435E-3</v>
      </c>
      <c r="O14" s="374">
        <v>4.0456769206529183E-3</v>
      </c>
      <c r="P14" s="374">
        <v>4.1403424114965816E-3</v>
      </c>
      <c r="Q14" s="374">
        <v>4.2359076533834755E-3</v>
      </c>
      <c r="R14" s="374">
        <v>4.3323690302451432E-3</v>
      </c>
      <c r="S14" s="374">
        <v>4.4297229881587455E-3</v>
      </c>
      <c r="T14" s="374">
        <v>4.5279660334820804E-3</v>
      </c>
      <c r="U14" s="374">
        <v>4.6270947310678417E-3</v>
      </c>
      <c r="V14" s="374">
        <v>4.727105702552796E-3</v>
      </c>
      <c r="W14" s="374">
        <v>4.8279956247179023E-3</v>
      </c>
      <c r="X14" s="374">
        <v>4.929761227915469E-3</v>
      </c>
      <c r="Y14" s="374">
        <v>5.0323992945599735E-3</v>
      </c>
      <c r="Z14" s="374">
        <v>5.135906657679077E-3</v>
      </c>
      <c r="AA14" s="374">
        <v>5.2402801995218781E-3</v>
      </c>
      <c r="AB14" s="374">
        <v>5.2402801995218781E-3</v>
      </c>
      <c r="AC14" s="374">
        <v>5.2402801995218781E-3</v>
      </c>
      <c r="AD14" s="374">
        <v>5.2402801995218781E-3</v>
      </c>
      <c r="AE14" s="374">
        <v>5.2402801995218781E-3</v>
      </c>
      <c r="AF14" s="374">
        <v>5.2402801995218781E-3</v>
      </c>
      <c r="AG14" s="374">
        <v>5.2402801995218781E-3</v>
      </c>
      <c r="AH14" s="374">
        <v>5.2402801995218781E-3</v>
      </c>
      <c r="AI14" s="374">
        <v>5.2402801995218781E-3</v>
      </c>
      <c r="AJ14" s="374">
        <v>5.2402801995218781E-3</v>
      </c>
    </row>
    <row r="15" spans="1:36" x14ac:dyDescent="0.2">
      <c r="A15" s="356" t="s">
        <v>308</v>
      </c>
      <c r="B15" s="370" t="b">
        <v>0</v>
      </c>
      <c r="C15" s="371">
        <v>650</v>
      </c>
      <c r="D15" s="356" t="s">
        <v>309</v>
      </c>
      <c r="E15" s="374">
        <v>1.2597409908971471E-2</v>
      </c>
      <c r="F15" s="374">
        <v>1.293922553596186E-2</v>
      </c>
      <c r="G15" s="374">
        <v>1.3284800391606875E-2</v>
      </c>
      <c r="H15" s="374">
        <v>1.3634117030466159E-2</v>
      </c>
      <c r="I15" s="374">
        <v>1.3987158352595556E-2</v>
      </c>
      <c r="J15" s="374">
        <v>1.4343907591622443E-2</v>
      </c>
      <c r="K15" s="374">
        <v>1.4704348303402918E-2</v>
      </c>
      <c r="L15" s="374">
        <v>1.5068464355224374E-2</v>
      </c>
      <c r="M15" s="374">
        <v>1.5436239915519715E-2</v>
      </c>
      <c r="N15" s="374">
        <v>1.5807659444062174E-2</v>
      </c>
      <c r="O15" s="374">
        <v>1.6182707682611673E-2</v>
      </c>
      <c r="P15" s="374">
        <v>1.6561369645986326E-2</v>
      </c>
      <c r="Q15" s="374">
        <v>1.6943630613533902E-2</v>
      </c>
      <c r="R15" s="374">
        <v>1.7329476120980573E-2</v>
      </c>
      <c r="S15" s="374">
        <v>1.7718891952634982E-2</v>
      </c>
      <c r="T15" s="374">
        <v>1.8111864133928322E-2</v>
      </c>
      <c r="U15" s="374">
        <v>1.8508378924271367E-2</v>
      </c>
      <c r="V15" s="374">
        <v>1.8908422810211184E-2</v>
      </c>
      <c r="W15" s="374">
        <v>1.9311982498871609E-2</v>
      </c>
      <c r="X15" s="374">
        <v>1.9719044911661876E-2</v>
      </c>
      <c r="Y15" s="374">
        <v>2.0129597178239894E-2</v>
      </c>
      <c r="Z15" s="374">
        <v>2.0543626630716308E-2</v>
      </c>
      <c r="AA15" s="374">
        <v>2.0961120798087512E-2</v>
      </c>
      <c r="AB15" s="374">
        <v>2.0961120798087512E-2</v>
      </c>
      <c r="AC15" s="374">
        <v>2.0961120798087512E-2</v>
      </c>
      <c r="AD15" s="374">
        <v>2.0961120798087512E-2</v>
      </c>
      <c r="AE15" s="374">
        <v>2.0961120798087512E-2</v>
      </c>
      <c r="AF15" s="374">
        <v>2.0961120798087512E-2</v>
      </c>
      <c r="AG15" s="374">
        <v>2.0961120798087512E-2</v>
      </c>
      <c r="AH15" s="374">
        <v>2.0961120798087512E-2</v>
      </c>
      <c r="AI15" s="374">
        <v>2.0961120798087512E-2</v>
      </c>
      <c r="AJ15" s="374">
        <v>2.0961120798087512E-2</v>
      </c>
    </row>
    <row r="16" spans="1:36" x14ac:dyDescent="0.2">
      <c r="A16" s="356" t="s">
        <v>310</v>
      </c>
      <c r="B16" s="375" t="b">
        <v>0</v>
      </c>
      <c r="C16" s="371">
        <v>300000</v>
      </c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</row>
    <row r="17" spans="1:36" x14ac:dyDescent="0.2">
      <c r="A17" s="356" t="s">
        <v>311</v>
      </c>
      <c r="B17" s="375" t="b">
        <v>0</v>
      </c>
      <c r="C17" s="371">
        <v>500000</v>
      </c>
      <c r="D17" s="356" t="s">
        <v>276</v>
      </c>
      <c r="E17" s="376">
        <v>226051.74359840291</v>
      </c>
      <c r="F17" s="376">
        <v>227536.85462072302</v>
      </c>
      <c r="G17" s="376">
        <v>232680.18943810035</v>
      </c>
      <c r="H17" s="376">
        <v>241516.60941426194</v>
      </c>
      <c r="I17" s="376">
        <v>249319.74080262851</v>
      </c>
      <c r="J17" s="376">
        <v>253414.31642008247</v>
      </c>
      <c r="K17" s="376">
        <v>258593.41296550422</v>
      </c>
      <c r="L17" s="376">
        <v>268502.3430413754</v>
      </c>
      <c r="M17" s="376">
        <v>280685.44174357475</v>
      </c>
      <c r="N17" s="376">
        <v>286041.26386430056</v>
      </c>
      <c r="O17" s="376">
        <v>292871.30421881261</v>
      </c>
      <c r="P17" s="376">
        <v>299769.20014546765</v>
      </c>
      <c r="Q17" s="376">
        <v>306734.74221377197</v>
      </c>
      <c r="R17" s="376">
        <v>313767.72590297397</v>
      </c>
      <c r="S17" s="376">
        <v>320867.95145947539</v>
      </c>
      <c r="T17" s="376">
        <v>328035.22376033635</v>
      </c>
      <c r="U17" s="376">
        <v>335269.35218252754</v>
      </c>
      <c r="V17" s="376">
        <v>342570.15047762031</v>
      </c>
      <c r="W17" s="376">
        <v>349937.43665162288</v>
      </c>
      <c r="X17" s="376">
        <v>357371.032849685</v>
      </c>
      <c r="Y17" s="376">
        <v>364870.76524542342</v>
      </c>
      <c r="Z17" s="376">
        <v>372436.46393461799</v>
      </c>
      <c r="AA17" s="376">
        <v>380067.96283306682</v>
      </c>
      <c r="AB17" s="376">
        <v>387765.09957837401</v>
      </c>
      <c r="AC17" s="376">
        <v>395527.71543549502</v>
      </c>
      <c r="AD17" s="376">
        <v>403355.65520582697</v>
      </c>
      <c r="AE17" s="376">
        <v>411248.76713969797</v>
      </c>
      <c r="AF17" s="376">
        <v>419206.90285207314</v>
      </c>
      <c r="AG17" s="376">
        <v>419206.90285207314</v>
      </c>
      <c r="AH17" s="376">
        <v>419206.90285207314</v>
      </c>
      <c r="AI17" s="376">
        <v>419206.90285207314</v>
      </c>
      <c r="AJ17" s="376">
        <v>419206.90285207314</v>
      </c>
    </row>
    <row r="18" spans="1:36" x14ac:dyDescent="0.2">
      <c r="A18" s="356" t="s">
        <v>312</v>
      </c>
      <c r="B18" s="370" t="b">
        <v>0</v>
      </c>
      <c r="C18" s="371">
        <v>7220496.5750000011</v>
      </c>
      <c r="D18" s="356" t="s">
        <v>277</v>
      </c>
      <c r="E18" s="376">
        <v>558.94147449060438</v>
      </c>
      <c r="F18" s="376">
        <v>574.10768182484969</v>
      </c>
      <c r="G18" s="376">
        <v>589.44068446244296</v>
      </c>
      <c r="H18" s="376">
        <v>604.93970835695484</v>
      </c>
      <c r="I18" s="376">
        <v>620.60399479146929</v>
      </c>
      <c r="J18" s="376">
        <v>636.43279984949004</v>
      </c>
      <c r="K18" s="376">
        <v>652.42539391166656</v>
      </c>
      <c r="L18" s="376">
        <v>668.58106117671628</v>
      </c>
      <c r="M18" s="376">
        <v>684.8990992050484</v>
      </c>
      <c r="N18" s="376">
        <v>701.37881848371387</v>
      </c>
      <c r="O18" s="376">
        <v>718.01954201138676</v>
      </c>
      <c r="P18" s="376">
        <v>734.82060490221204</v>
      </c>
      <c r="Q18" s="376">
        <v>751.78135400739791</v>
      </c>
      <c r="R18" s="376">
        <v>768.90114755354796</v>
      </c>
      <c r="S18" s="376">
        <v>786.17935479675998</v>
      </c>
      <c r="T18" s="376">
        <v>803.61535569163129</v>
      </c>
      <c r="U18" s="376">
        <v>821.20854057432996</v>
      </c>
      <c r="V18" s="376">
        <v>838.95830985895975</v>
      </c>
      <c r="W18" s="376">
        <v>856.86407374651776</v>
      </c>
      <c r="X18" s="376">
        <v>874.92525194574898</v>
      </c>
      <c r="Y18" s="376">
        <v>893.14127340529933</v>
      </c>
      <c r="Z18" s="376">
        <v>911.51157605655271</v>
      </c>
      <c r="AA18" s="376">
        <v>930.03560656662614</v>
      </c>
      <c r="AB18" s="376">
        <v>930.03560656662614</v>
      </c>
      <c r="AC18" s="376">
        <v>930.03560656662614</v>
      </c>
      <c r="AD18" s="376">
        <v>930.03560656662614</v>
      </c>
      <c r="AE18" s="376">
        <v>930.03560656662614</v>
      </c>
      <c r="AF18" s="376">
        <v>930.03560656662614</v>
      </c>
      <c r="AG18" s="376">
        <v>930.03560656662614</v>
      </c>
      <c r="AH18" s="376">
        <v>930.03560656662614</v>
      </c>
      <c r="AI18" s="376">
        <v>930.03560656662614</v>
      </c>
      <c r="AJ18" s="376">
        <v>930.03560656662614</v>
      </c>
    </row>
    <row r="19" spans="1:36" x14ac:dyDescent="0.2">
      <c r="A19" s="356" t="s">
        <v>313</v>
      </c>
      <c r="B19" s="370" t="b">
        <v>0</v>
      </c>
      <c r="C19" s="371">
        <v>0</v>
      </c>
      <c r="D19" s="356" t="s">
        <v>278</v>
      </c>
      <c r="E19" s="376">
        <v>28462.484460607742</v>
      </c>
      <c r="F19" s="376">
        <v>29234.77988021445</v>
      </c>
      <c r="G19" s="376">
        <v>30015.568870161358</v>
      </c>
      <c r="H19" s="376">
        <v>30804.812014363837</v>
      </c>
      <c r="I19" s="376">
        <v>31602.470677348534</v>
      </c>
      <c r="J19" s="376">
        <v>32408.506977310884</v>
      </c>
      <c r="K19" s="376">
        <v>33222.883760487246</v>
      </c>
      <c r="L19" s="376">
        <v>34045.564576759272</v>
      </c>
      <c r="M19" s="376">
        <v>34876.513656414339</v>
      </c>
      <c r="N19" s="376">
        <v>35715.695887991744</v>
      </c>
      <c r="O19" s="376">
        <v>36563.076797149202</v>
      </c>
      <c r="P19" s="376">
        <v>37418.622526489868</v>
      </c>
      <c r="Q19" s="376">
        <v>38282.299816293009</v>
      </c>
      <c r="R19" s="376">
        <v>39154.075986097174</v>
      </c>
      <c r="S19" s="376">
        <v>40033.918917086092</v>
      </c>
      <c r="T19" s="376">
        <v>40921.797035233794</v>
      </c>
      <c r="U19" s="376">
        <v>41817.679295165864</v>
      </c>
      <c r="V19" s="376">
        <v>42721.535164697765</v>
      </c>
      <c r="W19" s="376">
        <v>43633.334610014288</v>
      </c>
      <c r="X19" s="376">
        <v>44553.048081454894</v>
      </c>
      <c r="Y19" s="376">
        <v>45480.646499874398</v>
      </c>
      <c r="Z19" s="376">
        <v>46416.101243547659</v>
      </c>
      <c r="AA19" s="376">
        <v>47359.384135591572</v>
      </c>
      <c r="AB19" s="376">
        <v>47359.384135591572</v>
      </c>
      <c r="AC19" s="376">
        <v>47359.384135591572</v>
      </c>
      <c r="AD19" s="376">
        <v>47359.384135591572</v>
      </c>
      <c r="AE19" s="376">
        <v>47359.384135591572</v>
      </c>
      <c r="AF19" s="376">
        <v>47359.384135591572</v>
      </c>
      <c r="AG19" s="376">
        <v>47359.384135591572</v>
      </c>
      <c r="AH19" s="376">
        <v>47359.384135591572</v>
      </c>
      <c r="AI19" s="376">
        <v>47359.384135591572</v>
      </c>
      <c r="AJ19" s="376">
        <v>47359.384135591572</v>
      </c>
    </row>
    <row r="20" spans="1:36" x14ac:dyDescent="0.2">
      <c r="A20" s="356" t="s">
        <v>314</v>
      </c>
      <c r="B20" s="370" t="b">
        <v>0</v>
      </c>
      <c r="C20" s="371">
        <v>0</v>
      </c>
      <c r="D20" s="356" t="s">
        <v>279</v>
      </c>
      <c r="E20" s="376">
        <v>2065.9752250713213</v>
      </c>
      <c r="F20" s="376">
        <v>2122.032987897745</v>
      </c>
      <c r="G20" s="376">
        <v>2178.7072642235275</v>
      </c>
      <c r="H20" s="376">
        <v>2235.99519299645</v>
      </c>
      <c r="I20" s="376">
        <v>2293.8939698256713</v>
      </c>
      <c r="J20" s="376">
        <v>2352.4008450260808</v>
      </c>
      <c r="K20" s="376">
        <v>2411.5131217580788</v>
      </c>
      <c r="L20" s="376">
        <v>2471.2281542567976</v>
      </c>
      <c r="M20" s="376">
        <v>2531.543346145233</v>
      </c>
      <c r="N20" s="376">
        <v>2592.4561488261966</v>
      </c>
      <c r="O20" s="376">
        <v>2653.9640599483146</v>
      </c>
      <c r="P20" s="376">
        <v>2716.0646219417577</v>
      </c>
      <c r="Q20" s="376">
        <v>2778.75542061956</v>
      </c>
      <c r="R20" s="376">
        <v>2842.0340838408138</v>
      </c>
      <c r="S20" s="376">
        <v>2905.898280232137</v>
      </c>
      <c r="T20" s="376">
        <v>2970.3457179642446</v>
      </c>
      <c r="U20" s="376">
        <v>3035.3741435805041</v>
      </c>
      <c r="V20" s="376">
        <v>3100.981340874634</v>
      </c>
      <c r="W20" s="376">
        <v>3167.1651298149441</v>
      </c>
      <c r="X20" s="376">
        <v>3233.9233655125477</v>
      </c>
      <c r="Y20" s="376">
        <v>3301.2539372313427</v>
      </c>
      <c r="Z20" s="376">
        <v>3369.1547674374747</v>
      </c>
      <c r="AA20" s="376">
        <v>3437.6238108863522</v>
      </c>
      <c r="AB20" s="376">
        <v>3437.6238108863522</v>
      </c>
      <c r="AC20" s="376">
        <v>3437.6238108863522</v>
      </c>
      <c r="AD20" s="376">
        <v>3437.6238108863522</v>
      </c>
      <c r="AE20" s="376">
        <v>3437.6238108863522</v>
      </c>
      <c r="AF20" s="376">
        <v>3437.6238108863522</v>
      </c>
      <c r="AG20" s="376">
        <v>3437.6238108863522</v>
      </c>
      <c r="AH20" s="376">
        <v>3437.6238108863522</v>
      </c>
      <c r="AI20" s="376">
        <v>3437.6238108863522</v>
      </c>
      <c r="AJ20" s="376">
        <v>3437.6238108863522</v>
      </c>
    </row>
    <row r="21" spans="1:36" x14ac:dyDescent="0.2">
      <c r="A21" s="356" t="s">
        <v>315</v>
      </c>
      <c r="B21" s="370" t="b">
        <v>0</v>
      </c>
      <c r="C21" s="371" t="s">
        <v>136</v>
      </c>
      <c r="D21" s="356" t="s">
        <v>280</v>
      </c>
      <c r="E21" s="377">
        <v>176250</v>
      </c>
      <c r="F21" s="377">
        <v>176250</v>
      </c>
      <c r="G21" s="377">
        <v>176250</v>
      </c>
      <c r="H21" s="377">
        <v>176250</v>
      </c>
      <c r="I21" s="377">
        <v>176250</v>
      </c>
      <c r="J21" s="377">
        <v>176250</v>
      </c>
      <c r="K21" s="377">
        <v>176250</v>
      </c>
      <c r="L21" s="377">
        <v>176250</v>
      </c>
      <c r="M21" s="377">
        <v>176250</v>
      </c>
      <c r="N21" s="377">
        <v>176250</v>
      </c>
      <c r="O21" s="377">
        <v>176250</v>
      </c>
      <c r="P21" s="377">
        <v>176250</v>
      </c>
      <c r="Q21" s="377">
        <v>176250</v>
      </c>
      <c r="R21" s="377">
        <v>176250</v>
      </c>
      <c r="S21" s="377">
        <v>176250</v>
      </c>
      <c r="T21" s="377">
        <v>176250</v>
      </c>
      <c r="U21" s="377">
        <v>176250</v>
      </c>
      <c r="V21" s="377">
        <v>176250</v>
      </c>
      <c r="W21" s="377">
        <v>176250</v>
      </c>
      <c r="X21" s="377">
        <v>176250</v>
      </c>
      <c r="Y21" s="377">
        <v>176250</v>
      </c>
      <c r="Z21" s="377">
        <v>176250</v>
      </c>
      <c r="AA21" s="377">
        <v>176250</v>
      </c>
      <c r="AB21" s="377">
        <v>176250</v>
      </c>
      <c r="AC21" s="377">
        <v>176250</v>
      </c>
      <c r="AD21" s="377">
        <v>176250</v>
      </c>
      <c r="AE21" s="377">
        <v>176250</v>
      </c>
      <c r="AF21" s="377">
        <v>176250</v>
      </c>
      <c r="AG21" s="377">
        <v>176250</v>
      </c>
      <c r="AH21" s="377">
        <v>176250</v>
      </c>
      <c r="AI21" s="377">
        <v>176250</v>
      </c>
      <c r="AJ21" s="377">
        <v>176250</v>
      </c>
    </row>
    <row r="22" spans="1:36" x14ac:dyDescent="0.2">
      <c r="A22" s="356" t="s">
        <v>316</v>
      </c>
      <c r="B22" s="370" t="b">
        <v>1</v>
      </c>
      <c r="C22" s="371">
        <v>0</v>
      </c>
      <c r="D22" s="356" t="s">
        <v>317</v>
      </c>
      <c r="E22" s="378">
        <v>0</v>
      </c>
      <c r="F22" s="378">
        <v>0</v>
      </c>
      <c r="G22" s="378">
        <v>0</v>
      </c>
      <c r="H22" s="378">
        <v>0</v>
      </c>
      <c r="I22" s="378">
        <v>0</v>
      </c>
      <c r="J22" s="378">
        <v>0</v>
      </c>
      <c r="K22" s="378">
        <v>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</row>
    <row r="23" spans="1:36" x14ac:dyDescent="0.2">
      <c r="A23" s="356" t="s">
        <v>318</v>
      </c>
      <c r="B23" s="375">
        <v>0</v>
      </c>
      <c r="C23" s="371">
        <v>0</v>
      </c>
      <c r="D23" s="356" t="s">
        <v>18</v>
      </c>
      <c r="E23" s="377">
        <v>0</v>
      </c>
      <c r="F23" s="377">
        <v>0</v>
      </c>
      <c r="G23" s="377">
        <v>0</v>
      </c>
      <c r="H23" s="377">
        <v>0</v>
      </c>
      <c r="I23" s="377">
        <v>0</v>
      </c>
      <c r="J23" s="377">
        <v>0</v>
      </c>
      <c r="K23" s="377">
        <v>0</v>
      </c>
      <c r="L23" s="377">
        <v>0</v>
      </c>
      <c r="M23" s="377">
        <v>0</v>
      </c>
      <c r="N23" s="377">
        <v>0</v>
      </c>
      <c r="O23" s="377">
        <v>0</v>
      </c>
      <c r="P23" s="377">
        <v>0</v>
      </c>
      <c r="Q23" s="377">
        <v>0</v>
      </c>
      <c r="R23" s="377">
        <v>0</v>
      </c>
      <c r="S23" s="377">
        <v>0</v>
      </c>
      <c r="T23" s="377">
        <v>0</v>
      </c>
      <c r="U23" s="377">
        <v>0</v>
      </c>
      <c r="V23" s="377">
        <v>0</v>
      </c>
      <c r="W23" s="377">
        <v>0</v>
      </c>
      <c r="X23" s="377">
        <v>0</v>
      </c>
      <c r="Y23" s="377">
        <v>0</v>
      </c>
      <c r="Z23" s="377">
        <v>0</v>
      </c>
      <c r="AA23" s="377">
        <v>0</v>
      </c>
      <c r="AB23" s="377">
        <v>0</v>
      </c>
      <c r="AC23" s="377">
        <v>0</v>
      </c>
      <c r="AD23" s="377">
        <v>0</v>
      </c>
      <c r="AE23" s="377">
        <v>0</v>
      </c>
      <c r="AF23" s="377">
        <v>0</v>
      </c>
      <c r="AG23" s="377">
        <v>0</v>
      </c>
      <c r="AH23" s="377">
        <v>0</v>
      </c>
      <c r="AI23" s="377">
        <v>0</v>
      </c>
      <c r="AJ23" s="377">
        <v>0</v>
      </c>
    </row>
    <row r="24" spans="1:36" x14ac:dyDescent="0.2">
      <c r="A24" s="379"/>
      <c r="B24" s="379"/>
      <c r="C24" s="371">
        <v>0</v>
      </c>
      <c r="D24" s="380" t="s">
        <v>319</v>
      </c>
      <c r="E24" s="381">
        <v>0</v>
      </c>
      <c r="F24" s="381">
        <v>0</v>
      </c>
      <c r="G24" s="381">
        <v>0</v>
      </c>
      <c r="H24" s="381">
        <v>0</v>
      </c>
      <c r="I24" s="381">
        <v>0</v>
      </c>
      <c r="J24" s="381">
        <v>0</v>
      </c>
      <c r="K24" s="381">
        <v>0</v>
      </c>
      <c r="L24" s="381">
        <v>0</v>
      </c>
      <c r="M24" s="381">
        <v>0</v>
      </c>
      <c r="N24" s="381">
        <v>0</v>
      </c>
      <c r="O24" s="381">
        <v>0</v>
      </c>
      <c r="P24" s="381">
        <v>0</v>
      </c>
      <c r="Q24" s="381">
        <v>0</v>
      </c>
      <c r="R24" s="381">
        <v>0</v>
      </c>
      <c r="S24" s="381">
        <v>0</v>
      </c>
      <c r="T24" s="381">
        <v>0</v>
      </c>
      <c r="U24" s="381">
        <v>0</v>
      </c>
      <c r="V24" s="381">
        <v>0</v>
      </c>
      <c r="W24" s="381">
        <v>0</v>
      </c>
      <c r="X24" s="381">
        <v>0</v>
      </c>
      <c r="Y24" s="381">
        <v>0</v>
      </c>
      <c r="Z24" s="381">
        <v>0</v>
      </c>
      <c r="AA24" s="381">
        <v>0</v>
      </c>
      <c r="AB24" s="381">
        <v>0</v>
      </c>
      <c r="AC24" s="381">
        <v>0</v>
      </c>
      <c r="AD24" s="381">
        <v>0</v>
      </c>
      <c r="AE24" s="381">
        <v>0</v>
      </c>
      <c r="AF24" s="381">
        <v>0</v>
      </c>
      <c r="AG24" s="381">
        <v>0</v>
      </c>
      <c r="AH24" s="381">
        <v>0</v>
      </c>
      <c r="AI24" s="381">
        <v>0</v>
      </c>
      <c r="AJ24" s="381">
        <v>0</v>
      </c>
    </row>
    <row r="25" spans="1:36" x14ac:dyDescent="0.2">
      <c r="A25" s="382"/>
      <c r="B25" s="382"/>
      <c r="C25" s="382"/>
      <c r="D25" s="383" t="s">
        <v>320</v>
      </c>
      <c r="E25" s="384">
        <v>433389.14475857257</v>
      </c>
      <c r="F25" s="384">
        <v>435717.77517066011</v>
      </c>
      <c r="G25" s="384">
        <v>441713.90625694767</v>
      </c>
      <c r="H25" s="384">
        <v>451412.3563299792</v>
      </c>
      <c r="I25" s="384">
        <v>460086.70944459416</v>
      </c>
      <c r="J25" s="384">
        <v>465061.6570422689</v>
      </c>
      <c r="K25" s="384">
        <v>471130.2352416612</v>
      </c>
      <c r="L25" s="384">
        <v>481937.71683356824</v>
      </c>
      <c r="M25" s="384">
        <v>495028.39784533938</v>
      </c>
      <c r="N25" s="384">
        <v>501300.79471960221</v>
      </c>
      <c r="O25" s="384">
        <v>509056.36461792153</v>
      </c>
      <c r="P25" s="384">
        <v>516888.70789880154</v>
      </c>
      <c r="Q25" s="384">
        <v>524797.5788046919</v>
      </c>
      <c r="R25" s="384">
        <v>532782.73712046538</v>
      </c>
      <c r="S25" s="384">
        <v>540843.9480115904</v>
      </c>
      <c r="T25" s="384">
        <v>548980.98186922609</v>
      </c>
      <c r="U25" s="384">
        <v>557193.61416184832</v>
      </c>
      <c r="V25" s="384">
        <v>565481.62529305159</v>
      </c>
      <c r="W25" s="384">
        <v>573844.8004651987</v>
      </c>
      <c r="X25" s="384">
        <v>582282.92954859813</v>
      </c>
      <c r="Y25" s="384">
        <v>590795.8069559345</v>
      </c>
      <c r="Z25" s="384">
        <v>599383.23152165965</v>
      </c>
      <c r="AA25" s="384">
        <v>608045.00638611137</v>
      </c>
      <c r="AB25" s="384">
        <v>615742.14313141862</v>
      </c>
      <c r="AC25" s="384">
        <v>623504.75898853957</v>
      </c>
      <c r="AD25" s="384">
        <v>631332.69875887153</v>
      </c>
      <c r="AE25" s="384">
        <v>639225.81069274247</v>
      </c>
      <c r="AF25" s="384">
        <v>647183.94640511763</v>
      </c>
      <c r="AG25" s="384">
        <v>647183.94640511763</v>
      </c>
      <c r="AH25" s="384">
        <v>647183.94640511763</v>
      </c>
      <c r="AI25" s="384">
        <v>647183.94640511763</v>
      </c>
      <c r="AJ25" s="384">
        <v>647183.94640511763</v>
      </c>
    </row>
    <row r="27" spans="1:36" x14ac:dyDescent="0.2">
      <c r="A27" s="352" t="s">
        <v>282</v>
      </c>
      <c r="B27" s="352"/>
      <c r="C27" s="353" t="s">
        <v>283</v>
      </c>
      <c r="D27" s="353"/>
      <c r="F27" s="385" t="s">
        <v>284</v>
      </c>
      <c r="G27" s="386" t="s">
        <v>285</v>
      </c>
      <c r="H27" s="387" t="s">
        <v>286</v>
      </c>
      <c r="I27" s="387" t="s">
        <v>287</v>
      </c>
    </row>
    <row r="28" spans="1:36" x14ac:dyDescent="0.2">
      <c r="A28" s="356" t="s">
        <v>288</v>
      </c>
      <c r="B28" s="357" t="s">
        <v>330</v>
      </c>
      <c r="C28" s="358" t="s">
        <v>289</v>
      </c>
      <c r="D28" s="359"/>
      <c r="F28" s="388" t="s">
        <v>290</v>
      </c>
      <c r="G28" s="389" t="b">
        <v>1</v>
      </c>
      <c r="H28" s="386">
        <v>1</v>
      </c>
      <c r="I28" s="390"/>
    </row>
    <row r="29" spans="1:36" x14ac:dyDescent="0.2">
      <c r="A29" s="356" t="s">
        <v>291</v>
      </c>
      <c r="B29" s="357" t="s">
        <v>292</v>
      </c>
      <c r="C29" s="358" t="s">
        <v>293</v>
      </c>
      <c r="D29" s="359"/>
      <c r="F29" s="388" t="s">
        <v>294</v>
      </c>
      <c r="G29" s="389">
        <v>1.5746762386214339E-3</v>
      </c>
      <c r="H29" s="386">
        <v>1</v>
      </c>
      <c r="I29" s="390"/>
    </row>
    <row r="30" spans="1:36" x14ac:dyDescent="0.2">
      <c r="A30" s="362" t="s">
        <v>8</v>
      </c>
      <c r="B30" s="363">
        <v>48.009</v>
      </c>
      <c r="C30" s="362" t="s">
        <v>295</v>
      </c>
      <c r="D30" s="364">
        <v>9037567.1400000006</v>
      </c>
      <c r="F30" s="388" t="s">
        <v>296</v>
      </c>
      <c r="G30" s="389">
        <v>1.5746762386214339E-3</v>
      </c>
      <c r="H30" s="386">
        <v>1</v>
      </c>
      <c r="I30" s="390"/>
    </row>
    <row r="31" spans="1:36" x14ac:dyDescent="0.2">
      <c r="A31" s="362" t="s">
        <v>297</v>
      </c>
      <c r="B31" s="365">
        <v>0.5</v>
      </c>
      <c r="C31" s="362" t="s">
        <v>298</v>
      </c>
      <c r="D31" s="364">
        <v>164000</v>
      </c>
      <c r="F31" s="388" t="s">
        <v>299</v>
      </c>
      <c r="G31" s="391">
        <v>0</v>
      </c>
      <c r="H31" s="386">
        <v>1</v>
      </c>
      <c r="I31" s="390"/>
    </row>
    <row r="32" spans="1:36" x14ac:dyDescent="0.2">
      <c r="A32" s="392" t="s">
        <v>332</v>
      </c>
      <c r="B32" s="393" t="s">
        <v>300</v>
      </c>
      <c r="C32" s="394" t="s">
        <v>301</v>
      </c>
      <c r="D32" s="395" t="s">
        <v>302</v>
      </c>
      <c r="E32" s="394">
        <v>2025</v>
      </c>
      <c r="F32" s="394">
        <v>2026</v>
      </c>
      <c r="G32" s="394">
        <v>2027</v>
      </c>
      <c r="H32" s="394">
        <v>2028</v>
      </c>
      <c r="I32" s="394">
        <v>2029</v>
      </c>
      <c r="J32" s="394">
        <v>2030</v>
      </c>
      <c r="K32" s="394">
        <v>2031</v>
      </c>
      <c r="L32" s="394">
        <v>2032</v>
      </c>
      <c r="M32" s="394">
        <v>2033</v>
      </c>
      <c r="N32" s="394">
        <v>2034</v>
      </c>
      <c r="O32" s="394">
        <v>2035</v>
      </c>
      <c r="P32" s="394">
        <v>2036</v>
      </c>
      <c r="Q32" s="394">
        <v>2037</v>
      </c>
      <c r="R32" s="394">
        <v>2038</v>
      </c>
      <c r="S32" s="394">
        <v>2039</v>
      </c>
      <c r="T32" s="394">
        <v>2040</v>
      </c>
      <c r="U32" s="394">
        <v>2041</v>
      </c>
      <c r="V32" s="394">
        <v>2042</v>
      </c>
      <c r="W32" s="394">
        <v>2043</v>
      </c>
      <c r="X32" s="394">
        <v>2044</v>
      </c>
      <c r="Y32" s="394">
        <v>2045</v>
      </c>
      <c r="Z32" s="394">
        <v>2046</v>
      </c>
      <c r="AA32" s="394">
        <v>2047</v>
      </c>
      <c r="AB32" s="396">
        <v>2048</v>
      </c>
      <c r="AC32" s="396">
        <v>2049</v>
      </c>
      <c r="AD32" s="396">
        <v>2050</v>
      </c>
      <c r="AE32" s="396">
        <v>2051</v>
      </c>
      <c r="AF32" s="396">
        <v>2052</v>
      </c>
      <c r="AG32" s="396">
        <v>2053</v>
      </c>
      <c r="AH32" s="396">
        <v>2054</v>
      </c>
      <c r="AI32" s="396">
        <v>2055</v>
      </c>
      <c r="AJ32" s="396">
        <v>2056</v>
      </c>
    </row>
    <row r="33" spans="1:36" x14ac:dyDescent="0.2">
      <c r="A33" s="397" t="s">
        <v>303</v>
      </c>
      <c r="B33" s="398" t="b">
        <v>1</v>
      </c>
      <c r="C33" s="399">
        <v>0</v>
      </c>
      <c r="D33" s="397" t="s">
        <v>23</v>
      </c>
      <c r="E33" s="400">
        <v>4117.3886096781498</v>
      </c>
      <c r="F33" s="400">
        <v>4146.565735381957</v>
      </c>
      <c r="G33" s="400">
        <v>4219.814340120668</v>
      </c>
      <c r="H33" s="400">
        <v>123.2705123496882</v>
      </c>
      <c r="I33" s="400">
        <v>225.75535388967833</v>
      </c>
      <c r="J33" s="400">
        <v>319.23274531248217</v>
      </c>
      <c r="K33" s="400">
        <v>411.05522304267453</v>
      </c>
      <c r="L33" s="400">
        <v>510.47672156248245</v>
      </c>
      <c r="M33" s="400">
        <v>616.10018741773422</v>
      </c>
      <c r="N33" s="400">
        <v>707.11483927580105</v>
      </c>
      <c r="O33" s="400">
        <v>801.54032421777083</v>
      </c>
      <c r="P33" s="400">
        <v>896.35119013995586</v>
      </c>
      <c r="Q33" s="400">
        <v>991.69493283658971</v>
      </c>
      <c r="R33" s="400">
        <v>1087.6836444850444</v>
      </c>
      <c r="S33" s="400">
        <v>1184.4045096531822</v>
      </c>
      <c r="T33" s="400">
        <v>1281.9266080945961</v>
      </c>
      <c r="U33" s="400">
        <v>1380.3055041163657</v>
      </c>
      <c r="V33" s="400">
        <v>1479.5864465616592</v>
      </c>
      <c r="W33" s="400">
        <v>1579.806662593897</v>
      </c>
      <c r="X33" s="400">
        <v>1680.9970410362585</v>
      </c>
      <c r="Y33" s="400">
        <v>1783.1833929923589</v>
      </c>
      <c r="Z33" s="400">
        <v>1886.3874126761777</v>
      </c>
      <c r="AA33" s="400">
        <v>1990.6274211541361</v>
      </c>
      <c r="AB33" s="400">
        <v>2095.9189499737349</v>
      </c>
      <c r="AC33" s="400">
        <v>2202.2752047591125</v>
      </c>
      <c r="AD33" s="400">
        <v>2309.7074374996664</v>
      </c>
      <c r="AE33" s="400">
        <v>2418.225248467169</v>
      </c>
      <c r="AF33" s="400">
        <v>2527.8368332501805</v>
      </c>
      <c r="AG33" s="400">
        <v>2527.8368332501805</v>
      </c>
      <c r="AH33" s="400">
        <v>2527.8368332501805</v>
      </c>
      <c r="AI33" s="400">
        <v>2527.8368332501805</v>
      </c>
      <c r="AJ33" s="400">
        <v>2527.8368332501805</v>
      </c>
    </row>
    <row r="34" spans="1:36" x14ac:dyDescent="0.2">
      <c r="A34" s="397" t="s">
        <v>304</v>
      </c>
      <c r="B34" s="398" t="b">
        <v>0</v>
      </c>
      <c r="C34" s="399">
        <v>50000</v>
      </c>
      <c r="D34" s="397" t="s">
        <v>23</v>
      </c>
      <c r="E34" s="401">
        <v>6087.8548303426523</v>
      </c>
      <c r="F34" s="401">
        <v>6122.88824649242</v>
      </c>
      <c r="G34" s="401">
        <v>6309.0839064691436</v>
      </c>
      <c r="H34" s="401">
        <v>186.17885188906604</v>
      </c>
      <c r="I34" s="401">
        <v>343.66338147565796</v>
      </c>
      <c r="J34" s="401">
        <v>488.24445913410864</v>
      </c>
      <c r="K34" s="401">
        <v>627.9178317875128</v>
      </c>
      <c r="L34" s="401">
        <v>776.64107313371426</v>
      </c>
      <c r="M34" s="401">
        <v>935.43557914736323</v>
      </c>
      <c r="N34" s="401">
        <v>1074.2389930813838</v>
      </c>
      <c r="O34" s="401">
        <v>1217.6877303436152</v>
      </c>
      <c r="P34" s="401">
        <v>1361.7216583852578</v>
      </c>
      <c r="Q34" s="401">
        <v>1506.5648448138411</v>
      </c>
      <c r="R34" s="401">
        <v>1652.3875716321934</v>
      </c>
      <c r="S34" s="401">
        <v>1799.3222808542259</v>
      </c>
      <c r="T34" s="401">
        <v>1947.4739093697603</v>
      </c>
      <c r="U34" s="401">
        <v>2096.9268611549178</v>
      </c>
      <c r="V34" s="401">
        <v>2247.7498687180228</v>
      </c>
      <c r="W34" s="401">
        <v>2399.9994778413652</v>
      </c>
      <c r="X34" s="401">
        <v>2553.7226049300602</v>
      </c>
      <c r="Y34" s="401">
        <v>2708.9584521624688</v>
      </c>
      <c r="Z34" s="401">
        <v>2865.7399671955495</v>
      </c>
      <c r="AA34" s="401">
        <v>3024.0949730680468</v>
      </c>
      <c r="AB34" s="401">
        <v>3184.0470548576013</v>
      </c>
      <c r="AC34" s="401">
        <v>3345.6162639822023</v>
      </c>
      <c r="AD34" s="401">
        <v>3508.819683787071</v>
      </c>
      <c r="AE34" s="401">
        <v>3673.6718882222553</v>
      </c>
      <c r="AF34" s="401">
        <v>3840.1853171417147</v>
      </c>
      <c r="AG34" s="401">
        <v>3840.1853171417147</v>
      </c>
      <c r="AH34" s="401">
        <v>3840.1853171417147</v>
      </c>
      <c r="AI34" s="401">
        <v>3840.1853171417147</v>
      </c>
      <c r="AJ34" s="401">
        <v>3840.1853171417147</v>
      </c>
    </row>
    <row r="35" spans="1:36" x14ac:dyDescent="0.2">
      <c r="A35" s="397" t="s">
        <v>305</v>
      </c>
      <c r="B35" s="398" t="b">
        <v>0</v>
      </c>
      <c r="C35" s="399">
        <v>300000</v>
      </c>
      <c r="D35" s="397" t="s">
        <v>23</v>
      </c>
      <c r="E35" s="401">
        <v>4117.3886096781498</v>
      </c>
      <c r="F35" s="401">
        <v>4146.565735381957</v>
      </c>
      <c r="G35" s="401">
        <v>4219.814340120668</v>
      </c>
      <c r="H35" s="401">
        <v>123.2705123496882</v>
      </c>
      <c r="I35" s="401">
        <v>225.75535388967833</v>
      </c>
      <c r="J35" s="401">
        <v>319.23274531248217</v>
      </c>
      <c r="K35" s="401">
        <v>411.05522304267453</v>
      </c>
      <c r="L35" s="401">
        <v>510.47672156248245</v>
      </c>
      <c r="M35" s="401">
        <v>616.10018741773422</v>
      </c>
      <c r="N35" s="401">
        <v>707.11483927580105</v>
      </c>
      <c r="O35" s="401">
        <v>801.54032421777083</v>
      </c>
      <c r="P35" s="401">
        <v>896.35119013995586</v>
      </c>
      <c r="Q35" s="401">
        <v>991.69493283658971</v>
      </c>
      <c r="R35" s="401">
        <v>1087.6836444850444</v>
      </c>
      <c r="S35" s="401">
        <v>1184.4045096531822</v>
      </c>
      <c r="T35" s="401">
        <v>1281.9266080945961</v>
      </c>
      <c r="U35" s="401">
        <v>1380.3055041163657</v>
      </c>
      <c r="V35" s="401">
        <v>1479.5864465616592</v>
      </c>
      <c r="W35" s="401">
        <v>1579.806662593897</v>
      </c>
      <c r="X35" s="401">
        <v>1680.9970410362585</v>
      </c>
      <c r="Y35" s="401">
        <v>1783.1833929923589</v>
      </c>
      <c r="Z35" s="401">
        <v>1886.3874126761777</v>
      </c>
      <c r="AA35" s="401">
        <v>1990.6274211541361</v>
      </c>
      <c r="AB35" s="401">
        <v>2095.9189499737349</v>
      </c>
      <c r="AC35" s="401">
        <v>2202.2752047591125</v>
      </c>
      <c r="AD35" s="401">
        <v>2309.7074374996664</v>
      </c>
      <c r="AE35" s="401">
        <v>2418.225248467169</v>
      </c>
      <c r="AF35" s="401">
        <v>2527.8368332501805</v>
      </c>
      <c r="AG35" s="401">
        <v>2527.8368332501805</v>
      </c>
      <c r="AH35" s="401">
        <v>2527.8368332501805</v>
      </c>
      <c r="AI35" s="401">
        <v>2527.8368332501805</v>
      </c>
      <c r="AJ35" s="401">
        <v>2527.8368332501805</v>
      </c>
    </row>
    <row r="36" spans="1:36" x14ac:dyDescent="0.2">
      <c r="A36" s="397" t="s">
        <v>306</v>
      </c>
      <c r="B36" s="398" t="b">
        <v>0</v>
      </c>
      <c r="C36" s="399">
        <v>4000</v>
      </c>
      <c r="D36" s="397" t="s">
        <v>307</v>
      </c>
      <c r="E36" s="402">
        <v>3.1493524772428678E-3</v>
      </c>
      <c r="F36" s="402">
        <v>3.2348063839904651E-3</v>
      </c>
      <c r="G36" s="402">
        <v>3.3212000979017187E-3</v>
      </c>
      <c r="H36" s="402">
        <v>1.7056396688082697E-3</v>
      </c>
      <c r="I36" s="402">
        <v>1.7528622814376189E-3</v>
      </c>
      <c r="J36" s="402">
        <v>1.8018890323356041E-3</v>
      </c>
      <c r="K36" s="402">
        <v>1.8525584471910826E-3</v>
      </c>
      <c r="L36" s="402">
        <v>1.9047690543421854E-3</v>
      </c>
      <c r="M36" s="402">
        <v>1.9584480701665512E-3</v>
      </c>
      <c r="N36" s="402">
        <v>2.0135393543483106E-3</v>
      </c>
      <c r="O36" s="402">
        <v>2.0699975396623496E-3</v>
      </c>
      <c r="P36" s="402">
        <v>2.1277847517650423E-3</v>
      </c>
      <c r="Q36" s="402">
        <v>2.186868601300543E-3</v>
      </c>
      <c r="R36" s="402">
        <v>2.2472208713462402E-3</v>
      </c>
      <c r="S36" s="402">
        <v>2.3088166155521466E-3</v>
      </c>
      <c r="T36" s="402">
        <v>2.3716335136930618E-3</v>
      </c>
      <c r="U36" s="402">
        <v>2.4356513963305414E-3</v>
      </c>
      <c r="V36" s="402">
        <v>2.5008518849051436E-3</v>
      </c>
      <c r="W36" s="402">
        <v>2.5672181131610743E-3</v>
      </c>
      <c r="X36" s="402">
        <v>2.6347345074352064E-3</v>
      </c>
      <c r="Y36" s="402">
        <v>2.7033866105387336E-3</v>
      </c>
      <c r="Z36" s="402">
        <v>2.7731609385701367E-3</v>
      </c>
      <c r="AA36" s="402">
        <v>2.8440448630423468E-3</v>
      </c>
      <c r="AB36" s="402">
        <v>2.8440448630423468E-3</v>
      </c>
      <c r="AC36" s="402">
        <v>2.8440448630423468E-3</v>
      </c>
      <c r="AD36" s="402">
        <v>2.8440448630423468E-3</v>
      </c>
      <c r="AE36" s="402">
        <v>2.8440448630423468E-3</v>
      </c>
      <c r="AF36" s="402">
        <v>2.8440448630423468E-3</v>
      </c>
      <c r="AG36" s="402">
        <v>2.8440448630423468E-3</v>
      </c>
      <c r="AH36" s="402">
        <v>2.8440448630423468E-3</v>
      </c>
      <c r="AI36" s="402">
        <v>2.8440448630423468E-3</v>
      </c>
      <c r="AJ36" s="402">
        <v>2.8440448630423468E-3</v>
      </c>
    </row>
    <row r="37" spans="1:36" x14ac:dyDescent="0.2">
      <c r="A37" s="397" t="s">
        <v>308</v>
      </c>
      <c r="B37" s="398" t="b">
        <v>0</v>
      </c>
      <c r="C37" s="399">
        <v>650</v>
      </c>
      <c r="D37" s="397" t="s">
        <v>309</v>
      </c>
      <c r="E37" s="402">
        <v>1.2597409908971471E-2</v>
      </c>
      <c r="F37" s="402">
        <v>1.293922553596186E-2</v>
      </c>
      <c r="G37" s="402">
        <v>1.3284800391606875E-2</v>
      </c>
      <c r="H37" s="402">
        <v>6.8225586752330789E-3</v>
      </c>
      <c r="I37" s="402">
        <v>7.0114491257504755E-3</v>
      </c>
      <c r="J37" s="402">
        <v>7.2075561293424165E-3</v>
      </c>
      <c r="K37" s="402">
        <v>7.4102337887643303E-3</v>
      </c>
      <c r="L37" s="402">
        <v>7.6190762173687417E-3</v>
      </c>
      <c r="M37" s="402">
        <v>7.8337922806662047E-3</v>
      </c>
      <c r="N37" s="402">
        <v>8.0541574173932425E-3</v>
      </c>
      <c r="O37" s="402">
        <v>8.2799901586493984E-3</v>
      </c>
      <c r="P37" s="402">
        <v>8.5111390070601693E-3</v>
      </c>
      <c r="Q37" s="402">
        <v>8.747474405202172E-3</v>
      </c>
      <c r="R37" s="402">
        <v>8.988883485384961E-3</v>
      </c>
      <c r="S37" s="402">
        <v>9.2352664622085863E-3</v>
      </c>
      <c r="T37" s="402">
        <v>9.4865340547722471E-3</v>
      </c>
      <c r="U37" s="402">
        <v>9.7426055853221654E-3</v>
      </c>
      <c r="V37" s="402">
        <v>1.0003407539620575E-2</v>
      </c>
      <c r="W37" s="402">
        <v>1.0268872452644297E-2</v>
      </c>
      <c r="X37" s="402">
        <v>1.0538938029740826E-2</v>
      </c>
      <c r="Y37" s="402">
        <v>1.0813546442154934E-2</v>
      </c>
      <c r="Z37" s="402">
        <v>1.1092643754280547E-2</v>
      </c>
      <c r="AA37" s="402">
        <v>1.1376179452169387E-2</v>
      </c>
      <c r="AB37" s="402">
        <v>1.1376179452169387E-2</v>
      </c>
      <c r="AC37" s="402">
        <v>1.1376179452169387E-2</v>
      </c>
      <c r="AD37" s="402">
        <v>1.1376179452169387E-2</v>
      </c>
      <c r="AE37" s="402">
        <v>1.1376179452169387E-2</v>
      </c>
      <c r="AF37" s="402">
        <v>1.1376179452169387E-2</v>
      </c>
      <c r="AG37" s="402">
        <v>1.1376179452169387E-2</v>
      </c>
      <c r="AH37" s="402">
        <v>1.1376179452169387E-2</v>
      </c>
      <c r="AI37" s="402">
        <v>1.1376179452169387E-2</v>
      </c>
      <c r="AJ37" s="402">
        <v>1.1376179452169387E-2</v>
      </c>
    </row>
    <row r="38" spans="1:36" x14ac:dyDescent="0.2">
      <c r="A38" s="397" t="s">
        <v>310</v>
      </c>
      <c r="B38" s="403" t="b">
        <v>0</v>
      </c>
      <c r="C38" s="399">
        <v>300000</v>
      </c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</row>
    <row r="39" spans="1:36" x14ac:dyDescent="0.2">
      <c r="A39" s="397" t="s">
        <v>311</v>
      </c>
      <c r="B39" s="403" t="b">
        <v>0</v>
      </c>
      <c r="C39" s="399">
        <v>500000</v>
      </c>
      <c r="D39" s="397" t="s">
        <v>276</v>
      </c>
      <c r="E39" s="404">
        <v>226051.74359840291</v>
      </c>
      <c r="F39" s="404">
        <v>227536.85462072302</v>
      </c>
      <c r="G39" s="404">
        <v>232680.18943810035</v>
      </c>
      <c r="H39" s="404">
        <v>6824.1439692799786</v>
      </c>
      <c r="I39" s="404">
        <v>12536.482733802153</v>
      </c>
      <c r="J39" s="404">
        <v>17760.269880365697</v>
      </c>
      <c r="K39" s="404">
        <v>22857.757298025044</v>
      </c>
      <c r="L39" s="404">
        <v>28340.962231868198</v>
      </c>
      <c r="M39" s="404">
        <v>34177.645744202331</v>
      </c>
      <c r="N39" s="404">
        <v>39235.455368807598</v>
      </c>
      <c r="O39" s="404">
        <v>44474.795671579654</v>
      </c>
      <c r="P39" s="404">
        <v>49735.51553042575</v>
      </c>
      <c r="Q39" s="404">
        <v>55025.798911786595</v>
      </c>
      <c r="R39" s="404">
        <v>60351.86533960473</v>
      </c>
      <c r="S39" s="404">
        <v>65718.552287216895</v>
      </c>
      <c r="T39" s="404">
        <v>71129.692644089271</v>
      </c>
      <c r="U39" s="404">
        <v>76588.369366141749</v>
      </c>
      <c r="V39" s="404">
        <v>82097.093033270154</v>
      </c>
      <c r="W39" s="404">
        <v>87657.92912463512</v>
      </c>
      <c r="X39" s="404">
        <v>93272.591422202982</v>
      </c>
      <c r="Y39" s="404">
        <v>98942.511958879506</v>
      </c>
      <c r="Z39" s="404">
        <v>104668.89433214677</v>
      </c>
      <c r="AA39" s="404">
        <v>110452.75497213939</v>
      </c>
      <c r="AB39" s="404">
        <v>116294.9555254999</v>
      </c>
      <c r="AC39" s="404">
        <v>122196.22857895262</v>
      </c>
      <c r="AD39" s="404">
        <v>128157.19831652509</v>
      </c>
      <c r="AE39" s="404">
        <v>134178.39727206089</v>
      </c>
      <c r="AF39" s="404">
        <v>140260.28003645252</v>
      </c>
      <c r="AG39" s="404">
        <v>140260.28003645252</v>
      </c>
      <c r="AH39" s="404">
        <v>140260.28003645252</v>
      </c>
      <c r="AI39" s="404">
        <v>140260.28003645252</v>
      </c>
      <c r="AJ39" s="404">
        <v>140260.28003645252</v>
      </c>
    </row>
    <row r="40" spans="1:36" x14ac:dyDescent="0.2">
      <c r="A40" s="397" t="s">
        <v>312</v>
      </c>
      <c r="B40" s="398" t="b">
        <v>1</v>
      </c>
      <c r="C40" s="399">
        <v>7531305.9500000002</v>
      </c>
      <c r="D40" s="397" t="s">
        <v>277</v>
      </c>
      <c r="E40" s="405">
        <v>558.94147449060438</v>
      </c>
      <c r="F40" s="405">
        <v>574.10768182484969</v>
      </c>
      <c r="G40" s="405">
        <v>589.44068446244296</v>
      </c>
      <c r="H40" s="405">
        <v>302.71389383127502</v>
      </c>
      <c r="I40" s="405">
        <v>311.09487910462065</v>
      </c>
      <c r="J40" s="405">
        <v>319.79605962805124</v>
      </c>
      <c r="K40" s="405">
        <v>328.78877722811211</v>
      </c>
      <c r="L40" s="405">
        <v>338.05502289478812</v>
      </c>
      <c r="M40" s="405">
        <v>347.58187912027552</v>
      </c>
      <c r="N40" s="405">
        <v>357.35938222119597</v>
      </c>
      <c r="O40" s="405">
        <v>367.37948050315123</v>
      </c>
      <c r="P40" s="405">
        <v>377.63545209501871</v>
      </c>
      <c r="Q40" s="405">
        <v>388.12154859154839</v>
      </c>
      <c r="R40" s="405">
        <v>398.8327621035175</v>
      </c>
      <c r="S40" s="405">
        <v>409.76466519711346</v>
      </c>
      <c r="T40" s="405">
        <v>420.91329651847877</v>
      </c>
      <c r="U40" s="405">
        <v>432.27507643156281</v>
      </c>
      <c r="V40" s="405">
        <v>443.84674314233399</v>
      </c>
      <c r="W40" s="405">
        <v>455.6253032577215</v>
      </c>
      <c r="X40" s="405">
        <v>467.60799279170163</v>
      </c>
      <c r="Y40" s="405">
        <v>479.79224590812635</v>
      </c>
      <c r="Z40" s="405">
        <v>492.1756695081441</v>
      </c>
      <c r="AA40" s="405">
        <v>504.7560223103377</v>
      </c>
      <c r="AB40" s="405">
        <v>504.7560223103377</v>
      </c>
      <c r="AC40" s="405">
        <v>504.7560223103377</v>
      </c>
      <c r="AD40" s="405">
        <v>504.7560223103377</v>
      </c>
      <c r="AE40" s="405">
        <v>504.7560223103377</v>
      </c>
      <c r="AF40" s="405">
        <v>504.7560223103377</v>
      </c>
      <c r="AG40" s="405">
        <v>504.7560223103377</v>
      </c>
      <c r="AH40" s="405">
        <v>504.7560223103377</v>
      </c>
      <c r="AI40" s="405">
        <v>504.7560223103377</v>
      </c>
      <c r="AJ40" s="405">
        <v>504.7560223103377</v>
      </c>
    </row>
    <row r="41" spans="1:36" x14ac:dyDescent="0.2">
      <c r="A41" s="397" t="s">
        <v>313</v>
      </c>
      <c r="B41" s="398" t="b">
        <v>0</v>
      </c>
      <c r="C41" s="399">
        <v>0</v>
      </c>
      <c r="D41" s="397" t="s">
        <v>278</v>
      </c>
      <c r="E41" s="405">
        <v>28462.484460607742</v>
      </c>
      <c r="F41" s="405">
        <v>29234.77988021445</v>
      </c>
      <c r="G41" s="405">
        <v>30015.568870161358</v>
      </c>
      <c r="H41" s="405">
        <v>15414.833023502102</v>
      </c>
      <c r="I41" s="405">
        <v>15841.610555666057</v>
      </c>
      <c r="J41" s="405">
        <v>16284.693108562655</v>
      </c>
      <c r="K41" s="405">
        <v>16742.621347263554</v>
      </c>
      <c r="L41" s="405">
        <v>17214.47821481181</v>
      </c>
      <c r="M41" s="405">
        <v>17699.605924333639</v>
      </c>
      <c r="N41" s="405">
        <v>18197.497103955109</v>
      </c>
      <c r="O41" s="405">
        <v>18707.7417443333</v>
      </c>
      <c r="P41" s="405">
        <v>19229.997553544807</v>
      </c>
      <c r="Q41" s="405">
        <v>19763.971810611551</v>
      </c>
      <c r="R41" s="405">
        <v>20309.40950320095</v>
      </c>
      <c r="S41" s="405">
        <v>20866.085177000095</v>
      </c>
      <c r="T41" s="405">
        <v>21433.797111475156</v>
      </c>
      <c r="U41" s="405">
        <v>22012.363023972019</v>
      </c>
      <c r="V41" s="405">
        <v>22601.616817025788</v>
      </c>
      <c r="W41" s="405">
        <v>23201.406060717327</v>
      </c>
      <c r="X41" s="405">
        <v>23811.59000702051</v>
      </c>
      <c r="Y41" s="405">
        <v>24432.037998120839</v>
      </c>
      <c r="Z41" s="405">
        <v>25062.628172353026</v>
      </c>
      <c r="AA41" s="405">
        <v>25703.246398917316</v>
      </c>
      <c r="AB41" s="405">
        <v>25703.246398917316</v>
      </c>
      <c r="AC41" s="405">
        <v>25703.246398917316</v>
      </c>
      <c r="AD41" s="405">
        <v>25703.246398917316</v>
      </c>
      <c r="AE41" s="405">
        <v>25703.246398917316</v>
      </c>
      <c r="AF41" s="405">
        <v>25703.246398917316</v>
      </c>
      <c r="AG41" s="405">
        <v>25703.246398917316</v>
      </c>
      <c r="AH41" s="405">
        <v>25703.246398917316</v>
      </c>
      <c r="AI41" s="405">
        <v>25703.246398917316</v>
      </c>
      <c r="AJ41" s="405">
        <v>25703.246398917316</v>
      </c>
    </row>
    <row r="42" spans="1:36" x14ac:dyDescent="0.2">
      <c r="A42" s="397" t="s">
        <v>314</v>
      </c>
      <c r="B42" s="398" t="b">
        <v>0</v>
      </c>
      <c r="C42" s="399">
        <v>0</v>
      </c>
      <c r="D42" s="397" t="s">
        <v>279</v>
      </c>
      <c r="E42" s="405">
        <v>2065.9752250713213</v>
      </c>
      <c r="F42" s="405">
        <v>2122.032987897745</v>
      </c>
      <c r="G42" s="405">
        <v>2178.7072642235275</v>
      </c>
      <c r="H42" s="405">
        <v>1118.8996227382249</v>
      </c>
      <c r="I42" s="405">
        <v>1149.8776566230779</v>
      </c>
      <c r="J42" s="405">
        <v>1182.0392052121563</v>
      </c>
      <c r="K42" s="405">
        <v>1215.2783413573502</v>
      </c>
      <c r="L42" s="405">
        <v>1249.5284996484736</v>
      </c>
      <c r="M42" s="405">
        <v>1284.7419340292577</v>
      </c>
      <c r="N42" s="405">
        <v>1320.8818164524919</v>
      </c>
      <c r="O42" s="405">
        <v>1357.9183860185015</v>
      </c>
      <c r="P42" s="405">
        <v>1395.8267971578678</v>
      </c>
      <c r="Q42" s="405">
        <v>1434.5858024531562</v>
      </c>
      <c r="R42" s="405">
        <v>1474.1768916031335</v>
      </c>
      <c r="S42" s="405">
        <v>1514.5836998022082</v>
      </c>
      <c r="T42" s="405">
        <v>1555.7915849826486</v>
      </c>
      <c r="U42" s="405">
        <v>1597.7873159928351</v>
      </c>
      <c r="V42" s="405">
        <v>1640.5588364977743</v>
      </c>
      <c r="W42" s="405">
        <v>1684.0950822336647</v>
      </c>
      <c r="X42" s="405">
        <v>1728.3858368774954</v>
      </c>
      <c r="Y42" s="405">
        <v>1773.4216165134092</v>
      </c>
      <c r="Z42" s="405">
        <v>1819.1935757020096</v>
      </c>
      <c r="AA42" s="405">
        <v>1865.6934301557794</v>
      </c>
      <c r="AB42" s="405">
        <v>1865.6934301557794</v>
      </c>
      <c r="AC42" s="405">
        <v>1865.6934301557794</v>
      </c>
      <c r="AD42" s="405">
        <v>1865.6934301557794</v>
      </c>
      <c r="AE42" s="405">
        <v>1865.6934301557794</v>
      </c>
      <c r="AF42" s="405">
        <v>1865.6934301557794</v>
      </c>
      <c r="AG42" s="405">
        <v>1865.6934301557794</v>
      </c>
      <c r="AH42" s="405">
        <v>1865.6934301557794</v>
      </c>
      <c r="AI42" s="405">
        <v>1865.6934301557794</v>
      </c>
      <c r="AJ42" s="405">
        <v>1865.6934301557794</v>
      </c>
    </row>
    <row r="43" spans="1:36" x14ac:dyDescent="0.2">
      <c r="A43" s="397" t="s">
        <v>315</v>
      </c>
      <c r="B43" s="398" t="b">
        <v>0</v>
      </c>
      <c r="C43" s="399" t="s">
        <v>136</v>
      </c>
      <c r="D43" s="397" t="s">
        <v>280</v>
      </c>
      <c r="E43" s="406">
        <v>176250</v>
      </c>
      <c r="F43" s="406">
        <v>176250</v>
      </c>
      <c r="G43" s="406">
        <v>176250</v>
      </c>
      <c r="H43" s="406">
        <v>35250</v>
      </c>
      <c r="I43" s="406">
        <v>35250</v>
      </c>
      <c r="J43" s="406">
        <v>35250</v>
      </c>
      <c r="K43" s="406">
        <v>35250</v>
      </c>
      <c r="L43" s="406">
        <v>35250</v>
      </c>
      <c r="M43" s="406">
        <v>35250</v>
      </c>
      <c r="N43" s="406">
        <v>35250</v>
      </c>
      <c r="O43" s="406">
        <v>35250</v>
      </c>
      <c r="P43" s="406">
        <v>35250</v>
      </c>
      <c r="Q43" s="406">
        <v>35250</v>
      </c>
      <c r="R43" s="406">
        <v>35250</v>
      </c>
      <c r="S43" s="406">
        <v>35250</v>
      </c>
      <c r="T43" s="406">
        <v>35250</v>
      </c>
      <c r="U43" s="406">
        <v>35250</v>
      </c>
      <c r="V43" s="406">
        <v>35250</v>
      </c>
      <c r="W43" s="406">
        <v>35250</v>
      </c>
      <c r="X43" s="406">
        <v>35250</v>
      </c>
      <c r="Y43" s="406">
        <v>35250</v>
      </c>
      <c r="Z43" s="406">
        <v>35250</v>
      </c>
      <c r="AA43" s="406">
        <v>35250</v>
      </c>
      <c r="AB43" s="406">
        <v>35250</v>
      </c>
      <c r="AC43" s="406">
        <v>35250</v>
      </c>
      <c r="AD43" s="406">
        <v>35250</v>
      </c>
      <c r="AE43" s="406">
        <v>35250</v>
      </c>
      <c r="AF43" s="406">
        <v>35250</v>
      </c>
      <c r="AG43" s="406">
        <v>35250</v>
      </c>
      <c r="AH43" s="406">
        <v>35250</v>
      </c>
      <c r="AI43" s="406">
        <v>35250</v>
      </c>
      <c r="AJ43" s="406">
        <v>35250</v>
      </c>
    </row>
    <row r="44" spans="1:36" x14ac:dyDescent="0.2">
      <c r="A44" s="397" t="s">
        <v>316</v>
      </c>
      <c r="B44" s="398" t="b">
        <v>1</v>
      </c>
      <c r="C44" s="399">
        <v>0</v>
      </c>
      <c r="D44" s="397" t="s">
        <v>317</v>
      </c>
      <c r="E44" s="407">
        <v>0</v>
      </c>
      <c r="F44" s="407">
        <v>0</v>
      </c>
      <c r="G44" s="407">
        <v>0</v>
      </c>
      <c r="H44" s="407">
        <v>0</v>
      </c>
      <c r="I44" s="407">
        <v>0</v>
      </c>
      <c r="J44" s="407">
        <v>0</v>
      </c>
      <c r="K44" s="407">
        <v>0</v>
      </c>
      <c r="L44" s="407">
        <v>0</v>
      </c>
      <c r="M44" s="407">
        <v>0</v>
      </c>
      <c r="N44" s="407">
        <v>0</v>
      </c>
      <c r="O44" s="407">
        <v>0</v>
      </c>
      <c r="P44" s="407">
        <v>0</v>
      </c>
      <c r="Q44" s="407">
        <v>0</v>
      </c>
      <c r="R44" s="407">
        <v>0</v>
      </c>
      <c r="S44" s="407">
        <v>0</v>
      </c>
      <c r="T44" s="407">
        <v>0</v>
      </c>
      <c r="U44" s="407">
        <v>0</v>
      </c>
      <c r="V44" s="407">
        <v>0</v>
      </c>
      <c r="W44" s="407">
        <v>0</v>
      </c>
      <c r="X44" s="407">
        <v>0</v>
      </c>
      <c r="Y44" s="407">
        <v>0</v>
      </c>
      <c r="Z44" s="407">
        <v>0</v>
      </c>
      <c r="AA44" s="407">
        <v>0</v>
      </c>
      <c r="AB44" s="407">
        <v>0</v>
      </c>
      <c r="AC44" s="407">
        <v>0</v>
      </c>
      <c r="AD44" s="407">
        <v>0</v>
      </c>
      <c r="AE44" s="407">
        <v>0</v>
      </c>
      <c r="AF44" s="407">
        <v>0</v>
      </c>
      <c r="AG44" s="407">
        <v>0</v>
      </c>
      <c r="AH44" s="407">
        <v>0</v>
      </c>
      <c r="AI44" s="407">
        <v>0</v>
      </c>
      <c r="AJ44" s="407">
        <v>0</v>
      </c>
    </row>
    <row r="45" spans="1:36" x14ac:dyDescent="0.2">
      <c r="A45" s="397" t="s">
        <v>318</v>
      </c>
      <c r="B45" s="403">
        <v>0</v>
      </c>
      <c r="C45" s="399">
        <v>0</v>
      </c>
      <c r="D45" s="397" t="s">
        <v>18</v>
      </c>
      <c r="E45" s="406">
        <v>0</v>
      </c>
      <c r="F45" s="406">
        <v>0</v>
      </c>
      <c r="G45" s="406">
        <v>0</v>
      </c>
      <c r="H45" s="406">
        <v>0</v>
      </c>
      <c r="I45" s="406">
        <v>0</v>
      </c>
      <c r="J45" s="406">
        <v>0</v>
      </c>
      <c r="K45" s="406">
        <v>0</v>
      </c>
      <c r="L45" s="406">
        <v>0</v>
      </c>
      <c r="M45" s="406">
        <v>0</v>
      </c>
      <c r="N45" s="406">
        <v>0</v>
      </c>
      <c r="O45" s="406">
        <v>0</v>
      </c>
      <c r="P45" s="406">
        <v>0</v>
      </c>
      <c r="Q45" s="406">
        <v>0</v>
      </c>
      <c r="R45" s="406">
        <v>0</v>
      </c>
      <c r="S45" s="406">
        <v>0</v>
      </c>
      <c r="T45" s="406">
        <v>0</v>
      </c>
      <c r="U45" s="406">
        <v>0</v>
      </c>
      <c r="V45" s="406">
        <v>0</v>
      </c>
      <c r="W45" s="406">
        <v>0</v>
      </c>
      <c r="X45" s="406">
        <v>0</v>
      </c>
      <c r="Y45" s="406">
        <v>0</v>
      </c>
      <c r="Z45" s="406">
        <v>0</v>
      </c>
      <c r="AA45" s="406">
        <v>0</v>
      </c>
      <c r="AB45" s="406">
        <v>0</v>
      </c>
      <c r="AC45" s="406">
        <v>0</v>
      </c>
      <c r="AD45" s="406">
        <v>0</v>
      </c>
      <c r="AE45" s="406">
        <v>0</v>
      </c>
      <c r="AF45" s="406">
        <v>0</v>
      </c>
      <c r="AG45" s="406">
        <v>0</v>
      </c>
      <c r="AH45" s="406">
        <v>0</v>
      </c>
      <c r="AI45" s="406">
        <v>0</v>
      </c>
      <c r="AJ45" s="406">
        <v>0</v>
      </c>
    </row>
    <row r="46" spans="1:36" x14ac:dyDescent="0.2">
      <c r="A46" s="408"/>
      <c r="B46" s="408"/>
      <c r="C46" s="399">
        <v>0</v>
      </c>
      <c r="D46" s="409" t="s">
        <v>319</v>
      </c>
      <c r="E46" s="410">
        <v>0</v>
      </c>
      <c r="F46" s="410">
        <v>0</v>
      </c>
      <c r="G46" s="410">
        <v>0</v>
      </c>
      <c r="H46" s="410">
        <v>321087.51052911469</v>
      </c>
      <c r="I46" s="410">
        <v>321087.51052911469</v>
      </c>
      <c r="J46" s="410">
        <v>321087.51052911469</v>
      </c>
      <c r="K46" s="410">
        <v>321087.51052911469</v>
      </c>
      <c r="L46" s="410">
        <v>321087.51052911469</v>
      </c>
      <c r="M46" s="410">
        <v>321087.51052911469</v>
      </c>
      <c r="N46" s="410">
        <v>321087.51052911469</v>
      </c>
      <c r="O46" s="410">
        <v>321087.51052911469</v>
      </c>
      <c r="P46" s="410">
        <v>321087.51052911469</v>
      </c>
      <c r="Q46" s="410">
        <v>321087.51052911469</v>
      </c>
      <c r="R46" s="410">
        <v>321087.51052911469</v>
      </c>
      <c r="S46" s="410">
        <v>321087.51052911469</v>
      </c>
      <c r="T46" s="410">
        <v>321087.51052911469</v>
      </c>
      <c r="U46" s="410">
        <v>321087.51052911469</v>
      </c>
      <c r="V46" s="410">
        <v>321087.51052911469</v>
      </c>
      <c r="W46" s="410">
        <v>321087.51052911469</v>
      </c>
      <c r="X46" s="410">
        <v>321087.51052911469</v>
      </c>
      <c r="Y46" s="410">
        <v>321087.51052911469</v>
      </c>
      <c r="Z46" s="410">
        <v>321087.51052911469</v>
      </c>
      <c r="AA46" s="410">
        <v>321087.51052911469</v>
      </c>
      <c r="AB46" s="410">
        <v>321087.51052911469</v>
      </c>
      <c r="AC46" s="410">
        <v>321087.51052911469</v>
      </c>
      <c r="AD46" s="410">
        <v>321087.51052911469</v>
      </c>
      <c r="AE46" s="410">
        <v>321087.51052911469</v>
      </c>
      <c r="AF46" s="410">
        <v>321087.51052911469</v>
      </c>
      <c r="AG46" s="410">
        <v>321087.51052911469</v>
      </c>
      <c r="AH46" s="410">
        <v>321087.51052911469</v>
      </c>
      <c r="AI46" s="410">
        <v>321087.51052911469</v>
      </c>
      <c r="AJ46" s="410">
        <v>321087.51052911469</v>
      </c>
    </row>
    <row r="47" spans="1:36" x14ac:dyDescent="0.2">
      <c r="A47" s="326"/>
      <c r="B47" s="326"/>
      <c r="C47" s="326"/>
      <c r="D47" s="411" t="s">
        <v>320</v>
      </c>
      <c r="E47" s="412">
        <v>433389.14475857257</v>
      </c>
      <c r="F47" s="412">
        <v>435717.77517066011</v>
      </c>
      <c r="G47" s="412">
        <v>441713.90625694767</v>
      </c>
      <c r="H47" s="412">
        <v>379998.10103846627</v>
      </c>
      <c r="I47" s="412">
        <v>386176.57635431061</v>
      </c>
      <c r="J47" s="412">
        <v>391884.30878288322</v>
      </c>
      <c r="K47" s="412">
        <v>397481.95629298873</v>
      </c>
      <c r="L47" s="412">
        <v>403480.53449833795</v>
      </c>
      <c r="M47" s="412">
        <v>409847.08601080021</v>
      </c>
      <c r="N47" s="412">
        <v>415448.70420055109</v>
      </c>
      <c r="O47" s="412">
        <v>421245.34581154928</v>
      </c>
      <c r="P47" s="412">
        <v>427076.4858623381</v>
      </c>
      <c r="Q47" s="412">
        <v>432949.98860255757</v>
      </c>
      <c r="R47" s="412">
        <v>438871.79502562701</v>
      </c>
      <c r="S47" s="412">
        <v>444846.496358331</v>
      </c>
      <c r="T47" s="412">
        <v>450877.70516618027</v>
      </c>
      <c r="U47" s="412">
        <v>456968.30531165283</v>
      </c>
      <c r="V47" s="412">
        <v>463120.62595905073</v>
      </c>
      <c r="W47" s="412">
        <v>469336.56609995849</v>
      </c>
      <c r="X47" s="412">
        <v>475617.68578800739</v>
      </c>
      <c r="Y47" s="412">
        <v>481965.27434853656</v>
      </c>
      <c r="Z47" s="412">
        <v>488380.40227882459</v>
      </c>
      <c r="AA47" s="412">
        <v>494863.9613526375</v>
      </c>
      <c r="AB47" s="412">
        <v>500706.16190599801</v>
      </c>
      <c r="AC47" s="412">
        <v>506607.43495945074</v>
      </c>
      <c r="AD47" s="412">
        <v>512568.40469702322</v>
      </c>
      <c r="AE47" s="412">
        <v>518589.60365255899</v>
      </c>
      <c r="AF47" s="412">
        <v>524671.48641695059</v>
      </c>
      <c r="AG47" s="412">
        <v>524671.48641695059</v>
      </c>
      <c r="AH47" s="412">
        <v>524671.48641695059</v>
      </c>
      <c r="AI47" s="412">
        <v>524671.48641695059</v>
      </c>
      <c r="AJ47" s="412">
        <v>524671.48641695059</v>
      </c>
    </row>
    <row r="49" spans="1:36" x14ac:dyDescent="0.2">
      <c r="A49" s="395" t="s">
        <v>282</v>
      </c>
      <c r="B49" s="395"/>
      <c r="C49" s="394" t="s">
        <v>283</v>
      </c>
      <c r="D49" s="394"/>
      <c r="F49" s="413" t="s">
        <v>284</v>
      </c>
      <c r="G49" s="414" t="s">
        <v>285</v>
      </c>
      <c r="H49" s="394" t="s">
        <v>286</v>
      </c>
      <c r="I49" s="394" t="s">
        <v>287</v>
      </c>
    </row>
    <row r="50" spans="1:36" x14ac:dyDescent="0.2">
      <c r="A50" s="397" t="s">
        <v>288</v>
      </c>
      <c r="B50" s="415" t="s">
        <v>330</v>
      </c>
      <c r="C50" s="416" t="s">
        <v>289</v>
      </c>
      <c r="D50" s="417"/>
      <c r="F50" s="416" t="s">
        <v>290</v>
      </c>
      <c r="G50" s="418" t="b">
        <v>1</v>
      </c>
      <c r="H50" s="414">
        <v>1</v>
      </c>
      <c r="I50" s="419"/>
    </row>
    <row r="51" spans="1:36" x14ac:dyDescent="0.2">
      <c r="A51" s="397" t="s">
        <v>291</v>
      </c>
      <c r="B51" s="415" t="s">
        <v>292</v>
      </c>
      <c r="C51" s="416" t="s">
        <v>293</v>
      </c>
      <c r="D51" s="417"/>
      <c r="F51" s="416" t="s">
        <v>294</v>
      </c>
      <c r="G51" s="418">
        <v>1.4172086147592907E-3</v>
      </c>
      <c r="H51" s="414">
        <v>0.9</v>
      </c>
      <c r="I51" s="419"/>
    </row>
    <row r="52" spans="1:36" x14ac:dyDescent="0.2">
      <c r="A52" s="420" t="s">
        <v>8</v>
      </c>
      <c r="B52" s="421">
        <v>48.009</v>
      </c>
      <c r="C52" s="420" t="s">
        <v>295</v>
      </c>
      <c r="D52" s="422">
        <v>9037567.1400000006</v>
      </c>
      <c r="F52" s="416" t="s">
        <v>296</v>
      </c>
      <c r="G52" s="418">
        <v>1.5746762386214339E-3</v>
      </c>
      <c r="H52" s="414">
        <v>1</v>
      </c>
      <c r="I52" s="419"/>
    </row>
    <row r="53" spans="1:36" x14ac:dyDescent="0.2">
      <c r="A53" s="420" t="s">
        <v>297</v>
      </c>
      <c r="B53" s="423">
        <v>0.5</v>
      </c>
      <c r="C53" s="420" t="s">
        <v>298</v>
      </c>
      <c r="D53" s="422">
        <v>164000</v>
      </c>
      <c r="F53" s="416" t="s">
        <v>299</v>
      </c>
      <c r="G53" s="424">
        <v>0</v>
      </c>
      <c r="H53" s="414">
        <v>1</v>
      </c>
      <c r="I53" s="419"/>
    </row>
    <row r="54" spans="1:36" x14ac:dyDescent="0.2">
      <c r="A54" s="392" t="s">
        <v>333</v>
      </c>
      <c r="B54" s="393" t="s">
        <v>300</v>
      </c>
      <c r="C54" s="394" t="s">
        <v>301</v>
      </c>
      <c r="D54" s="395" t="s">
        <v>302</v>
      </c>
      <c r="E54" s="394">
        <v>2025</v>
      </c>
      <c r="F54" s="394">
        <v>2026</v>
      </c>
      <c r="G54" s="394">
        <v>2027</v>
      </c>
      <c r="H54" s="394">
        <v>2028</v>
      </c>
      <c r="I54" s="394">
        <v>2029</v>
      </c>
      <c r="J54" s="394">
        <v>2030</v>
      </c>
      <c r="K54" s="394">
        <v>2031</v>
      </c>
      <c r="L54" s="394">
        <v>2032</v>
      </c>
      <c r="M54" s="394">
        <v>2033</v>
      </c>
      <c r="N54" s="394">
        <v>2034</v>
      </c>
      <c r="O54" s="394">
        <v>2035</v>
      </c>
      <c r="P54" s="394">
        <v>2036</v>
      </c>
      <c r="Q54" s="394">
        <v>2037</v>
      </c>
      <c r="R54" s="394">
        <v>2038</v>
      </c>
      <c r="S54" s="394">
        <v>2039</v>
      </c>
      <c r="T54" s="394">
        <v>2040</v>
      </c>
      <c r="U54" s="394">
        <v>2041</v>
      </c>
      <c r="V54" s="394">
        <v>2042</v>
      </c>
      <c r="W54" s="394">
        <v>2043</v>
      </c>
      <c r="X54" s="394">
        <v>2044</v>
      </c>
      <c r="Y54" s="394">
        <v>2045</v>
      </c>
      <c r="Z54" s="394">
        <v>2046</v>
      </c>
      <c r="AA54" s="394">
        <v>2047</v>
      </c>
      <c r="AB54" s="396">
        <v>2048</v>
      </c>
      <c r="AC54" s="396">
        <v>2049</v>
      </c>
      <c r="AD54" s="396">
        <v>2050</v>
      </c>
      <c r="AE54" s="396">
        <v>2051</v>
      </c>
      <c r="AF54" s="396">
        <v>2052</v>
      </c>
      <c r="AG54" s="396">
        <v>2053</v>
      </c>
      <c r="AH54" s="396">
        <v>2054</v>
      </c>
      <c r="AI54" s="396">
        <v>2055</v>
      </c>
      <c r="AJ54" s="396">
        <v>2056</v>
      </c>
    </row>
    <row r="55" spans="1:36" x14ac:dyDescent="0.2">
      <c r="A55" s="397" t="s">
        <v>303</v>
      </c>
      <c r="B55" s="398" t="b">
        <v>1</v>
      </c>
      <c r="C55" s="399">
        <v>0</v>
      </c>
      <c r="D55" s="397" t="s">
        <v>23</v>
      </c>
      <c r="E55" s="400">
        <v>3905.0931122886668</v>
      </c>
      <c r="F55" s="400">
        <v>3932.7384451098437</v>
      </c>
      <c r="G55" s="400">
        <v>4002.1817216883887</v>
      </c>
      <c r="H55" s="400">
        <v>4137.754618007556</v>
      </c>
      <c r="I55" s="400">
        <v>4258.1717046669874</v>
      </c>
      <c r="J55" s="400">
        <v>4320.0594189887233</v>
      </c>
      <c r="K55" s="400">
        <v>4410.4341902611623</v>
      </c>
      <c r="L55" s="400">
        <v>4586.7401052019668</v>
      </c>
      <c r="M55" s="400">
        <v>4798.6751195119205</v>
      </c>
      <c r="N55" s="400">
        <v>4889.0971068494991</v>
      </c>
      <c r="O55" s="400">
        <v>5005.8023726446363</v>
      </c>
      <c r="P55" s="400">
        <v>5123.6654226502633</v>
      </c>
      <c r="Q55" s="400">
        <v>5242.6826305071054</v>
      </c>
      <c r="R55" s="400">
        <v>5362.8504535526081</v>
      </c>
      <c r="S55" s="400">
        <v>5484.165430385021</v>
      </c>
      <c r="T55" s="400">
        <v>5606.624178531627</v>
      </c>
      <c r="U55" s="400">
        <v>5730.2233922151845</v>
      </c>
      <c r="V55" s="400">
        <v>5854.9598402133133</v>
      </c>
      <c r="W55" s="400">
        <v>5980.8303638058251</v>
      </c>
      <c r="X55" s="400">
        <v>6107.8318748052634</v>
      </c>
      <c r="Y55" s="400">
        <v>6235.9613536663865</v>
      </c>
      <c r="Z55" s="400">
        <v>6365.2158476703753</v>
      </c>
      <c r="AA55" s="400">
        <v>6495.5924691801074</v>
      </c>
      <c r="AB55" s="400">
        <v>6627.0883939626001</v>
      </c>
      <c r="AC55" s="400">
        <v>6759.7008595757434</v>
      </c>
      <c r="AD55" s="400">
        <v>6893.4271638155369</v>
      </c>
      <c r="AE55" s="400">
        <v>7028.2646632214501</v>
      </c>
      <c r="AF55" s="400">
        <v>7164.2107716367491</v>
      </c>
      <c r="AG55" s="400">
        <v>7164.2107716367491</v>
      </c>
      <c r="AH55" s="400">
        <v>7164.2107716367491</v>
      </c>
      <c r="AI55" s="400">
        <v>7164.2107716367491</v>
      </c>
      <c r="AJ55" s="400">
        <v>7164.2107716367491</v>
      </c>
    </row>
    <row r="56" spans="1:36" x14ac:dyDescent="0.2">
      <c r="A56" s="397" t="s">
        <v>304</v>
      </c>
      <c r="B56" s="398" t="b">
        <v>0</v>
      </c>
      <c r="C56" s="399">
        <v>50000</v>
      </c>
      <c r="D56" s="397" t="s">
        <v>23</v>
      </c>
      <c r="E56" s="401">
        <v>5773.9709669826498</v>
      </c>
      <c r="F56" s="401">
        <v>5807.1564353524536</v>
      </c>
      <c r="G56" s="401">
        <v>5983.7092928199472</v>
      </c>
      <c r="H56" s="401">
        <v>6249.1452342140228</v>
      </c>
      <c r="I56" s="401">
        <v>6481.8931786122603</v>
      </c>
      <c r="J56" s="401">
        <v>6606.9938763996124</v>
      </c>
      <c r="K56" s="401">
        <v>6737.0341510299977</v>
      </c>
      <c r="L56" s="401">
        <v>6978.015127661185</v>
      </c>
      <c r="M56" s="401">
        <v>7285.6006863595294</v>
      </c>
      <c r="N56" s="401">
        <v>7427.1428063552339</v>
      </c>
      <c r="O56" s="401">
        <v>7604.4238984497269</v>
      </c>
      <c r="P56" s="401">
        <v>7783.4633188034395</v>
      </c>
      <c r="Q56" s="401">
        <v>7964.2555472304239</v>
      </c>
      <c r="R56" s="401">
        <v>8146.7951906367134</v>
      </c>
      <c r="S56" s="401">
        <v>8331.0769793201744</v>
      </c>
      <c r="T56" s="401">
        <v>8517.0957634285369</v>
      </c>
      <c r="U56" s="401">
        <v>8704.846509566667</v>
      </c>
      <c r="V56" s="401">
        <v>8894.3242975449884</v>
      </c>
      <c r="W56" s="401">
        <v>9085.5243172615155</v>
      </c>
      <c r="X56" s="401">
        <v>9278.441865710276</v>
      </c>
      <c r="Y56" s="401">
        <v>9473.0723441097161</v>
      </c>
      <c r="Z56" s="401">
        <v>9669.4112551445069</v>
      </c>
      <c r="AA56" s="401">
        <v>9867.4542003154038</v>
      </c>
      <c r="AB56" s="401">
        <v>10067.19687739111</v>
      </c>
      <c r="AC56" s="401">
        <v>10268.635077957782</v>
      </c>
      <c r="AD56" s="401">
        <v>10471.76468506048</v>
      </c>
      <c r="AE56" s="401">
        <v>10676.581670932886</v>
      </c>
      <c r="AF56" s="401">
        <v>10883.082094810517</v>
      </c>
      <c r="AG56" s="401">
        <v>10883.082094810517</v>
      </c>
      <c r="AH56" s="401">
        <v>10883.082094810517</v>
      </c>
      <c r="AI56" s="401">
        <v>10883.082094810517</v>
      </c>
      <c r="AJ56" s="401">
        <v>10883.082094810517</v>
      </c>
    </row>
    <row r="57" spans="1:36" x14ac:dyDescent="0.2">
      <c r="A57" s="397" t="s">
        <v>305</v>
      </c>
      <c r="B57" s="398" t="b">
        <v>0</v>
      </c>
      <c r="C57" s="399">
        <v>300000</v>
      </c>
      <c r="D57" s="397" t="s">
        <v>23</v>
      </c>
      <c r="E57" s="401">
        <v>3905.0931122886668</v>
      </c>
      <c r="F57" s="401">
        <v>3932.7384451098437</v>
      </c>
      <c r="G57" s="401">
        <v>4002.1817216883887</v>
      </c>
      <c r="H57" s="401">
        <v>4137.754618007556</v>
      </c>
      <c r="I57" s="401">
        <v>4258.1717046669874</v>
      </c>
      <c r="J57" s="401">
        <v>4320.0594189887233</v>
      </c>
      <c r="K57" s="401">
        <v>4410.4341902611623</v>
      </c>
      <c r="L57" s="401">
        <v>4586.7401052019668</v>
      </c>
      <c r="M57" s="401">
        <v>4798.6751195119205</v>
      </c>
      <c r="N57" s="401">
        <v>4889.0971068494991</v>
      </c>
      <c r="O57" s="401">
        <v>5005.8023726446363</v>
      </c>
      <c r="P57" s="401">
        <v>5123.6654226502633</v>
      </c>
      <c r="Q57" s="401">
        <v>5242.6826305071054</v>
      </c>
      <c r="R57" s="401">
        <v>5362.8504535526081</v>
      </c>
      <c r="S57" s="401">
        <v>5484.165430385021</v>
      </c>
      <c r="T57" s="401">
        <v>5606.624178531627</v>
      </c>
      <c r="U57" s="401">
        <v>5730.2233922151845</v>
      </c>
      <c r="V57" s="401">
        <v>5854.9598402133133</v>
      </c>
      <c r="W57" s="401">
        <v>5980.8303638058251</v>
      </c>
      <c r="X57" s="401">
        <v>6107.8318748052634</v>
      </c>
      <c r="Y57" s="401">
        <v>6235.9613536663865</v>
      </c>
      <c r="Z57" s="401">
        <v>6365.2158476703753</v>
      </c>
      <c r="AA57" s="401">
        <v>6495.5924691801074</v>
      </c>
      <c r="AB57" s="401">
        <v>6627.0883939626001</v>
      </c>
      <c r="AC57" s="401">
        <v>6759.7008595757434</v>
      </c>
      <c r="AD57" s="401">
        <v>6893.4271638155369</v>
      </c>
      <c r="AE57" s="401">
        <v>7028.2646632214501</v>
      </c>
      <c r="AF57" s="401">
        <v>7164.2107716367491</v>
      </c>
      <c r="AG57" s="401">
        <v>7164.2107716367491</v>
      </c>
      <c r="AH57" s="401">
        <v>7164.2107716367491</v>
      </c>
      <c r="AI57" s="401">
        <v>7164.2107716367491</v>
      </c>
      <c r="AJ57" s="401">
        <v>7164.2107716367491</v>
      </c>
    </row>
    <row r="58" spans="1:36" x14ac:dyDescent="0.2">
      <c r="A58" s="397" t="s">
        <v>306</v>
      </c>
      <c r="B58" s="398" t="b">
        <v>0</v>
      </c>
      <c r="C58" s="399">
        <v>4000</v>
      </c>
      <c r="D58" s="397" t="s">
        <v>307</v>
      </c>
      <c r="E58" s="402">
        <v>2.9918848533807248E-3</v>
      </c>
      <c r="F58" s="402">
        <v>3.0730660647909419E-3</v>
      </c>
      <c r="G58" s="402">
        <v>3.1551400930066326E-3</v>
      </c>
      <c r="H58" s="402">
        <v>3.2381027947357127E-3</v>
      </c>
      <c r="I58" s="402">
        <v>3.3219501087414444E-3</v>
      </c>
      <c r="J58" s="402">
        <v>3.4066780530103303E-3</v>
      </c>
      <c r="K58" s="402">
        <v>3.4922827220581929E-3</v>
      </c>
      <c r="L58" s="402">
        <v>3.578760284365789E-3</v>
      </c>
      <c r="M58" s="402">
        <v>3.6661069799359325E-3</v>
      </c>
      <c r="N58" s="402">
        <v>3.7543191179647663E-3</v>
      </c>
      <c r="O58" s="402">
        <v>3.8433930746202723E-3</v>
      </c>
      <c r="P58" s="402">
        <v>3.9333252909217525E-3</v>
      </c>
      <c r="Q58" s="402">
        <v>4.0241122707143015E-3</v>
      </c>
      <c r="R58" s="402">
        <v>4.1157505787328859E-3</v>
      </c>
      <c r="S58" s="402">
        <v>4.2082368387508081E-3</v>
      </c>
      <c r="T58" s="402">
        <v>4.3015677318079763E-3</v>
      </c>
      <c r="U58" s="402">
        <v>4.3957399945144492E-3</v>
      </c>
      <c r="V58" s="402">
        <v>4.4907504174251569E-3</v>
      </c>
      <c r="W58" s="402">
        <v>4.5865958434820071E-3</v>
      </c>
      <c r="X58" s="402">
        <v>4.6832731665196956E-3</v>
      </c>
      <c r="Y58" s="402">
        <v>4.7807793298319749E-3</v>
      </c>
      <c r="Z58" s="402">
        <v>4.8791113247951233E-3</v>
      </c>
      <c r="AA58" s="402">
        <v>4.9782661895457839E-3</v>
      </c>
      <c r="AB58" s="402">
        <v>4.9782661895457839E-3</v>
      </c>
      <c r="AC58" s="402">
        <v>4.9782661895457839E-3</v>
      </c>
      <c r="AD58" s="402">
        <v>4.9782661895457839E-3</v>
      </c>
      <c r="AE58" s="402">
        <v>4.9782661895457839E-3</v>
      </c>
      <c r="AF58" s="402">
        <v>4.9782661895457839E-3</v>
      </c>
      <c r="AG58" s="402">
        <v>4.9782661895457839E-3</v>
      </c>
      <c r="AH58" s="402">
        <v>4.9782661895457839E-3</v>
      </c>
      <c r="AI58" s="402">
        <v>4.9782661895457839E-3</v>
      </c>
      <c r="AJ58" s="402">
        <v>4.9782661895457839E-3</v>
      </c>
    </row>
    <row r="59" spans="1:36" x14ac:dyDescent="0.2">
      <c r="A59" s="397" t="s">
        <v>308</v>
      </c>
      <c r="B59" s="398" t="b">
        <v>0</v>
      </c>
      <c r="C59" s="399">
        <v>650</v>
      </c>
      <c r="D59" s="397" t="s">
        <v>309</v>
      </c>
      <c r="E59" s="402">
        <v>1.2597409908971471E-2</v>
      </c>
      <c r="F59" s="402">
        <v>1.293922553596186E-2</v>
      </c>
      <c r="G59" s="402">
        <v>1.3284800391606875E-2</v>
      </c>
      <c r="H59" s="402">
        <v>1.3634117030466159E-2</v>
      </c>
      <c r="I59" s="402">
        <v>1.3987158352595556E-2</v>
      </c>
      <c r="J59" s="402">
        <v>1.4343907591622443E-2</v>
      </c>
      <c r="K59" s="402">
        <v>1.4704348303402918E-2</v>
      </c>
      <c r="L59" s="402">
        <v>1.5068464355224374E-2</v>
      </c>
      <c r="M59" s="402">
        <v>1.5436239915519715E-2</v>
      </c>
      <c r="N59" s="402">
        <v>1.5807659444062174E-2</v>
      </c>
      <c r="O59" s="402">
        <v>1.6182707682611673E-2</v>
      </c>
      <c r="P59" s="402">
        <v>1.6561369645986326E-2</v>
      </c>
      <c r="Q59" s="402">
        <v>1.6943630613533902E-2</v>
      </c>
      <c r="R59" s="402">
        <v>1.7329476120980573E-2</v>
      </c>
      <c r="S59" s="402">
        <v>1.7718891952634982E-2</v>
      </c>
      <c r="T59" s="402">
        <v>1.8111864133928322E-2</v>
      </c>
      <c r="U59" s="402">
        <v>1.8508378924271367E-2</v>
      </c>
      <c r="V59" s="402">
        <v>1.8908422810211184E-2</v>
      </c>
      <c r="W59" s="402">
        <v>1.9311982498871609E-2</v>
      </c>
      <c r="X59" s="402">
        <v>1.9719044911661876E-2</v>
      </c>
      <c r="Y59" s="402">
        <v>2.0129597178239894E-2</v>
      </c>
      <c r="Z59" s="402">
        <v>2.0543626630716308E-2</v>
      </c>
      <c r="AA59" s="402">
        <v>2.0961120798087512E-2</v>
      </c>
      <c r="AB59" s="402">
        <v>2.0961120798087512E-2</v>
      </c>
      <c r="AC59" s="402">
        <v>2.0961120798087512E-2</v>
      </c>
      <c r="AD59" s="402">
        <v>2.0961120798087512E-2</v>
      </c>
      <c r="AE59" s="402">
        <v>2.0961120798087512E-2</v>
      </c>
      <c r="AF59" s="402">
        <v>2.0961120798087512E-2</v>
      </c>
      <c r="AG59" s="402">
        <v>2.0961120798087512E-2</v>
      </c>
      <c r="AH59" s="402">
        <v>2.0961120798087512E-2</v>
      </c>
      <c r="AI59" s="402">
        <v>2.0961120798087512E-2</v>
      </c>
      <c r="AJ59" s="402">
        <v>2.0961120798087512E-2</v>
      </c>
    </row>
    <row r="60" spans="1:36" x14ac:dyDescent="0.2">
      <c r="A60" s="397" t="s">
        <v>310</v>
      </c>
      <c r="B60" s="403" t="b">
        <v>0</v>
      </c>
      <c r="C60" s="399">
        <v>300000</v>
      </c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7"/>
      <c r="AB60" s="397"/>
      <c r="AC60" s="397"/>
      <c r="AD60" s="397"/>
      <c r="AE60" s="397"/>
      <c r="AF60" s="397"/>
      <c r="AG60" s="397"/>
      <c r="AH60" s="397"/>
      <c r="AI60" s="397"/>
      <c r="AJ60" s="397"/>
    </row>
    <row r="61" spans="1:36" x14ac:dyDescent="0.2">
      <c r="A61" s="397" t="s">
        <v>311</v>
      </c>
      <c r="B61" s="403" t="b">
        <v>1</v>
      </c>
      <c r="C61" s="399">
        <v>500000</v>
      </c>
      <c r="D61" s="397" t="s">
        <v>276</v>
      </c>
      <c r="E61" s="404">
        <v>214396.50230566764</v>
      </c>
      <c r="F61" s="404">
        <v>215803.51999934571</v>
      </c>
      <c r="G61" s="404">
        <v>220680.08942527432</v>
      </c>
      <c r="H61" s="404">
        <v>229059.18708396162</v>
      </c>
      <c r="I61" s="404">
        <v>236458.15864214898</v>
      </c>
      <c r="J61" s="404">
        <v>240339.76355598139</v>
      </c>
      <c r="K61" s="404">
        <v>245249.85629521345</v>
      </c>
      <c r="L61" s="404">
        <v>254645.6224766146</v>
      </c>
      <c r="M61" s="404">
        <v>266198.03667428379</v>
      </c>
      <c r="N61" s="404">
        <v>271275.37379900884</v>
      </c>
      <c r="O61" s="404">
        <v>277750.73235800932</v>
      </c>
      <c r="P61" s="404">
        <v>284290.32443494187</v>
      </c>
      <c r="Q61" s="404">
        <v>290893.94865570654</v>
      </c>
      <c r="R61" s="404">
        <v>297561.40828940843</v>
      </c>
      <c r="S61" s="404">
        <v>304292.51111320278</v>
      </c>
      <c r="T61" s="404">
        <v>311087.06928291958</v>
      </c>
      <c r="U61" s="404">
        <v>317944.89920913696</v>
      </c>
      <c r="V61" s="404">
        <v>324865.82143841189</v>
      </c>
      <c r="W61" s="404">
        <v>331849.66053939011</v>
      </c>
      <c r="X61" s="404">
        <v>338896.24499353347</v>
      </c>
      <c r="Y61" s="404">
        <v>346005.40709022764</v>
      </c>
      <c r="Z61" s="404">
        <v>353176.98282603471</v>
      </c>
      <c r="AA61" s="404">
        <v>360410.81180789007</v>
      </c>
      <c r="AB61" s="404">
        <v>367706.73716002627</v>
      </c>
      <c r="AC61" s="404">
        <v>375064.60543446284</v>
      </c>
      <c r="AD61" s="404">
        <v>382484.26652485464</v>
      </c>
      <c r="AE61" s="404">
        <v>389965.57358356408</v>
      </c>
      <c r="AF61" s="404">
        <v>397508.38294178352</v>
      </c>
      <c r="AG61" s="404">
        <v>397508.38294178352</v>
      </c>
      <c r="AH61" s="404">
        <v>397508.38294178352</v>
      </c>
      <c r="AI61" s="404">
        <v>397508.38294178352</v>
      </c>
      <c r="AJ61" s="404">
        <v>397508.38294178352</v>
      </c>
    </row>
    <row r="62" spans="1:36" x14ac:dyDescent="0.2">
      <c r="A62" s="397" t="s">
        <v>312</v>
      </c>
      <c r="B62" s="398" t="b">
        <v>0</v>
      </c>
      <c r="C62" s="399">
        <v>7531305.9500000002</v>
      </c>
      <c r="D62" s="397" t="s">
        <v>277</v>
      </c>
      <c r="E62" s="405">
        <v>553.3520597456984</v>
      </c>
      <c r="F62" s="405">
        <v>568.36660500660128</v>
      </c>
      <c r="G62" s="405">
        <v>583.54627761781865</v>
      </c>
      <c r="H62" s="405">
        <v>598.89031127338535</v>
      </c>
      <c r="I62" s="405">
        <v>614.39795484355443</v>
      </c>
      <c r="J62" s="405">
        <v>630.06847185099514</v>
      </c>
      <c r="K62" s="405">
        <v>645.90113997254991</v>
      </c>
      <c r="L62" s="405">
        <v>661.89525056494904</v>
      </c>
      <c r="M62" s="405">
        <v>678.050108212998</v>
      </c>
      <c r="N62" s="405">
        <v>694.3650302988766</v>
      </c>
      <c r="O62" s="405">
        <v>710.83934659127283</v>
      </c>
      <c r="P62" s="405">
        <v>727.47239885318993</v>
      </c>
      <c r="Q62" s="405">
        <v>744.26354046732388</v>
      </c>
      <c r="R62" s="405">
        <v>761.21213607801246</v>
      </c>
      <c r="S62" s="405">
        <v>778.31756124879234</v>
      </c>
      <c r="T62" s="405">
        <v>795.57920213471505</v>
      </c>
      <c r="U62" s="405">
        <v>812.99645516858664</v>
      </c>
      <c r="V62" s="405">
        <v>830.56872676037017</v>
      </c>
      <c r="W62" s="405">
        <v>848.29543300905254</v>
      </c>
      <c r="X62" s="405">
        <v>866.17599942629147</v>
      </c>
      <c r="Y62" s="405">
        <v>884.20986067124636</v>
      </c>
      <c r="Z62" s="405">
        <v>902.39646029598725</v>
      </c>
      <c r="AA62" s="405">
        <v>920.73525050095986</v>
      </c>
      <c r="AB62" s="405">
        <v>920.73525050095986</v>
      </c>
      <c r="AC62" s="405">
        <v>920.73525050095986</v>
      </c>
      <c r="AD62" s="405">
        <v>920.73525050095986</v>
      </c>
      <c r="AE62" s="405">
        <v>920.73525050095986</v>
      </c>
      <c r="AF62" s="405">
        <v>920.73525050095986</v>
      </c>
      <c r="AG62" s="405">
        <v>920.73525050095986</v>
      </c>
      <c r="AH62" s="405">
        <v>920.73525050095986</v>
      </c>
      <c r="AI62" s="405">
        <v>920.73525050095986</v>
      </c>
      <c r="AJ62" s="405">
        <v>920.73525050095986</v>
      </c>
    </row>
    <row r="63" spans="1:36" x14ac:dyDescent="0.2">
      <c r="A63" s="397" t="s">
        <v>313</v>
      </c>
      <c r="B63" s="398" t="b">
        <v>0</v>
      </c>
      <c r="C63" s="399">
        <v>0</v>
      </c>
      <c r="D63" s="397" t="s">
        <v>278</v>
      </c>
      <c r="E63" s="405">
        <v>27039.360237577359</v>
      </c>
      <c r="F63" s="405">
        <v>27773.040886203729</v>
      </c>
      <c r="G63" s="405">
        <v>28514.79042665329</v>
      </c>
      <c r="H63" s="405">
        <v>29264.571413645644</v>
      </c>
      <c r="I63" s="405">
        <v>30022.347143481107</v>
      </c>
      <c r="J63" s="405">
        <v>30788.081628445339</v>
      </c>
      <c r="K63" s="405">
        <v>31561.73957246288</v>
      </c>
      <c r="L63" s="405">
        <v>32343.286347921312</v>
      </c>
      <c r="M63" s="405">
        <v>33132.687973593624</v>
      </c>
      <c r="N63" s="405">
        <v>33929.911093592156</v>
      </c>
      <c r="O63" s="405">
        <v>34734.922957291747</v>
      </c>
      <c r="P63" s="405">
        <v>35547.691400165371</v>
      </c>
      <c r="Q63" s="405">
        <v>36368.184825478354</v>
      </c>
      <c r="R63" s="405">
        <v>37196.372186792316</v>
      </c>
      <c r="S63" s="405">
        <v>38032.222971231786</v>
      </c>
      <c r="T63" s="405">
        <v>38875.707183472099</v>
      </c>
      <c r="U63" s="405">
        <v>39726.795330407571</v>
      </c>
      <c r="V63" s="405">
        <v>40585.458406462887</v>
      </c>
      <c r="W63" s="405">
        <v>41451.667879513574</v>
      </c>
      <c r="X63" s="405">
        <v>42325.395677382148</v>
      </c>
      <c r="Y63" s="405">
        <v>43206.614174880684</v>
      </c>
      <c r="Z63" s="405">
        <v>44095.296181370279</v>
      </c>
      <c r="AA63" s="405">
        <v>44991.414928811988</v>
      </c>
      <c r="AB63" s="405">
        <v>44991.414928811988</v>
      </c>
      <c r="AC63" s="405">
        <v>44991.414928811988</v>
      </c>
      <c r="AD63" s="405">
        <v>44991.414928811988</v>
      </c>
      <c r="AE63" s="405">
        <v>44991.414928811988</v>
      </c>
      <c r="AF63" s="405">
        <v>44991.414928811988</v>
      </c>
      <c r="AG63" s="405">
        <v>44991.414928811988</v>
      </c>
      <c r="AH63" s="405">
        <v>44991.414928811988</v>
      </c>
      <c r="AI63" s="405">
        <v>44991.414928811988</v>
      </c>
      <c r="AJ63" s="405">
        <v>44991.414928811988</v>
      </c>
    </row>
    <row r="64" spans="1:36" x14ac:dyDescent="0.2">
      <c r="A64" s="397" t="s">
        <v>314</v>
      </c>
      <c r="B64" s="398" t="b">
        <v>0</v>
      </c>
      <c r="C64" s="399">
        <v>0</v>
      </c>
      <c r="D64" s="397" t="s">
        <v>279</v>
      </c>
      <c r="E64" s="405">
        <v>2065.9752250713213</v>
      </c>
      <c r="F64" s="405">
        <v>2122.032987897745</v>
      </c>
      <c r="G64" s="405">
        <v>2178.7072642235275</v>
      </c>
      <c r="H64" s="405">
        <v>2235.99519299645</v>
      </c>
      <c r="I64" s="405">
        <v>2293.8939698256713</v>
      </c>
      <c r="J64" s="405">
        <v>2352.4008450260808</v>
      </c>
      <c r="K64" s="405">
        <v>2411.5131217580788</v>
      </c>
      <c r="L64" s="405">
        <v>2471.2281542567976</v>
      </c>
      <c r="M64" s="405">
        <v>2531.543346145233</v>
      </c>
      <c r="N64" s="405">
        <v>2592.4561488261966</v>
      </c>
      <c r="O64" s="405">
        <v>2653.9640599483146</v>
      </c>
      <c r="P64" s="405">
        <v>2716.0646219417577</v>
      </c>
      <c r="Q64" s="405">
        <v>2778.75542061956</v>
      </c>
      <c r="R64" s="405">
        <v>2842.0340838408138</v>
      </c>
      <c r="S64" s="405">
        <v>2905.898280232137</v>
      </c>
      <c r="T64" s="405">
        <v>2970.3457179642446</v>
      </c>
      <c r="U64" s="405">
        <v>3035.3741435805041</v>
      </c>
      <c r="V64" s="405">
        <v>3100.981340874634</v>
      </c>
      <c r="W64" s="405">
        <v>3167.1651298149441</v>
      </c>
      <c r="X64" s="405">
        <v>3233.9233655125477</v>
      </c>
      <c r="Y64" s="405">
        <v>3301.2539372313427</v>
      </c>
      <c r="Z64" s="405">
        <v>3369.1547674374747</v>
      </c>
      <c r="AA64" s="405">
        <v>3437.6238108863522</v>
      </c>
      <c r="AB64" s="405">
        <v>3437.6238108863522</v>
      </c>
      <c r="AC64" s="405">
        <v>3437.6238108863522</v>
      </c>
      <c r="AD64" s="405">
        <v>3437.6238108863522</v>
      </c>
      <c r="AE64" s="405">
        <v>3437.6238108863522</v>
      </c>
      <c r="AF64" s="405">
        <v>3437.6238108863522</v>
      </c>
      <c r="AG64" s="405">
        <v>3437.6238108863522</v>
      </c>
      <c r="AH64" s="405">
        <v>3437.6238108863522</v>
      </c>
      <c r="AI64" s="405">
        <v>3437.6238108863522</v>
      </c>
      <c r="AJ64" s="405">
        <v>3437.6238108863522</v>
      </c>
    </row>
    <row r="65" spans="1:36" x14ac:dyDescent="0.2">
      <c r="A65" s="397" t="s">
        <v>315</v>
      </c>
      <c r="B65" s="398" t="b">
        <v>0</v>
      </c>
      <c r="C65" s="399" t="s">
        <v>136</v>
      </c>
      <c r="D65" s="397" t="s">
        <v>280</v>
      </c>
      <c r="E65" s="406">
        <v>105750</v>
      </c>
      <c r="F65" s="406">
        <v>105750</v>
      </c>
      <c r="G65" s="406">
        <v>105750</v>
      </c>
      <c r="H65" s="406">
        <v>105750</v>
      </c>
      <c r="I65" s="406">
        <v>105750</v>
      </c>
      <c r="J65" s="406">
        <v>105750</v>
      </c>
      <c r="K65" s="406">
        <v>105750</v>
      </c>
      <c r="L65" s="406">
        <v>105750</v>
      </c>
      <c r="M65" s="406">
        <v>105750</v>
      </c>
      <c r="N65" s="406">
        <v>105750</v>
      </c>
      <c r="O65" s="406">
        <v>105750</v>
      </c>
      <c r="P65" s="406">
        <v>105750</v>
      </c>
      <c r="Q65" s="406">
        <v>105750</v>
      </c>
      <c r="R65" s="406">
        <v>105750</v>
      </c>
      <c r="S65" s="406">
        <v>105750</v>
      </c>
      <c r="T65" s="406">
        <v>105750</v>
      </c>
      <c r="U65" s="406">
        <v>105750</v>
      </c>
      <c r="V65" s="406">
        <v>105750</v>
      </c>
      <c r="W65" s="406">
        <v>105750</v>
      </c>
      <c r="X65" s="406">
        <v>105750</v>
      </c>
      <c r="Y65" s="406">
        <v>105750</v>
      </c>
      <c r="Z65" s="406">
        <v>105750</v>
      </c>
      <c r="AA65" s="406">
        <v>105750</v>
      </c>
      <c r="AB65" s="406">
        <v>105750</v>
      </c>
      <c r="AC65" s="406">
        <v>105750</v>
      </c>
      <c r="AD65" s="406">
        <v>105750</v>
      </c>
      <c r="AE65" s="406">
        <v>105750</v>
      </c>
      <c r="AF65" s="406">
        <v>105750</v>
      </c>
      <c r="AG65" s="406">
        <v>105750</v>
      </c>
      <c r="AH65" s="406">
        <v>105750</v>
      </c>
      <c r="AI65" s="406">
        <v>105750</v>
      </c>
      <c r="AJ65" s="406">
        <v>105750</v>
      </c>
    </row>
    <row r="66" spans="1:36" x14ac:dyDescent="0.2">
      <c r="A66" s="397" t="s">
        <v>316</v>
      </c>
      <c r="B66" s="398" t="b">
        <v>1</v>
      </c>
      <c r="C66" s="399">
        <v>0</v>
      </c>
      <c r="D66" s="397" t="s">
        <v>317</v>
      </c>
      <c r="E66" s="407">
        <v>0</v>
      </c>
      <c r="F66" s="407">
        <v>0</v>
      </c>
      <c r="G66" s="407">
        <v>0</v>
      </c>
      <c r="H66" s="407">
        <v>0</v>
      </c>
      <c r="I66" s="407">
        <v>0</v>
      </c>
      <c r="J66" s="407">
        <v>0</v>
      </c>
      <c r="K66" s="407">
        <v>0</v>
      </c>
      <c r="L66" s="407">
        <v>0</v>
      </c>
      <c r="M66" s="407">
        <v>0</v>
      </c>
      <c r="N66" s="407">
        <v>0</v>
      </c>
      <c r="O66" s="407">
        <v>0</v>
      </c>
      <c r="P66" s="407">
        <v>0</v>
      </c>
      <c r="Q66" s="407">
        <v>0</v>
      </c>
      <c r="R66" s="407">
        <v>0</v>
      </c>
      <c r="S66" s="407">
        <v>0</v>
      </c>
      <c r="T66" s="407">
        <v>0</v>
      </c>
      <c r="U66" s="407">
        <v>0</v>
      </c>
      <c r="V66" s="407">
        <v>0</v>
      </c>
      <c r="W66" s="407">
        <v>0</v>
      </c>
      <c r="X66" s="407">
        <v>0</v>
      </c>
      <c r="Y66" s="407">
        <v>0</v>
      </c>
      <c r="Z66" s="407">
        <v>0</v>
      </c>
      <c r="AA66" s="407">
        <v>0</v>
      </c>
      <c r="AB66" s="407">
        <v>0</v>
      </c>
      <c r="AC66" s="407">
        <v>0</v>
      </c>
      <c r="AD66" s="407">
        <v>0</v>
      </c>
      <c r="AE66" s="407">
        <v>0</v>
      </c>
      <c r="AF66" s="407">
        <v>0</v>
      </c>
      <c r="AG66" s="407">
        <v>0</v>
      </c>
      <c r="AH66" s="407">
        <v>0</v>
      </c>
      <c r="AI66" s="407">
        <v>0</v>
      </c>
      <c r="AJ66" s="407">
        <v>0</v>
      </c>
    </row>
    <row r="67" spans="1:36" x14ac:dyDescent="0.2">
      <c r="A67" s="397" t="s">
        <v>318</v>
      </c>
      <c r="B67" s="403">
        <v>0</v>
      </c>
      <c r="C67" s="399">
        <v>0</v>
      </c>
      <c r="D67" s="397" t="s">
        <v>18</v>
      </c>
      <c r="E67" s="406">
        <v>0</v>
      </c>
      <c r="F67" s="406">
        <v>0</v>
      </c>
      <c r="G67" s="406">
        <v>0</v>
      </c>
      <c r="H67" s="406">
        <v>0</v>
      </c>
      <c r="I67" s="406">
        <v>0</v>
      </c>
      <c r="J67" s="406">
        <v>0</v>
      </c>
      <c r="K67" s="406">
        <v>0</v>
      </c>
      <c r="L67" s="406">
        <v>0</v>
      </c>
      <c r="M67" s="406">
        <v>0</v>
      </c>
      <c r="N67" s="406">
        <v>0</v>
      </c>
      <c r="O67" s="406">
        <v>0</v>
      </c>
      <c r="P67" s="406">
        <v>0</v>
      </c>
      <c r="Q67" s="406">
        <v>0</v>
      </c>
      <c r="R67" s="406">
        <v>0</v>
      </c>
      <c r="S67" s="406">
        <v>0</v>
      </c>
      <c r="T67" s="406">
        <v>0</v>
      </c>
      <c r="U67" s="406">
        <v>0</v>
      </c>
      <c r="V67" s="406">
        <v>0</v>
      </c>
      <c r="W67" s="406">
        <v>0</v>
      </c>
      <c r="X67" s="406">
        <v>0</v>
      </c>
      <c r="Y67" s="406">
        <v>0</v>
      </c>
      <c r="Z67" s="406">
        <v>0</v>
      </c>
      <c r="AA67" s="406">
        <v>0</v>
      </c>
      <c r="AB67" s="406">
        <v>0</v>
      </c>
      <c r="AC67" s="406">
        <v>0</v>
      </c>
      <c r="AD67" s="406">
        <v>0</v>
      </c>
      <c r="AE67" s="406">
        <v>0</v>
      </c>
      <c r="AF67" s="406">
        <v>0</v>
      </c>
      <c r="AG67" s="406">
        <v>0</v>
      </c>
      <c r="AH67" s="406">
        <v>0</v>
      </c>
      <c r="AI67" s="406">
        <v>0</v>
      </c>
      <c r="AJ67" s="406">
        <v>0</v>
      </c>
    </row>
    <row r="68" spans="1:36" x14ac:dyDescent="0.2">
      <c r="A68" s="408"/>
      <c r="B68" s="408"/>
      <c r="C68" s="399">
        <v>0</v>
      </c>
      <c r="D68" s="409" t="s">
        <v>319</v>
      </c>
      <c r="E68" s="410">
        <v>0</v>
      </c>
      <c r="F68" s="410">
        <v>0</v>
      </c>
      <c r="G68" s="410">
        <v>60120.68393369564</v>
      </c>
      <c r="H68" s="410">
        <v>60120.68393369564</v>
      </c>
      <c r="I68" s="410">
        <v>60120.68393369564</v>
      </c>
      <c r="J68" s="410">
        <v>60120.68393369564</v>
      </c>
      <c r="K68" s="410">
        <v>60120.68393369564</v>
      </c>
      <c r="L68" s="410">
        <v>60120.68393369564</v>
      </c>
      <c r="M68" s="410">
        <v>60120.68393369564</v>
      </c>
      <c r="N68" s="410">
        <v>60120.68393369564</v>
      </c>
      <c r="O68" s="410">
        <v>60120.68393369564</v>
      </c>
      <c r="P68" s="410">
        <v>60120.68393369564</v>
      </c>
      <c r="Q68" s="410">
        <v>60120.68393369564</v>
      </c>
      <c r="R68" s="410">
        <v>60120.68393369564</v>
      </c>
      <c r="S68" s="410">
        <v>60120.68393369564</v>
      </c>
      <c r="T68" s="410">
        <v>60120.68393369564</v>
      </c>
      <c r="U68" s="410">
        <v>60120.68393369564</v>
      </c>
      <c r="V68" s="410">
        <v>60120.68393369564</v>
      </c>
      <c r="W68" s="410">
        <v>60120.68393369564</v>
      </c>
      <c r="X68" s="410">
        <v>60120.68393369564</v>
      </c>
      <c r="Y68" s="410">
        <v>60120.68393369564</v>
      </c>
      <c r="Z68" s="410">
        <v>60120.68393369564</v>
      </c>
      <c r="AA68" s="410">
        <v>60120.68393369564</v>
      </c>
      <c r="AB68" s="410">
        <v>60120.68393369564</v>
      </c>
      <c r="AC68" s="410">
        <v>60120.68393369564</v>
      </c>
      <c r="AD68" s="410">
        <v>60120.68393369564</v>
      </c>
      <c r="AE68" s="410">
        <v>60120.68393369564</v>
      </c>
      <c r="AF68" s="410">
        <v>60120.68393369564</v>
      </c>
      <c r="AG68" s="410">
        <v>60120.68393369564</v>
      </c>
      <c r="AH68" s="410">
        <v>60120.68393369564</v>
      </c>
      <c r="AI68" s="410">
        <v>60120.68393369564</v>
      </c>
      <c r="AJ68" s="410">
        <v>60120.68393369564</v>
      </c>
    </row>
    <row r="69" spans="1:36" x14ac:dyDescent="0.2">
      <c r="A69" s="326"/>
      <c r="B69" s="326"/>
      <c r="C69" s="326"/>
      <c r="D69" s="411" t="s">
        <v>320</v>
      </c>
      <c r="E69" s="412">
        <v>349805.18982806202</v>
      </c>
      <c r="F69" s="412">
        <v>352016.96047845378</v>
      </c>
      <c r="G69" s="412">
        <v>417827.81732746458</v>
      </c>
      <c r="H69" s="412">
        <v>427029.32793557277</v>
      </c>
      <c r="I69" s="412">
        <v>435259.48164399498</v>
      </c>
      <c r="J69" s="412">
        <v>439980.99843499949</v>
      </c>
      <c r="K69" s="412">
        <v>445739.69406310259</v>
      </c>
      <c r="L69" s="412">
        <v>455992.71616305335</v>
      </c>
      <c r="M69" s="412">
        <v>468411.00203593128</v>
      </c>
      <c r="N69" s="412">
        <v>474362.79000542173</v>
      </c>
      <c r="O69" s="412">
        <v>481721.14265553636</v>
      </c>
      <c r="P69" s="412">
        <v>489152.23678959784</v>
      </c>
      <c r="Q69" s="412">
        <v>496655.83637596742</v>
      </c>
      <c r="R69" s="412">
        <v>504231.71062981518</v>
      </c>
      <c r="S69" s="412">
        <v>511879.63385961117</v>
      </c>
      <c r="T69" s="412">
        <v>519599.38532018627</v>
      </c>
      <c r="U69" s="412">
        <v>527390.74907198921</v>
      </c>
      <c r="V69" s="412">
        <v>535253.51384620543</v>
      </c>
      <c r="W69" s="412">
        <v>543187.47291542334</v>
      </c>
      <c r="X69" s="412">
        <v>551192.42396955006</v>
      </c>
      <c r="Y69" s="412">
        <v>559268.16899670649</v>
      </c>
      <c r="Z69" s="412">
        <v>567414.51416883408</v>
      </c>
      <c r="AA69" s="412">
        <v>575631.26973178505</v>
      </c>
      <c r="AB69" s="412">
        <v>582927.19508392119</v>
      </c>
      <c r="AC69" s="412">
        <v>590285.06335835776</v>
      </c>
      <c r="AD69" s="412">
        <v>597704.72444874968</v>
      </c>
      <c r="AE69" s="412">
        <v>605186.03150745912</v>
      </c>
      <c r="AF69" s="412">
        <v>612728.8408656785</v>
      </c>
      <c r="AG69" s="412">
        <v>612728.8408656785</v>
      </c>
      <c r="AH69" s="412">
        <v>612728.8408656785</v>
      </c>
      <c r="AI69" s="412">
        <v>612728.8408656785</v>
      </c>
      <c r="AJ69" s="412">
        <v>612728.8408656785</v>
      </c>
    </row>
  </sheetData>
  <dataValidations count="1">
    <dataValidation type="list" allowBlank="1" showInputMessage="1" showErrorMessage="1" sqref="G5 G27" xr:uid="{605D4BAC-E9DB-41C3-9244-8E061CE464ED}">
      <formula1>"WEIBULL, FIXED"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CHA transformer replacement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202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187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188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213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214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215</v>
      </c>
      <c r="D23" s="41">
        <f>D22/D21</f>
        <v>1</v>
      </c>
    </row>
    <row r="25" spans="1:34" x14ac:dyDescent="0.2">
      <c r="B25" s="81" t="s">
        <v>239</v>
      </c>
      <c r="C25" s="8" t="str">
        <f>start</f>
        <v>2026-27</v>
      </c>
    </row>
    <row r="28" spans="1:34" s="1" customFormat="1" ht="15" x14ac:dyDescent="0.2">
      <c r="A28" s="18" t="s">
        <v>211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194</v>
      </c>
      <c r="D31" s="194" t="s">
        <v>201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155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194</v>
      </c>
      <c r="C38" s="195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245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144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155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165</v>
      </c>
      <c r="B70" s="239" t="s">
        <v>212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210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CHA transformer replacement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200</v>
      </c>
      <c r="F8" s="8" t="s">
        <v>228</v>
      </c>
      <c r="T8"/>
      <c r="U8"/>
      <c r="V8"/>
    </row>
    <row r="9" spans="1:27" x14ac:dyDescent="0.2">
      <c r="A9" s="27" t="s">
        <v>145</v>
      </c>
      <c r="B9" s="86" t="s">
        <v>144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146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147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148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156</v>
      </c>
      <c r="B13" s="86" t="s">
        <v>155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224</v>
      </c>
      <c r="D16" s="23" t="s">
        <v>226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222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141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189</v>
      </c>
      <c r="C35" s="23">
        <v>1</v>
      </c>
      <c r="T35"/>
      <c r="U35"/>
      <c r="V35"/>
      <c r="W35"/>
    </row>
    <row r="36" spans="1:23" x14ac:dyDescent="0.2">
      <c r="B36" s="23" t="s">
        <v>173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161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162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163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165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165</v>
      </c>
      <c r="C75" s="153" t="s">
        <v>164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192</v>
      </c>
      <c r="C78" s="8" t="s">
        <v>193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179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180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158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161</v>
      </c>
      <c r="R106" s="8" t="s">
        <v>27</v>
      </c>
      <c r="T106" s="8" t="s">
        <v>225</v>
      </c>
      <c r="U106"/>
      <c r="V106" s="8" t="s">
        <v>236</v>
      </c>
      <c r="W106"/>
      <c r="Y106"/>
    </row>
    <row r="107" spans="1:25" x14ac:dyDescent="0.2">
      <c r="B107" s="25" t="s">
        <v>42</v>
      </c>
      <c r="C107" s="130" t="s">
        <v>137</v>
      </c>
      <c r="D107" s="130" t="s">
        <v>231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227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138</v>
      </c>
      <c r="D108" s="130" t="s">
        <v>232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226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139</v>
      </c>
      <c r="D109" s="130" t="s">
        <v>233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237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7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36</vt:i4>
      </vt:variant>
    </vt:vector>
  </HeadingPairs>
  <TitlesOfParts>
    <vt:vector size="51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Tx risks</vt:lpstr>
      <vt:lpstr>Misc_calcs</vt:lpstr>
      <vt:lpstr>Data</vt:lpstr>
      <vt:lpstr>AssetType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IS_ADDITIONAL</vt:lpstr>
      <vt:lpstr>ISBUNDED</vt:lpstr>
      <vt:lpstr>ISMOREMAINT</vt:lpstr>
      <vt:lpstr>ISONLINEMONITOR</vt:lpstr>
      <vt:lpstr>ISREFURB</vt:lpstr>
      <vt:lpstr>ISREPLACE</vt:lpstr>
      <vt:lpstr>ISREPLACETWO</vt:lpstr>
      <vt:lpstr>ISSEPARATED</vt:lpstr>
      <vt:lpstr>ISSPAREREADY</vt:lpstr>
      <vt:lpstr>ISSTAGGEREDMAINT</vt:lpstr>
      <vt:lpstr>mill_conv</vt:lpstr>
      <vt:lpstr>NN_LOAD_TRANSFER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  <vt:lpstr>ZSS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2025-01-28T02:53:12Z</dcterms:modified>
</cp:coreProperties>
</file>