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6C02D5F2-6348-4E0B-A520-974AA0EB98F5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E16" i="81" l="1"/>
  <c r="C16" i="81"/>
  <c r="E15" i="81"/>
  <c r="C15" i="81"/>
  <c r="E14" i="81"/>
  <c r="C14" i="81"/>
  <c r="E16" i="72"/>
  <c r="E15" i="72"/>
  <c r="E14" i="72"/>
  <c r="E16" i="73"/>
  <c r="E15" i="73"/>
  <c r="E14" i="73"/>
  <c r="C15" i="72"/>
  <c r="C16" i="72"/>
  <c r="C15" i="73"/>
  <c r="C16" i="73"/>
  <c r="C14" i="72"/>
  <c r="C14" i="73"/>
  <c r="C31" i="72"/>
  <c r="C32" i="72"/>
  <c r="C33" i="72"/>
  <c r="C34" i="72"/>
  <c r="C31" i="73"/>
  <c r="C32" i="73"/>
  <c r="C33" i="73"/>
  <c r="C34" i="73"/>
  <c r="C31" i="81"/>
  <c r="C32" i="81"/>
  <c r="C33" i="81"/>
  <c r="C34" i="81"/>
  <c r="C30" i="72"/>
  <c r="C30" i="73"/>
  <c r="C30" i="8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I79" i="68" l="1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I79" i="73"/>
  <c r="I78" i="73"/>
  <c r="I77" i="73"/>
  <c r="I79" i="72"/>
  <c r="I78" i="72"/>
  <c r="I77" i="72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s="1"/>
  <c r="C22" i="85" l="1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74" i="68" a="1"/>
  <c r="I74" i="68" s="1"/>
  <c r="J79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80" i="68" l="1"/>
  <c r="I82" i="68" s="1"/>
  <c r="I107" i="68" s="1"/>
  <c r="J78" i="68"/>
  <c r="I72" i="82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J79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J79" i="73" s="1"/>
  <c r="I72" i="73" a="1"/>
  <c r="I72" i="73" s="1"/>
  <c r="J77" i="73" s="1"/>
  <c r="I73" i="73" a="1"/>
  <c r="I73" i="73" s="1"/>
  <c r="J78" i="73" s="1"/>
  <c r="I72" i="72" a="1"/>
  <c r="I72" i="72" s="1"/>
  <c r="J77" i="72" s="1"/>
  <c r="I74" i="72" a="1"/>
  <c r="I74" i="72" s="1"/>
  <c r="J79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G93" i="85"/>
  <c r="G94" i="85"/>
  <c r="G92" i="85"/>
  <c r="D98" i="85"/>
  <c r="G90" i="85"/>
  <c r="F98" i="85"/>
  <c r="I47" i="33" s="1"/>
  <c r="E98" i="85"/>
  <c r="D96" i="85"/>
  <c r="E97" i="85"/>
  <c r="G98" i="85"/>
  <c r="J47" i="33" s="1"/>
  <c r="G96" i="85"/>
  <c r="E96" i="85"/>
  <c r="G91" i="85"/>
  <c r="G97" i="85"/>
  <c r="J46" i="33" s="1"/>
  <c r="G95" i="85"/>
  <c r="C88" i="85"/>
  <c r="J74" i="68" a="1"/>
  <c r="J74" i="68" s="1"/>
  <c r="K79" i="68" s="1"/>
  <c r="J72" i="68" a="1"/>
  <c r="J72" i="68" s="1"/>
  <c r="K77" i="68" s="1"/>
  <c r="J73" i="68" a="1"/>
  <c r="J73" i="68" s="1"/>
  <c r="K78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L78" i="68" s="1"/>
  <c r="K74" i="68" a="1"/>
  <c r="K74" i="68" s="1"/>
  <c r="L79" i="68" s="1"/>
  <c r="J72" i="82" a="1"/>
  <c r="J72" i="82" s="1"/>
  <c r="J74" i="82" a="1"/>
  <c r="J74" i="82" s="1"/>
  <c r="J73" i="82" a="1"/>
  <c r="J73" i="82" s="1"/>
  <c r="J74" i="73" a="1"/>
  <c r="J74" i="73" s="1"/>
  <c r="K79" i="73" s="1"/>
  <c r="J73" i="73" a="1"/>
  <c r="J73" i="73" s="1"/>
  <c r="K78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K79" i="81" s="1"/>
  <c r="J73" i="72" a="1"/>
  <c r="J73" i="72" s="1"/>
  <c r="K78" i="72" s="1"/>
  <c r="J72" i="72" a="1"/>
  <c r="J72" i="72" s="1"/>
  <c r="K77" i="72" s="1"/>
  <c r="J74" i="72" a="1"/>
  <c r="J74" i="72" s="1"/>
  <c r="K79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9" i="72" s="1"/>
  <c r="L72" i="68" a="1"/>
  <c r="L72" i="68" s="1"/>
  <c r="M77" i="68" s="1"/>
  <c r="L73" i="68" a="1"/>
  <c r="L73" i="68" s="1"/>
  <c r="M78" i="68" s="1"/>
  <c r="L74" i="68" a="1"/>
  <c r="L74" i="68" s="1"/>
  <c r="M79" i="68" s="1"/>
  <c r="K74" i="73" a="1"/>
  <c r="K74" i="73" s="1"/>
  <c r="L79" i="73" s="1"/>
  <c r="K72" i="73" a="1"/>
  <c r="K72" i="73" s="1"/>
  <c r="L77" i="73" s="1"/>
  <c r="K73" i="73" a="1"/>
  <c r="K73" i="73" s="1"/>
  <c r="L78" i="73" s="1"/>
  <c r="K73" i="81" a="1"/>
  <c r="K73" i="81" s="1"/>
  <c r="L78" i="81" s="1"/>
  <c r="K72" i="81" a="1"/>
  <c r="K72" i="81" s="1"/>
  <c r="L77" i="81" s="1"/>
  <c r="K74" i="81" a="1"/>
  <c r="K74" i="81" s="1"/>
  <c r="L79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N79" i="68" s="1"/>
  <c r="M73" i="68" a="1"/>
  <c r="M73" i="68" s="1"/>
  <c r="N78" i="68" s="1"/>
  <c r="L72" i="73" a="1"/>
  <c r="L72" i="73" s="1"/>
  <c r="M77" i="73" s="1"/>
  <c r="L73" i="73" a="1"/>
  <c r="L73" i="73" s="1"/>
  <c r="M78" i="73" s="1"/>
  <c r="L74" i="73" a="1"/>
  <c r="L74" i="73" s="1"/>
  <c r="M79" i="73" s="1"/>
  <c r="L72" i="72" a="1"/>
  <c r="L72" i="72" s="1"/>
  <c r="M77" i="72" s="1"/>
  <c r="L73" i="72" a="1"/>
  <c r="L73" i="72" s="1"/>
  <c r="M78" i="72" s="1"/>
  <c r="L74" i="72" a="1"/>
  <c r="L74" i="72" s="1"/>
  <c r="M79" i="72" s="1"/>
  <c r="L74" i="81" a="1"/>
  <c r="L74" i="81" s="1"/>
  <c r="M79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N77" i="73" s="1"/>
  <c r="M73" i="73" a="1"/>
  <c r="M73" i="73" s="1"/>
  <c r="N78" i="73" s="1"/>
  <c r="M74" i="73" a="1"/>
  <c r="M74" i="73" s="1"/>
  <c r="N79" i="73" s="1"/>
  <c r="M74" i="81" a="1"/>
  <c r="M74" i="81" s="1"/>
  <c r="N79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9" i="72" s="1"/>
  <c r="N74" i="68" a="1"/>
  <c r="N74" i="68" s="1"/>
  <c r="O79" i="68" s="1"/>
  <c r="N73" i="68" a="1"/>
  <c r="N73" i="68" s="1"/>
  <c r="O78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O79" i="72" s="1"/>
  <c r="N72" i="72" a="1"/>
  <c r="N72" i="72" s="1"/>
  <c r="O77" i="72" s="1"/>
  <c r="N74" i="73" a="1"/>
  <c r="N74" i="73" s="1"/>
  <c r="O79" i="73" s="1"/>
  <c r="N72" i="73" a="1"/>
  <c r="N72" i="73" s="1"/>
  <c r="O77" i="73" s="1"/>
  <c r="N73" i="73" a="1"/>
  <c r="N73" i="73" s="1"/>
  <c r="O78" i="73" s="1"/>
  <c r="N73" i="81" a="1"/>
  <c r="N73" i="81" s="1"/>
  <c r="O78" i="81" s="1"/>
  <c r="N74" i="81" a="1"/>
  <c r="N74" i="81" s="1"/>
  <c r="O79" i="81" s="1"/>
  <c r="N72" i="81" a="1"/>
  <c r="N72" i="81" s="1"/>
  <c r="O77" i="81" s="1"/>
  <c r="O72" i="68" a="1"/>
  <c r="O72" i="68" s="1"/>
  <c r="P77" i="68" s="1"/>
  <c r="O74" i="68" a="1"/>
  <c r="O74" i="68" s="1"/>
  <c r="P79" i="68" s="1"/>
  <c r="O73" i="68" a="1"/>
  <c r="O73" i="68" s="1"/>
  <c r="P78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P79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P79" i="81" s="1"/>
  <c r="O73" i="81" a="1"/>
  <c r="O73" i="81" s="1"/>
  <c r="P78" i="81" s="1"/>
  <c r="O73" i="73" a="1"/>
  <c r="O73" i="73" s="1"/>
  <c r="P78" i="73" s="1"/>
  <c r="O72" i="73" a="1"/>
  <c r="O72" i="73" s="1"/>
  <c r="P77" i="73" s="1"/>
  <c r="O74" i="73" a="1"/>
  <c r="O74" i="73" s="1"/>
  <c r="P79" i="73" s="1"/>
  <c r="P73" i="68" a="1"/>
  <c r="P73" i="68" s="1"/>
  <c r="Q78" i="68" s="1"/>
  <c r="P74" i="68" a="1"/>
  <c r="P74" i="68" s="1"/>
  <c r="Q79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Q79" i="72" s="1"/>
  <c r="P72" i="81" a="1"/>
  <c r="P72" i="81" s="1"/>
  <c r="Q77" i="81" s="1"/>
  <c r="P74" i="81" a="1"/>
  <c r="P74" i="81" s="1"/>
  <c r="Q79" i="81" s="1"/>
  <c r="P73" i="81" a="1"/>
  <c r="P73" i="81" s="1"/>
  <c r="Q78" i="81" s="1"/>
  <c r="P74" i="73" a="1"/>
  <c r="P74" i="73" s="1"/>
  <c r="Q79" i="73" s="1"/>
  <c r="P73" i="73" a="1"/>
  <c r="P73" i="73" s="1"/>
  <c r="Q78" i="73" s="1"/>
  <c r="P72" i="73" a="1"/>
  <c r="P72" i="73" s="1"/>
  <c r="Q77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R79" i="68" s="1"/>
  <c r="Q73" i="68" a="1"/>
  <c r="Q73" i="68" s="1"/>
  <c r="R78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R79" i="72" s="1"/>
  <c r="Q72" i="72" a="1"/>
  <c r="Q72" i="72" s="1"/>
  <c r="R77" i="72" s="1"/>
  <c r="Q72" i="73" a="1"/>
  <c r="Q72" i="73" s="1"/>
  <c r="R77" i="73" s="1"/>
  <c r="Q74" i="73" a="1"/>
  <c r="Q74" i="73" s="1"/>
  <c r="R79" i="73" s="1"/>
  <c r="Q73" i="73" a="1"/>
  <c r="Q73" i="73" s="1"/>
  <c r="R78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R79" i="81" s="1"/>
  <c r="Q72" i="81" a="1"/>
  <c r="Q72" i="81" s="1"/>
  <c r="R77" i="81" s="1"/>
  <c r="R74" i="68" a="1"/>
  <c r="R74" i="68" s="1"/>
  <c r="S79" i="68" s="1"/>
  <c r="R72" i="68" a="1"/>
  <c r="R72" i="68" s="1"/>
  <c r="S77" i="68" s="1"/>
  <c r="R73" i="68" a="1"/>
  <c r="R73" i="68" s="1"/>
  <c r="S78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S77" i="73" s="1"/>
  <c r="R74" i="73" a="1"/>
  <c r="R74" i="73" s="1"/>
  <c r="S79" i="73" s="1"/>
  <c r="R73" i="73" a="1"/>
  <c r="R73" i="73" s="1"/>
  <c r="S78" i="73" s="1"/>
  <c r="R72" i="81" a="1"/>
  <c r="R72" i="81" s="1"/>
  <c r="S77" i="81" s="1"/>
  <c r="R73" i="81" a="1"/>
  <c r="R73" i="81" s="1"/>
  <c r="S78" i="81" s="1"/>
  <c r="R74" i="81" a="1"/>
  <c r="R74" i="81" s="1"/>
  <c r="S79" i="81" s="1"/>
  <c r="R73" i="72" a="1"/>
  <c r="R73" i="72" s="1"/>
  <c r="S78" i="72" s="1"/>
  <c r="R72" i="72" a="1"/>
  <c r="R72" i="72" s="1"/>
  <c r="S77" i="72" s="1"/>
  <c r="R74" i="72" a="1"/>
  <c r="R74" i="72" s="1"/>
  <c r="S79" i="72" s="1"/>
  <c r="S72" i="68" a="1"/>
  <c r="S72" i="68" s="1"/>
  <c r="T77" i="68" s="1"/>
  <c r="S74" i="68" a="1"/>
  <c r="S74" i="68" s="1"/>
  <c r="T79" i="68" s="1"/>
  <c r="S73" i="68" a="1"/>
  <c r="S73" i="68" s="1"/>
  <c r="T78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T79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T79" i="73" s="1"/>
  <c r="S73" i="73" a="1"/>
  <c r="S73" i="73" s="1"/>
  <c r="T78" i="73" s="1"/>
  <c r="S73" i="81" a="1"/>
  <c r="S73" i="81" s="1"/>
  <c r="T78" i="81" s="1"/>
  <c r="S74" i="81" a="1"/>
  <c r="S74" i="81" s="1"/>
  <c r="T79" i="81" s="1"/>
  <c r="S72" i="81" a="1"/>
  <c r="S72" i="81" s="1"/>
  <c r="T77" i="81" s="1"/>
  <c r="T73" i="68" a="1"/>
  <c r="T73" i="68" s="1"/>
  <c r="U78" i="68" s="1"/>
  <c r="T74" i="68" a="1"/>
  <c r="T74" i="68" s="1"/>
  <c r="U79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V79" i="68" s="1"/>
  <c r="U73" i="68" a="1"/>
  <c r="U73" i="68" s="1"/>
  <c r="V78" i="68" s="1"/>
  <c r="T74" i="73" a="1"/>
  <c r="T74" i="73" s="1"/>
  <c r="U79" i="73" s="1"/>
  <c r="T72" i="73" a="1"/>
  <c r="T72" i="73" s="1"/>
  <c r="U77" i="73" s="1"/>
  <c r="T73" i="73" a="1"/>
  <c r="T73" i="73" s="1"/>
  <c r="U78" i="73" s="1"/>
  <c r="T73" i="72" a="1"/>
  <c r="T73" i="72" s="1"/>
  <c r="U78" i="72" s="1"/>
  <c r="T72" i="72" a="1"/>
  <c r="T72" i="72" s="1"/>
  <c r="U77" i="72" s="1"/>
  <c r="T74" i="72" a="1"/>
  <c r="T74" i="72" s="1"/>
  <c r="U79" i="72" s="1"/>
  <c r="T72" i="81" a="1"/>
  <c r="T72" i="81" s="1"/>
  <c r="U77" i="81" s="1"/>
  <c r="T73" i="81" a="1"/>
  <c r="T73" i="81" s="1"/>
  <c r="U78" i="81" s="1"/>
  <c r="T74" i="81" a="1"/>
  <c r="T74" i="81" s="1"/>
  <c r="U79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V79" i="73" s="1"/>
  <c r="U72" i="73" a="1"/>
  <c r="U72" i="73" s="1"/>
  <c r="V77" i="73" s="1"/>
  <c r="U73" i="73" a="1"/>
  <c r="U73" i="73" s="1"/>
  <c r="V78" i="73" s="1"/>
  <c r="U74" i="72" a="1"/>
  <c r="U74" i="72" s="1"/>
  <c r="V79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9" i="81" s="1"/>
  <c r="V72" i="68" a="1"/>
  <c r="V72" i="68" s="1"/>
  <c r="W77" i="68" s="1"/>
  <c r="V73" i="68" a="1"/>
  <c r="V73" i="68" s="1"/>
  <c r="W78" i="68" s="1"/>
  <c r="V74" i="68" a="1"/>
  <c r="V74" i="68" s="1"/>
  <c r="W79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W79" i="72" s="1"/>
  <c r="V72" i="82" a="1"/>
  <c r="V72" i="82" s="1"/>
  <c r="V73" i="82" a="1"/>
  <c r="V73" i="82" s="1"/>
  <c r="V74" i="82" a="1"/>
  <c r="V74" i="82" s="1"/>
  <c r="V73" i="73" a="1"/>
  <c r="V73" i="73" s="1"/>
  <c r="W78" i="73" s="1"/>
  <c r="V72" i="73" a="1"/>
  <c r="V72" i="73" s="1"/>
  <c r="W77" i="73" s="1"/>
  <c r="V74" i="73" a="1"/>
  <c r="V74" i="73" s="1"/>
  <c r="W79" i="73" s="1"/>
  <c r="V74" i="81" a="1"/>
  <c r="V74" i="81" s="1"/>
  <c r="W79" i="81" s="1"/>
  <c r="V72" i="81" a="1"/>
  <c r="V72" i="81" s="1"/>
  <c r="W77" i="81" s="1"/>
  <c r="V73" i="81" a="1"/>
  <c r="V73" i="81" s="1"/>
  <c r="W78" i="81" s="1"/>
  <c r="W73" i="68" a="1"/>
  <c r="W73" i="68" s="1"/>
  <c r="X78" i="68" s="1"/>
  <c r="W74" i="68" a="1"/>
  <c r="W74" i="68" s="1"/>
  <c r="X79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X79" i="72" s="1"/>
  <c r="W73" i="81" a="1"/>
  <c r="W73" i="81" s="1"/>
  <c r="X78" i="81" s="1"/>
  <c r="W72" i="81" a="1"/>
  <c r="W72" i="81" s="1"/>
  <c r="X77" i="81" s="1"/>
  <c r="W74" i="81" a="1"/>
  <c r="W74" i="81" s="1"/>
  <c r="X79" i="81" s="1"/>
  <c r="X73" i="68" a="1"/>
  <c r="X73" i="68" s="1"/>
  <c r="Y78" i="68" s="1"/>
  <c r="X72" i="68" a="1"/>
  <c r="X72" i="68" s="1"/>
  <c r="Y77" i="68" s="1"/>
  <c r="X74" i="68" a="1"/>
  <c r="X74" i="68" s="1"/>
  <c r="Y79" i="68" s="1"/>
  <c r="W72" i="73" a="1"/>
  <c r="W72" i="73" s="1"/>
  <c r="X77" i="73" s="1"/>
  <c r="W74" i="73" a="1"/>
  <c r="W74" i="73" s="1"/>
  <c r="X79" i="73" s="1"/>
  <c r="W73" i="73" a="1"/>
  <c r="W73" i="73" s="1"/>
  <c r="X78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Y79" i="73" s="1"/>
  <c r="X73" i="73" a="1"/>
  <c r="X73" i="73" s="1"/>
  <c r="Y78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9" i="72" s="1"/>
  <c r="Y74" i="68" a="1"/>
  <c r="Y74" i="68" s="1"/>
  <c r="Z79" i="68" s="1"/>
  <c r="Y73" i="68" a="1"/>
  <c r="Y73" i="68" s="1"/>
  <c r="Z78" i="68" s="1"/>
  <c r="Y72" i="68" a="1"/>
  <c r="Y72" i="68" s="1"/>
  <c r="Z77" i="68" s="1"/>
  <c r="X72" i="81" a="1"/>
  <c r="X72" i="81" s="1"/>
  <c r="Y77" i="81" s="1"/>
  <c r="X74" i="81" a="1"/>
  <c r="X74" i="81" s="1"/>
  <c r="Y79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Z79" i="72" s="1"/>
  <c r="Y72" i="73" a="1"/>
  <c r="Y72" i="73" s="1"/>
  <c r="Z77" i="73" s="1"/>
  <c r="Y73" i="73" a="1"/>
  <c r="Y73" i="73" s="1"/>
  <c r="Z78" i="73" s="1"/>
  <c r="Y74" i="73" a="1"/>
  <c r="Y74" i="73" s="1"/>
  <c r="Z79" i="73" s="1"/>
  <c r="Y73" i="81" a="1"/>
  <c r="Y73" i="81" s="1"/>
  <c r="Z78" i="81" s="1"/>
  <c r="Y72" i="81" a="1"/>
  <c r="Y72" i="81" s="1"/>
  <c r="Z77" i="81" s="1"/>
  <c r="Y74" i="81" a="1"/>
  <c r="Y74" i="81" s="1"/>
  <c r="Z79" i="81" s="1"/>
  <c r="Z72" i="68" a="1"/>
  <c r="Z72" i="68" s="1"/>
  <c r="AA77" i="68" s="1"/>
  <c r="Z73" i="68" a="1"/>
  <c r="Z73" i="68" s="1"/>
  <c r="AA78" i="68" s="1"/>
  <c r="Z74" i="68" a="1"/>
  <c r="Z74" i="68" s="1"/>
  <c r="AA79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AA79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AA79" i="73" s="1"/>
  <c r="Z72" i="73" a="1"/>
  <c r="Z72" i="73" s="1"/>
  <c r="AA77" i="73" s="1"/>
  <c r="Z73" i="73" a="1"/>
  <c r="Z73" i="73" s="1"/>
  <c r="AA78" i="73" s="1"/>
  <c r="Z74" i="81" a="1"/>
  <c r="Z74" i="81" s="1"/>
  <c r="AA79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B78" i="68" s="1"/>
  <c r="AA74" i="68" a="1"/>
  <c r="AA74" i="68" s="1"/>
  <c r="AB79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B79" i="73" s="1"/>
  <c r="AA73" i="73" a="1"/>
  <c r="AA73" i="73" s="1"/>
  <c r="AB78" i="73" s="1"/>
  <c r="AA73" i="81" a="1"/>
  <c r="AA73" i="81" s="1"/>
  <c r="AB78" i="81" s="1"/>
  <c r="AA74" i="81" a="1"/>
  <c r="AA74" i="81" s="1"/>
  <c r="AB79" i="81" s="1"/>
  <c r="AA72" i="81" a="1"/>
  <c r="AA72" i="81" s="1"/>
  <c r="AB77" i="81" s="1"/>
  <c r="AC6" i="68"/>
  <c r="AB74" i="68" a="1"/>
  <c r="AB74" i="68" s="1"/>
  <c r="AC79" i="68" s="1"/>
  <c r="AB73" i="68" a="1"/>
  <c r="AB73" i="68" s="1"/>
  <c r="AC78" i="68" s="1"/>
  <c r="AB72" i="68" a="1"/>
  <c r="AB72" i="68" s="1"/>
  <c r="AC77" i="68" s="1"/>
  <c r="AA72" i="72" a="1"/>
  <c r="AA72" i="72" s="1"/>
  <c r="AB77" i="72" s="1"/>
  <c r="AA74" i="72" a="1"/>
  <c r="AA74" i="72" s="1"/>
  <c r="AB79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D79" i="73" s="1"/>
  <c r="AC73" i="73" a="1"/>
  <c r="AC73" i="73" s="1"/>
  <c r="AD78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D79" i="68" s="1"/>
  <c r="AC73" i="68" a="1"/>
  <c r="AC73" i="68" s="1"/>
  <c r="AC6" i="81"/>
  <c r="AB74" i="73" a="1"/>
  <c r="AB74" i="73" s="1"/>
  <c r="AC79" i="73" s="1"/>
  <c r="AB73" i="73" a="1"/>
  <c r="AB73" i="73" s="1"/>
  <c r="AC78" i="73" s="1"/>
  <c r="AB72" i="73" a="1"/>
  <c r="AB72" i="73" s="1"/>
  <c r="AC77" i="73" s="1"/>
  <c r="AD6" i="68"/>
  <c r="AB74" i="72" a="1"/>
  <c r="AB74" i="72" s="1"/>
  <c r="AC79" i="72" s="1"/>
  <c r="AB72" i="72" a="1"/>
  <c r="AB72" i="72" s="1"/>
  <c r="AC77" i="72" s="1"/>
  <c r="AB73" i="72" a="1"/>
  <c r="AB73" i="72" s="1"/>
  <c r="AC78" i="72" s="1"/>
  <c r="AB74" i="81" a="1"/>
  <c r="AB74" i="81" s="1"/>
  <c r="AC79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68" l="1"/>
  <c r="AC82" i="68" s="1"/>
  <c r="AC107" i="68" s="1"/>
  <c r="AD78" i="68"/>
  <c r="AC80" i="73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E79" i="72" s="1"/>
  <c r="AC73" i="81" a="1"/>
  <c r="AC73" i="81" s="1"/>
  <c r="AD78" i="81" s="1"/>
  <c r="AC74" i="81" a="1"/>
  <c r="AC74" i="81" s="1"/>
  <c r="AD79" i="81" s="1"/>
  <c r="AC72" i="81" a="1"/>
  <c r="AC72" i="81" s="1"/>
  <c r="AD77" i="81" s="1"/>
  <c r="AE74" i="68" a="1"/>
  <c r="AE74" i="68" s="1"/>
  <c r="AF79" i="68" s="1"/>
  <c r="AE72" i="68" a="1"/>
  <c r="AE72" i="68" s="1"/>
  <c r="AF77" i="68" s="1"/>
  <c r="AE73" i="68" a="1"/>
  <c r="AE73" i="68" s="1"/>
  <c r="AF78" i="68" s="1"/>
  <c r="AC72" i="72" a="1"/>
  <c r="AC72" i="72" s="1"/>
  <c r="AD77" i="72" s="1"/>
  <c r="AC73" i="72" a="1"/>
  <c r="AC73" i="72" s="1"/>
  <c r="AD78" i="72" s="1"/>
  <c r="AC74" i="72" a="1"/>
  <c r="AC74" i="72" s="1"/>
  <c r="AD79" i="72" s="1"/>
  <c r="AD73" i="73" a="1"/>
  <c r="AD73" i="73" s="1"/>
  <c r="AE78" i="73" s="1"/>
  <c r="AD74" i="73" a="1"/>
  <c r="AD74" i="73" s="1"/>
  <c r="AE79" i="73" s="1"/>
  <c r="AD72" i="73" a="1"/>
  <c r="AD72" i="73" s="1"/>
  <c r="AD73" i="68" a="1"/>
  <c r="AD73" i="68" s="1"/>
  <c r="AD72" i="68" a="1"/>
  <c r="AD72" i="68" s="1"/>
  <c r="AE77" i="68" s="1"/>
  <c r="AD74" i="68" a="1"/>
  <c r="AD74" i="68" s="1"/>
  <c r="AE79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68" l="1"/>
  <c r="AD82" i="68" s="1"/>
  <c r="AD107" i="68" s="1"/>
  <c r="AE78" i="68"/>
  <c r="AD80" i="73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E79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F79" i="81" s="1"/>
  <c r="AE73" i="81" a="1"/>
  <c r="AE73" i="81" s="1"/>
  <c r="AF78" i="81" s="1"/>
  <c r="AF73" i="68" a="1"/>
  <c r="AF73" i="68" s="1"/>
  <c r="AF72" i="68" a="1"/>
  <c r="AF72" i="68" s="1"/>
  <c r="AG77" i="68" s="1"/>
  <c r="AF74" i="68" a="1"/>
  <c r="AF74" i="68" s="1"/>
  <c r="AG79" i="68" s="1"/>
  <c r="AE73" i="73" a="1"/>
  <c r="AE73" i="73" s="1"/>
  <c r="AF78" i="73" s="1"/>
  <c r="AE72" i="73" a="1"/>
  <c r="AE72" i="73" s="1"/>
  <c r="AE74" i="73" a="1"/>
  <c r="AE74" i="73" s="1"/>
  <c r="AF79" i="73" s="1"/>
  <c r="AE72" i="72" a="1"/>
  <c r="AE72" i="72" s="1"/>
  <c r="AF77" i="72" s="1"/>
  <c r="AE74" i="72" a="1"/>
  <c r="AE74" i="72" s="1"/>
  <c r="AF79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E80" i="73" l="1"/>
  <c r="AF77" i="73"/>
  <c r="AF80" i="68"/>
  <c r="AF82" i="68" s="1"/>
  <c r="AF107" i="68" s="1"/>
  <c r="AG78" i="68"/>
  <c r="K9" i="85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G79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9" i="81" s="1"/>
  <c r="AG74" i="68" a="1"/>
  <c r="AG74" i="68" s="1"/>
  <c r="AG73" i="68" a="1"/>
  <c r="AG73" i="68" s="1"/>
  <c r="AG72" i="68" a="1"/>
  <c r="AG72" i="68" s="1"/>
  <c r="AF74" i="73" a="1"/>
  <c r="AF74" i="73" s="1"/>
  <c r="AG79" i="73" s="1"/>
  <c r="AF73" i="73" a="1"/>
  <c r="AF73" i="73" s="1"/>
  <c r="AG78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73" l="1"/>
  <c r="AG77" i="73"/>
  <c r="AG80" i="68"/>
  <c r="AG82" i="68" s="1"/>
  <c r="AG107" i="68" s="1"/>
  <c r="L9" i="85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C30" i="73" a="1"/>
  <c r="AC30" i="73" s="1"/>
  <c r="AC30" i="82" a="1"/>
  <c r="AC30" i="82" s="1"/>
  <c r="X30" i="82" a="1"/>
  <c r="X30" i="82" s="1"/>
  <c r="T30" i="82" a="1"/>
  <c r="T30" i="82" s="1"/>
  <c r="AG30" i="82" a="1"/>
  <c r="AG30" i="82" s="1"/>
  <c r="P30" i="82" a="1"/>
  <c r="P30" i="82" s="1"/>
  <c r="O30" i="82" a="1"/>
  <c r="O30" i="82" s="1"/>
  <c r="L30" i="82" a="1"/>
  <c r="L30" i="82" s="1"/>
  <c r="I30" i="82" a="1"/>
  <c r="I30" i="82" s="1"/>
  <c r="AB30" i="82" a="1"/>
  <c r="AB30" i="82" s="1"/>
  <c r="AE30" i="73" a="1"/>
  <c r="AE30" i="73" s="1"/>
  <c r="J30" i="82" a="1"/>
  <c r="J30" i="82" s="1"/>
  <c r="AG30" i="73" a="1"/>
  <c r="AG30" i="73" s="1"/>
  <c r="U30" i="82" a="1"/>
  <c r="U30" i="82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AD30" i="82" a="1"/>
  <c r="AD30" i="82" s="1"/>
  <c r="K30" i="82" a="1"/>
  <c r="K30" i="82" s="1"/>
  <c r="Z30" i="82" a="1"/>
  <c r="Z30" i="82" s="1"/>
  <c r="S30" i="82" a="1"/>
  <c r="S30" i="82" s="1"/>
  <c r="R30" i="82" a="1"/>
  <c r="R30" i="82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44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95" i="85" l="1"/>
  <c r="I44" i="33" s="1"/>
  <c r="F77" i="85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40" i="33" s="1"/>
  <c r="F45" i="85"/>
  <c r="F50" i="85"/>
  <c r="F48" i="85"/>
  <c r="E95" i="85" s="1"/>
  <c r="H44" i="33" s="1"/>
  <c r="E90" i="85"/>
  <c r="H39" i="33" s="1"/>
  <c r="E92" i="85"/>
  <c r="H41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<sst xmlns="http://schemas.openxmlformats.org/spreadsheetml/2006/main" count="727" uniqueCount="258">
  <si>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</si>
  <si>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</si>
  <si>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</si>
  <si>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</si>
  <si>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</si>
  <si>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</si>
  <si>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</si>
  <si>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</si>
  <si>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</si>
  <si>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</si>
  <si>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</si>
  <si>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</si>
  <si>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</si>
  <si>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</si>
  <si>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</si>
  <si>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</si>
  <si>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</si>
  <si>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</si>
  <si>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</si>
  <si>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</si>
  <si>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</si>
  <si>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</si>
  <si>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</si>
  <si>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</si>
  <si>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</si>
  <si>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</si>
  <si>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</si>
  <si>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</si>
  <si>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</si>
  <si>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</si>
  <si>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</si>
  <si>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</si>
  <si>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</si>
  <si>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</si>
  <si>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</si>
  <si>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</si>
  <si>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</si>
  <si>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</si>
  <si>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</si>
  <si>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</si>
  <si>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</si>
  <si>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</si>
  <si>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</si>
  <si>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</si>
  <si>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</si>
  <si>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</si>
  <si>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</si>
  <si>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</si>
  <si>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</si>
  <si>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</si>
  <si>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</si>
  <si>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</si>
  <si>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</si>
  <si>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</si>
  <si>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</si>
  <si>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</si>
  <si>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</si>
  <si>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</si>
  <si>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</si>
  <si>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</si>
  <si>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</si>
  <si>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</si>
  <si>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</si>
  <si>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</si>
  <si>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</si>
  <si>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</si>
  <si>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</si>
  <si>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</si>
  <si>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</si>
  <si>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</si>
  <si>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</si>
  <si>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</si>
  <si>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</si>
  <si>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</si>
  <si>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</si>
  <si>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</si>
  <si>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</si>
  <si>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</si>
  <si>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</si>
  <si>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</si>
  <si>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</si>
  <si>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</si>
  <si>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</si>
  <si>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</si>
  <si>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</si>
  <si>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</si>
  <si>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</si>
  <si>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</si>
  <si>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</si>
  <si>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</si>
  <si>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</si>
  <si>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</si>
  <si>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</si>
  <si>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</si>
  <si>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</si>
  <si>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</si>
  <si>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</si>
  <si>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</si>
  <si>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</si>
  <si>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</si>
  <si>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</si>
  <si>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</si>
  <si>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</si>
  <si>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</si>
  <si>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</si>
  <si>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</si>
  <si>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</si>
  <si>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</si>
  <si>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</si>
  <si>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</si>
  <si>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</si>
  <si>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</si>
  <si>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</si>
  <si>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</si>
  <si>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</si>
  <si>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</si>
  <si>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</si>
  <si>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</si>
  <si>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</si>
  <si>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</si>
  <si>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</si>
  <si>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</si>
  <si>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</si>
  <si>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</si>
  <si>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</si>
  <si>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</si>
  <si>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</si>
  <si>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</si>
  <si>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</si>
  <si>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</si>
  <si>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</si>
  <si>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</si>
  <si>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</si>
  <si>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</si>
  <si>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</si>
  <si>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</si>
  <si>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</si>
  <si>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</si>
  <si>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</si>
  <si>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</si>
  <si>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</si>
  <si>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</si>
  <si>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</si>
  <si>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</si>
  <si>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</si>
  <si>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</si>
  <si>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</si>
  <si>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</si>
  <si>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</si>
  <si>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</si>
  <si>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</si>
  <si>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</si>
  <si>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</si>
  <si>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</si>
  <si>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</si>
  <si>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</si>
  <si>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</si>
  <si>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</si>
  <si>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</si>
  <si>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</si>
  <si>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</si>
  <si>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</si>
  <si>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</si>
  <si>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</si>
  <si>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</si>
  <si>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</si>
  <si>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</si>
  <si>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</si>
  <si>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</si>
  <si>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</si>
  <si>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</si>
  <si>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</si>
  <si>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</si>
  <si>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</si>
  <si>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</si>
  <si>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</si>
  <si>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</si>
  <si>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</si>
  <si>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</si>
  <si>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</si>
  <si>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</si>
  <si>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</si>
  <si>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</si>
  <si>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</si>
  <si>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</si>
  <si>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</si>
  <si>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</si>
  <si>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</si>
  <si>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</si>
  <si>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</si>
  <si>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</si>
  <si>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</si>
  <si>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</si>
  <si>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</si>
  <si>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</si>
  <si>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</si>
  <si>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</si>
  <si>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</si>
  <si>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</si>
  <si>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</si>
  <si>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</si>
  <si>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</si>
  <si>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</si>
  <si>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</si>
  <si>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</si>
  <si>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</si>
  <si>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</si>
  <si>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</si>
  <si>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</si>
  <si>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</si>
  <si>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</si>
  <si>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</si>
  <si>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</si>
  <si>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</si>
  <si>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</si>
  <si>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</si>
  <si>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</si>
  <si>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</si>
  <si>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</si>
  <si>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</si>
  <si>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</si>
  <si>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</si>
  <si>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</si>
  <si>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</si>
  <si>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</si>
  <si>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</si>
  <si>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</si>
  <si>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</si>
  <si>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</si>
  <si>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</si>
  <si>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</si>
  <si>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</si>
  <si>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</si>
  <si>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</si>
  <si>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</si>
  <si>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</si>
  <si>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</si>
  <si>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</si>
  <si>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</si>
  <si>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</si>
  <si>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</si>
  <si>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</si>
  <si>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</si>
  <si>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</si>
  <si>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</si>
  <si>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Switchgear risk</t>
  </si>
  <si>
    <t>Control cable risk</t>
  </si>
  <si>
    <t>Relay risk</t>
  </si>
  <si>
    <t>Building risk</t>
  </si>
  <si>
    <t>Flood risk</t>
  </si>
  <si>
    <t>Switch capex</t>
  </si>
  <si>
    <t>Relay capex</t>
  </si>
  <si>
    <t>Building capex</t>
  </si>
  <si>
    <t>Transformer rebuild</t>
  </si>
  <si>
    <t>Replace relays and building with a new control building</t>
  </si>
  <si>
    <t>Replace 22kV switchgear, relays and building with a new switchroom and control building</t>
  </si>
  <si>
    <t>Refurbish Hawker Siddeley CBs (only at KYM, PLD and WBL ZSS)</t>
  </si>
  <si>
    <t>Ttransformer rebuild - KYM, NKA, PLD, MNA &amp; WBL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</si>
</sst>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</numFmts>
  <fonts count="9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0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5" fontId="88" fillId="0" borderId="0" xfId="20" applyNumberFormat="1" applyFont="1" applyAlignment="1">
      <alignment horizontal="left"/>
    </xf>
    <xf numFmtId="0" fontId="89" fillId="0" borderId="0" xfId="20" applyFont="1"/>
    <xf numFmtId="196" fontId="90" fillId="10" borderId="0" xfId="16" applyNumberFormat="1" applyFont="1" applyFill="1" applyAlignment="1">
      <alignment horizontal="right"/>
    </xf>
    <xf numFmtId="196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205740</xdr:colOff>
      <xdr:row>5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53827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87419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3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20" sqref="A20"/>
    </sheetView>
  </sheetViews>
  <sheetFormatPr defaultColWidth="0" defaultRowHeight="15" customHeight="1" zeroHeight="1" x14ac:dyDescent="0.3"/>
  <cols>
    <col min="1" max="1" width="8" style="129" customWidth="1"/>
    <col min="2" max="2" width="1.90625" style="129" customWidth="1"/>
    <col min="3" max="3" width="14" style="129" customWidth="1"/>
    <col min="4" max="4" width="8" style="129" customWidth="1"/>
    <col min="5" max="5" width="9.3632812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ht="14.4" x14ac:dyDescent="0.3">
      <c r="A1" s="310"/>
    </row>
    <row r="2" spans="1:19" ht="22.8" x14ac:dyDescent="0.4">
      <c r="A2" s="310"/>
      <c r="C2" s="311" t="s">
        <v>3</v>
      </c>
      <c r="D2" s="312"/>
      <c r="E2" s="312"/>
    </row>
    <row r="3" spans="1:19" ht="15.6" x14ac:dyDescent="0.3">
      <c r="A3" s="310"/>
      <c r="C3" s="313" t="s">
        <v>240</v>
      </c>
      <c r="D3" s="312"/>
      <c r="E3" s="312"/>
    </row>
    <row r="4" spans="1:19" ht="14.4" x14ac:dyDescent="0.3">
      <c r="A4" s="310"/>
      <c r="D4" s="312"/>
      <c r="E4" s="312"/>
    </row>
    <row r="5" spans="1:19" ht="14.4" x14ac:dyDescent="0.3">
      <c r="A5" s="310"/>
      <c r="C5" s="314" t="s">
        <v>253</v>
      </c>
    </row>
    <row r="6" spans="1:19" ht="14.4" x14ac:dyDescent="0.3">
      <c r="A6" s="310"/>
      <c r="C6" s="315" t="s">
        <v>241</v>
      </c>
      <c r="D6" s="328">
        <v>4.05</v>
      </c>
      <c r="E6" s="315"/>
    </row>
    <row r="7" spans="1:19" ht="14.4" x14ac:dyDescent="0.3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ht="14.4" x14ac:dyDescent="0.3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ht="14.4" x14ac:dyDescent="0.3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ht="14.4" x14ac:dyDescent="0.3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ht="14.4" x14ac:dyDescent="0.3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ht="14.4" x14ac:dyDescent="0.3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ht="14.4" x14ac:dyDescent="0.3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ht="14.4" x14ac:dyDescent="0.3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ht="14.4" x14ac:dyDescent="0.3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ht="14.4" x14ac:dyDescent="0.3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ht="14.4" x14ac:dyDescent="0.3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ht="14.4" x14ac:dyDescent="0.3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ht="14.4" x14ac:dyDescent="0.3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ht="14.4" x14ac:dyDescent="0.3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3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ht="14.4" x14ac:dyDescent="0.3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ht="14.4" x14ac:dyDescent="0.3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ht="14.4" x14ac:dyDescent="0.3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ht="14.4" x14ac:dyDescent="0.3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ht="14.4" x14ac:dyDescent="0.3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ht="14.4" x14ac:dyDescent="0.3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ht="14.4" x14ac:dyDescent="0.3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ht="14.4" x14ac:dyDescent="0.3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ht="14.4" x14ac:dyDescent="0.3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ht="14.4" x14ac:dyDescent="0.3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ht="14.4" x14ac:dyDescent="0.3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ht="14.4" x14ac:dyDescent="0.3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ht="14.4" x14ac:dyDescent="0.3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ht="14.4" x14ac:dyDescent="0.3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ht="14.4" x14ac:dyDescent="0.3">
      <c r="A36" s="310"/>
    </row>
    <row r="37" spans="1:19" ht="14.4" x14ac:dyDescent="0.3">
      <c r="A37" s="310"/>
    </row>
    <row r="38" spans="1:19" ht="14.4" x14ac:dyDescent="0.3">
      <c r="A38" s="310"/>
    </row>
    <row r="39" spans="1:19" ht="14.4" x14ac:dyDescent="0.3">
      <c r="A39" s="310"/>
    </row>
    <row r="40" spans="1:19" ht="14.4" x14ac:dyDescent="0.3">
      <c r="A40" s="310">
        <f ca="1">_xlfn.SHEETS()</f>
        <v>12</v>
      </c>
    </row>
    <row r="41" spans="1:19" ht="14.4" x14ac:dyDescent="0.3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D23" sqref="D23"/>
    </sheetView>
  </sheetViews>
  <sheetFormatPr defaultColWidth="0" defaultRowHeight="12" zeroHeight="1" x14ac:dyDescent="0.25"/>
  <cols>
    <col min="1" max="1" width="1.90625" style="10" customWidth="1"/>
    <col min="2" max="2" width="2" style="10" customWidth="1"/>
    <col min="3" max="3" width="21.6328125" style="10" customWidth="1"/>
    <col min="4" max="4" width="34.6328125" style="10" customWidth="1"/>
    <col min="5" max="5" width="15.26953125" style="10" customWidth="1"/>
    <col min="6" max="9" width="13.08984375" style="10" customWidth="1"/>
    <col min="10" max="10" width="11.7265625" style="10" customWidth="1"/>
    <col min="11" max="11" width="1.7265625" style="10" customWidth="1"/>
    <col min="12" max="12" width="14.6328125" style="10" customWidth="1"/>
    <col min="13" max="13" width="2.26953125" style="10" customWidth="1"/>
    <col min="14" max="14" width="8.7265625" style="10" hidden="1" customWidth="1"/>
    <col min="15" max="16384" width="9" style="10" hidden="1"/>
  </cols>
  <sheetData>
    <row r="1" spans="1:13" s="8" customFormat="1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" x14ac:dyDescent="0.35">
      <c r="A2" s="56" t="str">
        <f>proj</f>
        <v>Ttransformer rebuild - KYM, NKA, PLD, MNA &amp; WBL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" x14ac:dyDescent="0.35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" x14ac:dyDescent="0.35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4.4" x14ac:dyDescent="0.3">
      <c r="A5" s="19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3.8" x14ac:dyDescent="0.3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3.8" x14ac:dyDescent="0.3">
      <c r="G7" s="152" t="s">
        <v>187</v>
      </c>
      <c r="H7" s="152" t="s">
        <v>188</v>
      </c>
      <c r="I7" s="152" t="s">
        <v>119</v>
      </c>
    </row>
    <row r="8" spans="1:13" s="7" customFormat="1" ht="13.8" x14ac:dyDescent="0.3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3.8" x14ac:dyDescent="0.3">
      <c r="C9" s="91" t="str" cm="1">
        <f t="array" ref="C9:C13">options</f>
        <v>Option 1 (base case)</v>
      </c>
      <c r="D9" s="330" t="str">
        <f>INDEX(Assumptions!$E$14:$E$18, MATCH(C9, Assumptions!$C$14:$C$18,0))</f>
        <v>No change to existing practices</v>
      </c>
      <c r="E9" s="331"/>
      <c r="F9" s="331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3">
      <c r="C10" s="91" t="str">
        <v>Option 2</v>
      </c>
      <c r="D10" s="332" t="str">
        <f>INDEX(Assumptions!$E$14:$E$18, MATCH(C10, Assumptions!$C$14:$C$18,0))</f>
        <v>Replace relays and building with a new control building</v>
      </c>
      <c r="E10" s="333"/>
      <c r="F10" s="333"/>
      <c r="G10" s="103">
        <f>IF(Data!$C10, "", INDEX(Consol!$F$15:$F$82, MATCH($C10&amp;G$7, Consol!$D$15:$D$82,0))/mill_conv)</f>
        <v>-20.389426059873639</v>
      </c>
      <c r="H10" s="103">
        <f>IF(Data!$C10, "", INDEX(Consol!$F$15:$F$82, MATCH($C10&amp;H$7, Consol!$D$15:$D$82,0))/mill_conv)</f>
        <v>62.438420774041845</v>
      </c>
      <c r="I10" s="103">
        <f>IF(Data!$C10, "", INDEX(Consol!$F$15:$F$82, MATCH($C10&amp;I$7, Consol!$D$15:$D$82,0))/mill_conv)</f>
        <v>42.048994714168195</v>
      </c>
    </row>
    <row r="11" spans="1:13" s="7" customFormat="1" ht="13.8" x14ac:dyDescent="0.3">
      <c r="C11" s="91" t="str">
        <v>Option 3</v>
      </c>
      <c r="D11" s="332" t="str">
        <f>INDEX(Assumptions!$E$14:$E$18, MATCH(C11, Assumptions!$C$14:$C$18,0))</f>
        <v>Replace 22kV switchgear, relays and building with a new switchroom and control building</v>
      </c>
      <c r="E11" s="333"/>
      <c r="F11" s="333"/>
      <c r="G11" s="103">
        <f>IF(Data!$C11, "", INDEX(Consol!$F$15:$F$82, MATCH($C11&amp;G$7, Consol!$D$15:$D$82,0))/mill_conv)</f>
        <v>-33.1195753241375</v>
      </c>
      <c r="H11" s="103">
        <f>IF(Data!$C11, "", INDEX(Consol!$F$15:$F$82, MATCH($C11&amp;H$7, Consol!$D$15:$D$82,0))/mill_conv)</f>
        <v>78.717839566385621</v>
      </c>
      <c r="I11" s="103">
        <f>IF(Data!$C11, "", INDEX(Consol!$F$15:$F$82, MATCH($C11&amp;I$7, Consol!$D$15:$D$82,0))/mill_conv)</f>
        <v>45.598264242248135</v>
      </c>
    </row>
    <row r="12" spans="1:13" s="7" customFormat="1" ht="13.8" x14ac:dyDescent="0.3">
      <c r="C12" s="91" t="str">
        <v>Option 4</v>
      </c>
      <c r="D12" s="332" t="str">
        <f>INDEX(Assumptions!$E$14:$E$18, MATCH(C12, Assumptions!$C$14:$C$18,0))</f>
        <v>Refurbish Hawker Siddeley CBs (only at KYM, PLD and WBL ZSS)</v>
      </c>
      <c r="E12" s="333"/>
      <c r="F12" s="333"/>
      <c r="G12" s="103">
        <f>IF(Data!$C12, "", INDEX(Consol!$F$15:$F$82, MATCH($C12&amp;G$7, Consol!$D$15:$D$82,0))/mill_conv)</f>
        <v>-32.214023089266334</v>
      </c>
      <c r="H12" s="103">
        <f>IF(Data!$C12, "", INDEX(Consol!$F$15:$F$82, MATCH($C12&amp;H$7, Consol!$D$15:$D$82,0))/mill_conv)</f>
        <v>3.4469392514123491</v>
      </c>
      <c r="I12" s="103">
        <f>IF(Data!$C12, "", INDEX(Consol!$F$15:$F$82, MATCH($C12&amp;I$7, Consol!$D$15:$D$82,0))/mill_conv)</f>
        <v>-28.767083837853992</v>
      </c>
    </row>
    <row r="13" spans="1:13" s="7" customFormat="1" ht="13.8" x14ac:dyDescent="0.3">
      <c r="C13" s="91" t="str">
        <v>Option 5</v>
      </c>
      <c r="D13" s="332">
        <f>INDEX(Assumptions!$E$14:$E$18, MATCH(C13, Assumptions!$C$14:$C$18,0))</f>
        <v>0</v>
      </c>
      <c r="E13" s="333"/>
      <c r="F13" s="333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3.8" x14ac:dyDescent="0.3">
      <c r="C14" s="91"/>
      <c r="D14" s="247"/>
      <c r="E14" s="247"/>
      <c r="F14" s="241"/>
      <c r="H14" s="9"/>
    </row>
    <row r="15" spans="1:13" s="7" customFormat="1" ht="13.8" x14ac:dyDescent="0.3">
      <c r="C15" s="91"/>
      <c r="D15" s="91"/>
      <c r="E15" s="91"/>
      <c r="F15" s="92"/>
      <c r="G15"/>
      <c r="I15" s="9"/>
    </row>
    <row r="16" spans="1:13" s="7" customFormat="1" ht="13.8" x14ac:dyDescent="0.3">
      <c r="G16" s="152" t="s">
        <v>119</v>
      </c>
      <c r="H16"/>
      <c r="J16" s="9"/>
    </row>
    <row r="17" spans="1:13" s="7" customFormat="1" ht="13.8" x14ac:dyDescent="0.3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3.8" x14ac:dyDescent="0.3">
      <c r="C18" s="36" t="str">
        <f>INDEX($C$9:$C$13,MATCH(G18, $I$9:$I$13,0))</f>
        <v>Option 3</v>
      </c>
      <c r="D18" s="329" t="str">
        <f>INDEX($D$9:$D$13,MATCH(G18, $I$9:$I$13,0))</f>
        <v>Replace 22kV switchgear, relays and building with a new switchroom and control building</v>
      </c>
      <c r="E18" s="329"/>
      <c r="F18" s="329"/>
      <c r="G18" s="104">
        <f>_xlfn.MAXIFS(I9:I13, IF(compliance, Data!$F$9:$F$13, Data!$C$9:$C$13),FALSE)</f>
        <v>45.598264242248135</v>
      </c>
      <c r="H18"/>
    </row>
    <row r="19" spans="1:13" s="7" customFormat="1" ht="13.8" x14ac:dyDescent="0.3">
      <c r="H19"/>
    </row>
    <row r="20" spans="1:13" x14ac:dyDescent="0.25"/>
    <row r="21" spans="1:13" x14ac:dyDescent="0.25"/>
    <row r="22" spans="1:13" x14ac:dyDescent="0.25"/>
    <row r="23" spans="1:13" ht="14.4" x14ac:dyDescent="0.3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5"/>
    <row r="25" spans="1:13" s="8" customFormat="1" ht="13.8" x14ac:dyDescent="0.3">
      <c r="C25" s="14" t="s">
        <v>28</v>
      </c>
    </row>
    <row r="26" spans="1:13" s="8" customFormat="1" ht="13.8" x14ac:dyDescent="0.3">
      <c r="C26" s="93" t="str">
        <f>C18</f>
        <v>Option 3</v>
      </c>
    </row>
    <row r="27" spans="1:13" s="8" customFormat="1" ht="13.8" x14ac:dyDescent="0.3"/>
    <row r="28" spans="1:13" s="8" customFormat="1" ht="13.8" x14ac:dyDescent="0.3"/>
    <row r="29" spans="1:13" s="8" customFormat="1" ht="13.8" x14ac:dyDescent="0.3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3.8" x14ac:dyDescent="0.3">
      <c r="C30" s="4" t="s">
        <v>30</v>
      </c>
      <c r="F30" s="105">
        <f>-INDEX(Consol!$I$15:$Q$82,MATCH($C$26&amp;$C30,Consol!$D$15:$D$82,0), MATCH(F$29, Consol!$I$9:$Q$9,0))/mill_conv</f>
        <v>14.552041922896974</v>
      </c>
      <c r="G30" s="105">
        <f>-INDEX(Consol!$I$15:$Q$82,MATCH($C$26&amp;$C30,Consol!$D$15:$D$82,0), MATCH(G$29, Consol!$I$9:$Q$9,0))/mill_conv</f>
        <v>12.311413358149842</v>
      </c>
      <c r="H30" s="105">
        <f>-INDEX(Consol!$I$15:$Q$82,MATCH($C$26&amp;$C30,Consol!$D$15:$D$82,0), MATCH(H$29, Consol!$I$9:$Q$9,0))/mill_conv</f>
        <v>12.111505755389905</v>
      </c>
      <c r="I30" s="105">
        <f>-INDEX(Consol!$I$15:$Q$82,MATCH($C$26&amp;$C30,Consol!$D$15:$D$82,0), MATCH(I$29, Consol!$I$9:$Q$9,0))/mill_conv</f>
        <v>12.111505755389905</v>
      </c>
      <c r="J30" s="105">
        <f>-INDEX(Consol!$I$15:$Q$82,MATCH($C$26&amp;$C30,Consol!$D$15:$D$82,0), MATCH(J$29, Consol!$I$9:$Q$9,0))/mill_conv</f>
        <v>6.0557528776949523</v>
      </c>
      <c r="K30" s="186"/>
      <c r="L30" s="186">
        <f>SUM(F30:J30)</f>
        <v>57.14221966952158</v>
      </c>
    </row>
    <row r="31" spans="1:13" s="8" customFormat="1" ht="13.8" x14ac:dyDescent="0.3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3.8" x14ac:dyDescent="0.3"/>
    <row r="33" spans="1:13" s="8" customFormat="1" ht="13.8" x14ac:dyDescent="0.3"/>
    <row r="34" spans="1:13" s="8" customFormat="1" ht="13.8" x14ac:dyDescent="0.3"/>
    <row r="35" spans="1:13" s="8" customFormat="1" ht="14.4" x14ac:dyDescent="0.3">
      <c r="A35" s="19" t="s">
        <v>216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3.8" x14ac:dyDescent="0.3"/>
    <row r="37" spans="1:13" s="8" customFormat="1" ht="13.8" x14ac:dyDescent="0.3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3.8" x14ac:dyDescent="0.3">
      <c r="C38" s="257" t="s">
        <v>220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218</v>
      </c>
      <c r="M38" s="262"/>
    </row>
    <row r="39" spans="1:13" s="8" customFormat="1" ht="13.8" x14ac:dyDescent="0.3">
      <c r="C39" s="285" t="str">
        <f>Sensitivity_calcs!B90</f>
        <v>None</v>
      </c>
      <c r="D39" s="265"/>
      <c r="E39" s="265"/>
      <c r="F39" s="286">
        <f>Sensitivity_calcs!C90</f>
        <v>0</v>
      </c>
      <c r="G39" s="286">
        <f>Sensitivity_calcs!D90</f>
        <v>42.048994714168195</v>
      </c>
      <c r="H39" s="286">
        <f>Sensitivity_calcs!E90</f>
        <v>45.598264242248135</v>
      </c>
      <c r="I39" s="286">
        <f>Sensitivity_calcs!F90</f>
        <v>-28.767083837853988</v>
      </c>
      <c r="J39" s="286" t="str">
        <f>Sensitivity_calcs!G90</f>
        <v/>
      </c>
      <c r="K39" s="256"/>
      <c r="L39" s="288" t="str">
        <f>Sensitivity_calcs!K90</f>
        <v>Option 3</v>
      </c>
      <c r="M39" s="256"/>
    </row>
    <row r="40" spans="1:13" s="8" customFormat="1" ht="13.8" x14ac:dyDescent="0.3">
      <c r="C40" s="264" t="str">
        <f>Sensitivity_calcs!B91</f>
        <v>Capex 10% higher</v>
      </c>
      <c r="D40" s="264"/>
      <c r="E40" s="264"/>
      <c r="F40" s="278">
        <f>Sensitivity_calcs!C91</f>
        <v>0</v>
      </c>
      <c r="G40" s="273">
        <f>Sensitivity_calcs!D91</f>
        <v>40.010052108180844</v>
      </c>
      <c r="H40" s="273">
        <f>Sensitivity_calcs!E91</f>
        <v>42.286306709834385</v>
      </c>
      <c r="I40" s="273">
        <f>Sensitivity_calcs!F91</f>
        <v>-31.98848614678063</v>
      </c>
      <c r="J40" s="273" t="str">
        <f>Sensitivity_calcs!G91</f>
        <v/>
      </c>
      <c r="K40" s="256"/>
      <c r="L40" s="281" t="str">
        <f>Sensitivity_calcs!K91</f>
        <v>Option 3</v>
      </c>
      <c r="M40" s="256"/>
    </row>
    <row r="41" spans="1:13" s="8" customFormat="1" ht="13.8" x14ac:dyDescent="0.3">
      <c r="C41" s="264" t="str">
        <f>Sensitivity_calcs!B92</f>
        <v>Capex 10% lower</v>
      </c>
      <c r="D41" s="264"/>
      <c r="E41" s="264"/>
      <c r="F41" s="279">
        <f>Sensitivity_calcs!C92</f>
        <v>0</v>
      </c>
      <c r="G41" s="274">
        <f>Sensitivity_calcs!D92</f>
        <v>44.087937320155561</v>
      </c>
      <c r="H41" s="274">
        <f>Sensitivity_calcs!E92</f>
        <v>48.910221774661885</v>
      </c>
      <c r="I41" s="274">
        <f>Sensitivity_calcs!F92</f>
        <v>-25.545681528927357</v>
      </c>
      <c r="J41" s="274" t="str">
        <f>Sensitivity_calcs!G92</f>
        <v/>
      </c>
      <c r="K41" s="256"/>
      <c r="L41" s="281" t="str">
        <f>Sensitivity_calcs!K92</f>
        <v>Option 3</v>
      </c>
      <c r="M41" s="256"/>
    </row>
    <row r="42" spans="1:13" s="8" customFormat="1" ht="13.8" x14ac:dyDescent="0.3">
      <c r="C42" s="264" t="str">
        <f>Sensitivity_calcs!B93</f>
        <v>Total benefits 10% higher</v>
      </c>
      <c r="D42" s="264"/>
      <c r="E42" s="264"/>
      <c r="F42" s="279">
        <f>Sensitivity_calcs!C93</f>
        <v>0</v>
      </c>
      <c r="G42" s="274">
        <f>Sensitivity_calcs!D93</f>
        <v>48.292836791572384</v>
      </c>
      <c r="H42" s="274">
        <f>Sensitivity_calcs!E93</f>
        <v>53.470048198886694</v>
      </c>
      <c r="I42" s="274">
        <f>Sensitivity_calcs!F93</f>
        <v>-28.422389912712752</v>
      </c>
      <c r="J42" s="274" t="str">
        <f>Sensitivity_calcs!G93</f>
        <v/>
      </c>
      <c r="K42" s="256"/>
      <c r="L42" s="281" t="str">
        <f>Sensitivity_calcs!K93</f>
        <v>Option 3</v>
      </c>
      <c r="M42" s="256"/>
    </row>
    <row r="43" spans="1:13" s="8" customFormat="1" ht="13.8" x14ac:dyDescent="0.3">
      <c r="C43" s="264" t="str">
        <f>Sensitivity_calcs!B94</f>
        <v>Total benefits 10% lower</v>
      </c>
      <c r="D43" s="264"/>
      <c r="E43" s="264"/>
      <c r="F43" s="279">
        <f>Sensitivity_calcs!C94</f>
        <v>0</v>
      </c>
      <c r="G43" s="274">
        <f>Sensitivity_calcs!D94</f>
        <v>35.805152636764014</v>
      </c>
      <c r="H43" s="274">
        <f>Sensitivity_calcs!E94</f>
        <v>37.726480285609568</v>
      </c>
      <c r="I43" s="274">
        <f>Sensitivity_calcs!F94</f>
        <v>-29.111777762995224</v>
      </c>
      <c r="J43" s="274" t="str">
        <f>Sensitivity_calcs!G94</f>
        <v/>
      </c>
      <c r="K43" s="256"/>
      <c r="L43" s="281" t="str">
        <f>Sensitivity_calcs!K94</f>
        <v>Option 3</v>
      </c>
      <c r="M43" s="256"/>
    </row>
    <row r="44" spans="1:13" s="8" customFormat="1" ht="13.8" x14ac:dyDescent="0.3">
      <c r="C44" s="264" t="str">
        <f>Sensitivity_calcs!B95</f>
        <v>Capex 10% higher &amp; Total benefits 10% lower</v>
      </c>
      <c r="D44" s="264"/>
      <c r="E44" s="264"/>
      <c r="F44" s="279">
        <f>Sensitivity_calcs!C95</f>
        <v>0</v>
      </c>
      <c r="G44" s="274">
        <f>Sensitivity_calcs!D95</f>
        <v>33.766210030776648</v>
      </c>
      <c r="H44" s="274">
        <f>Sensitivity_calcs!E95</f>
        <v>34.414522753195826</v>
      </c>
      <c r="I44" s="274">
        <f>Sensitivity_calcs!F95</f>
        <v>-32.333180071921859</v>
      </c>
      <c r="J44" s="274" t="str">
        <f>Sensitivity_calcs!G95</f>
        <v/>
      </c>
      <c r="K44" s="256"/>
      <c r="L44" s="281" t="str">
        <f>Sensitivity_calcs!K95</f>
        <v>Option 3</v>
      </c>
      <c r="M44" s="256"/>
    </row>
    <row r="45" spans="1:13" s="8" customFormat="1" ht="13.8" x14ac:dyDescent="0.3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3.8" x14ac:dyDescent="0.3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3.8" x14ac:dyDescent="0.3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3.8" x14ac:dyDescent="0.3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3.8" x14ac:dyDescent="0.3">
      <c r="F49" s="263"/>
      <c r="G49" s="105"/>
      <c r="H49" s="105"/>
      <c r="I49" s="105"/>
      <c r="J49" s="105"/>
    </row>
    <row r="50" spans="4:10" s="8" customFormat="1" ht="13.8" x14ac:dyDescent="0.3">
      <c r="F50" s="263"/>
      <c r="G50" s="263"/>
      <c r="H50" s="263"/>
      <c r="I50" s="263"/>
    </row>
    <row r="51" spans="4:10" s="8" customFormat="1" ht="13.8" x14ac:dyDescent="0.3"/>
    <row r="52" spans="4:10" s="8" customFormat="1" ht="13.8" x14ac:dyDescent="0.3"/>
    <row r="53" spans="4:10" s="8" customFormat="1" ht="13.8" x14ac:dyDescent="0.3">
      <c r="D53" s="244"/>
      <c r="E53" s="244"/>
      <c r="F53" s="244"/>
    </row>
    <row r="54" spans="4:10" s="8" customFormat="1" ht="13.8" x14ac:dyDescent="0.3">
      <c r="D54" s="244"/>
      <c r="E54" s="244"/>
      <c r="F54" s="244"/>
    </row>
    <row r="55" spans="4:10" s="8" customFormat="1" ht="13.8" hidden="1" x14ac:dyDescent="0.3">
      <c r="D55" s="244"/>
      <c r="E55" s="244"/>
      <c r="F55" s="244"/>
    </row>
    <row r="56" spans="4:10" s="8" customFormat="1" ht="13.8" hidden="1" x14ac:dyDescent="0.3"/>
    <row r="57" spans="4:10" s="8" customFormat="1" ht="13.8" hidden="1" x14ac:dyDescent="0.3"/>
    <row r="58" spans="4:10" s="8" customFormat="1" ht="13.8" hidden="1" x14ac:dyDescent="0.3"/>
    <row r="59" spans="4:10" s="8" customFormat="1" ht="13.8" hidden="1" x14ac:dyDescent="0.3"/>
    <row r="60" spans="4:10" s="8" customFormat="1" ht="13.8" hidden="1" x14ac:dyDescent="0.3"/>
    <row r="61" spans="4:10" s="8" customFormat="1" ht="13.8" hidden="1" x14ac:dyDescent="0.3"/>
    <row r="62" spans="4:10" s="8" customFormat="1" ht="13.8" hidden="1" x14ac:dyDescent="0.3"/>
    <row r="63" spans="4:10" s="8" customFormat="1" ht="13.8" hidden="1" x14ac:dyDescent="0.3"/>
    <row r="64" spans="4:10" s="8" customFormat="1" ht="13.8" hidden="1" x14ac:dyDescent="0.3"/>
    <row r="65" s="8" customFormat="1" ht="13.8" hidden="1" x14ac:dyDescent="0.3"/>
    <row r="66" s="8" customFormat="1" ht="13.8" hidden="1" x14ac:dyDescent="0.3"/>
    <row r="67" s="8" customFormat="1" ht="13.8" hidden="1" x14ac:dyDescent="0.3"/>
    <row r="68" s="8" customFormat="1" ht="13.8" hidden="1" x14ac:dyDescent="0.3"/>
    <row r="69" s="8" customFormat="1" ht="13.8" hidden="1" x14ac:dyDescent="0.3"/>
    <row r="70" s="8" customFormat="1" ht="13.8" hidden="1" x14ac:dyDescent="0.3"/>
    <row r="71" s="8" customFormat="1" ht="13.8" hidden="1" x14ac:dyDescent="0.3"/>
    <row r="72" s="8" customFormat="1" ht="13.8" hidden="1" x14ac:dyDescent="0.3"/>
    <row r="73" s="8" customFormat="1" ht="13.8" hidden="1" x14ac:dyDescent="0.3"/>
    <row r="74" s="8" customFormat="1" ht="13.8" hidden="1" x14ac:dyDescent="0.3"/>
    <row r="75" s="8" customFormat="1" ht="13.8" hidden="1" x14ac:dyDescent="0.3"/>
    <row r="76" s="8" customFormat="1" ht="13.8" hidden="1" x14ac:dyDescent="0.3"/>
    <row r="77" s="8" customFormat="1" ht="13.8" hidden="1" x14ac:dyDescent="0.3"/>
    <row r="78" s="8" customFormat="1" ht="13.8" hidden="1" x14ac:dyDescent="0.3"/>
    <row r="79" s="8" customFormat="1" ht="13.8" hidden="1" x14ac:dyDescent="0.3"/>
    <row r="80" s="8" customFormat="1" ht="13.8" hidden="1" x14ac:dyDescent="0.3"/>
    <row r="81" s="8" customFormat="1" ht="13.8" hidden="1" x14ac:dyDescent="0.3"/>
    <row r="82" s="8" customFormat="1" ht="13.8" hidden="1" x14ac:dyDescent="0.3"/>
    <row r="83" s="8" customFormat="1" ht="13.8" hidden="1" x14ac:dyDescent="0.3"/>
    <row r="84" s="8" customFormat="1" ht="13.8" hidden="1" x14ac:dyDescent="0.3"/>
    <row r="85" s="8" customFormat="1" ht="13.8" hidden="1" x14ac:dyDescent="0.3"/>
    <row r="86" s="8" customFormat="1" ht="13.8" hidden="1" x14ac:dyDescent="0.3"/>
    <row r="87" s="8" customFormat="1" ht="13.8" hidden="1" x14ac:dyDescent="0.3"/>
    <row r="88" s="8" customFormat="1" ht="13.8" hidden="1" x14ac:dyDescent="0.3"/>
    <row r="89" s="8" customFormat="1" ht="13.8" hidden="1" x14ac:dyDescent="0.3"/>
    <row r="90" s="8" customFormat="1" ht="13.8" hidden="1" x14ac:dyDescent="0.3"/>
    <row r="91" s="8" customFormat="1" ht="13.8" hidden="1" x14ac:dyDescent="0.3"/>
    <row r="92" s="8" customFormat="1" ht="13.8" hidden="1" x14ac:dyDescent="0.3"/>
    <row r="93" s="8" customFormat="1" ht="13.8" hidden="1" x14ac:dyDescent="0.3"/>
    <row r="94" s="8" customFormat="1" ht="13.8" hidden="1" x14ac:dyDescent="0.3"/>
    <row r="95" s="8" customFormat="1" ht="13.8" hidden="1" x14ac:dyDescent="0.3"/>
    <row r="96" s="8" customFormat="1" ht="13.8" hidden="1" x14ac:dyDescent="0.3"/>
    <row r="97" s="8" customFormat="1" ht="13.8" hidden="1" x14ac:dyDescent="0.3"/>
    <row r="98" s="8" customFormat="1" ht="13.8" hidden="1" x14ac:dyDescent="0.3"/>
    <row r="99" s="8" customFormat="1" ht="13.8" hidden="1" x14ac:dyDescent="0.3"/>
    <row r="100" s="8" customFormat="1" ht="13.8" hidden="1" x14ac:dyDescent="0.3"/>
    <row r="101" s="8" customFormat="1" ht="13.8" hidden="1" x14ac:dyDescent="0.3"/>
    <row r="102" s="8" customFormat="1" ht="13.8" hidden="1" x14ac:dyDescent="0.3"/>
    <row r="103" s="8" customFormat="1" ht="13.8" hidden="1" x14ac:dyDescent="0.3"/>
    <row r="104" s="8" customFormat="1" ht="13.8" hidden="1" x14ac:dyDescent="0.3"/>
    <row r="105" s="8" customFormat="1" ht="13.8" hidden="1" x14ac:dyDescent="0.3"/>
    <row r="106" s="8" customFormat="1" ht="13.8" hidden="1" x14ac:dyDescent="0.3"/>
    <row r="107" s="8" customFormat="1" ht="13.8" hidden="1" x14ac:dyDescent="0.3"/>
    <row r="108" s="8" customFormat="1" ht="13.8" hidden="1" x14ac:dyDescent="0.3"/>
    <row r="109" s="8" customFormat="1" ht="13.8" hidden="1" x14ac:dyDescent="0.3"/>
    <row r="110" s="8" customFormat="1" ht="13.8" hidden="1" x14ac:dyDescent="0.3"/>
    <row r="111" s="8" customFormat="1" ht="13.8" hidden="1" x14ac:dyDescent="0.3"/>
    <row r="112" s="8" customFormat="1" ht="13.8" hidden="1" x14ac:dyDescent="0.3"/>
    <row r="113" s="8" customFormat="1" ht="13.8" hidden="1" x14ac:dyDescent="0.3"/>
    <row r="114" s="8" customFormat="1" ht="13.8" hidden="1" x14ac:dyDescent="0.3"/>
    <row r="115" s="8" customFormat="1" ht="13.8" hidden="1" x14ac:dyDescent="0.3"/>
    <row r="116" s="8" customFormat="1" ht="13.8" hidden="1" x14ac:dyDescent="0.3"/>
    <row r="117" s="8" customFormat="1" ht="13.8" hidden="1" x14ac:dyDescent="0.3"/>
    <row r="118" s="8" customFormat="1" ht="13.8" hidden="1" x14ac:dyDescent="0.3"/>
    <row r="119" s="8" customFormat="1" ht="13.8" hidden="1" x14ac:dyDescent="0.3"/>
    <row r="120" s="8" customFormat="1" ht="13.8" hidden="1" x14ac:dyDescent="0.3"/>
    <row r="121" s="8" customFormat="1" ht="13.8" hidden="1" x14ac:dyDescent="0.3"/>
    <row r="122" s="8" customFormat="1" ht="13.8" hidden="1" x14ac:dyDescent="0.3"/>
    <row r="123" s="8" customFormat="1" ht="13.8" hidden="1" x14ac:dyDescent="0.3"/>
    <row r="124" s="8" customFormat="1" ht="13.8" hidden="1" x14ac:dyDescent="0.3"/>
    <row r="125" s="8" customFormat="1" ht="13.8" hidden="1" x14ac:dyDescent="0.3"/>
    <row r="126" s="8" customFormat="1" ht="13.8" hidden="1" x14ac:dyDescent="0.3"/>
    <row r="127" s="8" customFormat="1" ht="13.8" hidden="1" x14ac:dyDescent="0.3"/>
    <row r="128" s="8" customFormat="1" ht="13.8" hidden="1" x14ac:dyDescent="0.3"/>
    <row r="129" s="8" customFormat="1" ht="13.8" hidden="1" x14ac:dyDescent="0.3"/>
    <row r="130" s="8" customFormat="1" ht="13.8" hidden="1" x14ac:dyDescent="0.3"/>
    <row r="131" s="8" customFormat="1" ht="13.8" hidden="1" x14ac:dyDescent="0.3"/>
    <row r="132" s="8" customFormat="1" ht="13.8" hidden="1" x14ac:dyDescent="0.3"/>
    <row r="133" s="8" customFormat="1" ht="13.8" hidden="1" x14ac:dyDescent="0.3"/>
    <row r="134" s="8" customFormat="1" ht="13.8" hidden="1" x14ac:dyDescent="0.3"/>
    <row r="135" s="8" customFormat="1" ht="13.8" hidden="1" x14ac:dyDescent="0.3"/>
    <row r="136" s="8" customFormat="1" ht="13.8" hidden="1" x14ac:dyDescent="0.3"/>
    <row r="137" s="8" customFormat="1" ht="13.8" hidden="1" x14ac:dyDescent="0.3"/>
    <row r="138" s="8" customFormat="1" ht="13.8" hidden="1" x14ac:dyDescent="0.3"/>
    <row r="139" s="8" customFormat="1" ht="13.8" hidden="1" x14ac:dyDescent="0.3"/>
    <row r="140" s="8" customFormat="1" ht="13.8" hidden="1" x14ac:dyDescent="0.3"/>
    <row r="141" s="8" customFormat="1" ht="13.8" hidden="1" x14ac:dyDescent="0.3"/>
    <row r="142" s="8" customFormat="1" ht="13.8" hidden="1" x14ac:dyDescent="0.3"/>
    <row r="143" s="8" customFormat="1" ht="13.8" hidden="1" x14ac:dyDescent="0.3"/>
    <row r="144" s="8" customFormat="1" ht="13.8" hidden="1" x14ac:dyDescent="0.3"/>
    <row r="145" s="8" customFormat="1" ht="13.8" hidden="1" x14ac:dyDescent="0.3"/>
    <row r="146" s="8" customFormat="1" ht="13.8" hidden="1" x14ac:dyDescent="0.3"/>
    <row r="147" s="8" customFormat="1" ht="13.8" hidden="1" x14ac:dyDescent="0.3"/>
    <row r="148" s="8" customFormat="1" ht="13.8" hidden="1" x14ac:dyDescent="0.3"/>
    <row r="149" s="8" customFormat="1" ht="13.8" hidden="1" x14ac:dyDescent="0.3"/>
    <row r="150" s="8" customFormat="1" ht="13.8" hidden="1" x14ac:dyDescent="0.3"/>
    <row r="151" s="8" customFormat="1" ht="13.8" hidden="1" x14ac:dyDescent="0.3"/>
    <row r="152" s="8" customFormat="1" ht="13.8" hidden="1" x14ac:dyDescent="0.3"/>
    <row r="153" s="8" customFormat="1" ht="13.8" hidden="1" x14ac:dyDescent="0.3"/>
    <row r="154" s="8" customFormat="1" ht="13.8" hidden="1" x14ac:dyDescent="0.3"/>
    <row r="155" s="8" customFormat="1" ht="13.8" hidden="1" x14ac:dyDescent="0.3"/>
    <row r="156" s="8" customFormat="1" ht="13.8" hidden="1" x14ac:dyDescent="0.3"/>
    <row r="157" s="8" customFormat="1" ht="13.8" hidden="1" x14ac:dyDescent="0.3"/>
    <row r="158" s="8" customFormat="1" ht="13.8" hidden="1" x14ac:dyDescent="0.3"/>
    <row r="159" s="8" customFormat="1" ht="13.8" hidden="1" x14ac:dyDescent="0.3"/>
    <row r="160" s="8" customFormat="1" ht="13.8" hidden="1" x14ac:dyDescent="0.3"/>
    <row r="161" s="8" customFormat="1" ht="13.8" hidden="1" x14ac:dyDescent="0.3"/>
    <row r="162" s="8" customFormat="1" ht="13.8" hidden="1" x14ac:dyDescent="0.3"/>
    <row r="163" s="8" customFormat="1" ht="13.8" hidden="1" x14ac:dyDescent="0.3"/>
    <row r="164" s="8" customFormat="1" ht="13.8" hidden="1" x14ac:dyDescent="0.3"/>
    <row r="165" s="8" customFormat="1" ht="13.8" hidden="1" x14ac:dyDescent="0.3"/>
    <row r="166" s="8" customFormat="1" ht="13.8" hidden="1" x14ac:dyDescent="0.3"/>
    <row r="167" s="8" customFormat="1" ht="13.8" hidden="1" x14ac:dyDescent="0.3"/>
    <row r="168" s="8" customFormat="1" ht="13.8" hidden="1" x14ac:dyDescent="0.3"/>
    <row r="169" s="8" customFormat="1" ht="13.8" hidden="1" x14ac:dyDescent="0.3"/>
    <row r="170" s="8" customFormat="1" ht="13.8" hidden="1" x14ac:dyDescent="0.3"/>
    <row r="171" s="8" customFormat="1" ht="13.8" hidden="1" x14ac:dyDescent="0.3"/>
    <row r="172" s="8" customFormat="1" ht="13.8" hidden="1" x14ac:dyDescent="0.3"/>
    <row r="173" s="8" customFormat="1" ht="13.8" hidden="1" x14ac:dyDescent="0.3"/>
    <row r="174" s="8" customFormat="1" ht="13.8" hidden="1" x14ac:dyDescent="0.3"/>
    <row r="175" s="8" customFormat="1" ht="13.8" hidden="1" x14ac:dyDescent="0.3"/>
    <row r="176" s="8" customFormat="1" ht="13.8" hidden="1" x14ac:dyDescent="0.3"/>
    <row r="177" s="8" customFormat="1" ht="13.8" hidden="1" x14ac:dyDescent="0.3"/>
    <row r="178" s="8" customFormat="1" ht="13.8" hidden="1" x14ac:dyDescent="0.3"/>
    <row r="179" s="8" customFormat="1" ht="13.8" hidden="1" x14ac:dyDescent="0.3"/>
    <row r="180" s="8" customFormat="1" ht="13.8" hidden="1" x14ac:dyDescent="0.3"/>
    <row r="181" s="8" customFormat="1" ht="13.8" hidden="1" x14ac:dyDescent="0.3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3.8" x14ac:dyDescent="0.3"/>
  <cols>
    <col min="1" max="1" width="3.6328125" style="8" customWidth="1"/>
    <col min="2" max="2" width="2.6328125" style="8" customWidth="1"/>
    <col min="3" max="3" width="18.7265625" style="8" customWidth="1"/>
    <col min="4" max="4" width="9.26953125" style="8" customWidth="1"/>
    <col min="5" max="5" width="16.36328125" style="8" customWidth="1"/>
    <col min="6" max="6" width="1.08984375" style="8" customWidth="1"/>
    <col min="7" max="7" width="14.7265625" style="8" customWidth="1"/>
    <col min="8" max="8" width="12.90625" style="8" customWidth="1"/>
    <col min="9" max="9" width="11.453125" style="8" customWidth="1"/>
    <col min="10" max="10" width="6.90625" style="8" customWidth="1"/>
    <col min="11" max="16" width="8.08984375" style="8" customWidth="1"/>
    <col min="17" max="19" width="9" style="8"/>
    <col min="20" max="20" width="17.6328125" style="8" customWidth="1"/>
    <col min="21" max="16384" width="9" style="8"/>
  </cols>
  <sheetData>
    <row r="1" spans="1:16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6" x14ac:dyDescent="0.3">
      <c r="A2" s="56" t="str">
        <f>proj</f>
        <v>Ttransformer rebuild - KYM, NKA, PLD, MNA &amp; WBL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4.4" x14ac:dyDescent="0.3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3">
      <c r="M5" s="12"/>
      <c r="N5" s="12"/>
      <c r="O5" s="12"/>
      <c r="P5" s="12"/>
    </row>
    <row r="6" spans="1:16" ht="12.75" customHeight="1" x14ac:dyDescent="0.3">
      <c r="C6" s="14" t="s">
        <v>11</v>
      </c>
      <c r="D6" s="65"/>
      <c r="E6" s="13" t="s">
        <v>3</v>
      </c>
    </row>
    <row r="7" spans="1:16" s="1" customFormat="1" ht="12.75" customHeight="1" x14ac:dyDescent="0.3">
      <c r="M7" s="12"/>
      <c r="N7" s="12"/>
      <c r="O7" s="12"/>
      <c r="P7" s="12"/>
    </row>
    <row r="8" spans="1:16" x14ac:dyDescent="0.3">
      <c r="C8" s="14" t="s">
        <v>12</v>
      </c>
      <c r="D8" s="14"/>
      <c r="E8" s="337" t="s">
        <v>257</v>
      </c>
      <c r="F8" s="337"/>
      <c r="G8" s="337"/>
      <c r="H8" s="337"/>
      <c r="I8" s="1"/>
      <c r="J8" s="1"/>
    </row>
    <row r="9" spans="1:16" x14ac:dyDescent="0.3">
      <c r="C9" s="14"/>
      <c r="D9" s="14"/>
    </row>
    <row r="10" spans="1:16" s="6" customFormat="1" x14ac:dyDescent="0.3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3">
      <c r="I11" s="66"/>
      <c r="J11" s="66"/>
    </row>
    <row r="12" spans="1:16" x14ac:dyDescent="0.3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3">
      <c r="C14" s="61" t="str" cm="1">
        <f t="array" ref="C14:C18">options</f>
        <v>Option 1 (base case)</v>
      </c>
      <c r="D14" s="61"/>
      <c r="E14" s="338" t="s">
        <v>58</v>
      </c>
      <c r="F14" s="338"/>
      <c r="G14" s="338"/>
      <c r="H14" s="338"/>
      <c r="I14" s="338"/>
      <c r="J14" s="338"/>
      <c r="K14" s="338"/>
      <c r="L14"/>
    </row>
    <row r="15" spans="1:16" s="1" customFormat="1" ht="12.75" customHeight="1" x14ac:dyDescent="0.3">
      <c r="C15" s="61" t="str">
        <v>Option 2</v>
      </c>
      <c r="D15" s="61"/>
      <c r="E15" s="339" t="s">
        <v>254</v>
      </c>
      <c r="F15" s="339"/>
      <c r="G15" s="339"/>
      <c r="H15" s="339"/>
      <c r="I15" s="339"/>
      <c r="J15" s="339"/>
      <c r="K15" s="339"/>
      <c r="L15"/>
    </row>
    <row r="16" spans="1:16" s="1" customFormat="1" ht="12.75" customHeight="1" x14ac:dyDescent="0.3">
      <c r="C16" s="61" t="str">
        <v>Option 3</v>
      </c>
      <c r="D16" s="61"/>
      <c r="E16" s="339" t="s">
        <v>255</v>
      </c>
      <c r="F16" s="339"/>
      <c r="G16" s="339"/>
      <c r="H16" s="339"/>
      <c r="I16" s="339"/>
      <c r="J16" s="339"/>
      <c r="K16" s="339"/>
      <c r="L16"/>
    </row>
    <row r="17" spans="1:16" s="1" customFormat="1" ht="12.75" customHeight="1" x14ac:dyDescent="0.3">
      <c r="C17" s="61" t="str">
        <v>Option 4</v>
      </c>
      <c r="D17" s="61"/>
      <c r="E17" s="339" t="s">
        <v>256</v>
      </c>
      <c r="F17" s="339"/>
      <c r="G17" s="339"/>
      <c r="H17" s="339"/>
      <c r="I17" s="339"/>
      <c r="J17" s="339"/>
      <c r="K17" s="339"/>
      <c r="L17"/>
    </row>
    <row r="18" spans="1:16" s="1" customFormat="1" ht="12.75" customHeight="1" x14ac:dyDescent="0.3">
      <c r="C18" s="61" t="str">
        <v>Option 5</v>
      </c>
      <c r="D18" s="61"/>
      <c r="E18" s="339"/>
      <c r="F18" s="339"/>
      <c r="G18" s="339"/>
      <c r="H18" s="339"/>
      <c r="I18" s="339"/>
      <c r="J18" s="339"/>
      <c r="K18" s="339"/>
      <c r="L18"/>
    </row>
    <row r="19" spans="1:16" s="1" customFormat="1" ht="12.75" customHeight="1" x14ac:dyDescent="0.3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3">
      <c r="C20" s="290" t="s">
        <v>223</v>
      </c>
      <c r="D20"/>
      <c r="E20" s="291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3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3">
      <c r="C22" s="1" t="s">
        <v>236</v>
      </c>
      <c r="E22" s="296" t="s">
        <v>19</v>
      </c>
      <c r="F22" s="68" t="s">
        <v>65</v>
      </c>
      <c r="J22" s="68"/>
    </row>
    <row r="23" spans="1:16" s="1" customFormat="1" ht="12.75" customHeight="1" x14ac:dyDescent="0.3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6" x14ac:dyDescent="0.3">
      <c r="E24" s="5"/>
      <c r="F24" s="5"/>
      <c r="L24" s="8"/>
    </row>
    <row r="25" spans="1:16" s="1" customFormat="1" ht="14.4" x14ac:dyDescent="0.3">
      <c r="A25" s="18" t="s">
        <v>180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3"/>
    <row r="27" spans="1:16" s="1" customFormat="1" x14ac:dyDescent="0.3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3">
      <c r="C28" s="1" t="s">
        <v>181</v>
      </c>
      <c r="G28" s="302">
        <v>3.5000000000000003E-2</v>
      </c>
      <c r="H28" s="68" t="s">
        <v>66</v>
      </c>
      <c r="J28" s="68"/>
    </row>
    <row r="29" spans="1:16" s="1" customFormat="1" x14ac:dyDescent="0.3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3">
      <c r="J30" s="68"/>
    </row>
    <row r="31" spans="1:16" x14ac:dyDescent="0.3">
      <c r="C31" s="8" t="s">
        <v>194</v>
      </c>
      <c r="G31" s="304">
        <v>20</v>
      </c>
      <c r="H31" s="68" t="s">
        <v>195</v>
      </c>
    </row>
    <row r="32" spans="1:16" s="1" customFormat="1" x14ac:dyDescent="0.3"/>
    <row r="33" spans="1:20" s="1" customFormat="1" x14ac:dyDescent="0.3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3">
      <c r="C34" s="1" t="s">
        <v>71</v>
      </c>
      <c r="G34" s="321">
        <v>45291</v>
      </c>
      <c r="H34" s="68" t="s">
        <v>72</v>
      </c>
      <c r="J34" s="68"/>
    </row>
    <row r="35" spans="1:20" s="1" customFormat="1" x14ac:dyDescent="0.3">
      <c r="C35" s="1" t="s">
        <v>238</v>
      </c>
      <c r="G35" s="303">
        <v>45107</v>
      </c>
      <c r="H35" s="68"/>
      <c r="J35" s="68"/>
    </row>
    <row r="39" spans="1:20" s="1" customFormat="1" ht="14.4" x14ac:dyDescent="0.3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3">
      <c r="M40" s="12"/>
      <c r="N40" s="12"/>
      <c r="O40" s="12"/>
      <c r="P40" s="12"/>
    </row>
    <row r="41" spans="1:20" s="128" customFormat="1" x14ac:dyDescent="0.3">
      <c r="A41" s="127"/>
      <c r="B41" s="127"/>
      <c r="C41" s="1" t="s">
        <v>243</v>
      </c>
      <c r="D41" s="240" t="s">
        <v>244</v>
      </c>
      <c r="E41" s="324" t="s">
        <v>214</v>
      </c>
      <c r="F41" s="325"/>
      <c r="G41" s="326" t="s">
        <v>213</v>
      </c>
      <c r="H41" s="131">
        <v>43815.486225173103</v>
      </c>
      <c r="I41" s="327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3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3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4.4" x14ac:dyDescent="0.3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3">
      <c r="B48" s="30" t="s">
        <v>172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3">
      <c r="C50" s="8" t="s">
        <v>147</v>
      </c>
      <c r="G50" s="306">
        <v>5400000</v>
      </c>
      <c r="H50" s="69">
        <v>45107</v>
      </c>
    </row>
    <row r="52" spans="3:8" x14ac:dyDescent="0.3">
      <c r="C52" s="8" t="s">
        <v>163</v>
      </c>
      <c r="G52" s="164">
        <v>0</v>
      </c>
      <c r="H52" s="69">
        <f>input_dollars</f>
        <v>45291</v>
      </c>
    </row>
    <row r="54" spans="3:8" x14ac:dyDescent="0.3">
      <c r="C54" s="14" t="str">
        <f>Data!A83</f>
        <v>Disproportionate factors applied to various bushfire and other risk valuations</v>
      </c>
    </row>
    <row r="55" spans="3:8" x14ac:dyDescent="0.3">
      <c r="C55" s="8" t="str">
        <f>Data!B85</f>
        <v>Harm to property from network</v>
      </c>
      <c r="G55" s="304">
        <f>Data!F85</f>
        <v>1</v>
      </c>
    </row>
    <row r="56" spans="3:8" x14ac:dyDescent="0.3">
      <c r="C56" s="8" t="str">
        <f>Data!B86</f>
        <v>Harm to property from bushfire</v>
      </c>
      <c r="G56" s="304">
        <f>Data!F86</f>
        <v>1</v>
      </c>
    </row>
    <row r="57" spans="3:8" x14ac:dyDescent="0.3">
      <c r="C57" s="8" t="str">
        <f>Data!B87</f>
        <v>Harm to environment</v>
      </c>
      <c r="G57" s="304">
        <f>Data!F87</f>
        <v>1</v>
      </c>
    </row>
    <row r="58" spans="3:8" x14ac:dyDescent="0.3">
      <c r="C58" s="8" t="str">
        <f>Data!B88</f>
        <v>Safety - Public trespass</v>
      </c>
      <c r="G58" s="304">
        <f>Data!F88</f>
        <v>1</v>
      </c>
    </row>
    <row r="59" spans="3:8" x14ac:dyDescent="0.3">
      <c r="C59" s="8" t="str">
        <f>Data!B89</f>
        <v>Safety - Single fatality or serious injury ^</v>
      </c>
      <c r="G59" s="304">
        <f>Data!F89</f>
        <v>3</v>
      </c>
    </row>
    <row r="60" spans="3:8" x14ac:dyDescent="0.3">
      <c r="C60" s="8" t="str">
        <f>Data!B90</f>
        <v>Safety from bushfire in HBRA</v>
      </c>
      <c r="G60" s="304">
        <f>Data!F90</f>
        <v>3</v>
      </c>
    </row>
    <row r="61" spans="3:8" x14ac:dyDescent="0.3">
      <c r="C61" s="8" t="str">
        <f>Data!B91</f>
        <v>Safety - Multiple fatality or serious injury ^</v>
      </c>
      <c r="G61" s="304">
        <f>Data!F91</f>
        <v>6</v>
      </c>
    </row>
    <row r="62" spans="3:8" x14ac:dyDescent="0.3">
      <c r="C62" s="8" t="str">
        <f>Data!B92</f>
        <v>Safety from bushfire (REFCL declared areas)</v>
      </c>
      <c r="G62" s="304">
        <f>Data!F92</f>
        <v>6</v>
      </c>
    </row>
    <row r="63" spans="3:8" x14ac:dyDescent="0.3">
      <c r="C63" s="8" t="str">
        <f>Data!B93</f>
        <v>Safety from bushfire (electric line construction areas)</v>
      </c>
      <c r="G63" s="304">
        <f>Data!F93</f>
        <v>10</v>
      </c>
    </row>
    <row r="64" spans="3:8" x14ac:dyDescent="0.3">
      <c r="E64"/>
      <c r="F64"/>
      <c r="G64"/>
      <c r="H64"/>
    </row>
    <row r="66" spans="2:16" x14ac:dyDescent="0.3">
      <c r="C66" s="82" t="s">
        <v>113</v>
      </c>
    </row>
    <row r="69" spans="2:16" x14ac:dyDescent="0.3">
      <c r="C69" s="53" t="s">
        <v>179</v>
      </c>
      <c r="D69" s="59"/>
      <c r="E69" s="59"/>
      <c r="F69" s="59"/>
      <c r="G69" s="157" t="s">
        <v>68</v>
      </c>
      <c r="H69" s="157" t="s">
        <v>164</v>
      </c>
      <c r="I69" s="157" t="s">
        <v>178</v>
      </c>
      <c r="J69" s="156" t="s">
        <v>182</v>
      </c>
      <c r="K69" s="157"/>
      <c r="L69" s="157"/>
      <c r="M69" s="157"/>
    </row>
    <row r="70" spans="2:16" x14ac:dyDescent="0.3">
      <c r="C70" s="8" t="s">
        <v>165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4">
        <v>0</v>
      </c>
      <c r="K70" s="335"/>
      <c r="L70" s="335"/>
      <c r="M70" s="336"/>
    </row>
    <row r="71" spans="2:16" x14ac:dyDescent="0.3">
      <c r="C71" s="8" t="s">
        <v>166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4">
        <v>0</v>
      </c>
      <c r="K71" s="335"/>
      <c r="L71" s="335"/>
      <c r="M71" s="336"/>
    </row>
    <row r="72" spans="2:16" x14ac:dyDescent="0.3">
      <c r="I72" s="161"/>
      <c r="M72"/>
    </row>
    <row r="73" spans="2:16" x14ac:dyDescent="0.3">
      <c r="G73" s="166"/>
    </row>
    <row r="74" spans="2:16" x14ac:dyDescent="0.3">
      <c r="C74" s="82"/>
    </row>
    <row r="77" spans="2:16" x14ac:dyDescent="0.3">
      <c r="B77" s="30" t="s">
        <v>173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3">
      <c r="C78" s="8" t="s">
        <v>167</v>
      </c>
      <c r="G78" s="154">
        <v>0</v>
      </c>
      <c r="H78" s="69">
        <f>input_dollars</f>
        <v>45291</v>
      </c>
    </row>
    <row r="79" spans="2:16" x14ac:dyDescent="0.3">
      <c r="C79" s="8" t="s">
        <v>168</v>
      </c>
      <c r="G79" s="154">
        <v>0</v>
      </c>
      <c r="H79" s="69">
        <f>input_dollars</f>
        <v>45291</v>
      </c>
    </row>
    <row r="81" spans="1:16" x14ac:dyDescent="0.3">
      <c r="C81" s="8" t="s">
        <v>169</v>
      </c>
      <c r="G81" s="159">
        <v>0.2</v>
      </c>
    </row>
    <row r="86" spans="1:16" x14ac:dyDescent="0.3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4.4" x14ac:dyDescent="0.3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3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3">
      <c r="A89" s="1"/>
      <c r="B89" s="30" t="s">
        <v>174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x14ac:dyDescent="0.3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3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3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3">
      <c r="A93" s="1"/>
      <c r="B93" s="30" t="s">
        <v>175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3">
      <c r="A94" s="1"/>
      <c r="B94" s="1"/>
      <c r="C94" s="1" t="str">
        <f>Data!B60</f>
        <v>Reliability in worst-served areas</v>
      </c>
      <c r="D94" s="1"/>
      <c r="E94"/>
      <c r="F94" s="1"/>
      <c r="G94" s="306" cm="1">
        <f t="array" ref="G94:G101">INDEX(Data!$D$60:$F$67,,MATCH(bus,Data!$D$59:$F$59,0))</f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3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3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3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3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3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3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3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3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3">
      <c r="A103" s="1"/>
      <c r="B103" s="1"/>
      <c r="C103" s="1"/>
      <c r="D103" s="1"/>
      <c r="E103"/>
      <c r="F103" s="1"/>
      <c r="L103" s="1"/>
      <c r="N103" s="1"/>
      <c r="O103" s="1"/>
    </row>
    <row r="106" spans="1:16" ht="14.4" x14ac:dyDescent="0.3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3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3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3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3">
      <c r="A110" s="6"/>
      <c r="B110" s="171"/>
      <c r="C110" s="298"/>
      <c r="D110" s="59"/>
      <c r="E110" s="299"/>
      <c r="F110" s="298"/>
      <c r="G110" s="298" t="s">
        <v>17</v>
      </c>
      <c r="H110" s="298" t="s">
        <v>239</v>
      </c>
      <c r="I110"/>
      <c r="J110"/>
      <c r="K110"/>
      <c r="L110"/>
      <c r="M110"/>
      <c r="N110"/>
      <c r="O110"/>
      <c r="P110"/>
    </row>
    <row r="111" spans="1:16" x14ac:dyDescent="0.3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3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3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3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3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3">
      <c r="E116" s="267"/>
      <c r="H116"/>
      <c r="I116"/>
      <c r="J116"/>
      <c r="K116"/>
      <c r="L116"/>
      <c r="M116"/>
      <c r="N116"/>
      <c r="O116"/>
      <c r="P116"/>
    </row>
    <row r="117" spans="2:16" x14ac:dyDescent="0.3">
      <c r="E117" s="260"/>
      <c r="H117"/>
      <c r="I117"/>
      <c r="J117"/>
      <c r="K117"/>
      <c r="L117"/>
      <c r="M117"/>
      <c r="N117"/>
      <c r="O117"/>
      <c r="P117"/>
    </row>
    <row r="118" spans="2:16" x14ac:dyDescent="0.3">
      <c r="H118"/>
      <c r="I118"/>
      <c r="J118"/>
      <c r="K118"/>
      <c r="L118"/>
      <c r="M118"/>
      <c r="N118"/>
      <c r="O118"/>
      <c r="P118"/>
    </row>
    <row r="119" spans="2:16" x14ac:dyDescent="0.3">
      <c r="H119"/>
      <c r="I119"/>
      <c r="J119"/>
      <c r="K119"/>
      <c r="L119"/>
      <c r="M119"/>
      <c r="N119"/>
      <c r="O119"/>
      <c r="P119"/>
    </row>
    <row r="120" spans="2:16" x14ac:dyDescent="0.3">
      <c r="H120"/>
      <c r="I120"/>
      <c r="J120"/>
      <c r="K120"/>
      <c r="L120"/>
      <c r="M120"/>
      <c r="N120"/>
      <c r="O120"/>
      <c r="P120"/>
    </row>
    <row r="121" spans="2:16" x14ac:dyDescent="0.3">
      <c r="H121"/>
      <c r="I121"/>
      <c r="J121"/>
      <c r="K121"/>
      <c r="L121"/>
      <c r="M121"/>
      <c r="N121"/>
      <c r="O121"/>
      <c r="P121"/>
    </row>
    <row r="122" spans="2:16" x14ac:dyDescent="0.3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3.90625" style="1" customWidth="1"/>
    <col min="7" max="7" width="9.90625" style="1" customWidth="1"/>
    <col min="8" max="8" width="6.906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Ttransformer rebuild - KYM, NKA, PLD, MNA &amp; WBL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141</v>
      </c>
      <c r="B3" s="5"/>
      <c r="C3" s="134"/>
      <c r="D3" s="94"/>
    </row>
    <row r="4" spans="1:43" x14ac:dyDescent="0.3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3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250</v>
      </c>
      <c r="D14"/>
      <c r="E14" s="148">
        <v>50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 t="s">
        <v>251</v>
      </c>
      <c r="D15"/>
      <c r="E15" s="148">
        <v>25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 t="s">
        <v>252</v>
      </c>
      <c r="D16"/>
      <c r="E16" s="148">
        <v>50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3">
      <c r="G20" s="205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150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151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245</v>
      </c>
      <c r="D30" s="205" t="s">
        <v>206</v>
      </c>
      <c r="G30" s="207">
        <f>input_dollars</f>
        <v>45291</v>
      </c>
      <c r="H30" s="149"/>
      <c r="I30" s="32">
        <v>624885.15871154342</v>
      </c>
      <c r="J30" s="32">
        <v>629346.97270929022</v>
      </c>
      <c r="K30" s="32">
        <v>634305.67738108768</v>
      </c>
      <c r="L30" s="32">
        <v>638155.50335137383</v>
      </c>
      <c r="M30" s="32">
        <v>638455.33825877612</v>
      </c>
      <c r="N30" s="32">
        <v>639932.06442372024</v>
      </c>
      <c r="O30" s="32">
        <v>646831.55896221055</v>
      </c>
      <c r="P30" s="32">
        <v>654546.66901582351</v>
      </c>
      <c r="Q30" s="32">
        <v>655508.51217138593</v>
      </c>
      <c r="R30" s="32">
        <v>656485.14652458997</v>
      </c>
      <c r="S30" s="32">
        <v>657461.78087779391</v>
      </c>
      <c r="T30" s="32">
        <v>658438.41523099784</v>
      </c>
      <c r="U30" s="32">
        <v>659415.04958420177</v>
      </c>
      <c r="V30" s="32">
        <v>660391.68393740582</v>
      </c>
      <c r="W30" s="32">
        <v>661368.31829060975</v>
      </c>
      <c r="X30" s="32">
        <v>662344.95264381357</v>
      </c>
      <c r="Y30" s="32">
        <v>663321.58699701761</v>
      </c>
      <c r="Z30" s="32">
        <v>664298.22135022166</v>
      </c>
      <c r="AA30" s="32">
        <v>665274.85570342548</v>
      </c>
      <c r="AB30" s="32">
        <v>666251.49005662941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246</v>
      </c>
      <c r="D31" s="206"/>
      <c r="E31"/>
      <c r="G31" s="207">
        <f>input_dollars</f>
        <v>45291</v>
      </c>
      <c r="H31" s="149"/>
      <c r="I31" s="32">
        <v>423763.4578062162</v>
      </c>
      <c r="J31" s="32">
        <v>427955.04171882273</v>
      </c>
      <c r="K31" s="32">
        <v>431498.94754445116</v>
      </c>
      <c r="L31" s="32">
        <v>434188.64849425113</v>
      </c>
      <c r="M31" s="32">
        <v>434116.86664332129</v>
      </c>
      <c r="N31" s="32">
        <v>434819.83929045359</v>
      </c>
      <c r="O31" s="32">
        <v>439426.84246904915</v>
      </c>
      <c r="P31" s="32">
        <v>444853.40568244178</v>
      </c>
      <c r="Q31" s="32">
        <v>445091.19663665735</v>
      </c>
      <c r="R31" s="32">
        <v>445091.19663665735</v>
      </c>
      <c r="S31" s="32">
        <v>445091.19663665735</v>
      </c>
      <c r="T31" s="32">
        <v>445091.19663665735</v>
      </c>
      <c r="U31" s="32">
        <v>445091.19663665735</v>
      </c>
      <c r="V31" s="32">
        <v>445091.19663665735</v>
      </c>
      <c r="W31" s="32">
        <v>445091.19663665735</v>
      </c>
      <c r="X31" s="32">
        <v>445091.19663665735</v>
      </c>
      <c r="Y31" s="32">
        <v>445091.19663665735</v>
      </c>
      <c r="Z31" s="32">
        <v>445091.19663665735</v>
      </c>
      <c r="AA31" s="32">
        <v>445091.19663665735</v>
      </c>
      <c r="AB31" s="32">
        <v>445091.19663665735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">
        <v>247</v>
      </c>
      <c r="D32" s="205" t="s">
        <v>206</v>
      </c>
      <c r="E32"/>
      <c r="G32" s="207">
        <f>input_dollars</f>
        <v>45291</v>
      </c>
      <c r="H32"/>
      <c r="I32" s="32">
        <v>513907.02860113443</v>
      </c>
      <c r="J32" s="32">
        <v>612106.68918626185</v>
      </c>
      <c r="K32" s="32">
        <v>732487.79597479035</v>
      </c>
      <c r="L32" s="32">
        <v>880555.22578634415</v>
      </c>
      <c r="M32" s="32">
        <v>1063186.9901416844</v>
      </c>
      <c r="N32" s="32">
        <v>1289108.7226084024</v>
      </c>
      <c r="O32" s="32">
        <v>1569291.0474479939</v>
      </c>
      <c r="P32" s="32">
        <v>1917786.4554300993</v>
      </c>
      <c r="Q32" s="32">
        <v>2352256.9435837166</v>
      </c>
      <c r="R32" s="32">
        <v>2895164.6481054872</v>
      </c>
      <c r="S32" s="32">
        <v>3575127.1570114829</v>
      </c>
      <c r="T32" s="32">
        <v>4430301.590900559</v>
      </c>
      <c r="U32" s="32">
        <v>5461680.9970342843</v>
      </c>
      <c r="V32" s="32">
        <v>6619153.012676849</v>
      </c>
      <c r="W32" s="32">
        <v>8074073.3579109423</v>
      </c>
      <c r="X32" s="32">
        <v>9517552.9084373321</v>
      </c>
      <c r="Y32" s="32">
        <v>10157764.202555779</v>
      </c>
      <c r="Z32" s="32">
        <v>10574855.703864168</v>
      </c>
      <c r="AA32" s="32">
        <v>10854727.295825705</v>
      </c>
      <c r="AB32" s="32">
        <v>11098921.69813155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248</v>
      </c>
      <c r="D33" s="219"/>
      <c r="E33"/>
      <c r="G33" s="207">
        <f>input_dollars</f>
        <v>45291</v>
      </c>
      <c r="H33"/>
      <c r="I33" s="32">
        <v>39334.295599063102</v>
      </c>
      <c r="J33" s="32">
        <v>43504.473751946782</v>
      </c>
      <c r="K33" s="32">
        <v>48045.732179578023</v>
      </c>
      <c r="L33" s="32">
        <v>52935.033038282905</v>
      </c>
      <c r="M33" s="32">
        <v>58108.829337508236</v>
      </c>
      <c r="N33" s="32">
        <v>63748.145225401939</v>
      </c>
      <c r="O33" s="32">
        <v>70076.595604508097</v>
      </c>
      <c r="P33" s="32">
        <v>77017.011420722818</v>
      </c>
      <c r="Q33" s="32">
        <v>84163.539100801107</v>
      </c>
      <c r="R33" s="32">
        <v>91891.639318006652</v>
      </c>
      <c r="S33" s="32">
        <v>100220.60611923291</v>
      </c>
      <c r="T33" s="32">
        <v>109188.76938900055</v>
      </c>
      <c r="U33" s="32">
        <v>118836.37357272033</v>
      </c>
      <c r="V33" s="32">
        <v>129205.64705793234</v>
      </c>
      <c r="W33" s="32">
        <v>140340.87312870036</v>
      </c>
      <c r="X33" s="32">
        <v>152288.46250777817</v>
      </c>
      <c r="Y33" s="32">
        <v>165097.02750103633</v>
      </c>
      <c r="Z33" s="32">
        <v>178817.45775867789</v>
      </c>
      <c r="AA33" s="32">
        <v>193502.9976676025</v>
      </c>
      <c r="AB33" s="32">
        <v>209209.32538937608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284" t="s">
        <v>249</v>
      </c>
      <c r="D34" s="206"/>
      <c r="E34"/>
      <c r="G34" s="207">
        <f>input_dollars</f>
        <v>45291</v>
      </c>
      <c r="H34"/>
      <c r="I34" s="32">
        <v>42766.204186080584</v>
      </c>
      <c r="J34" s="32">
        <v>43916.78985237296</v>
      </c>
      <c r="K34" s="32">
        <v>45186.539403756607</v>
      </c>
      <c r="L34" s="32">
        <v>46389.324783342287</v>
      </c>
      <c r="M34" s="32">
        <v>47304.762690514712</v>
      </c>
      <c r="N34" s="32">
        <v>48314.590452405537</v>
      </c>
      <c r="O34" s="32">
        <v>49729.554275666167</v>
      </c>
      <c r="P34" s="32">
        <v>51251.544358130741</v>
      </c>
      <c r="Q34" s="32">
        <v>52227.108716318457</v>
      </c>
      <c r="R34" s="32">
        <v>53017.206995756431</v>
      </c>
      <c r="S34" s="32">
        <v>53807.30527519442</v>
      </c>
      <c r="T34" s="32">
        <v>54597.403554632401</v>
      </c>
      <c r="U34" s="32">
        <v>55387.501834070383</v>
      </c>
      <c r="V34" s="32">
        <v>56177.600113508364</v>
      </c>
      <c r="W34" s="32">
        <v>56967.698392946339</v>
      </c>
      <c r="X34" s="32">
        <v>57757.79667238432</v>
      </c>
      <c r="Y34" s="32">
        <v>58547.894951822294</v>
      </c>
      <c r="Z34" s="32">
        <v>59337.993231260276</v>
      </c>
      <c r="AA34" s="32">
        <v>60128.09151069825</v>
      </c>
      <c r="AB34" s="32">
        <v>60918.189790136224</v>
      </c>
      <c r="AC34" s="32">
        <v>61708.288069574206</v>
      </c>
      <c r="AD34" s="32">
        <v>62498.38634901218</v>
      </c>
      <c r="AE34" s="32">
        <v>63288.484628450176</v>
      </c>
      <c r="AF34" s="32">
        <v>64078.582907888158</v>
      </c>
      <c r="AG34" s="32">
        <v>64868.681187326125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170</v>
      </c>
      <c r="D36" s="218"/>
      <c r="E36" s="107"/>
      <c r="F36" s="3"/>
      <c r="G36" s="209"/>
      <c r="H36" s="107"/>
      <c r="I36" s="106">
        <f>SUM(I28:I34)</f>
        <v>1644656.1449040377</v>
      </c>
      <c r="J36" s="106">
        <f t="shared" ref="J36:AB36" si="4">SUM(J28:J34)</f>
        <v>1756829.9672186945</v>
      </c>
      <c r="K36" s="106">
        <f t="shared" si="4"/>
        <v>1891524.6924836638</v>
      </c>
      <c r="L36" s="106">
        <f t="shared" si="4"/>
        <v>2052223.7354535942</v>
      </c>
      <c r="M36" s="106">
        <f t="shared" si="4"/>
        <v>2241172.787071805</v>
      </c>
      <c r="N36" s="106">
        <f t="shared" si="4"/>
        <v>2475923.3620003839</v>
      </c>
      <c r="O36" s="106">
        <f t="shared" si="4"/>
        <v>2775355.5987594281</v>
      </c>
      <c r="P36" s="106">
        <f t="shared" si="4"/>
        <v>3145455.085907218</v>
      </c>
      <c r="Q36" s="106">
        <f t="shared" si="4"/>
        <v>3589247.3002088792</v>
      </c>
      <c r="R36" s="106">
        <f t="shared" si="4"/>
        <v>4141649.8375804974</v>
      </c>
      <c r="S36" s="106">
        <f t="shared" si="4"/>
        <v>4831708.0459203618</v>
      </c>
      <c r="T36" s="106">
        <f t="shared" si="4"/>
        <v>5697617.3757118471</v>
      </c>
      <c r="U36" s="106">
        <f t="shared" si="4"/>
        <v>6740411.1186619345</v>
      </c>
      <c r="V36" s="106">
        <f t="shared" si="4"/>
        <v>7910019.1404223526</v>
      </c>
      <c r="W36" s="106">
        <f t="shared" si="4"/>
        <v>9377841.4443598576</v>
      </c>
      <c r="X36" s="106">
        <f t="shared" si="4"/>
        <v>10835035.316897968</v>
      </c>
      <c r="Y36" s="106">
        <f t="shared" si="4"/>
        <v>11489821.908642313</v>
      </c>
      <c r="Z36" s="106">
        <f t="shared" si="4"/>
        <v>11922400.572840987</v>
      </c>
      <c r="AA36" s="106">
        <f t="shared" si="4"/>
        <v>12218724.437344089</v>
      </c>
      <c r="AB36" s="106">
        <f t="shared" si="4"/>
        <v>12480391.90000435</v>
      </c>
      <c r="AC36" s="106">
        <f>SUM(AC28:AC34)</f>
        <v>61708.288069574206</v>
      </c>
      <c r="AD36" s="106">
        <f>SUM(AD28:AD34)</f>
        <v>62498.38634901218</v>
      </c>
      <c r="AE36" s="106">
        <f>SUM(AE28:AE34)</f>
        <v>63288.484628450176</v>
      </c>
      <c r="AF36" s="106">
        <f>SUM(AF28:AF34)</f>
        <v>64078.582907888158</v>
      </c>
      <c r="AG36" s="106">
        <f>SUM(AG28:AG34)</f>
        <v>64868.681187326125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x14ac:dyDescent="0.3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3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x14ac:dyDescent="0.3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C63" s="4"/>
      <c r="F63" s="2"/>
      <c r="G63" s="212"/>
    </row>
    <row r="64" spans="1:43" x14ac:dyDescent="0.3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Switch capex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3">
      <c r="A68" s="8"/>
      <c r="B68" s="8"/>
      <c r="C68" s="4" t="str">
        <f>C15</f>
        <v>Relay capex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3">
      <c r="A69" s="8"/>
      <c r="B69" s="8"/>
      <c r="C69" s="4" t="str">
        <f>C16</f>
        <v>Building capex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Switch capex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3">
      <c r="A73" s="8"/>
      <c r="B73" s="8"/>
      <c r="C73" s="4" t="str">
        <f>C15</f>
        <v>Relay capex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 t="str">
        <f>C16</f>
        <v>Building capex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Switch capex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3">
      <c r="A78" s="8"/>
      <c r="B78" s="8"/>
      <c r="C78" s="4" t="str">
        <f>$C$76&amp;" - "&amp;C15</f>
        <v>Annualised capex - Relay capex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3">
      <c r="A79" s="8"/>
      <c r="B79" s="8"/>
      <c r="C79" s="4" t="str">
        <f>$C$76&amp;" - "&amp;C16</f>
        <v>Annualised capex - Building capex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3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3">
      <c r="A84" s="8"/>
      <c r="B84" s="8"/>
      <c r="C84" s="4" t="s">
        <v>139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3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80" t="s">
        <v>186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3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231"/>
      <c r="D91" s="231"/>
      <c r="E91" s="231"/>
      <c r="F91" s="231"/>
      <c r="G91" s="231"/>
    </row>
    <row r="92" spans="1:33" x14ac:dyDescent="0.3">
      <c r="C92" s="231"/>
      <c r="D92" s="231"/>
      <c r="E92" s="231"/>
      <c r="F92" s="231"/>
      <c r="G92" s="231"/>
    </row>
    <row r="94" spans="1:33" x14ac:dyDescent="0.3">
      <c r="G94" s="12"/>
    </row>
    <row r="102" spans="1:43" ht="14.4" x14ac:dyDescent="0.3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119</v>
      </c>
      <c r="C106" s="1" t="s">
        <v>186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3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3">
      <c r="C108" s="1" t="s">
        <v>239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3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3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3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3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3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3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3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3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28">
    <cfRule type="expression" dxfId="13" priority="240">
      <formula>AND(SUM($I$27:$AG$27)&gt;0, $E$28=0)</formula>
    </cfRule>
  </conditionalFormatting>
  <conditionalFormatting sqref="E14:E16">
    <cfRule type="expression" dxfId="12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33.90625" style="1" customWidth="1"/>
    <col min="4" max="4" width="12.36328125" style="1" customWidth="1"/>
    <col min="5" max="5" width="12.453125" style="1" customWidth="1"/>
    <col min="6" max="6" width="3.90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Ttransformer rebuild - KYM, NKA, PLD, MNA &amp; WBL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130</v>
      </c>
      <c r="B3" s="5"/>
      <c r="C3" s="200" t="str">
        <f>INDEX(Assumptions!$E$14:$E$18, MATCH(A3,_xlfn.ANCHORARRAY( Assumptions!$C$14),0))</f>
        <v>Replace relays and building with a new control building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tr">
        <f>'Option1 (base case)'!C14</f>
        <v>Switch capex</v>
      </c>
      <c r="D14"/>
      <c r="E14" s="148">
        <f>'Option1 (base case)'!E14</f>
        <v>50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 t="str">
        <f>'Option1 (base case)'!C15</f>
        <v>Relay capex</v>
      </c>
      <c r="D15"/>
      <c r="E15" s="148">
        <f>'Option1 (base case)'!E15</f>
        <v>25</v>
      </c>
      <c r="G15" s="207">
        <f>input_dollars</f>
        <v>45291</v>
      </c>
      <c r="H15" s="2"/>
      <c r="I15" s="32">
        <v>4690306.1757560102</v>
      </c>
      <c r="J15" s="32">
        <v>3518948.0040439926</v>
      </c>
      <c r="K15" s="32">
        <v>3521384.7484979634</v>
      </c>
      <c r="L15" s="32">
        <v>3521384.7484979634</v>
      </c>
      <c r="M15" s="32">
        <v>1173794.916165988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 t="str">
        <f>'Option1 (base case)'!C16</f>
        <v>Building capex</v>
      </c>
      <c r="D16"/>
      <c r="E16" s="148">
        <f>'Option1 (base case)'!E16</f>
        <v>50</v>
      </c>
      <c r="G16" s="207">
        <f>input_dollars</f>
        <v>45291</v>
      </c>
      <c r="H16" s="2"/>
      <c r="I16" s="32">
        <v>2877145.5760281994</v>
      </c>
      <c r="J16" s="32">
        <v>2879139.2760359938</v>
      </c>
      <c r="K16" s="32">
        <v>2881132.9760437878</v>
      </c>
      <c r="L16" s="32">
        <v>2881132.9760437878</v>
      </c>
      <c r="M16" s="32">
        <v>960377.65868126252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6" t="s">
        <v>30</v>
      </c>
      <c r="G17" s="207">
        <f>input_dollars</f>
        <v>45291</v>
      </c>
      <c r="H17" s="107"/>
      <c r="I17" s="106">
        <f t="shared" ref="I17:Q17" si="0">SUM(I14:I16)</f>
        <v>7567451.7517842092</v>
      </c>
      <c r="J17" s="106">
        <f t="shared" si="0"/>
        <v>6398087.2800799869</v>
      </c>
      <c r="K17" s="106">
        <f t="shared" si="0"/>
        <v>6402517.7245417517</v>
      </c>
      <c r="L17" s="106">
        <f t="shared" si="0"/>
        <v>6402517.7245417517</v>
      </c>
      <c r="M17" s="106">
        <f t="shared" si="0"/>
        <v>2134172.5748472502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3">
      <c r="G20" s="205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tr">
        <f>'Option1 (base case)'!C30</f>
        <v>Switchgear risk</v>
      </c>
      <c r="D30" s="205" t="s">
        <v>206</v>
      </c>
      <c r="G30" s="207">
        <f>input_dollars</f>
        <v>45291</v>
      </c>
      <c r="H30" s="149"/>
      <c r="I30" s="32">
        <v>624885.15871154342</v>
      </c>
      <c r="J30" s="32">
        <v>629346.97270929022</v>
      </c>
      <c r="K30" s="32">
        <v>634305.67738108768</v>
      </c>
      <c r="L30" s="32">
        <v>638155.50335137383</v>
      </c>
      <c r="M30" s="32">
        <v>638455.33825877612</v>
      </c>
      <c r="N30" s="32">
        <v>639932.06442372024</v>
      </c>
      <c r="O30" s="32">
        <v>646831.55896221055</v>
      </c>
      <c r="P30" s="32">
        <v>654546.66901582351</v>
      </c>
      <c r="Q30" s="32">
        <v>655508.51217138593</v>
      </c>
      <c r="R30" s="32">
        <v>656485.14652458997</v>
      </c>
      <c r="S30" s="32">
        <v>657461.78087779391</v>
      </c>
      <c r="T30" s="32">
        <v>658438.41523099784</v>
      </c>
      <c r="U30" s="32">
        <v>659415.04958420177</v>
      </c>
      <c r="V30" s="32">
        <v>660391.68393740582</v>
      </c>
      <c r="W30" s="32">
        <v>661368.31829060975</v>
      </c>
      <c r="X30" s="32">
        <v>662344.95264381357</v>
      </c>
      <c r="Y30" s="32">
        <v>663321.58699701761</v>
      </c>
      <c r="Z30" s="32">
        <v>664298.22135022166</v>
      </c>
      <c r="AA30" s="32">
        <v>665274.85570342548</v>
      </c>
      <c r="AB30" s="32">
        <v>666251.49005662941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tr">
        <f>'Option1 (base case)'!C31</f>
        <v>Control cable risk</v>
      </c>
      <c r="D31" s="206"/>
      <c r="E31"/>
      <c r="G31" s="207">
        <f>input_dollars</f>
        <v>45291</v>
      </c>
      <c r="H31" s="149"/>
      <c r="I31" s="32">
        <v>423763.4578062162</v>
      </c>
      <c r="J31" s="32">
        <v>427955.04171882273</v>
      </c>
      <c r="K31" s="32">
        <v>431498.94754445116</v>
      </c>
      <c r="L31" s="32">
        <v>434188.64849425113</v>
      </c>
      <c r="M31" s="32">
        <v>434116.86664332129</v>
      </c>
      <c r="N31" s="32">
        <v>434819.83929045359</v>
      </c>
      <c r="O31" s="32">
        <v>439426.84246904915</v>
      </c>
      <c r="P31" s="32">
        <v>444853.40568244178</v>
      </c>
      <c r="Q31" s="32">
        <v>445091.19663665735</v>
      </c>
      <c r="R31" s="32">
        <v>445091.19663665735</v>
      </c>
      <c r="S31" s="32">
        <v>445091.19663665735</v>
      </c>
      <c r="T31" s="32">
        <v>445091.19663665735</v>
      </c>
      <c r="U31" s="32">
        <v>445091.19663665735</v>
      </c>
      <c r="V31" s="32">
        <v>445091.19663665735</v>
      </c>
      <c r="W31" s="32">
        <v>445091.19663665735</v>
      </c>
      <c r="X31" s="32">
        <v>445091.19663665735</v>
      </c>
      <c r="Y31" s="32">
        <v>445091.19663665735</v>
      </c>
      <c r="Z31" s="32">
        <v>445091.19663665735</v>
      </c>
      <c r="AA31" s="32">
        <v>445091.19663665735</v>
      </c>
      <c r="AB31" s="32">
        <v>445091.19663665735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tr">
        <f>'Option1 (base case)'!C32</f>
        <v>Relay risk</v>
      </c>
      <c r="D32" s="205" t="s">
        <v>206</v>
      </c>
      <c r="E32"/>
      <c r="G32" s="207">
        <f>input_dollars</f>
        <v>45291</v>
      </c>
      <c r="H32"/>
      <c r="I32" s="32">
        <v>513907.02860113443</v>
      </c>
      <c r="J32" s="32">
        <v>472487.05505414749</v>
      </c>
      <c r="K32" s="32">
        <v>318285.76505414752</v>
      </c>
      <c r="L32" s="32">
        <v>221507.55505414758</v>
      </c>
      <c r="M32" s="32">
        <v>120372.32505414754</v>
      </c>
      <c r="N32" s="32">
        <v>5830.9250541475494</v>
      </c>
      <c r="O32" s="32">
        <v>5830.9250541475494</v>
      </c>
      <c r="P32" s="32">
        <v>5830.9250541475494</v>
      </c>
      <c r="Q32" s="32">
        <v>5870.5250942345665</v>
      </c>
      <c r="R32" s="32">
        <v>5950.8343337844562</v>
      </c>
      <c r="S32" s="32">
        <v>6078.7367987567977</v>
      </c>
      <c r="T32" s="32">
        <v>6276.8672113589728</v>
      </c>
      <c r="U32" s="32">
        <v>6588.8728881016832</v>
      </c>
      <c r="V32" s="32">
        <v>7072.4230494422027</v>
      </c>
      <c r="W32" s="32">
        <v>7816.1225791643137</v>
      </c>
      <c r="X32" s="32">
        <v>8965.7766731877218</v>
      </c>
      <c r="Y32" s="32">
        <v>10750.906392446115</v>
      </c>
      <c r="Z32" s="32">
        <v>14639.05894601356</v>
      </c>
      <c r="AA32" s="32">
        <v>21178.700694937106</v>
      </c>
      <c r="AB32" s="32">
        <v>31008.294414380664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tr">
        <f>'Option1 (base case)'!C33</f>
        <v>Building risk</v>
      </c>
      <c r="D33" s="219"/>
      <c r="E33"/>
      <c r="G33" s="207">
        <f>input_dollars</f>
        <v>45291</v>
      </c>
      <c r="H33"/>
      <c r="I33" s="32">
        <v>39334.295599063102</v>
      </c>
      <c r="J33" s="32">
        <v>43504.473751946782</v>
      </c>
      <c r="K33" s="32">
        <v>48045.732179578023</v>
      </c>
      <c r="L33" s="32">
        <v>52935.033038282905</v>
      </c>
      <c r="M33" s="32">
        <v>58108.829337508236</v>
      </c>
      <c r="N33" s="32">
        <v>63748.145225401939</v>
      </c>
      <c r="O33" s="32">
        <v>70076.595604508097</v>
      </c>
      <c r="P33" s="32">
        <v>77017.011420722818</v>
      </c>
      <c r="Q33" s="32">
        <v>84163.539100801107</v>
      </c>
      <c r="R33" s="32">
        <v>91891.639318006652</v>
      </c>
      <c r="S33" s="32">
        <v>100220.60611923291</v>
      </c>
      <c r="T33" s="32">
        <v>109188.76938900055</v>
      </c>
      <c r="U33" s="32">
        <v>118836.37357272033</v>
      </c>
      <c r="V33" s="32">
        <v>129205.64705793234</v>
      </c>
      <c r="W33" s="32">
        <v>140340.87312870036</v>
      </c>
      <c r="X33" s="32">
        <v>152288.46250777817</v>
      </c>
      <c r="Y33" s="32">
        <v>165097.02750103633</v>
      </c>
      <c r="Z33" s="32">
        <v>178817.45775867789</v>
      </c>
      <c r="AA33" s="32">
        <v>193502.9976676025</v>
      </c>
      <c r="AB33" s="32">
        <v>209209.32538937608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1" t="str">
        <f>'Option1 (base case)'!C34</f>
        <v>Flood risk</v>
      </c>
      <c r="D34" s="206"/>
      <c r="E34"/>
      <c r="G34" s="207">
        <f>input_dollars</f>
        <v>45291</v>
      </c>
      <c r="H34"/>
      <c r="I34" s="32">
        <v>42766.204186080584</v>
      </c>
      <c r="J34" s="32">
        <v>43916.78985237296</v>
      </c>
      <c r="K34" s="32">
        <v>45186.539403756607</v>
      </c>
      <c r="L34" s="32">
        <v>46389.324783342287</v>
      </c>
      <c r="M34" s="32">
        <v>47304.762690514712</v>
      </c>
      <c r="N34" s="32">
        <v>48314.590452405537</v>
      </c>
      <c r="O34" s="32">
        <v>49729.554275666167</v>
      </c>
      <c r="P34" s="32">
        <v>51251.544358130741</v>
      </c>
      <c r="Q34" s="32">
        <v>52227.108716318457</v>
      </c>
      <c r="R34" s="32">
        <v>53017.206995756431</v>
      </c>
      <c r="S34" s="32">
        <v>53807.30527519442</v>
      </c>
      <c r="T34" s="32">
        <v>54597.403554632401</v>
      </c>
      <c r="U34" s="32">
        <v>55387.501834070383</v>
      </c>
      <c r="V34" s="32">
        <v>56177.600113508364</v>
      </c>
      <c r="W34" s="32">
        <v>56967.698392946339</v>
      </c>
      <c r="X34" s="32">
        <v>57757.79667238432</v>
      </c>
      <c r="Y34" s="32">
        <v>58547.894951822294</v>
      </c>
      <c r="Z34" s="32">
        <v>59337.993231260276</v>
      </c>
      <c r="AA34" s="32">
        <v>60128.09151069825</v>
      </c>
      <c r="AB34" s="32">
        <v>60918.189790136224</v>
      </c>
      <c r="AC34" s="32">
        <v>61708.288069574206</v>
      </c>
      <c r="AD34" s="32">
        <v>62498.38634901218</v>
      </c>
      <c r="AE34" s="32">
        <v>63288.484628450176</v>
      </c>
      <c r="AF34" s="32">
        <v>64078.582907888158</v>
      </c>
      <c r="AG34" s="32">
        <v>64868.681187326125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170</v>
      </c>
      <c r="D36" s="218"/>
      <c r="E36" s="107"/>
      <c r="F36" s="3"/>
      <c r="G36" s="209"/>
      <c r="H36" s="107"/>
      <c r="I36" s="170">
        <f>SUM(I28:I34)</f>
        <v>1644656.1449040377</v>
      </c>
      <c r="J36" s="170">
        <f t="shared" ref="J36:AG36" si="3">SUM(J28:J34)</f>
        <v>1617210.3330865803</v>
      </c>
      <c r="K36" s="170">
        <f t="shared" si="3"/>
        <v>1477322.6615630209</v>
      </c>
      <c r="L36" s="170">
        <f t="shared" si="3"/>
        <v>1393176.0647213976</v>
      </c>
      <c r="M36" s="170">
        <f t="shared" si="3"/>
        <v>1298358.1219842678</v>
      </c>
      <c r="N36" s="170">
        <f t="shared" si="3"/>
        <v>1192645.5644461291</v>
      </c>
      <c r="O36" s="170">
        <f t="shared" si="3"/>
        <v>1211895.4763655816</v>
      </c>
      <c r="P36" s="170">
        <f t="shared" si="3"/>
        <v>1233499.5555312664</v>
      </c>
      <c r="Q36" s="170">
        <f t="shared" si="3"/>
        <v>1242860.8817193974</v>
      </c>
      <c r="R36" s="170">
        <f t="shared" si="3"/>
        <v>1252436.0238087946</v>
      </c>
      <c r="S36" s="170">
        <f t="shared" si="3"/>
        <v>1262659.6257076354</v>
      </c>
      <c r="T36" s="170">
        <f t="shared" si="3"/>
        <v>1273592.652022647</v>
      </c>
      <c r="U36" s="170">
        <f t="shared" si="3"/>
        <v>1285318.9945157515</v>
      </c>
      <c r="V36" s="170">
        <f t="shared" si="3"/>
        <v>1297938.550794946</v>
      </c>
      <c r="W36" s="170">
        <f t="shared" si="3"/>
        <v>1311584.209028078</v>
      </c>
      <c r="X36" s="170">
        <f t="shared" si="3"/>
        <v>1326448.1851338209</v>
      </c>
      <c r="Y36" s="170">
        <f t="shared" si="3"/>
        <v>1342808.6124789796</v>
      </c>
      <c r="Z36" s="170">
        <f t="shared" si="3"/>
        <v>1362183.9279228307</v>
      </c>
      <c r="AA36" s="170">
        <f t="shared" si="3"/>
        <v>1385175.8422133205</v>
      </c>
      <c r="AB36" s="170">
        <f t="shared" si="3"/>
        <v>1412478.4962871796</v>
      </c>
      <c r="AC36" s="170">
        <f t="shared" si="3"/>
        <v>61708.288069574206</v>
      </c>
      <c r="AD36" s="170">
        <f t="shared" si="3"/>
        <v>62498.38634901218</v>
      </c>
      <c r="AE36" s="170">
        <f t="shared" si="3"/>
        <v>63288.484628450176</v>
      </c>
      <c r="AF36" s="170">
        <f t="shared" si="3"/>
        <v>64078.582907888158</v>
      </c>
      <c r="AG36" s="170">
        <f t="shared" si="3"/>
        <v>64868.681187326125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x14ac:dyDescent="0.3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3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3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3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3">
      <c r="C49" s="1" t="s">
        <v>9</v>
      </c>
      <c r="D49" s="205" t="s">
        <v>204</v>
      </c>
      <c r="E49" s="112">
        <f>Assumptions!G98</f>
        <v>0.35181336539087127</v>
      </c>
      <c r="G49" s="207" t="s">
        <v>205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3">
      <c r="C50" s="1" t="s">
        <v>10</v>
      </c>
      <c r="D50" s="205" t="s">
        <v>204</v>
      </c>
      <c r="E50" s="112">
        <f>Assumptions!G99</f>
        <v>0.35181336539087127</v>
      </c>
      <c r="G50" s="207" t="s">
        <v>205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3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x14ac:dyDescent="0.3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139619.63413211424</v>
      </c>
      <c r="K64" s="132">
        <f>(1-INDEX(Data!$C$9:$C$13, MATCH($A$3, options,0)))*('Option1 (base case)'!K36-K36)</f>
        <v>414202.03092064289</v>
      </c>
      <c r="L64" s="132">
        <f>(1-INDEX(Data!$C$9:$C$13, MATCH($A$3, options,0)))*('Option1 (base case)'!L36-L36)</f>
        <v>659047.67073219665</v>
      </c>
      <c r="M64" s="132">
        <f>(1-INDEX(Data!$C$9:$C$13, MATCH($A$3, options,0)))*('Option1 (base case)'!M36-M36)</f>
        <v>942814.66508753714</v>
      </c>
      <c r="N64" s="132">
        <f>(1-INDEX(Data!$C$9:$C$13, MATCH($A$3, options,0)))*('Option1 (base case)'!N36-N36)</f>
        <v>1283277.7975542548</v>
      </c>
      <c r="O64" s="132">
        <f>(1-INDEX(Data!$C$9:$C$13, MATCH($A$3, options,0)))*('Option1 (base case)'!O36-O36)</f>
        <v>1563460.1223938465</v>
      </c>
      <c r="P64" s="132">
        <f>(1-INDEX(Data!$C$9:$C$13, MATCH($A$3, options,0)))*('Option1 (base case)'!P36-P36)</f>
        <v>1911955.5303759517</v>
      </c>
      <c r="Q64" s="132">
        <f>(1-INDEX(Data!$C$9:$C$13, MATCH($A$3, options,0)))*('Option1 (base case)'!Q36-Q36)</f>
        <v>2346386.4184894818</v>
      </c>
      <c r="R64" s="132">
        <f>(1-INDEX(Data!$C$9:$C$13, MATCH($A$3, options,0)))*('Option1 (base case)'!R36-R36)</f>
        <v>2889213.8137717028</v>
      </c>
      <c r="S64" s="132">
        <f>(1-INDEX(Data!$C$9:$C$13, MATCH($A$3, options,0)))*('Option1 (base case)'!S36-S36)</f>
        <v>3569048.4202127261</v>
      </c>
      <c r="T64" s="132">
        <f>(1-INDEX(Data!$C$9:$C$13, MATCH($A$3, options,0)))*('Option1 (base case)'!T36-T36)</f>
        <v>4424024.7236892004</v>
      </c>
      <c r="U64" s="132">
        <f>(1-INDEX(Data!$C$9:$C$13, MATCH($A$3, options,0)))*('Option1 (base case)'!U36-U36)</f>
        <v>5455092.124146183</v>
      </c>
      <c r="V64" s="132">
        <f>(1-INDEX(Data!$C$9:$C$13, MATCH($A$3, options,0)))*('Option1 (base case)'!V36-V36)</f>
        <v>6612080.5896274066</v>
      </c>
      <c r="W64" s="132">
        <f>(1-INDEX(Data!$C$9:$C$13, MATCH($A$3, options,0)))*('Option1 (base case)'!W36-W36)</f>
        <v>8066257.2353317793</v>
      </c>
      <c r="X64" s="132">
        <f>(1-INDEX(Data!$C$9:$C$13, MATCH($A$3, options,0)))*('Option1 (base case)'!X36-X36)</f>
        <v>9508587.1317641474</v>
      </c>
      <c r="Y64" s="132">
        <f>(1-INDEX(Data!$C$9:$C$13, MATCH($A$3, options,0)))*('Option1 (base case)'!Y36-Y36)</f>
        <v>10147013.296163334</v>
      </c>
      <c r="Z64" s="132">
        <f>(1-INDEX(Data!$C$9:$C$13, MATCH($A$3, options,0)))*('Option1 (base case)'!Z36-Z36)</f>
        <v>10560216.644918157</v>
      </c>
      <c r="AA64" s="132">
        <f>(1-INDEX(Data!$C$9:$C$13, MATCH($A$3, options,0)))*('Option1 (base case)'!AA36-AA36)</f>
        <v>10833548.595130768</v>
      </c>
      <c r="AB64" s="132">
        <f>(1-INDEX(Data!$C$9:$C$13, MATCH($A$3, options,0)))*('Option1 (base case)'!AB36-AB36)</f>
        <v>11067913.40371717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Switch capex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3">
      <c r="A68" s="8"/>
      <c r="B68" s="8"/>
      <c r="C68" s="4" t="str">
        <f>C15</f>
        <v>Relay capex</v>
      </c>
      <c r="D68" s="38"/>
      <c r="F68" s="97"/>
      <c r="G68" s="210">
        <f>input_dollars</f>
        <v>45291</v>
      </c>
      <c r="H68" s="31"/>
      <c r="I68" s="119">
        <f t="shared" ref="I68:AG68" si="6">-I15</f>
        <v>-4690306.1757560102</v>
      </c>
      <c r="J68" s="119">
        <f t="shared" si="6"/>
        <v>-3518948.0040439926</v>
      </c>
      <c r="K68" s="119">
        <f t="shared" si="6"/>
        <v>-3521384.7484979634</v>
      </c>
      <c r="L68" s="119">
        <f t="shared" si="6"/>
        <v>-3521384.7484979634</v>
      </c>
      <c r="M68" s="119">
        <f t="shared" si="6"/>
        <v>-1173794.916165988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3">
      <c r="A69" s="8"/>
      <c r="B69" s="8"/>
      <c r="C69" s="4" t="str">
        <f>C16</f>
        <v>Building capex</v>
      </c>
      <c r="D69" s="38"/>
      <c r="F69" s="97"/>
      <c r="G69" s="210">
        <f>input_dollars</f>
        <v>45291</v>
      </c>
      <c r="H69" s="31"/>
      <c r="I69" s="119">
        <f t="shared" ref="I69:AG69" si="7">-I16</f>
        <v>-2877145.5760281994</v>
      </c>
      <c r="J69" s="119">
        <f t="shared" si="7"/>
        <v>-2879139.2760359938</v>
      </c>
      <c r="K69" s="119">
        <f t="shared" si="7"/>
        <v>-2881132.9760437878</v>
      </c>
      <c r="L69" s="119">
        <f t="shared" si="7"/>
        <v>-2881132.9760437878</v>
      </c>
      <c r="M69" s="119">
        <f t="shared" si="7"/>
        <v>-960377.65868126252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Switch capex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3">
      <c r="A73" s="8"/>
      <c r="B73" s="8"/>
      <c r="C73" s="4" t="str">
        <f>C15</f>
        <v>Relay capex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-4690306.1757560102</v>
      </c>
      <c r="J73" s="119" cm="1">
        <f t="array" ref="J73">SUMPRODUCT(($I68:J68))-SUMPRODUCT(($I68:J68)*($I$6:J$6&lt;=(J$6-$E15)))</f>
        <v>-8209254.1798000028</v>
      </c>
      <c r="K73" s="119" cm="1">
        <f t="array" ref="K73">SUMPRODUCT(($I68:K68))-SUMPRODUCT(($I68:K68)*($I$6:K$6&lt;=(K$6-$E15)))</f>
        <v>-11730638.928297967</v>
      </c>
      <c r="L73" s="119" cm="1">
        <f t="array" ref="L73">SUMPRODUCT(($I68:L68))-SUMPRODUCT(($I68:L68)*($I$6:L$6&lt;=(L$6-$E15)))</f>
        <v>-15252023.67679593</v>
      </c>
      <c r="M73" s="119" cm="1">
        <f t="array" ref="M73">SUMPRODUCT(($I68:M68))-SUMPRODUCT(($I68:M68)*($I$6:M$6&lt;=(M$6-$E15)))</f>
        <v>-16425818.592961919</v>
      </c>
      <c r="N73" s="119" cm="1">
        <f t="array" ref="N73">SUMPRODUCT(($I68:N68))-SUMPRODUCT(($I68:N68)*($I$6:N$6&lt;=(N$6-$E15)))</f>
        <v>-16425818.592961919</v>
      </c>
      <c r="O73" s="119" cm="1">
        <f t="array" ref="O73">SUMPRODUCT(($I68:O68))-SUMPRODUCT(($I68:O68)*($I$6:O$6&lt;=(O$6-$E15)))</f>
        <v>-16425818.592961919</v>
      </c>
      <c r="P73" s="119" cm="1">
        <f t="array" ref="P73">SUMPRODUCT(($I68:P68))-SUMPRODUCT(($I68:P68)*($I$6:P$6&lt;=(P$6-$E15)))</f>
        <v>-16425818.592961919</v>
      </c>
      <c r="Q73" s="119" cm="1">
        <f t="array" ref="Q73">SUMPRODUCT(($I68:Q68))-SUMPRODUCT(($I68:Q68)*($I$6:Q$6&lt;=(Q$6-$E15)))</f>
        <v>-16425818.592961919</v>
      </c>
      <c r="R73" s="119" cm="1">
        <f t="array" ref="R73">SUMPRODUCT(($I68:R68))-SUMPRODUCT(($I68:R68)*($I$6:R$6&lt;=(R$6-$E15)))</f>
        <v>-16425818.592961919</v>
      </c>
      <c r="S73" s="119" cm="1">
        <f t="array" ref="S73">SUMPRODUCT(($I68:S68))-SUMPRODUCT(($I68:S68)*($I$6:S$6&lt;=(S$6-$E15)))</f>
        <v>-16425818.592961919</v>
      </c>
      <c r="T73" s="119" cm="1">
        <f t="array" ref="T73">SUMPRODUCT(($I68:T68))-SUMPRODUCT(($I68:T68)*($I$6:T$6&lt;=(T$6-$E15)))</f>
        <v>-16425818.592961919</v>
      </c>
      <c r="U73" s="119" cm="1">
        <f t="array" ref="U73">SUMPRODUCT(($I68:U68))-SUMPRODUCT(($I68:U68)*($I$6:U$6&lt;=(U$6-$E15)))</f>
        <v>-16425818.592961919</v>
      </c>
      <c r="V73" s="119" cm="1">
        <f t="array" ref="V73">SUMPRODUCT(($I68:V68))-SUMPRODUCT(($I68:V68)*($I$6:V$6&lt;=(V$6-$E15)))</f>
        <v>-16425818.592961919</v>
      </c>
      <c r="W73" s="119" cm="1">
        <f t="array" ref="W73">SUMPRODUCT(($I68:W68))-SUMPRODUCT(($I68:W68)*($I$6:W$6&lt;=(W$6-$E15)))</f>
        <v>-16425818.592961919</v>
      </c>
      <c r="X73" s="119" cm="1">
        <f t="array" ref="X73">SUMPRODUCT(($I68:X68))-SUMPRODUCT(($I68:X68)*($I$6:X$6&lt;=(X$6-$E15)))</f>
        <v>-16425818.592961919</v>
      </c>
      <c r="Y73" s="119" cm="1">
        <f t="array" ref="Y73">SUMPRODUCT(($I68:Y68))-SUMPRODUCT(($I68:Y68)*($I$6:Y$6&lt;=(Y$6-$E15)))</f>
        <v>-16425818.592961919</v>
      </c>
      <c r="Z73" s="119" cm="1">
        <f t="array" ref="Z73">SUMPRODUCT(($I68:Z68))-SUMPRODUCT(($I68:Z68)*($I$6:Z$6&lt;=(Z$6-$E15)))</f>
        <v>-16425818.592961919</v>
      </c>
      <c r="AA73" s="119" cm="1">
        <f t="array" ref="AA73">SUMPRODUCT(($I68:AA68))-SUMPRODUCT(($I68:AA68)*($I$6:AA$6&lt;=(AA$6-$E15)))</f>
        <v>-16425818.592961919</v>
      </c>
      <c r="AB73" s="119" cm="1">
        <f t="array" ref="AB73">SUMPRODUCT(($I68:AB68))-SUMPRODUCT(($I68:AB68)*($I$6:AB$6&lt;=(AB$6-$E15)))</f>
        <v>-16425818.592961919</v>
      </c>
      <c r="AC73" s="119" cm="1">
        <f t="array" ref="AC73">SUMPRODUCT(($I68:AC68))-SUMPRODUCT(($I68:AC68)*($I$6:AC$6&lt;=(AC$6-$E15)))</f>
        <v>-16425818.592961919</v>
      </c>
      <c r="AD73" s="119" cm="1">
        <f t="array" ref="AD73">SUMPRODUCT(($I68:AD68))-SUMPRODUCT(($I68:AD68)*($I$6:AD$6&lt;=(AD$6-$E15)))</f>
        <v>-16425818.592961919</v>
      </c>
      <c r="AE73" s="119" cm="1">
        <f t="array" ref="AE73">SUMPRODUCT(($I68:AE68))-SUMPRODUCT(($I68:AE68)*($I$6:AE$6&lt;=(AE$6-$E15)))</f>
        <v>-16425818.592961919</v>
      </c>
      <c r="AF73" s="119" cm="1">
        <f t="array" ref="AF73">SUMPRODUCT(($I68:AF68))-SUMPRODUCT(($I68:AF68)*($I$6:AF$6&lt;=(AF$6-$E15)))</f>
        <v>-16425818.592961919</v>
      </c>
      <c r="AG73" s="119" cm="1">
        <f t="array" ref="AG73">SUMPRODUCT(($I68:AG68))-SUMPRODUCT(($I68:AG68)*($I$6:AG$6&lt;=(AG$6-$E15)))</f>
        <v>-16425818.592961919</v>
      </c>
    </row>
    <row r="74" spans="1:33" x14ac:dyDescent="0.3">
      <c r="A74" s="8"/>
      <c r="B74" s="8"/>
      <c r="C74" s="4" t="str">
        <f>C16</f>
        <v>Building capex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-2877145.5760281994</v>
      </c>
      <c r="J74" s="119" cm="1">
        <f t="array" ref="J74">SUMPRODUCT(($I69:J69))-SUMPRODUCT(($I69:J69)*($I$6:J$6&lt;=(J$6-$E16)))</f>
        <v>-5756284.8520641932</v>
      </c>
      <c r="K74" s="119" cm="1">
        <f t="array" ref="K74">SUMPRODUCT(($I69:K69))-SUMPRODUCT(($I69:K69)*($I$6:K$6&lt;=(K$6-$E16)))</f>
        <v>-8637417.828107981</v>
      </c>
      <c r="L74" s="119" cm="1">
        <f t="array" ref="L74">SUMPRODUCT(($I69:L69))-SUMPRODUCT(($I69:L69)*($I$6:L$6&lt;=(L$6-$E16)))</f>
        <v>-11518550.80415177</v>
      </c>
      <c r="M74" s="119" cm="1">
        <f t="array" ref="M74">SUMPRODUCT(($I69:M69))-SUMPRODUCT(($I69:M69)*($I$6:M$6&lt;=(M$6-$E16)))</f>
        <v>-12478928.462833032</v>
      </c>
      <c r="N74" s="119" cm="1">
        <f t="array" ref="N74">SUMPRODUCT(($I69:N69))-SUMPRODUCT(($I69:N69)*($I$6:N$6&lt;=(N$6-$E16)))</f>
        <v>-12478928.462833032</v>
      </c>
      <c r="O74" s="119" cm="1">
        <f t="array" ref="O74">SUMPRODUCT(($I69:O69))-SUMPRODUCT(($I69:O69)*($I$6:O$6&lt;=(O$6-$E16)))</f>
        <v>-12478928.462833032</v>
      </c>
      <c r="P74" s="119" cm="1">
        <f t="array" ref="P74">SUMPRODUCT(($I69:P69))-SUMPRODUCT(($I69:P69)*($I$6:P$6&lt;=(P$6-$E16)))</f>
        <v>-12478928.462833032</v>
      </c>
      <c r="Q74" s="119" cm="1">
        <f t="array" ref="Q74">SUMPRODUCT(($I69:Q69))-SUMPRODUCT(($I69:Q69)*($I$6:Q$6&lt;=(Q$6-$E16)))</f>
        <v>-12478928.462833032</v>
      </c>
      <c r="R74" s="119" cm="1">
        <f t="array" ref="R74">SUMPRODUCT(($I69:R69))-SUMPRODUCT(($I69:R69)*($I$6:R$6&lt;=(R$6-$E16)))</f>
        <v>-12478928.462833032</v>
      </c>
      <c r="S74" s="119" cm="1">
        <f t="array" ref="S74">SUMPRODUCT(($I69:S69))-SUMPRODUCT(($I69:S69)*($I$6:S$6&lt;=(S$6-$E16)))</f>
        <v>-12478928.462833032</v>
      </c>
      <c r="T74" s="119" cm="1">
        <f t="array" ref="T74">SUMPRODUCT(($I69:T69))-SUMPRODUCT(($I69:T69)*($I$6:T$6&lt;=(T$6-$E16)))</f>
        <v>-12478928.462833032</v>
      </c>
      <c r="U74" s="119" cm="1">
        <f t="array" ref="U74">SUMPRODUCT(($I69:U69))-SUMPRODUCT(($I69:U69)*($I$6:U$6&lt;=(U$6-$E16)))</f>
        <v>-12478928.462833032</v>
      </c>
      <c r="V74" s="119" cm="1">
        <f t="array" ref="V74">SUMPRODUCT(($I69:V69))-SUMPRODUCT(($I69:V69)*($I$6:V$6&lt;=(V$6-$E16)))</f>
        <v>-12478928.462833032</v>
      </c>
      <c r="W74" s="119" cm="1">
        <f t="array" ref="W74">SUMPRODUCT(($I69:W69))-SUMPRODUCT(($I69:W69)*($I$6:W$6&lt;=(W$6-$E16)))</f>
        <v>-12478928.462833032</v>
      </c>
      <c r="X74" s="119" cm="1">
        <f t="array" ref="X74">SUMPRODUCT(($I69:X69))-SUMPRODUCT(($I69:X69)*($I$6:X$6&lt;=(X$6-$E16)))</f>
        <v>-12478928.462833032</v>
      </c>
      <c r="Y74" s="119" cm="1">
        <f t="array" ref="Y74">SUMPRODUCT(($I69:Y69))-SUMPRODUCT(($I69:Y69)*($I$6:Y$6&lt;=(Y$6-$E16)))</f>
        <v>-12478928.462833032</v>
      </c>
      <c r="Z74" s="119" cm="1">
        <f t="array" ref="Z74">SUMPRODUCT(($I69:Z69))-SUMPRODUCT(($I69:Z69)*($I$6:Z$6&lt;=(Z$6-$E16)))</f>
        <v>-12478928.462833032</v>
      </c>
      <c r="AA74" s="119" cm="1">
        <f t="array" ref="AA74">SUMPRODUCT(($I69:AA69))-SUMPRODUCT(($I69:AA69)*($I$6:AA$6&lt;=(AA$6-$E16)))</f>
        <v>-12478928.462833032</v>
      </c>
      <c r="AB74" s="119" cm="1">
        <f t="array" ref="AB74">SUMPRODUCT(($I69:AB69))-SUMPRODUCT(($I69:AB69)*($I$6:AB$6&lt;=(AB$6-$E16)))</f>
        <v>-12478928.462833032</v>
      </c>
      <c r="AC74" s="119" cm="1">
        <f t="array" ref="AC74">SUMPRODUCT(($I69:AC69))-SUMPRODUCT(($I69:AC69)*($I$6:AC$6&lt;=(AC$6-$E16)))</f>
        <v>-12478928.462833032</v>
      </c>
      <c r="AD74" s="119" cm="1">
        <f t="array" ref="AD74">SUMPRODUCT(($I69:AD69))-SUMPRODUCT(($I69:AD69)*($I$6:AD$6&lt;=(AD$6-$E16)))</f>
        <v>-12478928.462833032</v>
      </c>
      <c r="AE74" s="119" cm="1">
        <f t="array" ref="AE74">SUMPRODUCT(($I69:AE69))-SUMPRODUCT(($I69:AE69)*($I$6:AE$6&lt;=(AE$6-$E16)))</f>
        <v>-12478928.462833032</v>
      </c>
      <c r="AF74" s="119" cm="1">
        <f t="array" ref="AF74">SUMPRODUCT(($I69:AF69))-SUMPRODUCT(($I69:AF69)*($I$6:AF$6&lt;=(AF$6-$E16)))</f>
        <v>-12478928.462833032</v>
      </c>
      <c r="AG74" s="119" cm="1">
        <f t="array" ref="AG74">SUMPRODUCT(($I69:AG69))-SUMPRODUCT(($I69:AG69)*($I$6:AG$6&lt;=(AG$6-$E16)))</f>
        <v>-12478928.462833032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Switch capex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3">
      <c r="A78" s="8"/>
      <c r="B78" s="8"/>
      <c r="C78" s="4" t="str">
        <f>$C$76&amp;" - "&amp;C15</f>
        <v>Annualised capex - Relay capex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-284579.80299645779</v>
      </c>
      <c r="K78" s="119">
        <f t="shared" si="9"/>
        <v>-498088.57880344504</v>
      </c>
      <c r="L78" s="119">
        <f t="shared" si="9"/>
        <v>-711745.20172972023</v>
      </c>
      <c r="M78" s="119">
        <f t="shared" si="9"/>
        <v>-925401.82465599535</v>
      </c>
      <c r="N78" s="119">
        <f t="shared" si="9"/>
        <v>-996620.69896475377</v>
      </c>
      <c r="O78" s="119">
        <f t="shared" si="9"/>
        <v>-996620.69896475377</v>
      </c>
      <c r="P78" s="119">
        <f t="shared" si="9"/>
        <v>-996620.69896475377</v>
      </c>
      <c r="Q78" s="119">
        <f t="shared" si="9"/>
        <v>-996620.69896475377</v>
      </c>
      <c r="R78" s="119">
        <f t="shared" si="9"/>
        <v>-996620.69896475377</v>
      </c>
      <c r="S78" s="119">
        <f t="shared" si="9"/>
        <v>-996620.69896475377</v>
      </c>
      <c r="T78" s="119">
        <f t="shared" si="9"/>
        <v>-996620.69896475377</v>
      </c>
      <c r="U78" s="119">
        <f t="shared" si="9"/>
        <v>-996620.69896475377</v>
      </c>
      <c r="V78" s="119">
        <f t="shared" si="9"/>
        <v>-996620.69896475377</v>
      </c>
      <c r="W78" s="119">
        <f t="shared" si="9"/>
        <v>-996620.69896475377</v>
      </c>
      <c r="X78" s="119">
        <f t="shared" si="9"/>
        <v>-996620.69896475377</v>
      </c>
      <c r="Y78" s="119">
        <f t="shared" si="9"/>
        <v>-996620.69896475377</v>
      </c>
      <c r="Z78" s="119">
        <f t="shared" si="9"/>
        <v>-996620.69896475377</v>
      </c>
      <c r="AA78" s="119">
        <f t="shared" si="9"/>
        <v>-996620.69896475377</v>
      </c>
      <c r="AB78" s="119">
        <f t="shared" si="9"/>
        <v>-996620.69896475377</v>
      </c>
      <c r="AC78" s="119">
        <f t="shared" si="9"/>
        <v>-996620.69896475377</v>
      </c>
      <c r="AD78" s="119">
        <f t="shared" si="9"/>
        <v>-996620.69896475377</v>
      </c>
      <c r="AE78" s="119">
        <f t="shared" si="9"/>
        <v>-996620.69896475377</v>
      </c>
      <c r="AF78" s="119">
        <f t="shared" si="9"/>
        <v>-996620.69896475377</v>
      </c>
      <c r="AG78" s="119">
        <f t="shared" si="9"/>
        <v>-996620.69896475377</v>
      </c>
    </row>
    <row r="79" spans="1:33" x14ac:dyDescent="0.3">
      <c r="A79" s="8"/>
      <c r="B79" s="8"/>
      <c r="C79" s="4" t="str">
        <f>$C$76&amp;" - "&amp;C16</f>
        <v>Annualised capex - Building capex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-122663.38886906464</v>
      </c>
      <c r="K79" s="119">
        <f t="shared" si="10"/>
        <v>-245411.77656522443</v>
      </c>
      <c r="L79" s="119">
        <f t="shared" si="10"/>
        <v>-368245.16308847925</v>
      </c>
      <c r="M79" s="119">
        <f t="shared" si="10"/>
        <v>-491078.54961173423</v>
      </c>
      <c r="N79" s="119">
        <f t="shared" si="10"/>
        <v>-532023.01178615249</v>
      </c>
      <c r="O79" s="119">
        <f t="shared" si="10"/>
        <v>-532023.01178615249</v>
      </c>
      <c r="P79" s="119">
        <f t="shared" si="10"/>
        <v>-532023.01178615249</v>
      </c>
      <c r="Q79" s="119">
        <f t="shared" si="10"/>
        <v>-532023.01178615249</v>
      </c>
      <c r="R79" s="119">
        <f t="shared" si="10"/>
        <v>-532023.01178615249</v>
      </c>
      <c r="S79" s="119">
        <f t="shared" si="10"/>
        <v>-532023.01178615249</v>
      </c>
      <c r="T79" s="119">
        <f t="shared" si="10"/>
        <v>-532023.01178615249</v>
      </c>
      <c r="U79" s="119">
        <f t="shared" si="10"/>
        <v>-532023.01178615249</v>
      </c>
      <c r="V79" s="119">
        <f t="shared" si="10"/>
        <v>-532023.01178615249</v>
      </c>
      <c r="W79" s="119">
        <f t="shared" si="10"/>
        <v>-532023.01178615249</v>
      </c>
      <c r="X79" s="119">
        <f t="shared" si="10"/>
        <v>-532023.01178615249</v>
      </c>
      <c r="Y79" s="119">
        <f t="shared" si="10"/>
        <v>-532023.01178615249</v>
      </c>
      <c r="Z79" s="119">
        <f t="shared" si="10"/>
        <v>-532023.01178615249</v>
      </c>
      <c r="AA79" s="119">
        <f t="shared" si="10"/>
        <v>-532023.01178615249</v>
      </c>
      <c r="AB79" s="119">
        <f t="shared" si="10"/>
        <v>-532023.01178615249</v>
      </c>
      <c r="AC79" s="119">
        <f t="shared" si="10"/>
        <v>-532023.01178615249</v>
      </c>
      <c r="AD79" s="119">
        <f t="shared" si="10"/>
        <v>-532023.01178615249</v>
      </c>
      <c r="AE79" s="119">
        <f t="shared" si="10"/>
        <v>-532023.01178615249</v>
      </c>
      <c r="AF79" s="119">
        <f t="shared" si="10"/>
        <v>-532023.01178615249</v>
      </c>
      <c r="AG79" s="119">
        <f t="shared" si="10"/>
        <v>-532023.01178615249</v>
      </c>
    </row>
    <row r="80" spans="1:33" x14ac:dyDescent="0.3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-407243.19186552241</v>
      </c>
      <c r="K80" s="176">
        <f t="shared" si="11"/>
        <v>-743500.35536866949</v>
      </c>
      <c r="L80" s="176">
        <f t="shared" si="11"/>
        <v>-1079990.3648181995</v>
      </c>
      <c r="M80" s="176">
        <f t="shared" si="11"/>
        <v>-1416480.3742677295</v>
      </c>
      <c r="N80" s="176">
        <f t="shared" si="11"/>
        <v>-1528643.7107509063</v>
      </c>
      <c r="O80" s="176">
        <f t="shared" si="11"/>
        <v>-1528643.7107509063</v>
      </c>
      <c r="P80" s="176">
        <f t="shared" si="11"/>
        <v>-1528643.7107509063</v>
      </c>
      <c r="Q80" s="176">
        <f t="shared" si="11"/>
        <v>-1528643.7107509063</v>
      </c>
      <c r="R80" s="176">
        <f t="shared" si="11"/>
        <v>-1528643.7107509063</v>
      </c>
      <c r="S80" s="176">
        <f t="shared" si="11"/>
        <v>-1528643.7107509063</v>
      </c>
      <c r="T80" s="176">
        <f t="shared" si="11"/>
        <v>-1528643.7107509063</v>
      </c>
      <c r="U80" s="176">
        <f t="shared" si="11"/>
        <v>-1528643.7107509063</v>
      </c>
      <c r="V80" s="176">
        <f t="shared" si="11"/>
        <v>-1528643.7107509063</v>
      </c>
      <c r="W80" s="176">
        <f t="shared" si="11"/>
        <v>-1528643.7107509063</v>
      </c>
      <c r="X80" s="176">
        <f t="shared" si="11"/>
        <v>-1528643.7107509063</v>
      </c>
      <c r="Y80" s="176">
        <f t="shared" si="11"/>
        <v>-1528643.7107509063</v>
      </c>
      <c r="Z80" s="176">
        <f t="shared" si="11"/>
        <v>-1528643.7107509063</v>
      </c>
      <c r="AA80" s="176">
        <f t="shared" si="11"/>
        <v>-1528643.7107509063</v>
      </c>
      <c r="AB80" s="176">
        <f t="shared" si="11"/>
        <v>-1528643.7107509063</v>
      </c>
      <c r="AC80" s="176">
        <f>SUM(AC77:AC79)</f>
        <v>-1528643.7107509063</v>
      </c>
      <c r="AD80" s="176">
        <f>SUM(AD77:AD79)</f>
        <v>-1528643.7107509063</v>
      </c>
      <c r="AE80" s="176">
        <f>SUM(AE77:AE79)</f>
        <v>-1528643.7107509063</v>
      </c>
      <c r="AF80" s="176">
        <f>SUM(AF77:AF79)</f>
        <v>-1528643.7107509063</v>
      </c>
      <c r="AG80" s="176">
        <f>SUM(AG77:AG79)</f>
        <v>-1528643.7107509063</v>
      </c>
    </row>
    <row r="81" spans="1:33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-407243.19186552241</v>
      </c>
      <c r="K82" s="119">
        <f t="shared" si="13"/>
        <v>-743500.35536866949</v>
      </c>
      <c r="L82" s="119">
        <f t="shared" si="13"/>
        <v>-1079990.3648181995</v>
      </c>
      <c r="M82" s="119">
        <f t="shared" si="13"/>
        <v>-1416480.3742677295</v>
      </c>
      <c r="N82" s="119">
        <f t="shared" si="13"/>
        <v>-1528643.7107509063</v>
      </c>
      <c r="O82" s="119">
        <f t="shared" si="13"/>
        <v>-1528643.7107509063</v>
      </c>
      <c r="P82" s="119">
        <f t="shared" si="13"/>
        <v>-1528643.7107509063</v>
      </c>
      <c r="Q82" s="119">
        <f t="shared" si="13"/>
        <v>-1528643.7107509063</v>
      </c>
      <c r="R82" s="119">
        <f t="shared" si="13"/>
        <v>-1528643.7107509063</v>
      </c>
      <c r="S82" s="119">
        <f t="shared" si="13"/>
        <v>-1528643.7107509063</v>
      </c>
      <c r="T82" s="119">
        <f t="shared" si="13"/>
        <v>-1528643.7107509063</v>
      </c>
      <c r="U82" s="119">
        <f t="shared" si="13"/>
        <v>-1528643.7107509063</v>
      </c>
      <c r="V82" s="119">
        <f t="shared" si="13"/>
        <v>-1528643.7107509063</v>
      </c>
      <c r="W82" s="119">
        <f t="shared" si="13"/>
        <v>-1528643.7107509063</v>
      </c>
      <c r="X82" s="119">
        <f t="shared" si="13"/>
        <v>-1528643.7107509063</v>
      </c>
      <c r="Y82" s="119">
        <f t="shared" si="13"/>
        <v>-1528643.7107509063</v>
      </c>
      <c r="Z82" s="119">
        <f t="shared" si="13"/>
        <v>-1528643.7107509063</v>
      </c>
      <c r="AA82" s="119">
        <f t="shared" si="13"/>
        <v>-1528643.7107509063</v>
      </c>
      <c r="AB82" s="119">
        <f t="shared" si="13"/>
        <v>-1528643.7107509063</v>
      </c>
      <c r="AC82" s="119">
        <f>AC80</f>
        <v>-1528643.7107509063</v>
      </c>
      <c r="AD82" s="119">
        <f>AD80</f>
        <v>-1528643.7107509063</v>
      </c>
      <c r="AE82" s="119">
        <f>AE80</f>
        <v>-1528643.7107509063</v>
      </c>
      <c r="AF82" s="119">
        <f>AF80</f>
        <v>-1528643.7107509063</v>
      </c>
      <c r="AG82" s="119">
        <f>AG80</f>
        <v>-1528643.7107509063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3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139619.63413211424</v>
      </c>
      <c r="K84" s="31">
        <f t="shared" si="15"/>
        <v>414202.03092064289</v>
      </c>
      <c r="L84" s="31">
        <f t="shared" si="15"/>
        <v>659047.67073219665</v>
      </c>
      <c r="M84" s="31">
        <f t="shared" si="15"/>
        <v>942814.66508753714</v>
      </c>
      <c r="N84" s="31">
        <f t="shared" si="15"/>
        <v>1283277.7975542548</v>
      </c>
      <c r="O84" s="31">
        <f t="shared" si="15"/>
        <v>1563460.1223938465</v>
      </c>
      <c r="P84" s="31">
        <f t="shared" si="15"/>
        <v>1911955.5303759517</v>
      </c>
      <c r="Q84" s="31">
        <f t="shared" si="15"/>
        <v>2346386.4184894818</v>
      </c>
      <c r="R84" s="31">
        <f t="shared" si="15"/>
        <v>2889213.8137717028</v>
      </c>
      <c r="S84" s="31">
        <f t="shared" si="15"/>
        <v>3569048.4202127261</v>
      </c>
      <c r="T84" s="31">
        <f t="shared" si="15"/>
        <v>4424024.7236892004</v>
      </c>
      <c r="U84" s="31">
        <f t="shared" si="15"/>
        <v>5455092.124146183</v>
      </c>
      <c r="V84" s="31">
        <f t="shared" si="15"/>
        <v>6612080.5896274066</v>
      </c>
      <c r="W84" s="31">
        <f t="shared" si="15"/>
        <v>8066257.2353317793</v>
      </c>
      <c r="X84" s="31">
        <f t="shared" si="15"/>
        <v>9508587.1317641474</v>
      </c>
      <c r="Y84" s="31">
        <f t="shared" si="15"/>
        <v>10147013.296163334</v>
      </c>
      <c r="Z84" s="31">
        <f t="shared" si="15"/>
        <v>10560216.644918157</v>
      </c>
      <c r="AA84" s="31">
        <f t="shared" si="15"/>
        <v>10833548.595130768</v>
      </c>
      <c r="AB84" s="31">
        <f t="shared" si="15"/>
        <v>11067913.40371717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3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-267623.55773340818</v>
      </c>
      <c r="K87" s="179">
        <f t="shared" si="17"/>
        <v>-329298.3244480266</v>
      </c>
      <c r="L87" s="179">
        <f t="shared" si="17"/>
        <v>-420942.69408600288</v>
      </c>
      <c r="M87" s="179">
        <f t="shared" si="17"/>
        <v>-473665.70918019232</v>
      </c>
      <c r="N87" s="179">
        <f t="shared" si="17"/>
        <v>-245365.9131966515</v>
      </c>
      <c r="O87" s="179">
        <f t="shared" si="17"/>
        <v>34816.411642940249</v>
      </c>
      <c r="P87" s="179">
        <f t="shared" si="17"/>
        <v>383311.81962504541</v>
      </c>
      <c r="Q87" s="179">
        <f t="shared" si="17"/>
        <v>817742.70773857553</v>
      </c>
      <c r="R87" s="179">
        <f t="shared" si="17"/>
        <v>1360570.1030207966</v>
      </c>
      <c r="S87" s="179">
        <f t="shared" si="17"/>
        <v>2040404.7094618198</v>
      </c>
      <c r="T87" s="179">
        <f t="shared" si="17"/>
        <v>2895381.0129382941</v>
      </c>
      <c r="U87" s="179">
        <f t="shared" si="17"/>
        <v>3926448.4133952768</v>
      </c>
      <c r="V87" s="179">
        <f t="shared" si="17"/>
        <v>5083436.8788764998</v>
      </c>
      <c r="W87" s="179">
        <f t="shared" si="17"/>
        <v>6537613.5245808735</v>
      </c>
      <c r="X87" s="179">
        <f t="shared" si="17"/>
        <v>7979943.4210132416</v>
      </c>
      <c r="Y87" s="179">
        <f t="shared" si="17"/>
        <v>8618369.5854124278</v>
      </c>
      <c r="Z87" s="179">
        <f t="shared" si="17"/>
        <v>9031572.934167251</v>
      </c>
      <c r="AA87" s="179">
        <f t="shared" si="17"/>
        <v>9304904.8843798619</v>
      </c>
      <c r="AB87" s="179">
        <f t="shared" si="17"/>
        <v>9539269.6929662637</v>
      </c>
      <c r="AC87" s="179">
        <f>SUM(AC82:AC86)</f>
        <v>-1528643.7107509063</v>
      </c>
      <c r="AD87" s="179">
        <f>SUM(AD82:AD86)</f>
        <v>-1528643.7107509063</v>
      </c>
      <c r="AE87" s="179">
        <f>SUM(AE82:AE86)</f>
        <v>-1528643.7107509063</v>
      </c>
      <c r="AF87" s="179">
        <f>SUM(AF82:AF86)</f>
        <v>-1528643.7107509063</v>
      </c>
      <c r="AG87" s="179">
        <f>SUM(AG82:AG86)</f>
        <v>-1528643.7107509063</v>
      </c>
    </row>
    <row r="88" spans="1:33" x14ac:dyDescent="0.3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3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3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3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3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3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3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3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3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3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4.4" x14ac:dyDescent="0.3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119</v>
      </c>
      <c r="C106" s="1" t="s">
        <v>186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-267623.55773340818</v>
      </c>
      <c r="K106" s="31">
        <f t="shared" si="18"/>
        <v>-329298.3244480266</v>
      </c>
      <c r="L106" s="31">
        <f t="shared" si="18"/>
        <v>-420942.69408600288</v>
      </c>
      <c r="M106" s="31">
        <f t="shared" si="18"/>
        <v>-473665.70918019232</v>
      </c>
      <c r="N106" s="31">
        <f t="shared" si="18"/>
        <v>-245365.9131966515</v>
      </c>
      <c r="O106" s="31">
        <f t="shared" si="18"/>
        <v>34816.411642940249</v>
      </c>
      <c r="P106" s="31">
        <f t="shared" si="18"/>
        <v>383311.81962504541</v>
      </c>
      <c r="Q106" s="31">
        <f t="shared" si="18"/>
        <v>817742.70773857553</v>
      </c>
      <c r="R106" s="31">
        <f t="shared" si="18"/>
        <v>1360570.1030207966</v>
      </c>
      <c r="S106" s="31">
        <f t="shared" si="18"/>
        <v>2040404.7094618198</v>
      </c>
      <c r="T106" s="31">
        <f t="shared" si="18"/>
        <v>2895381.0129382941</v>
      </c>
      <c r="U106" s="31">
        <f t="shared" si="18"/>
        <v>3926448.4133952768</v>
      </c>
      <c r="V106" s="31">
        <f t="shared" si="18"/>
        <v>5083436.8788764998</v>
      </c>
      <c r="W106" s="31">
        <f t="shared" si="18"/>
        <v>6537613.5245808735</v>
      </c>
      <c r="X106" s="31">
        <f t="shared" si="18"/>
        <v>7979943.4210132416</v>
      </c>
      <c r="Y106" s="31">
        <f t="shared" si="18"/>
        <v>8618369.5854124278</v>
      </c>
      <c r="Z106" s="31">
        <f t="shared" si="18"/>
        <v>9031572.934167251</v>
      </c>
      <c r="AA106" s="31">
        <f t="shared" si="18"/>
        <v>9304904.8843798619</v>
      </c>
      <c r="AB106" s="31">
        <f t="shared" si="18"/>
        <v>9539269.6929662637</v>
      </c>
      <c r="AC106" s="31">
        <f t="shared" si="18"/>
        <v>-1528643.7107509063</v>
      </c>
      <c r="AD106" s="31">
        <f t="shared" si="18"/>
        <v>-1528643.7107509063</v>
      </c>
      <c r="AE106" s="31">
        <f t="shared" si="18"/>
        <v>-1528643.7107509063</v>
      </c>
      <c r="AF106" s="31">
        <f t="shared" si="18"/>
        <v>-1528643.7107509063</v>
      </c>
      <c r="AG106" s="31">
        <f t="shared" si="18"/>
        <v>-1528643.7107509063</v>
      </c>
    </row>
    <row r="107" spans="1:43" x14ac:dyDescent="0.3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-407243.19186552241</v>
      </c>
      <c r="K107" s="31">
        <f t="shared" si="19"/>
        <v>-743500.35536866949</v>
      </c>
      <c r="L107" s="31">
        <f t="shared" si="19"/>
        <v>-1079990.3648181995</v>
      </c>
      <c r="M107" s="31">
        <f t="shared" si="19"/>
        <v>-1416480.3742677295</v>
      </c>
      <c r="N107" s="31">
        <f t="shared" si="19"/>
        <v>-1528643.7107509063</v>
      </c>
      <c r="O107" s="31">
        <f t="shared" si="19"/>
        <v>-1528643.7107509063</v>
      </c>
      <c r="P107" s="31">
        <f t="shared" si="19"/>
        <v>-1528643.7107509063</v>
      </c>
      <c r="Q107" s="31">
        <f t="shared" si="19"/>
        <v>-1528643.7107509063</v>
      </c>
      <c r="R107" s="31">
        <f t="shared" si="19"/>
        <v>-1528643.7107509063</v>
      </c>
      <c r="S107" s="31">
        <f t="shared" si="19"/>
        <v>-1528643.7107509063</v>
      </c>
      <c r="T107" s="31">
        <f t="shared" si="19"/>
        <v>-1528643.7107509063</v>
      </c>
      <c r="U107" s="31">
        <f t="shared" si="19"/>
        <v>-1528643.7107509063</v>
      </c>
      <c r="V107" s="31">
        <f t="shared" si="19"/>
        <v>-1528643.7107509063</v>
      </c>
      <c r="W107" s="31">
        <f t="shared" si="19"/>
        <v>-1528643.7107509063</v>
      </c>
      <c r="X107" s="31">
        <f t="shared" si="19"/>
        <v>-1528643.7107509063</v>
      </c>
      <c r="Y107" s="31">
        <f t="shared" si="19"/>
        <v>-1528643.7107509063</v>
      </c>
      <c r="Z107" s="31">
        <f t="shared" si="19"/>
        <v>-1528643.7107509063</v>
      </c>
      <c r="AA107" s="31">
        <f t="shared" si="19"/>
        <v>-1528643.7107509063</v>
      </c>
      <c r="AB107" s="31">
        <f t="shared" si="19"/>
        <v>-1528643.7107509063</v>
      </c>
      <c r="AC107" s="31">
        <f t="shared" si="19"/>
        <v>-1528643.7107509063</v>
      </c>
      <c r="AD107" s="31">
        <f t="shared" si="19"/>
        <v>-1528643.7107509063</v>
      </c>
      <c r="AE107" s="31">
        <f t="shared" si="19"/>
        <v>-1528643.7107509063</v>
      </c>
      <c r="AF107" s="31">
        <f t="shared" si="19"/>
        <v>-1528643.7107509063</v>
      </c>
      <c r="AG107" s="31">
        <f t="shared" si="19"/>
        <v>-1528643.7107509063</v>
      </c>
    </row>
    <row r="108" spans="1:43" x14ac:dyDescent="0.3">
      <c r="C108" s="1" t="s">
        <v>239</v>
      </c>
      <c r="D108" s="252"/>
      <c r="E108" s="38"/>
      <c r="I108" s="31">
        <f>SUM(I84:I85)</f>
        <v>0</v>
      </c>
      <c r="J108" s="31">
        <f t="shared" ref="J108:AG108" si="20">SUM(J84:J85)</f>
        <v>139619.63413211424</v>
      </c>
      <c r="K108" s="31">
        <f t="shared" si="20"/>
        <v>414202.03092064289</v>
      </c>
      <c r="L108" s="31">
        <f t="shared" si="20"/>
        <v>659047.67073219665</v>
      </c>
      <c r="M108" s="31">
        <f t="shared" si="20"/>
        <v>942814.66508753714</v>
      </c>
      <c r="N108" s="31">
        <f t="shared" si="20"/>
        <v>1283277.7975542548</v>
      </c>
      <c r="O108" s="31">
        <f t="shared" si="20"/>
        <v>1563460.1223938465</v>
      </c>
      <c r="P108" s="31">
        <f t="shared" si="20"/>
        <v>1911955.5303759517</v>
      </c>
      <c r="Q108" s="31">
        <f t="shared" si="20"/>
        <v>2346386.4184894818</v>
      </c>
      <c r="R108" s="31">
        <f t="shared" si="20"/>
        <v>2889213.8137717028</v>
      </c>
      <c r="S108" s="31">
        <f t="shared" si="20"/>
        <v>3569048.4202127261</v>
      </c>
      <c r="T108" s="31">
        <f t="shared" si="20"/>
        <v>4424024.7236892004</v>
      </c>
      <c r="U108" s="31">
        <f t="shared" si="20"/>
        <v>5455092.124146183</v>
      </c>
      <c r="V108" s="31">
        <f t="shared" si="20"/>
        <v>6612080.5896274066</v>
      </c>
      <c r="W108" s="31">
        <f t="shared" si="20"/>
        <v>8066257.2353317793</v>
      </c>
      <c r="X108" s="31">
        <f t="shared" si="20"/>
        <v>9508587.1317641474</v>
      </c>
      <c r="Y108" s="31">
        <f t="shared" si="20"/>
        <v>10147013.296163334</v>
      </c>
      <c r="Z108" s="31">
        <f t="shared" si="20"/>
        <v>10560216.644918157</v>
      </c>
      <c r="AA108" s="31">
        <f t="shared" si="20"/>
        <v>10833548.595130768</v>
      </c>
      <c r="AB108" s="31">
        <f t="shared" si="20"/>
        <v>11067913.40371717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3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-308347.87691996043</v>
      </c>
      <c r="K110" s="31" cm="1">
        <f t="array" ref="K110">K$106+IF($C110&lt;&gt;0,SUMPRODUCT((K$107:K$108)*TRANSPOSE(($D110:$E110))),0)</f>
        <v>-403648.35998489358</v>
      </c>
      <c r="L110" s="31" cm="1">
        <f t="array" ref="L110">L$106+IF($C110&lt;&gt;0,SUMPRODUCT((L$107:L$108)*TRANSPOSE(($D110:$E110))),0)</f>
        <v>-528941.73056782281</v>
      </c>
      <c r="M110" s="31" cm="1">
        <f t="array" ref="M110">M$106+IF($C110&lt;&gt;0,SUMPRODUCT((M$107:M$108)*TRANSPOSE(($D110:$E110))),0)</f>
        <v>-615313.74660696532</v>
      </c>
      <c r="N110" s="31" cm="1">
        <f t="array" ref="N110">N$106+IF($C110&lt;&gt;0,SUMPRODUCT((N$107:N$108)*TRANSPOSE(($D110:$E110))),0)</f>
        <v>-398230.2842717421</v>
      </c>
      <c r="O110" s="31" cm="1">
        <f t="array" ref="O110">O$106+IF($C110&lt;&gt;0,SUMPRODUCT((O$107:O$108)*TRANSPOSE(($D110:$E110))),0)</f>
        <v>-118047.95943215038</v>
      </c>
      <c r="P110" s="31" cm="1">
        <f t="array" ref="P110">P$106+IF($C110&lt;&gt;0,SUMPRODUCT((P$107:P$108)*TRANSPOSE(($D110:$E110))),0)</f>
        <v>230447.44854995477</v>
      </c>
      <c r="Q110" s="31" cm="1">
        <f t="array" ref="Q110">Q$106+IF($C110&lt;&gt;0,SUMPRODUCT((Q$107:Q$108)*TRANSPOSE(($D110:$E110))),0)</f>
        <v>664878.33666348492</v>
      </c>
      <c r="R110" s="31" cm="1">
        <f t="array" ref="R110">R$106+IF($C110&lt;&gt;0,SUMPRODUCT((R$107:R$108)*TRANSPOSE(($D110:$E110))),0)</f>
        <v>1207705.7319457058</v>
      </c>
      <c r="S110" s="31" cm="1">
        <f t="array" ref="S110">S$106+IF($C110&lt;&gt;0,SUMPRODUCT((S$107:S$108)*TRANSPOSE(($D110:$E110))),0)</f>
        <v>1887540.3383867291</v>
      </c>
      <c r="T110" s="31" cm="1">
        <f t="array" ref="T110">T$106+IF($C110&lt;&gt;0,SUMPRODUCT((T$107:T$108)*TRANSPOSE(($D110:$E110))),0)</f>
        <v>2742516.6418632036</v>
      </c>
      <c r="U110" s="31" cm="1">
        <f t="array" ref="U110">U$106+IF($C110&lt;&gt;0,SUMPRODUCT((U$107:U$108)*TRANSPOSE(($D110:$E110))),0)</f>
        <v>3773584.0423201863</v>
      </c>
      <c r="V110" s="31" cm="1">
        <f t="array" ref="V110">V$106+IF($C110&lt;&gt;0,SUMPRODUCT((V$107:V$108)*TRANSPOSE(($D110:$E110))),0)</f>
        <v>4930572.5078014089</v>
      </c>
      <c r="W110" s="31" cm="1">
        <f t="array" ref="W110">W$106+IF($C110&lt;&gt;0,SUMPRODUCT((W$107:W$108)*TRANSPOSE(($D110:$E110))),0)</f>
        <v>6384749.1535057826</v>
      </c>
      <c r="X110" s="31" cm="1">
        <f t="array" ref="X110">X$106+IF($C110&lt;&gt;0,SUMPRODUCT((X$107:X$108)*TRANSPOSE(($D110:$E110))),0)</f>
        <v>7827079.0499381507</v>
      </c>
      <c r="Y110" s="31" cm="1">
        <f t="array" ref="Y110">Y$106+IF($C110&lt;&gt;0,SUMPRODUCT((Y$107:Y$108)*TRANSPOSE(($D110:$E110))),0)</f>
        <v>8465505.2143373378</v>
      </c>
      <c r="Z110" s="31" cm="1">
        <f t="array" ref="Z110">Z$106+IF($C110&lt;&gt;0,SUMPRODUCT((Z$107:Z$108)*TRANSPOSE(($D110:$E110))),0)</f>
        <v>8878708.563092161</v>
      </c>
      <c r="AA110" s="31" cm="1">
        <f t="array" ref="AA110">AA$106+IF($C110&lt;&gt;0,SUMPRODUCT((AA$107:AA$108)*TRANSPOSE(($D110:$E110))),0)</f>
        <v>9152040.5133047719</v>
      </c>
      <c r="AB110" s="31" cm="1">
        <f t="array" ref="AB110">AB$106+IF($C110&lt;&gt;0,SUMPRODUCT((AB$107:AB$108)*TRANSPOSE(($D110:$E110))),0)</f>
        <v>9386405.3218911737</v>
      </c>
      <c r="AC110" s="31" cm="1">
        <f t="array" ref="AC110">AC$106+IF($C110&lt;&gt;0,SUMPRODUCT((AC$107:AC$108)*TRANSPOSE(($D110:$E110))),0)</f>
        <v>-1681508.081825997</v>
      </c>
      <c r="AD110" s="31" cm="1">
        <f t="array" ref="AD110">AD$106+IF($C110&lt;&gt;0,SUMPRODUCT((AD$107:AD$108)*TRANSPOSE(($D110:$E110))),0)</f>
        <v>-1681508.081825997</v>
      </c>
      <c r="AE110" s="31" cm="1">
        <f t="array" ref="AE110">AE$106+IF($C110&lt;&gt;0,SUMPRODUCT((AE$107:AE$108)*TRANSPOSE(($D110:$E110))),0)</f>
        <v>-1681508.081825997</v>
      </c>
      <c r="AF110" s="31" cm="1">
        <f t="array" ref="AF110">AF$106+IF($C110&lt;&gt;0,SUMPRODUCT((AF$107:AF$108)*TRANSPOSE(($D110:$E110))),0)</f>
        <v>-1681508.081825997</v>
      </c>
      <c r="AG110" s="31" cm="1">
        <f t="array" ref="AG110">AG$106+IF($C110&lt;&gt;0,SUMPRODUCT((AG$107:AG$108)*TRANSPOSE(($D110:$E110))),0)</f>
        <v>-1681508.081825997</v>
      </c>
    </row>
    <row r="111" spans="1:43" x14ac:dyDescent="0.3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-226899.23854685592</v>
      </c>
      <c r="K111" s="31" cm="1">
        <f t="array" ref="K111">K$106+IF($C111&lt;&gt;0,SUMPRODUCT((K$107:K$108)*TRANSPOSE(($D111:$E111))),0)</f>
        <v>-254948.28891115965</v>
      </c>
      <c r="L111" s="31" cm="1">
        <f t="array" ref="L111">L$106+IF($C111&lt;&gt;0,SUMPRODUCT((L$107:L$108)*TRANSPOSE(($D111:$E111))),0)</f>
        <v>-312943.65760418295</v>
      </c>
      <c r="M111" s="31" cm="1">
        <f t="array" ref="M111">M$106+IF($C111&lt;&gt;0,SUMPRODUCT((M$107:M$108)*TRANSPOSE(($D111:$E111))),0)</f>
        <v>-332017.67175341933</v>
      </c>
      <c r="N111" s="31" cm="1">
        <f t="array" ref="N111">N$106+IF($C111&lt;&gt;0,SUMPRODUCT((N$107:N$108)*TRANSPOSE(($D111:$E111))),0)</f>
        <v>-92501.542121560866</v>
      </c>
      <c r="O111" s="31" cm="1">
        <f t="array" ref="O111">O$106+IF($C111&lt;&gt;0,SUMPRODUCT((O$107:O$108)*TRANSPOSE(($D111:$E111))),0)</f>
        <v>187680.78271803088</v>
      </c>
      <c r="P111" s="31" cm="1">
        <f t="array" ref="P111">P$106+IF($C111&lt;&gt;0,SUMPRODUCT((P$107:P$108)*TRANSPOSE(($D111:$E111))),0)</f>
        <v>536176.19070013601</v>
      </c>
      <c r="Q111" s="31" cm="1">
        <f t="array" ref="Q111">Q$106+IF($C111&lt;&gt;0,SUMPRODUCT((Q$107:Q$108)*TRANSPOSE(($D111:$E111))),0)</f>
        <v>970607.07881366613</v>
      </c>
      <c r="R111" s="31" cm="1">
        <f t="array" ref="R111">R$106+IF($C111&lt;&gt;0,SUMPRODUCT((R$107:R$108)*TRANSPOSE(($D111:$E111))),0)</f>
        <v>1513434.4740958873</v>
      </c>
      <c r="S111" s="31" cm="1">
        <f t="array" ref="S111">S$106+IF($C111&lt;&gt;0,SUMPRODUCT((S$107:S$108)*TRANSPOSE(($D111:$E111))),0)</f>
        <v>2193269.0805369103</v>
      </c>
      <c r="T111" s="31" cm="1">
        <f t="array" ref="T111">T$106+IF($C111&lt;&gt;0,SUMPRODUCT((T$107:T$108)*TRANSPOSE(($D111:$E111))),0)</f>
        <v>3048245.3840133846</v>
      </c>
      <c r="U111" s="31" cm="1">
        <f t="array" ref="U111">U$106+IF($C111&lt;&gt;0,SUMPRODUCT((U$107:U$108)*TRANSPOSE(($D111:$E111))),0)</f>
        <v>4079312.7844703672</v>
      </c>
      <c r="V111" s="31" cm="1">
        <f t="array" ref="V111">V$106+IF($C111&lt;&gt;0,SUMPRODUCT((V$107:V$108)*TRANSPOSE(($D111:$E111))),0)</f>
        <v>5236301.2499515908</v>
      </c>
      <c r="W111" s="31" cm="1">
        <f t="array" ref="W111">W$106+IF($C111&lt;&gt;0,SUMPRODUCT((W$107:W$108)*TRANSPOSE(($D111:$E111))),0)</f>
        <v>6690477.8956559645</v>
      </c>
      <c r="X111" s="31" cm="1">
        <f t="array" ref="X111">X$106+IF($C111&lt;&gt;0,SUMPRODUCT((X$107:X$108)*TRANSPOSE(($D111:$E111))),0)</f>
        <v>8132807.7920883326</v>
      </c>
      <c r="Y111" s="31" cm="1">
        <f t="array" ref="Y111">Y$106+IF($C111&lt;&gt;0,SUMPRODUCT((Y$107:Y$108)*TRANSPOSE(($D111:$E111))),0)</f>
        <v>8771233.9564875178</v>
      </c>
      <c r="Z111" s="31" cm="1">
        <f t="array" ref="Z111">Z$106+IF($C111&lt;&gt;0,SUMPRODUCT((Z$107:Z$108)*TRANSPOSE(($D111:$E111))),0)</f>
        <v>9184437.305242341</v>
      </c>
      <c r="AA111" s="31" cm="1">
        <f t="array" ref="AA111">AA$106+IF($C111&lt;&gt;0,SUMPRODUCT((AA$107:AA$108)*TRANSPOSE(($D111:$E111))),0)</f>
        <v>9457769.2554549519</v>
      </c>
      <c r="AB111" s="31" cm="1">
        <f t="array" ref="AB111">AB$106+IF($C111&lt;&gt;0,SUMPRODUCT((AB$107:AB$108)*TRANSPOSE(($D111:$E111))),0)</f>
        <v>9692134.0640413538</v>
      </c>
      <c r="AC111" s="31" cm="1">
        <f t="array" ref="AC111">AC$106+IF($C111&lt;&gt;0,SUMPRODUCT((AC$107:AC$108)*TRANSPOSE(($D111:$E111))),0)</f>
        <v>-1375779.3396758155</v>
      </c>
      <c r="AD111" s="31" cm="1">
        <f t="array" ref="AD111">AD$106+IF($C111&lt;&gt;0,SUMPRODUCT((AD$107:AD$108)*TRANSPOSE(($D111:$E111))),0)</f>
        <v>-1375779.3396758155</v>
      </c>
      <c r="AE111" s="31" cm="1">
        <f t="array" ref="AE111">AE$106+IF($C111&lt;&gt;0,SUMPRODUCT((AE$107:AE$108)*TRANSPOSE(($D111:$E111))),0)</f>
        <v>-1375779.3396758155</v>
      </c>
      <c r="AF111" s="31" cm="1">
        <f t="array" ref="AF111">AF$106+IF($C111&lt;&gt;0,SUMPRODUCT((AF$107:AF$108)*TRANSPOSE(($D111:$E111))),0)</f>
        <v>-1375779.3396758155</v>
      </c>
      <c r="AG111" s="31" cm="1">
        <f t="array" ref="AG111">AG$106+IF($C111&lt;&gt;0,SUMPRODUCT((AG$107:AG$108)*TRANSPOSE(($D111:$E111))),0)</f>
        <v>-1375779.3396758155</v>
      </c>
    </row>
    <row r="112" spans="1:43" x14ac:dyDescent="0.3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-253661.59432019675</v>
      </c>
      <c r="K112" s="31" cm="1">
        <f t="array" ref="K112">K$106+IF($C112&lt;&gt;0,SUMPRODUCT((K$107:K$108)*TRANSPOSE(($D112:$E112))),0)</f>
        <v>-287878.1213559623</v>
      </c>
      <c r="L112" s="31" cm="1">
        <f t="array" ref="L112">L$106+IF($C112&lt;&gt;0,SUMPRODUCT((L$107:L$108)*TRANSPOSE(($D112:$E112))),0)</f>
        <v>-355037.92701278324</v>
      </c>
      <c r="M112" s="31" cm="1">
        <f t="array" ref="M112">M$106+IF($C112&lt;&gt;0,SUMPRODUCT((M$107:M$108)*TRANSPOSE(($D112:$E112))),0)</f>
        <v>-379384.24267143861</v>
      </c>
      <c r="N112" s="31" cm="1">
        <f t="array" ref="N112">N$106+IF($C112&lt;&gt;0,SUMPRODUCT((N$107:N$108)*TRANSPOSE(($D112:$E112))),0)</f>
        <v>-117038.13344122602</v>
      </c>
      <c r="O112" s="31" cm="1">
        <f t="array" ref="O112">O$106+IF($C112&lt;&gt;0,SUMPRODUCT((O$107:O$108)*TRANSPOSE(($D112:$E112))),0)</f>
        <v>191162.42388232492</v>
      </c>
      <c r="P112" s="31" cm="1">
        <f t="array" ref="P112">P$106+IF($C112&lt;&gt;0,SUMPRODUCT((P$107:P$108)*TRANSPOSE(($D112:$E112))),0)</f>
        <v>574507.37266264064</v>
      </c>
      <c r="Q112" s="31" cm="1">
        <f t="array" ref="Q112">Q$106+IF($C112&lt;&gt;0,SUMPRODUCT((Q$107:Q$108)*TRANSPOSE(($D112:$E112))),0)</f>
        <v>1052381.3495875238</v>
      </c>
      <c r="R112" s="31" cm="1">
        <f t="array" ref="R112">R$106+IF($C112&lt;&gt;0,SUMPRODUCT((R$107:R$108)*TRANSPOSE(($D112:$E112))),0)</f>
        <v>1649491.4843979669</v>
      </c>
      <c r="S112" s="31" cm="1">
        <f t="array" ref="S112">S$106+IF($C112&lt;&gt;0,SUMPRODUCT((S$107:S$108)*TRANSPOSE(($D112:$E112))),0)</f>
        <v>2397309.5514830924</v>
      </c>
      <c r="T112" s="31" cm="1">
        <f t="array" ref="T112">T$106+IF($C112&lt;&gt;0,SUMPRODUCT((T$107:T$108)*TRANSPOSE(($D112:$E112))),0)</f>
        <v>3337783.4853072143</v>
      </c>
      <c r="U112" s="31" cm="1">
        <f t="array" ref="U112">U$106+IF($C112&lt;&gt;0,SUMPRODUCT((U$107:U$108)*TRANSPOSE(($D112:$E112))),0)</f>
        <v>4471957.6258098949</v>
      </c>
      <c r="V112" s="31" cm="1">
        <f t="array" ref="V112">V$106+IF($C112&lt;&gt;0,SUMPRODUCT((V$107:V$108)*TRANSPOSE(($D112:$E112))),0)</f>
        <v>5744644.9378392408</v>
      </c>
      <c r="W112" s="31" cm="1">
        <f t="array" ref="W112">W$106+IF($C112&lt;&gt;0,SUMPRODUCT((W$107:W$108)*TRANSPOSE(($D112:$E112))),0)</f>
        <v>7344239.2481140513</v>
      </c>
      <c r="X112" s="31" cm="1">
        <f t="array" ref="X112">X$106+IF($C112&lt;&gt;0,SUMPRODUCT((X$107:X$108)*TRANSPOSE(($D112:$E112))),0)</f>
        <v>8930802.134189656</v>
      </c>
      <c r="Y112" s="31" cm="1">
        <f t="array" ref="Y112">Y$106+IF($C112&lt;&gt;0,SUMPRODUCT((Y$107:Y$108)*TRANSPOSE(($D112:$E112))),0)</f>
        <v>9633070.9150287621</v>
      </c>
      <c r="Z112" s="31" cm="1">
        <f t="array" ref="Z112">Z$106+IF($C112&lt;&gt;0,SUMPRODUCT((Z$107:Z$108)*TRANSPOSE(($D112:$E112))),0)</f>
        <v>10087594.598659066</v>
      </c>
      <c r="AA112" s="31" cm="1">
        <f t="array" ref="AA112">AA$106+IF($C112&lt;&gt;0,SUMPRODUCT((AA$107:AA$108)*TRANSPOSE(($D112:$E112))),0)</f>
        <v>10388259.743892938</v>
      </c>
      <c r="AB112" s="31" cm="1">
        <f t="array" ref="AB112">AB$106+IF($C112&lt;&gt;0,SUMPRODUCT((AB$107:AB$108)*TRANSPOSE(($D112:$E112))),0)</f>
        <v>10646061.033337981</v>
      </c>
      <c r="AC112" s="31" cm="1">
        <f t="array" ref="AC112">AC$106+IF($C112&lt;&gt;0,SUMPRODUCT((AC$107:AC$108)*TRANSPOSE(($D112:$E112))),0)</f>
        <v>-1528643.7107509063</v>
      </c>
      <c r="AD112" s="31" cm="1">
        <f t="array" ref="AD112">AD$106+IF($C112&lt;&gt;0,SUMPRODUCT((AD$107:AD$108)*TRANSPOSE(($D112:$E112))),0)</f>
        <v>-1528643.7107509063</v>
      </c>
      <c r="AE112" s="31" cm="1">
        <f t="array" ref="AE112">AE$106+IF($C112&lt;&gt;0,SUMPRODUCT((AE$107:AE$108)*TRANSPOSE(($D112:$E112))),0)</f>
        <v>-1528643.7107509063</v>
      </c>
      <c r="AF112" s="31" cm="1">
        <f t="array" ref="AF112">AF$106+IF($C112&lt;&gt;0,SUMPRODUCT((AF$107:AF$108)*TRANSPOSE(($D112:$E112))),0)</f>
        <v>-1528643.7107509063</v>
      </c>
      <c r="AG112" s="31" cm="1">
        <f t="array" ref="AG112">AG$106+IF($C112&lt;&gt;0,SUMPRODUCT((AG$107:AG$108)*TRANSPOSE(($D112:$E112))),0)</f>
        <v>-1528643.7107509063</v>
      </c>
    </row>
    <row r="113" spans="1:33" x14ac:dyDescent="0.3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-281585.52114661958</v>
      </c>
      <c r="K113" s="31" cm="1">
        <f t="array" ref="K113">K$106+IF($C113&lt;&gt;0,SUMPRODUCT((K$107:K$108)*TRANSPOSE(($D113:$E113))),0)</f>
        <v>-370718.5275400909</v>
      </c>
      <c r="L113" s="31" cm="1">
        <f t="array" ref="L113">L$106+IF($C113&lt;&gt;0,SUMPRODUCT((L$107:L$108)*TRANSPOSE(($D113:$E113))),0)</f>
        <v>-486847.46115922253</v>
      </c>
      <c r="M113" s="31" cm="1">
        <f t="array" ref="M113">M$106+IF($C113&lt;&gt;0,SUMPRODUCT((M$107:M$108)*TRANSPOSE(($D113:$E113))),0)</f>
        <v>-567947.17568894604</v>
      </c>
      <c r="N113" s="31" cm="1">
        <f t="array" ref="N113">N$106+IF($C113&lt;&gt;0,SUMPRODUCT((N$107:N$108)*TRANSPOSE(($D113:$E113))),0)</f>
        <v>-373693.69295207696</v>
      </c>
      <c r="O113" s="31" cm="1">
        <f t="array" ref="O113">O$106+IF($C113&lt;&gt;0,SUMPRODUCT((O$107:O$108)*TRANSPOSE(($D113:$E113))),0)</f>
        <v>-121529.60059644442</v>
      </c>
      <c r="P113" s="31" cm="1">
        <f t="array" ref="P113">P$106+IF($C113&lt;&gt;0,SUMPRODUCT((P$107:P$108)*TRANSPOSE(($D113:$E113))),0)</f>
        <v>192116.26658745023</v>
      </c>
      <c r="Q113" s="31" cm="1">
        <f t="array" ref="Q113">Q$106+IF($C113&lt;&gt;0,SUMPRODUCT((Q$107:Q$108)*TRANSPOSE(($D113:$E113))),0)</f>
        <v>583104.06588962732</v>
      </c>
      <c r="R113" s="31" cm="1">
        <f t="array" ref="R113">R$106+IF($C113&lt;&gt;0,SUMPRODUCT((R$107:R$108)*TRANSPOSE(($D113:$E113))),0)</f>
        <v>1071648.7216436262</v>
      </c>
      <c r="S113" s="31" cm="1">
        <f t="array" ref="S113">S$106+IF($C113&lt;&gt;0,SUMPRODUCT((S$107:S$108)*TRANSPOSE(($D113:$E113))),0)</f>
        <v>1683499.8674405473</v>
      </c>
      <c r="T113" s="31" cm="1">
        <f t="array" ref="T113">T$106+IF($C113&lt;&gt;0,SUMPRODUCT((T$107:T$108)*TRANSPOSE(($D113:$E113))),0)</f>
        <v>2452978.5405693739</v>
      </c>
      <c r="U113" s="31" cm="1">
        <f t="array" ref="U113">U$106+IF($C113&lt;&gt;0,SUMPRODUCT((U$107:U$108)*TRANSPOSE(($D113:$E113))),0)</f>
        <v>3380939.2009806586</v>
      </c>
      <c r="V113" s="31" cm="1">
        <f t="array" ref="V113">V$106+IF($C113&lt;&gt;0,SUMPRODUCT((V$107:V$108)*TRANSPOSE(($D113:$E113))),0)</f>
        <v>4422228.8199137589</v>
      </c>
      <c r="W113" s="31" cm="1">
        <f t="array" ref="W113">W$106+IF($C113&lt;&gt;0,SUMPRODUCT((W$107:W$108)*TRANSPOSE(($D113:$E113))),0)</f>
        <v>5730987.8010476958</v>
      </c>
      <c r="X113" s="31" cm="1">
        <f t="array" ref="X113">X$106+IF($C113&lt;&gt;0,SUMPRODUCT((X$107:X$108)*TRANSPOSE(($D113:$E113))),0)</f>
        <v>7029084.7078368273</v>
      </c>
      <c r="Y113" s="31" cm="1">
        <f t="array" ref="Y113">Y$106+IF($C113&lt;&gt;0,SUMPRODUCT((Y$107:Y$108)*TRANSPOSE(($D113:$E113))),0)</f>
        <v>7603668.2557960944</v>
      </c>
      <c r="Z113" s="31" cm="1">
        <f t="array" ref="Z113">Z$106+IF($C113&lt;&gt;0,SUMPRODUCT((Z$107:Z$108)*TRANSPOSE(($D113:$E113))),0)</f>
        <v>7975551.2696754355</v>
      </c>
      <c r="AA113" s="31" cm="1">
        <f t="array" ref="AA113">AA$106+IF($C113&lt;&gt;0,SUMPRODUCT((AA$107:AA$108)*TRANSPOSE(($D113:$E113))),0)</f>
        <v>8221550.0248667849</v>
      </c>
      <c r="AB113" s="31" cm="1">
        <f t="array" ref="AB113">AB$106+IF($C113&lt;&gt;0,SUMPRODUCT((AB$107:AB$108)*TRANSPOSE(($D113:$E113))),0)</f>
        <v>8432478.352594547</v>
      </c>
      <c r="AC113" s="31" cm="1">
        <f t="array" ref="AC113">AC$106+IF($C113&lt;&gt;0,SUMPRODUCT((AC$107:AC$108)*TRANSPOSE(($D113:$E113))),0)</f>
        <v>-1528643.7107509063</v>
      </c>
      <c r="AD113" s="31" cm="1">
        <f t="array" ref="AD113">AD$106+IF($C113&lt;&gt;0,SUMPRODUCT((AD$107:AD$108)*TRANSPOSE(($D113:$E113))),0)</f>
        <v>-1528643.7107509063</v>
      </c>
      <c r="AE113" s="31" cm="1">
        <f t="array" ref="AE113">AE$106+IF($C113&lt;&gt;0,SUMPRODUCT((AE$107:AE$108)*TRANSPOSE(($D113:$E113))),0)</f>
        <v>-1528643.7107509063</v>
      </c>
      <c r="AF113" s="31" cm="1">
        <f t="array" ref="AF113">AF$106+IF($C113&lt;&gt;0,SUMPRODUCT((AF$107:AF$108)*TRANSPOSE(($D113:$E113))),0)</f>
        <v>-1528643.7107509063</v>
      </c>
      <c r="AG113" s="31" cm="1">
        <f t="array" ref="AG113">AG$106+IF($C113&lt;&gt;0,SUMPRODUCT((AG$107:AG$108)*TRANSPOSE(($D113:$E113))),0)</f>
        <v>-1528643.7107509063</v>
      </c>
    </row>
    <row r="114" spans="1:33" x14ac:dyDescent="0.3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-322309.84033317183</v>
      </c>
      <c r="K114" s="31" cm="1">
        <f t="array" ref="K114">K$106+IF($C114&lt;&gt;0,SUMPRODUCT((K$107:K$108)*TRANSPOSE(($D114:$E114))),0)</f>
        <v>-445068.56307695783</v>
      </c>
      <c r="L114" s="31" cm="1">
        <f t="array" ref="L114">L$106+IF($C114&lt;&gt;0,SUMPRODUCT((L$107:L$108)*TRANSPOSE(($D114:$E114))),0)</f>
        <v>-594846.49764104257</v>
      </c>
      <c r="M114" s="31" cm="1">
        <f t="array" ref="M114">M$106+IF($C114&lt;&gt;0,SUMPRODUCT((M$107:M$108)*TRANSPOSE(($D114:$E114))),0)</f>
        <v>-709595.21311571903</v>
      </c>
      <c r="N114" s="31" cm="1">
        <f t="array" ref="N114">N$106+IF($C114&lt;&gt;0,SUMPRODUCT((N$107:N$108)*TRANSPOSE(($D114:$E114))),0)</f>
        <v>-526558.06402716762</v>
      </c>
      <c r="O114" s="31" cm="1">
        <f t="array" ref="O114">O$106+IF($C114&lt;&gt;0,SUMPRODUCT((O$107:O$108)*TRANSPOSE(($D114:$E114))),0)</f>
        <v>-274393.97167153505</v>
      </c>
      <c r="P114" s="31" cm="1">
        <f t="array" ref="P114">P$106+IF($C114&lt;&gt;0,SUMPRODUCT((P$107:P$108)*TRANSPOSE(($D114:$E114))),0)</f>
        <v>39251.895512359566</v>
      </c>
      <c r="Q114" s="31" cm="1">
        <f t="array" ref="Q114">Q$106+IF($C114&lt;&gt;0,SUMPRODUCT((Q$107:Q$108)*TRANSPOSE(($D114:$E114))),0)</f>
        <v>430239.69481453672</v>
      </c>
      <c r="R114" s="31" cm="1">
        <f t="array" ref="R114">R$106+IF($C114&lt;&gt;0,SUMPRODUCT((R$107:R$108)*TRANSPOSE(($D114:$E114))),0)</f>
        <v>918784.35056853562</v>
      </c>
      <c r="S114" s="31" cm="1">
        <f t="array" ref="S114">S$106+IF($C114&lt;&gt;0,SUMPRODUCT((S$107:S$108)*TRANSPOSE(($D114:$E114))),0)</f>
        <v>1530635.4963654566</v>
      </c>
      <c r="T114" s="31" cm="1">
        <f t="array" ref="T114">T$106+IF($C114&lt;&gt;0,SUMPRODUCT((T$107:T$108)*TRANSPOSE(($D114:$E114))),0)</f>
        <v>2300114.1694942834</v>
      </c>
      <c r="U114" s="31" cm="1">
        <f t="array" ref="U114">U$106+IF($C114&lt;&gt;0,SUMPRODUCT((U$107:U$108)*TRANSPOSE(($D114:$E114))),0)</f>
        <v>3228074.8299055677</v>
      </c>
      <c r="V114" s="31" cm="1">
        <f t="array" ref="V114">V$106+IF($C114&lt;&gt;0,SUMPRODUCT((V$107:V$108)*TRANSPOSE(($D114:$E114))),0)</f>
        <v>4269364.4488386689</v>
      </c>
      <c r="W114" s="31" cm="1">
        <f t="array" ref="W114">W$106+IF($C114&lt;&gt;0,SUMPRODUCT((W$107:W$108)*TRANSPOSE(($D114:$E114))),0)</f>
        <v>5578123.4299726048</v>
      </c>
      <c r="X114" s="31" cm="1">
        <f t="array" ref="X114">X$106+IF($C114&lt;&gt;0,SUMPRODUCT((X$107:X$108)*TRANSPOSE(($D114:$E114))),0)</f>
        <v>6876220.3367617363</v>
      </c>
      <c r="Y114" s="31" cm="1">
        <f t="array" ref="Y114">Y$106+IF($C114&lt;&gt;0,SUMPRODUCT((Y$107:Y$108)*TRANSPOSE(($D114:$E114))),0)</f>
        <v>7450803.8847210035</v>
      </c>
      <c r="Z114" s="31" cm="1">
        <f t="array" ref="Z114">Z$106+IF($C114&lt;&gt;0,SUMPRODUCT((Z$107:Z$108)*TRANSPOSE(($D114:$E114))),0)</f>
        <v>7822686.8986003445</v>
      </c>
      <c r="AA114" s="31" cm="1">
        <f t="array" ref="AA114">AA$106+IF($C114&lt;&gt;0,SUMPRODUCT((AA$107:AA$108)*TRANSPOSE(($D114:$E114))),0)</f>
        <v>8068685.653791694</v>
      </c>
      <c r="AB114" s="31" cm="1">
        <f t="array" ref="AB114">AB$106+IF($C114&lt;&gt;0,SUMPRODUCT((AB$107:AB$108)*TRANSPOSE(($D114:$E114))),0)</f>
        <v>8279613.981519456</v>
      </c>
      <c r="AC114" s="31" cm="1">
        <f t="array" ref="AC114">AC$106+IF($C114&lt;&gt;0,SUMPRODUCT((AC$107:AC$108)*TRANSPOSE(($D114:$E114))),0)</f>
        <v>-1681508.081825997</v>
      </c>
      <c r="AD114" s="31" cm="1">
        <f t="array" ref="AD114">AD$106+IF($C114&lt;&gt;0,SUMPRODUCT((AD$107:AD$108)*TRANSPOSE(($D114:$E114))),0)</f>
        <v>-1681508.081825997</v>
      </c>
      <c r="AE114" s="31" cm="1">
        <f t="array" ref="AE114">AE$106+IF($C114&lt;&gt;0,SUMPRODUCT((AE$107:AE$108)*TRANSPOSE(($D114:$E114))),0)</f>
        <v>-1681508.081825997</v>
      </c>
      <c r="AF114" s="31" cm="1">
        <f t="array" ref="AF114">AF$106+IF($C114&lt;&gt;0,SUMPRODUCT((AF$107:AF$108)*TRANSPOSE(($D114:$E114))),0)</f>
        <v>-1681508.081825997</v>
      </c>
      <c r="AG114" s="31" cm="1">
        <f t="array" ref="AG114">AG$106+IF($C114&lt;&gt;0,SUMPRODUCT((AG$107:AG$108)*TRANSPOSE(($D114:$E114))),0)</f>
        <v>-1681508.081825997</v>
      </c>
    </row>
    <row r="115" spans="1:33" x14ac:dyDescent="0.3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-267623.55773340818</v>
      </c>
      <c r="K115" s="31" cm="1">
        <f t="array" ref="K115">K$106+IF($C115&lt;&gt;0,SUMPRODUCT((K$107:K$108)*TRANSPOSE(($D115:$E115))),0)</f>
        <v>-329298.3244480266</v>
      </c>
      <c r="L115" s="31" cm="1">
        <f t="array" ref="L115">L$106+IF($C115&lt;&gt;0,SUMPRODUCT((L$107:L$108)*TRANSPOSE(($D115:$E115))),0)</f>
        <v>-420942.69408600288</v>
      </c>
      <c r="M115" s="31" cm="1">
        <f t="array" ref="M115">M$106+IF($C115&lt;&gt;0,SUMPRODUCT((M$107:M$108)*TRANSPOSE(($D115:$E115))),0)</f>
        <v>-473665.70918019232</v>
      </c>
      <c r="N115" s="31" cm="1">
        <f t="array" ref="N115">N$106+IF($C115&lt;&gt;0,SUMPRODUCT((N$107:N$108)*TRANSPOSE(($D115:$E115))),0)</f>
        <v>-245365.9131966515</v>
      </c>
      <c r="O115" s="31" cm="1">
        <f t="array" ref="O115">O$106+IF($C115&lt;&gt;0,SUMPRODUCT((O$107:O$108)*TRANSPOSE(($D115:$E115))),0)</f>
        <v>34816.411642940249</v>
      </c>
      <c r="P115" s="31" cm="1">
        <f t="array" ref="P115">P$106+IF($C115&lt;&gt;0,SUMPRODUCT((P$107:P$108)*TRANSPOSE(($D115:$E115))),0)</f>
        <v>383311.81962504541</v>
      </c>
      <c r="Q115" s="31" cm="1">
        <f t="array" ref="Q115">Q$106+IF($C115&lt;&gt;0,SUMPRODUCT((Q$107:Q$108)*TRANSPOSE(($D115:$E115))),0)</f>
        <v>817742.70773857553</v>
      </c>
      <c r="R115" s="31" cm="1">
        <f t="array" ref="R115">R$106+IF($C115&lt;&gt;0,SUMPRODUCT((R$107:R$108)*TRANSPOSE(($D115:$E115))),0)</f>
        <v>1360570.1030207966</v>
      </c>
      <c r="S115" s="31" cm="1">
        <f t="array" ref="S115">S$106+IF($C115&lt;&gt;0,SUMPRODUCT((S$107:S$108)*TRANSPOSE(($D115:$E115))),0)</f>
        <v>2040404.7094618198</v>
      </c>
      <c r="T115" s="31" cm="1">
        <f t="array" ref="T115">T$106+IF($C115&lt;&gt;0,SUMPRODUCT((T$107:T$108)*TRANSPOSE(($D115:$E115))),0)</f>
        <v>2895381.0129382941</v>
      </c>
      <c r="U115" s="31" cm="1">
        <f t="array" ref="U115">U$106+IF($C115&lt;&gt;0,SUMPRODUCT((U$107:U$108)*TRANSPOSE(($D115:$E115))),0)</f>
        <v>3926448.4133952768</v>
      </c>
      <c r="V115" s="31" cm="1">
        <f t="array" ref="V115">V$106+IF($C115&lt;&gt;0,SUMPRODUCT((V$107:V$108)*TRANSPOSE(($D115:$E115))),0)</f>
        <v>5083436.8788764998</v>
      </c>
      <c r="W115" s="31" cm="1">
        <f t="array" ref="W115">W$106+IF($C115&lt;&gt;0,SUMPRODUCT((W$107:W$108)*TRANSPOSE(($D115:$E115))),0)</f>
        <v>6537613.5245808735</v>
      </c>
      <c r="X115" s="31" cm="1">
        <f t="array" ref="X115">X$106+IF($C115&lt;&gt;0,SUMPRODUCT((X$107:X$108)*TRANSPOSE(($D115:$E115))),0)</f>
        <v>7979943.4210132416</v>
      </c>
      <c r="Y115" s="31" cm="1">
        <f t="array" ref="Y115">Y$106+IF($C115&lt;&gt;0,SUMPRODUCT((Y$107:Y$108)*TRANSPOSE(($D115:$E115))),0)</f>
        <v>8618369.5854124278</v>
      </c>
      <c r="Z115" s="31" cm="1">
        <f t="array" ref="Z115">Z$106+IF($C115&lt;&gt;0,SUMPRODUCT((Z$107:Z$108)*TRANSPOSE(($D115:$E115))),0)</f>
        <v>9031572.934167251</v>
      </c>
      <c r="AA115" s="31" cm="1">
        <f t="array" ref="AA115">AA$106+IF($C115&lt;&gt;0,SUMPRODUCT((AA$107:AA$108)*TRANSPOSE(($D115:$E115))),0)</f>
        <v>9304904.8843798619</v>
      </c>
      <c r="AB115" s="31" cm="1">
        <f t="array" ref="AB115">AB$106+IF($C115&lt;&gt;0,SUMPRODUCT((AB$107:AB$108)*TRANSPOSE(($D115:$E115))),0)</f>
        <v>9539269.6929662637</v>
      </c>
      <c r="AC115" s="31" cm="1">
        <f t="array" ref="AC115">AC$106+IF($C115&lt;&gt;0,SUMPRODUCT((AC$107:AC$108)*TRANSPOSE(($D115:$E115))),0)</f>
        <v>-1528643.7107509063</v>
      </c>
      <c r="AD115" s="31" cm="1">
        <f t="array" ref="AD115">AD$106+IF($C115&lt;&gt;0,SUMPRODUCT((AD$107:AD$108)*TRANSPOSE(($D115:$E115))),0)</f>
        <v>-1528643.7107509063</v>
      </c>
      <c r="AE115" s="31" cm="1">
        <f t="array" ref="AE115">AE$106+IF($C115&lt;&gt;0,SUMPRODUCT((AE$107:AE$108)*TRANSPOSE(($D115:$E115))),0)</f>
        <v>-1528643.7107509063</v>
      </c>
      <c r="AF115" s="31" cm="1">
        <f t="array" ref="AF115">AF$106+IF($C115&lt;&gt;0,SUMPRODUCT((AF$107:AF$108)*TRANSPOSE(($D115:$E115))),0)</f>
        <v>-1528643.7107509063</v>
      </c>
      <c r="AG115" s="31" cm="1">
        <f t="array" ref="AG115">AG$106+IF($C115&lt;&gt;0,SUMPRODUCT((AG$107:AG$108)*TRANSPOSE(($D115:$E115))),0)</f>
        <v>-1528643.7107509063</v>
      </c>
    </row>
    <row r="116" spans="1:33" x14ac:dyDescent="0.3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-267623.55773340818</v>
      </c>
      <c r="K116" s="31" cm="1">
        <f t="array" ref="K116">K$106+IF($C116&lt;&gt;0,SUMPRODUCT((K$107:K$108)*TRANSPOSE(($D116:$E116))),0)</f>
        <v>-329298.3244480266</v>
      </c>
      <c r="L116" s="31" cm="1">
        <f t="array" ref="L116">L$106+IF($C116&lt;&gt;0,SUMPRODUCT((L$107:L$108)*TRANSPOSE(($D116:$E116))),0)</f>
        <v>-420942.69408600288</v>
      </c>
      <c r="M116" s="31" cm="1">
        <f t="array" ref="M116">M$106+IF($C116&lt;&gt;0,SUMPRODUCT((M$107:M$108)*TRANSPOSE(($D116:$E116))),0)</f>
        <v>-473665.70918019232</v>
      </c>
      <c r="N116" s="31" cm="1">
        <f t="array" ref="N116">N$106+IF($C116&lt;&gt;0,SUMPRODUCT((N$107:N$108)*TRANSPOSE(($D116:$E116))),0)</f>
        <v>-245365.9131966515</v>
      </c>
      <c r="O116" s="31" cm="1">
        <f t="array" ref="O116">O$106+IF($C116&lt;&gt;0,SUMPRODUCT((O$107:O$108)*TRANSPOSE(($D116:$E116))),0)</f>
        <v>34816.411642940249</v>
      </c>
      <c r="P116" s="31" cm="1">
        <f t="array" ref="P116">P$106+IF($C116&lt;&gt;0,SUMPRODUCT((P$107:P$108)*TRANSPOSE(($D116:$E116))),0)</f>
        <v>383311.81962504541</v>
      </c>
      <c r="Q116" s="31" cm="1">
        <f t="array" ref="Q116">Q$106+IF($C116&lt;&gt;0,SUMPRODUCT((Q$107:Q$108)*TRANSPOSE(($D116:$E116))),0)</f>
        <v>817742.70773857553</v>
      </c>
      <c r="R116" s="31" cm="1">
        <f t="array" ref="R116">R$106+IF($C116&lt;&gt;0,SUMPRODUCT((R$107:R$108)*TRANSPOSE(($D116:$E116))),0)</f>
        <v>1360570.1030207966</v>
      </c>
      <c r="S116" s="31" cm="1">
        <f t="array" ref="S116">S$106+IF($C116&lt;&gt;0,SUMPRODUCT((S$107:S$108)*TRANSPOSE(($D116:$E116))),0)</f>
        <v>2040404.7094618198</v>
      </c>
      <c r="T116" s="31" cm="1">
        <f t="array" ref="T116">T$106+IF($C116&lt;&gt;0,SUMPRODUCT((T$107:T$108)*TRANSPOSE(($D116:$E116))),0)</f>
        <v>2895381.0129382941</v>
      </c>
      <c r="U116" s="31" cm="1">
        <f t="array" ref="U116">U$106+IF($C116&lt;&gt;0,SUMPRODUCT((U$107:U$108)*TRANSPOSE(($D116:$E116))),0)</f>
        <v>3926448.4133952768</v>
      </c>
      <c r="V116" s="31" cm="1">
        <f t="array" ref="V116">V$106+IF($C116&lt;&gt;0,SUMPRODUCT((V$107:V$108)*TRANSPOSE(($D116:$E116))),0)</f>
        <v>5083436.8788764998</v>
      </c>
      <c r="W116" s="31" cm="1">
        <f t="array" ref="W116">W$106+IF($C116&lt;&gt;0,SUMPRODUCT((W$107:W$108)*TRANSPOSE(($D116:$E116))),0)</f>
        <v>6537613.5245808735</v>
      </c>
      <c r="X116" s="31" cm="1">
        <f t="array" ref="X116">X$106+IF($C116&lt;&gt;0,SUMPRODUCT((X$107:X$108)*TRANSPOSE(($D116:$E116))),0)</f>
        <v>7979943.4210132416</v>
      </c>
      <c r="Y116" s="31" cm="1">
        <f t="array" ref="Y116">Y$106+IF($C116&lt;&gt;0,SUMPRODUCT((Y$107:Y$108)*TRANSPOSE(($D116:$E116))),0)</f>
        <v>8618369.5854124278</v>
      </c>
      <c r="Z116" s="31" cm="1">
        <f t="array" ref="Z116">Z$106+IF($C116&lt;&gt;0,SUMPRODUCT((Z$107:Z$108)*TRANSPOSE(($D116:$E116))),0)</f>
        <v>9031572.934167251</v>
      </c>
      <c r="AA116" s="31" cm="1">
        <f t="array" ref="AA116">AA$106+IF($C116&lt;&gt;0,SUMPRODUCT((AA$107:AA$108)*TRANSPOSE(($D116:$E116))),0)</f>
        <v>9304904.8843798619</v>
      </c>
      <c r="AB116" s="31" cm="1">
        <f t="array" ref="AB116">AB$106+IF($C116&lt;&gt;0,SUMPRODUCT((AB$107:AB$108)*TRANSPOSE(($D116:$E116))),0)</f>
        <v>9539269.6929662637</v>
      </c>
      <c r="AC116" s="31" cm="1">
        <f t="array" ref="AC116">AC$106+IF($C116&lt;&gt;0,SUMPRODUCT((AC$107:AC$108)*TRANSPOSE(($D116:$E116))),0)</f>
        <v>-1528643.7107509063</v>
      </c>
      <c r="AD116" s="31" cm="1">
        <f t="array" ref="AD116">AD$106+IF($C116&lt;&gt;0,SUMPRODUCT((AD$107:AD$108)*TRANSPOSE(($D116:$E116))),0)</f>
        <v>-1528643.7107509063</v>
      </c>
      <c r="AE116" s="31" cm="1">
        <f t="array" ref="AE116">AE$106+IF($C116&lt;&gt;0,SUMPRODUCT((AE$107:AE$108)*TRANSPOSE(($D116:$E116))),0)</f>
        <v>-1528643.7107509063</v>
      </c>
      <c r="AF116" s="31" cm="1">
        <f t="array" ref="AF116">AF$106+IF($C116&lt;&gt;0,SUMPRODUCT((AF$107:AF$108)*TRANSPOSE(($D116:$E116))),0)</f>
        <v>-1528643.7107509063</v>
      </c>
      <c r="AG116" s="31" cm="1">
        <f t="array" ref="AG116">AG$106+IF($C116&lt;&gt;0,SUMPRODUCT((AG$107:AG$108)*TRANSPOSE(($D116:$E116))),0)</f>
        <v>-1528643.7107509063</v>
      </c>
    </row>
    <row r="117" spans="1:33" x14ac:dyDescent="0.3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-267623.55773340818</v>
      </c>
      <c r="K117" s="31" cm="1">
        <f t="array" ref="K117">K$106+IF($C117&lt;&gt;0,SUMPRODUCT((K$107:K$108)*TRANSPOSE(($D117:$E117))),0)</f>
        <v>-329298.3244480266</v>
      </c>
      <c r="L117" s="31" cm="1">
        <f t="array" ref="L117">L$106+IF($C117&lt;&gt;0,SUMPRODUCT((L$107:L$108)*TRANSPOSE(($D117:$E117))),0)</f>
        <v>-420942.69408600288</v>
      </c>
      <c r="M117" s="31" cm="1">
        <f t="array" ref="M117">M$106+IF($C117&lt;&gt;0,SUMPRODUCT((M$107:M$108)*TRANSPOSE(($D117:$E117))),0)</f>
        <v>-473665.70918019232</v>
      </c>
      <c r="N117" s="31" cm="1">
        <f t="array" ref="N117">N$106+IF($C117&lt;&gt;0,SUMPRODUCT((N$107:N$108)*TRANSPOSE(($D117:$E117))),0)</f>
        <v>-245365.9131966515</v>
      </c>
      <c r="O117" s="31" cm="1">
        <f t="array" ref="O117">O$106+IF($C117&lt;&gt;0,SUMPRODUCT((O$107:O$108)*TRANSPOSE(($D117:$E117))),0)</f>
        <v>34816.411642940249</v>
      </c>
      <c r="P117" s="31" cm="1">
        <f t="array" ref="P117">P$106+IF($C117&lt;&gt;0,SUMPRODUCT((P$107:P$108)*TRANSPOSE(($D117:$E117))),0)</f>
        <v>383311.81962504541</v>
      </c>
      <c r="Q117" s="31" cm="1">
        <f t="array" ref="Q117">Q$106+IF($C117&lt;&gt;0,SUMPRODUCT((Q$107:Q$108)*TRANSPOSE(($D117:$E117))),0)</f>
        <v>817742.70773857553</v>
      </c>
      <c r="R117" s="31" cm="1">
        <f t="array" ref="R117">R$106+IF($C117&lt;&gt;0,SUMPRODUCT((R$107:R$108)*TRANSPOSE(($D117:$E117))),0)</f>
        <v>1360570.1030207966</v>
      </c>
      <c r="S117" s="31" cm="1">
        <f t="array" ref="S117">S$106+IF($C117&lt;&gt;0,SUMPRODUCT((S$107:S$108)*TRANSPOSE(($D117:$E117))),0)</f>
        <v>2040404.7094618198</v>
      </c>
      <c r="T117" s="31" cm="1">
        <f t="array" ref="T117">T$106+IF($C117&lt;&gt;0,SUMPRODUCT((T$107:T$108)*TRANSPOSE(($D117:$E117))),0)</f>
        <v>2895381.0129382941</v>
      </c>
      <c r="U117" s="31" cm="1">
        <f t="array" ref="U117">U$106+IF($C117&lt;&gt;0,SUMPRODUCT((U$107:U$108)*TRANSPOSE(($D117:$E117))),0)</f>
        <v>3926448.4133952768</v>
      </c>
      <c r="V117" s="31" cm="1">
        <f t="array" ref="V117">V$106+IF($C117&lt;&gt;0,SUMPRODUCT((V$107:V$108)*TRANSPOSE(($D117:$E117))),0)</f>
        <v>5083436.8788764998</v>
      </c>
      <c r="W117" s="31" cm="1">
        <f t="array" ref="W117">W$106+IF($C117&lt;&gt;0,SUMPRODUCT((W$107:W$108)*TRANSPOSE(($D117:$E117))),0)</f>
        <v>6537613.5245808735</v>
      </c>
      <c r="X117" s="31" cm="1">
        <f t="array" ref="X117">X$106+IF($C117&lt;&gt;0,SUMPRODUCT((X$107:X$108)*TRANSPOSE(($D117:$E117))),0)</f>
        <v>7979943.4210132416</v>
      </c>
      <c r="Y117" s="31" cm="1">
        <f t="array" ref="Y117">Y$106+IF($C117&lt;&gt;0,SUMPRODUCT((Y$107:Y$108)*TRANSPOSE(($D117:$E117))),0)</f>
        <v>8618369.5854124278</v>
      </c>
      <c r="Z117" s="31" cm="1">
        <f t="array" ref="Z117">Z$106+IF($C117&lt;&gt;0,SUMPRODUCT((Z$107:Z$108)*TRANSPOSE(($D117:$E117))),0)</f>
        <v>9031572.934167251</v>
      </c>
      <c r="AA117" s="31" cm="1">
        <f t="array" ref="AA117">AA$106+IF($C117&lt;&gt;0,SUMPRODUCT((AA$107:AA$108)*TRANSPOSE(($D117:$E117))),0)</f>
        <v>9304904.8843798619</v>
      </c>
      <c r="AB117" s="31" cm="1">
        <f t="array" ref="AB117">AB$106+IF($C117&lt;&gt;0,SUMPRODUCT((AB$107:AB$108)*TRANSPOSE(($D117:$E117))),0)</f>
        <v>9539269.6929662637</v>
      </c>
      <c r="AC117" s="31" cm="1">
        <f t="array" ref="AC117">AC$106+IF($C117&lt;&gt;0,SUMPRODUCT((AC$107:AC$108)*TRANSPOSE(($D117:$E117))),0)</f>
        <v>-1528643.7107509063</v>
      </c>
      <c r="AD117" s="31" cm="1">
        <f t="array" ref="AD117">AD$106+IF($C117&lt;&gt;0,SUMPRODUCT((AD$107:AD$108)*TRANSPOSE(($D117:$E117))),0)</f>
        <v>-1528643.7107509063</v>
      </c>
      <c r="AE117" s="31" cm="1">
        <f t="array" ref="AE117">AE$106+IF($C117&lt;&gt;0,SUMPRODUCT((AE$107:AE$108)*TRANSPOSE(($D117:$E117))),0)</f>
        <v>-1528643.7107509063</v>
      </c>
      <c r="AF117" s="31" cm="1">
        <f t="array" ref="AF117">AF$106+IF($C117&lt;&gt;0,SUMPRODUCT((AF$107:AF$108)*TRANSPOSE(($D117:$E117))),0)</f>
        <v>-1528643.7107509063</v>
      </c>
      <c r="AG117" s="31" cm="1">
        <f t="array" ref="AG117">AG$106+IF($C117&lt;&gt;0,SUMPRODUCT((AG$107:AG$108)*TRANSPOSE(($D117:$E117))),0)</f>
        <v>-1528643.7107509063</v>
      </c>
    </row>
    <row r="118" spans="1:33" x14ac:dyDescent="0.3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3">
      <c r="I129" s="248"/>
      <c r="J129" s="248"/>
      <c r="K129" s="248"/>
      <c r="L129" s="248"/>
    </row>
    <row r="130" spans="9:12" x14ac:dyDescent="0.3">
      <c r="I130" s="248"/>
      <c r="J130" s="248"/>
      <c r="K130" s="248"/>
      <c r="L130" s="248"/>
    </row>
    <row r="131" spans="9:12" x14ac:dyDescent="0.3">
      <c r="I131" s="248"/>
      <c r="J131" s="248"/>
      <c r="K131" s="248"/>
      <c r="L131" s="248"/>
    </row>
    <row r="132" spans="9:12" x14ac:dyDescent="0.3">
      <c r="I132" s="248"/>
      <c r="J132" s="248"/>
      <c r="K132" s="248"/>
      <c r="L132" s="248"/>
    </row>
    <row r="133" spans="9:12" x14ac:dyDescent="0.3">
      <c r="I133" s="248"/>
      <c r="J133" s="248"/>
      <c r="K133" s="248"/>
      <c r="L133" s="248"/>
    </row>
    <row r="134" spans="9:12" x14ac:dyDescent="0.3">
      <c r="I134" s="248"/>
      <c r="J134" s="248"/>
      <c r="K134" s="248"/>
      <c r="L134" s="248"/>
    </row>
    <row r="135" spans="9:12" x14ac:dyDescent="0.3">
      <c r="I135" s="248"/>
      <c r="J135" s="248"/>
      <c r="K135" s="248"/>
      <c r="L135" s="248"/>
    </row>
    <row r="136" spans="9:12" x14ac:dyDescent="0.3">
      <c r="I136" s="248"/>
      <c r="J136" s="248"/>
      <c r="K136" s="248"/>
      <c r="L136" s="248"/>
    </row>
  </sheetData>
  <conditionalFormatting sqref="E28">
    <cfRule type="expression" dxfId="10" priority="237">
      <formula>AND(SUM($I$27:$AG$27)&gt;0, $E$28=0)</formula>
    </cfRule>
  </conditionalFormatting>
  <conditionalFormatting sqref="E14:E16">
    <cfRule type="expression" dxfId="9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I14" sqref="I14"/>
      <selection pane="topRight" activeCell="I14" sqref="I14"/>
      <selection pane="bottomLeft" activeCell="I14" sqref="I14"/>
      <selection pane="bottomRight" activeCell="H11" sqref="H11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3.90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Ttransformer rebuild - KYM, NKA, PLD, MNA &amp; WBL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135</v>
      </c>
      <c r="B3" s="5"/>
      <c r="C3" s="200" t="str">
        <f>INDEX(Assumptions!$E$14:$E$18, MATCH(A3,_xlfn.ANCHORARRAY( Assumptions!$C$14),0))</f>
        <v>Replace 22kV switchgear, relays and building with a new switchroom and control building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  <c r="AH12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tr">
        <f>'Option1 (base case)'!C14</f>
        <v>Switch capex</v>
      </c>
      <c r="D14"/>
      <c r="E14" s="148">
        <f>'Option1 (base case)'!E14</f>
        <v>50</v>
      </c>
      <c r="G14" s="207">
        <f>input_dollars</f>
        <v>45291</v>
      </c>
      <c r="H14" s="149"/>
      <c r="I14" s="32">
        <v>6106365.6066306233</v>
      </c>
      <c r="J14" s="32">
        <v>4093064.2285201279</v>
      </c>
      <c r="K14" s="32">
        <v>4026602.7562209899</v>
      </c>
      <c r="L14" s="32">
        <v>4026602.7562209899</v>
      </c>
      <c r="M14" s="32">
        <v>2013301.3781104949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 t="str">
        <f>'Option1 (base case)'!C15</f>
        <v>Relay capex</v>
      </c>
      <c r="D15"/>
      <c r="E15" s="148">
        <f>'Option1 (base case)'!E15</f>
        <v>25</v>
      </c>
      <c r="G15" s="207">
        <f>input_dollars</f>
        <v>45291</v>
      </c>
      <c r="H15" s="2"/>
      <c r="I15" s="32">
        <v>3871817.5134649854</v>
      </c>
      <c r="J15" s="32">
        <v>3871817.5134649854</v>
      </c>
      <c r="K15" s="32">
        <v>3808948.5531820171</v>
      </c>
      <c r="L15" s="32">
        <v>3808948.5531820171</v>
      </c>
      <c r="M15" s="32">
        <v>1904474.2765910085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 t="str">
        <f>'Option1 (base case)'!C16</f>
        <v>Building capex</v>
      </c>
      <c r="D16"/>
      <c r="E16" s="148">
        <f>'Option1 (base case)'!E16</f>
        <v>50</v>
      </c>
      <c r="G16" s="207">
        <f>input_dollars</f>
        <v>45291</v>
      </c>
      <c r="H16" s="2"/>
      <c r="I16" s="32">
        <v>3097454.0107719889</v>
      </c>
      <c r="J16" s="32">
        <v>3097454.0107719889</v>
      </c>
      <c r="K16" s="32">
        <v>3047158.8425456141</v>
      </c>
      <c r="L16" s="32">
        <v>3047158.8425456141</v>
      </c>
      <c r="M16" s="32">
        <v>1523579.4212728071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1" t="s">
        <v>30</v>
      </c>
      <c r="G17" s="207">
        <f>input_dollars</f>
        <v>45291</v>
      </c>
      <c r="H17" s="107"/>
      <c r="I17" s="106">
        <f t="shared" ref="I17:Q17" si="0">SUM(I14:I16)</f>
        <v>13075637.130867597</v>
      </c>
      <c r="J17" s="106">
        <f t="shared" si="0"/>
        <v>11062335.752757102</v>
      </c>
      <c r="K17" s="106">
        <f t="shared" si="0"/>
        <v>10882710.151948621</v>
      </c>
      <c r="L17" s="106">
        <f t="shared" si="0"/>
        <v>10882710.151948621</v>
      </c>
      <c r="M17" s="106">
        <f t="shared" si="0"/>
        <v>5441355.0759743107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3">
      <c r="G20" s="205"/>
      <c r="AH20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tr">
        <f>'Option1 (base case)'!C30</f>
        <v>Switchgear risk</v>
      </c>
      <c r="D30" s="205" t="s">
        <v>206</v>
      </c>
      <c r="G30" s="207">
        <f>input_dollars</f>
        <v>45291</v>
      </c>
      <c r="H30" s="149"/>
      <c r="I30" s="32">
        <v>624885.15871154342</v>
      </c>
      <c r="J30" s="32">
        <v>383718.38504850643</v>
      </c>
      <c r="K30" s="32">
        <v>278691.99432426423</v>
      </c>
      <c r="L30" s="32">
        <v>220020.03399965385</v>
      </c>
      <c r="M30" s="32">
        <v>126780.86868752501</v>
      </c>
      <c r="N30" s="32">
        <v>31906.66800721801</v>
      </c>
      <c r="O30" s="32">
        <v>32250.81000067986</v>
      </c>
      <c r="P30" s="32">
        <v>32635.732769897848</v>
      </c>
      <c r="Q30" s="32">
        <v>32682.992194213304</v>
      </c>
      <c r="R30" s="32">
        <v>32730.99117841083</v>
      </c>
      <c r="S30" s="32">
        <v>32778.990162608359</v>
      </c>
      <c r="T30" s="32">
        <v>32826.989146805892</v>
      </c>
      <c r="U30" s="32">
        <v>32874.988131003425</v>
      </c>
      <c r="V30" s="32">
        <v>32922.987115200958</v>
      </c>
      <c r="W30" s="32">
        <v>32970.986099398484</v>
      </c>
      <c r="X30" s="32">
        <v>33018.985083596017</v>
      </c>
      <c r="Y30" s="32">
        <v>33066.98406779355</v>
      </c>
      <c r="Z30" s="32">
        <v>33114.983051991083</v>
      </c>
      <c r="AA30" s="32">
        <v>33162.982036188609</v>
      </c>
      <c r="AB30" s="32">
        <v>33210.981020386142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tr">
        <f>'Option1 (base case)'!C31</f>
        <v>Control cable risk</v>
      </c>
      <c r="D31" s="206"/>
      <c r="E31"/>
      <c r="G31" s="207">
        <f>input_dollars</f>
        <v>45291</v>
      </c>
      <c r="H31" s="149"/>
      <c r="I31" s="32">
        <v>423763.4578062162</v>
      </c>
      <c r="J31" s="32">
        <v>299330.68373236008</v>
      </c>
      <c r="K31" s="32">
        <v>223093.42584321782</v>
      </c>
      <c r="L31" s="32">
        <v>225089.01934411484</v>
      </c>
      <c r="M31" s="32">
        <v>125637.46066186145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tr">
        <f>'Option1 (base case)'!C32</f>
        <v>Relay risk</v>
      </c>
      <c r="D32" s="205" t="s">
        <v>206</v>
      </c>
      <c r="E32"/>
      <c r="G32" s="207">
        <f>input_dollars</f>
        <v>45291</v>
      </c>
      <c r="H32"/>
      <c r="I32" s="32">
        <v>513907.02860113443</v>
      </c>
      <c r="J32" s="32">
        <v>472487.05505414749</v>
      </c>
      <c r="K32" s="32">
        <v>318285.76505414752</v>
      </c>
      <c r="L32" s="32">
        <v>221507.55505414758</v>
      </c>
      <c r="M32" s="32">
        <v>120372.32505414754</v>
      </c>
      <c r="N32" s="32">
        <v>5830.9250541475494</v>
      </c>
      <c r="O32" s="32">
        <v>5830.9250541475494</v>
      </c>
      <c r="P32" s="32">
        <v>5830.9250541475494</v>
      </c>
      <c r="Q32" s="32">
        <v>5870.5250942345665</v>
      </c>
      <c r="R32" s="32">
        <v>5950.8343337844562</v>
      </c>
      <c r="S32" s="32">
        <v>6078.7367987567977</v>
      </c>
      <c r="T32" s="32">
        <v>6276.8672113589728</v>
      </c>
      <c r="U32" s="32">
        <v>6588.8728881016832</v>
      </c>
      <c r="V32" s="32">
        <v>7072.4230494422027</v>
      </c>
      <c r="W32" s="32">
        <v>7816.1225791643137</v>
      </c>
      <c r="X32" s="32">
        <v>8965.7766731877218</v>
      </c>
      <c r="Y32" s="32">
        <v>10750.906392446115</v>
      </c>
      <c r="Z32" s="32">
        <v>14639.05894601356</v>
      </c>
      <c r="AA32" s="32">
        <v>21178.700694937106</v>
      </c>
      <c r="AB32" s="32">
        <v>31008.294414380664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tr">
        <f>'Option1 (base case)'!C33</f>
        <v>Building risk</v>
      </c>
      <c r="D33" s="219"/>
      <c r="E33"/>
      <c r="G33" s="207">
        <f>input_dollars</f>
        <v>45291</v>
      </c>
      <c r="H33"/>
      <c r="I33" s="32">
        <v>39334.295599063102</v>
      </c>
      <c r="J33" s="32">
        <v>39161.474198778858</v>
      </c>
      <c r="K33" s="32">
        <v>22268.730456131281</v>
      </c>
      <c r="L33" s="32">
        <v>20754.201225740686</v>
      </c>
      <c r="M33" s="32">
        <v>11908.330057644467</v>
      </c>
      <c r="N33" s="32">
        <v>3187.4072612700975</v>
      </c>
      <c r="O33" s="32">
        <v>3503.8297802254056</v>
      </c>
      <c r="P33" s="32">
        <v>3850.8505710361414</v>
      </c>
      <c r="Q33" s="32">
        <v>4208.1769550400568</v>
      </c>
      <c r="R33" s="32">
        <v>4594.5819659003328</v>
      </c>
      <c r="S33" s="32">
        <v>5011.0303059616454</v>
      </c>
      <c r="T33" s="32">
        <v>5459.4384694500277</v>
      </c>
      <c r="U33" s="32">
        <v>5941.8186786360166</v>
      </c>
      <c r="V33" s="32">
        <v>6460.2823528966164</v>
      </c>
      <c r="W33" s="32">
        <v>7017.0436564350184</v>
      </c>
      <c r="X33" s="32">
        <v>7614.4231253889093</v>
      </c>
      <c r="Y33" s="32">
        <v>8254.8513750518159</v>
      </c>
      <c r="Z33" s="32">
        <v>8940.8728879338942</v>
      </c>
      <c r="AA33" s="32">
        <v>9675.1498833801234</v>
      </c>
      <c r="AB33" s="32">
        <v>10460.466269468805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1" t="str">
        <f>'Option1 (base case)'!C34</f>
        <v>Flood risk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170</v>
      </c>
      <c r="D36" s="218"/>
      <c r="E36" s="107"/>
      <c r="F36" s="3"/>
      <c r="G36" s="209"/>
      <c r="H36" s="107"/>
      <c r="I36" s="170">
        <f>SUM(I28:I34)</f>
        <v>1601889.9407179572</v>
      </c>
      <c r="J36" s="170">
        <f t="shared" ref="J36:AB36" si="3">SUM(J28:J34)</f>
        <v>1194697.5980337928</v>
      </c>
      <c r="K36" s="170">
        <f t="shared" si="3"/>
        <v>842339.91567776084</v>
      </c>
      <c r="L36" s="170">
        <f t="shared" si="3"/>
        <v>687370.80962365703</v>
      </c>
      <c r="M36" s="170">
        <f t="shared" si="3"/>
        <v>384698.98446117848</v>
      </c>
      <c r="N36" s="170">
        <f t="shared" si="3"/>
        <v>40925.000322635657</v>
      </c>
      <c r="O36" s="170">
        <f t="shared" si="3"/>
        <v>41585.564835052821</v>
      </c>
      <c r="P36" s="170">
        <f t="shared" si="3"/>
        <v>42317.508395081539</v>
      </c>
      <c r="Q36" s="170">
        <f t="shared" si="3"/>
        <v>42761.694243487924</v>
      </c>
      <c r="R36" s="170">
        <f t="shared" si="3"/>
        <v>43276.407478095614</v>
      </c>
      <c r="S36" s="170">
        <f t="shared" si="3"/>
        <v>43868.757267326801</v>
      </c>
      <c r="T36" s="170">
        <f t="shared" si="3"/>
        <v>44563.294827614889</v>
      </c>
      <c r="U36" s="170">
        <f t="shared" si="3"/>
        <v>45405.679697741129</v>
      </c>
      <c r="V36" s="170">
        <f t="shared" si="3"/>
        <v>46455.692517539777</v>
      </c>
      <c r="W36" s="170">
        <f t="shared" si="3"/>
        <v>47804.152334997816</v>
      </c>
      <c r="X36" s="170">
        <f t="shared" si="3"/>
        <v>49599.184882172645</v>
      </c>
      <c r="Y36" s="170">
        <f t="shared" si="3"/>
        <v>52072.741835291483</v>
      </c>
      <c r="Z36" s="170">
        <f t="shared" si="3"/>
        <v>56694.914885938539</v>
      </c>
      <c r="AA36" s="170">
        <f t="shared" si="3"/>
        <v>64016.832614505838</v>
      </c>
      <c r="AB36" s="170">
        <f t="shared" si="3"/>
        <v>74679.74170423561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x14ac:dyDescent="0.3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3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3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3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3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3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3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3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3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3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3">
      <c r="D56" s="205"/>
      <c r="G56" s="205"/>
      <c r="AH56"/>
    </row>
    <row r="57" spans="1:43" x14ac:dyDescent="0.3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42766.204186080489</v>
      </c>
      <c r="J64" s="132">
        <f>(1-INDEX(Data!$C$9:$C$13, MATCH($A$3, options,0)))*('Option1 (base case)'!J36-J36)</f>
        <v>562132.36918490171</v>
      </c>
      <c r="K64" s="132">
        <f>(1-INDEX(Data!$C$9:$C$13, MATCH($A$3, options,0)))*('Option1 (base case)'!K36-K36)</f>
        <v>1049184.7768059028</v>
      </c>
      <c r="L64" s="132">
        <f>(1-INDEX(Data!$C$9:$C$13, MATCH($A$3, options,0)))*('Option1 (base case)'!L36-L36)</f>
        <v>1364852.9258299372</v>
      </c>
      <c r="M64" s="132">
        <f>(1-INDEX(Data!$C$9:$C$13, MATCH($A$3, options,0)))*('Option1 (base case)'!M36-M36)</f>
        <v>1856473.8026106264</v>
      </c>
      <c r="N64" s="132">
        <f>(1-INDEX(Data!$C$9:$C$13, MATCH($A$3, options,0)))*('Option1 (base case)'!N36-N36)</f>
        <v>2434998.3616777482</v>
      </c>
      <c r="O64" s="132">
        <f>(1-INDEX(Data!$C$9:$C$13, MATCH($A$3, options,0)))*('Option1 (base case)'!O36-O36)</f>
        <v>2733770.0339243752</v>
      </c>
      <c r="P64" s="132">
        <f>(1-INDEX(Data!$C$9:$C$13, MATCH($A$3, options,0)))*('Option1 (base case)'!P36-P36)</f>
        <v>3103137.5775121367</v>
      </c>
      <c r="Q64" s="132">
        <f>(1-INDEX(Data!$C$9:$C$13, MATCH($A$3, options,0)))*('Option1 (base case)'!Q36-Q36)</f>
        <v>3546485.6059653913</v>
      </c>
      <c r="R64" s="132">
        <f>(1-INDEX(Data!$C$9:$C$13, MATCH($A$3, options,0)))*('Option1 (base case)'!R36-R36)</f>
        <v>4098373.4301024019</v>
      </c>
      <c r="S64" s="132">
        <f>(1-INDEX(Data!$C$9:$C$13, MATCH($A$3, options,0)))*('Option1 (base case)'!S36-S36)</f>
        <v>4787839.2886530347</v>
      </c>
      <c r="T64" s="132">
        <f>(1-INDEX(Data!$C$9:$C$13, MATCH($A$3, options,0)))*('Option1 (base case)'!T36-T36)</f>
        <v>5653054.0808842322</v>
      </c>
      <c r="U64" s="132">
        <f>(1-INDEX(Data!$C$9:$C$13, MATCH($A$3, options,0)))*('Option1 (base case)'!U36-U36)</f>
        <v>6695005.4389641937</v>
      </c>
      <c r="V64" s="132">
        <f>(1-INDEX(Data!$C$9:$C$13, MATCH($A$3, options,0)))*('Option1 (base case)'!V36-V36)</f>
        <v>7863563.4479048131</v>
      </c>
      <c r="W64" s="132">
        <f>(1-INDEX(Data!$C$9:$C$13, MATCH($A$3, options,0)))*('Option1 (base case)'!W36-W36)</f>
        <v>9330037.2920248602</v>
      </c>
      <c r="X64" s="132">
        <f>(1-INDEX(Data!$C$9:$C$13, MATCH($A$3, options,0)))*('Option1 (base case)'!X36-X36)</f>
        <v>10785436.132015795</v>
      </c>
      <c r="Y64" s="132">
        <f>(1-INDEX(Data!$C$9:$C$13, MATCH($A$3, options,0)))*('Option1 (base case)'!Y36-Y36)</f>
        <v>11437749.166807022</v>
      </c>
      <c r="Z64" s="132">
        <f>(1-INDEX(Data!$C$9:$C$13, MATCH($A$3, options,0)))*('Option1 (base case)'!Z36-Z36)</f>
        <v>11865705.657955049</v>
      </c>
      <c r="AA64" s="132">
        <f>(1-INDEX(Data!$C$9:$C$13, MATCH($A$3, options,0)))*('Option1 (base case)'!AA36-AA36)</f>
        <v>12154707.604729583</v>
      </c>
      <c r="AB64" s="132">
        <f>(1-INDEX(Data!$C$9:$C$13, MATCH($A$3, options,0)))*('Option1 (base case)'!AB36-AB36)</f>
        <v>12405712.158300115</v>
      </c>
      <c r="AC64" s="132">
        <f>(1-INDEX(Data!$C$9:$C$13, MATCH($A$3, options,0)))*('Option1 (base case)'!AC36-AC36)</f>
        <v>61708.288069574206</v>
      </c>
      <c r="AD64" s="132">
        <f>(1-INDEX(Data!$C$9:$C$13, MATCH($A$3, options,0)))*('Option1 (base case)'!AD36-AD36)</f>
        <v>62498.38634901218</v>
      </c>
      <c r="AE64" s="132">
        <f>(1-INDEX(Data!$C$9:$C$13, MATCH($A$3, options,0)))*('Option1 (base case)'!AE36-AE36)</f>
        <v>63288.484628450176</v>
      </c>
      <c r="AF64" s="132">
        <f>(1-INDEX(Data!$C$9:$C$13, MATCH($A$3, options,0)))*('Option1 (base case)'!AF36-AF36)</f>
        <v>64078.582907888158</v>
      </c>
      <c r="AG64" s="132">
        <f>(1-INDEX(Data!$C$9:$C$13, MATCH($A$3, options,0)))*('Option1 (base case)'!AG36-AG36)</f>
        <v>64868.681187326125</v>
      </c>
      <c r="AH64"/>
    </row>
    <row r="65" spans="1:34" x14ac:dyDescent="0.3">
      <c r="G65" s="212"/>
      <c r="AH65"/>
    </row>
    <row r="66" spans="1:34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3">
      <c r="A67" s="8"/>
      <c r="B67" s="8"/>
      <c r="C67" s="4" t="str">
        <f>C14</f>
        <v>Switch capex</v>
      </c>
      <c r="D67" s="38"/>
      <c r="F67" s="97"/>
      <c r="G67" s="210">
        <f>input_dollars</f>
        <v>45291</v>
      </c>
      <c r="H67" s="31"/>
      <c r="I67" s="119">
        <f t="shared" ref="I67:AG67" si="5">-I14</f>
        <v>-6106365.6066306233</v>
      </c>
      <c r="J67" s="119">
        <f t="shared" si="5"/>
        <v>-4093064.2285201279</v>
      </c>
      <c r="K67" s="119">
        <f t="shared" si="5"/>
        <v>-4026602.7562209899</v>
      </c>
      <c r="L67" s="119">
        <f t="shared" si="5"/>
        <v>-4026602.7562209899</v>
      </c>
      <c r="M67" s="119">
        <f t="shared" si="5"/>
        <v>-2013301.3781104949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3">
      <c r="A68" s="8"/>
      <c r="B68" s="8"/>
      <c r="C68" s="4" t="str">
        <f>C15</f>
        <v>Relay capex</v>
      </c>
      <c r="D68" s="38"/>
      <c r="F68" s="97"/>
      <c r="G68" s="210">
        <f>input_dollars</f>
        <v>45291</v>
      </c>
      <c r="H68" s="31"/>
      <c r="I68" s="119">
        <f t="shared" ref="I68:AG68" si="6">-I15</f>
        <v>-3871817.5134649854</v>
      </c>
      <c r="J68" s="119">
        <f t="shared" si="6"/>
        <v>-3871817.5134649854</v>
      </c>
      <c r="K68" s="119">
        <f t="shared" si="6"/>
        <v>-3808948.5531820171</v>
      </c>
      <c r="L68" s="119">
        <f t="shared" si="6"/>
        <v>-3808948.5531820171</v>
      </c>
      <c r="M68" s="119">
        <f t="shared" si="6"/>
        <v>-1904474.2765910085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3">
      <c r="A69" s="8"/>
      <c r="B69" s="8"/>
      <c r="C69" s="4" t="str">
        <f>C16</f>
        <v>Building capex</v>
      </c>
      <c r="D69" s="38"/>
      <c r="F69" s="97"/>
      <c r="G69" s="210">
        <f>input_dollars</f>
        <v>45291</v>
      </c>
      <c r="H69" s="31"/>
      <c r="I69" s="119">
        <f t="shared" ref="I69:AG69" si="7">-I16</f>
        <v>-3097454.0107719889</v>
      </c>
      <c r="J69" s="119">
        <f t="shared" si="7"/>
        <v>-3097454.0107719889</v>
      </c>
      <c r="K69" s="119">
        <f t="shared" si="7"/>
        <v>-3047158.8425456141</v>
      </c>
      <c r="L69" s="119">
        <f t="shared" si="7"/>
        <v>-3047158.8425456141</v>
      </c>
      <c r="M69" s="119">
        <f t="shared" si="7"/>
        <v>-1523579.4212728071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3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3">
      <c r="A72" s="8"/>
      <c r="B72" s="8"/>
      <c r="C72" s="4" t="str">
        <f>C14</f>
        <v>Switch capex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-6106365.6066306233</v>
      </c>
      <c r="J72" s="119" cm="1">
        <f t="array" ref="J72">SUMPRODUCT(($I67:J67))-SUMPRODUCT(($I67:J67)*($I$6:J$6&lt;=(J$6-$E14)))</f>
        <v>-10199429.835150752</v>
      </c>
      <c r="K72" s="119" cm="1">
        <f t="array" ref="K72">SUMPRODUCT(($I67:K67))-SUMPRODUCT(($I67:K67)*($I$6:K$6&lt;=(K$6-$E14)))</f>
        <v>-14226032.591371741</v>
      </c>
      <c r="L72" s="119" cm="1">
        <f t="array" ref="L72">SUMPRODUCT(($I67:L67))-SUMPRODUCT(($I67:L67)*($I$6:L$6&lt;=(L$6-$E14)))</f>
        <v>-18252635.34759273</v>
      </c>
      <c r="M72" s="119" cm="1">
        <f t="array" ref="M72">SUMPRODUCT(($I67:M67))-SUMPRODUCT(($I67:M67)*($I$6:M$6&lt;=(M$6-$E14)))</f>
        <v>-20265936.725703225</v>
      </c>
      <c r="N72" s="119" cm="1">
        <f t="array" ref="N72">SUMPRODUCT(($I67:N67))-SUMPRODUCT(($I67:N67)*($I$6:N$6&lt;=(N$6-$E14)))</f>
        <v>-20265936.725703225</v>
      </c>
      <c r="O72" s="119" cm="1">
        <f t="array" ref="O72">SUMPRODUCT(($I67:O67))-SUMPRODUCT(($I67:O67)*($I$6:O$6&lt;=(O$6-$E14)))</f>
        <v>-20265936.725703225</v>
      </c>
      <c r="P72" s="119" cm="1">
        <f t="array" ref="P72">SUMPRODUCT(($I67:P67))-SUMPRODUCT(($I67:P67)*($I$6:P$6&lt;=(P$6-$E14)))</f>
        <v>-20265936.725703225</v>
      </c>
      <c r="Q72" s="119" cm="1">
        <f t="array" ref="Q72">SUMPRODUCT(($I67:Q67))-SUMPRODUCT(($I67:Q67)*($I$6:Q$6&lt;=(Q$6-$E14)))</f>
        <v>-20265936.725703225</v>
      </c>
      <c r="R72" s="119" cm="1">
        <f t="array" ref="R72">SUMPRODUCT(($I67:R67))-SUMPRODUCT(($I67:R67)*($I$6:R$6&lt;=(R$6-$E14)))</f>
        <v>-20265936.725703225</v>
      </c>
      <c r="S72" s="119" cm="1">
        <f t="array" ref="S72">SUMPRODUCT(($I67:S67))-SUMPRODUCT(($I67:S67)*($I$6:S$6&lt;=(S$6-$E14)))</f>
        <v>-20265936.725703225</v>
      </c>
      <c r="T72" s="119" cm="1">
        <f t="array" ref="T72">SUMPRODUCT(($I67:T67))-SUMPRODUCT(($I67:T67)*($I$6:T$6&lt;=(T$6-$E14)))</f>
        <v>-20265936.725703225</v>
      </c>
      <c r="U72" s="119" cm="1">
        <f t="array" ref="U72">SUMPRODUCT(($I67:U67))-SUMPRODUCT(($I67:U67)*($I$6:U$6&lt;=(U$6-$E14)))</f>
        <v>-20265936.725703225</v>
      </c>
      <c r="V72" s="119" cm="1">
        <f t="array" ref="V72">SUMPRODUCT(($I67:V67))-SUMPRODUCT(($I67:V67)*($I$6:V$6&lt;=(V$6-$E14)))</f>
        <v>-20265936.725703225</v>
      </c>
      <c r="W72" s="119" cm="1">
        <f t="array" ref="W72">SUMPRODUCT(($I67:W67))-SUMPRODUCT(($I67:W67)*($I$6:W$6&lt;=(W$6-$E14)))</f>
        <v>-20265936.725703225</v>
      </c>
      <c r="X72" s="119" cm="1">
        <f t="array" ref="X72">SUMPRODUCT(($I67:X67))-SUMPRODUCT(($I67:X67)*($I$6:X$6&lt;=(X$6-$E14)))</f>
        <v>-20265936.725703225</v>
      </c>
      <c r="Y72" s="119" cm="1">
        <f t="array" ref="Y72">SUMPRODUCT(($I67:Y67))-SUMPRODUCT(($I67:Y67)*($I$6:Y$6&lt;=(Y$6-$E14)))</f>
        <v>-20265936.725703225</v>
      </c>
      <c r="Z72" s="119" cm="1">
        <f t="array" ref="Z72">SUMPRODUCT(($I67:Z67))-SUMPRODUCT(($I67:Z67)*($I$6:Z$6&lt;=(Z$6-$E14)))</f>
        <v>-20265936.725703225</v>
      </c>
      <c r="AA72" s="119" cm="1">
        <f t="array" ref="AA72">SUMPRODUCT(($I67:AA67))-SUMPRODUCT(($I67:AA67)*($I$6:AA$6&lt;=(AA$6-$E14)))</f>
        <v>-20265936.725703225</v>
      </c>
      <c r="AB72" s="119" cm="1">
        <f t="array" ref="AB72">SUMPRODUCT(($I67:AB67))-SUMPRODUCT(($I67:AB67)*($I$6:AB$6&lt;=(AB$6-$E14)))</f>
        <v>-20265936.725703225</v>
      </c>
      <c r="AC72" s="119" cm="1">
        <f t="array" ref="AC72">SUMPRODUCT(($I67:AC67))-SUMPRODUCT(($I67:AC67)*($I$6:AC$6&lt;=(AC$6-$E14)))</f>
        <v>-20265936.725703225</v>
      </c>
      <c r="AD72" s="119" cm="1">
        <f t="array" ref="AD72">SUMPRODUCT(($I67:AD67))-SUMPRODUCT(($I67:AD67)*($I$6:AD$6&lt;=(AD$6-$E14)))</f>
        <v>-20265936.725703225</v>
      </c>
      <c r="AE72" s="119" cm="1">
        <f t="array" ref="AE72">SUMPRODUCT(($I67:AE67))-SUMPRODUCT(($I67:AE67)*($I$6:AE$6&lt;=(AE$6-$E14)))</f>
        <v>-20265936.725703225</v>
      </c>
      <c r="AF72" s="119" cm="1">
        <f t="array" ref="AF72">SUMPRODUCT(($I67:AF67))-SUMPRODUCT(($I67:AF67)*($I$6:AF$6&lt;=(AF$6-$E14)))</f>
        <v>-20265936.725703225</v>
      </c>
      <c r="AG72" s="119" cm="1">
        <f t="array" ref="AG72">SUMPRODUCT(($I67:AG67))-SUMPRODUCT(($I67:AG67)*($I$6:AG$6&lt;=(AG$6-$E14)))</f>
        <v>-20265936.725703225</v>
      </c>
      <c r="AH72"/>
    </row>
    <row r="73" spans="1:34" x14ac:dyDescent="0.3">
      <c r="A73" s="8"/>
      <c r="B73" s="8"/>
      <c r="C73" s="4" t="str">
        <f>C15</f>
        <v>Relay capex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-3871817.5134649854</v>
      </c>
      <c r="J73" s="119" cm="1">
        <f t="array" ref="J73">SUMPRODUCT(($I68:J68))-SUMPRODUCT(($I68:J68)*($I$6:J$6&lt;=(J$6-$E15)))</f>
        <v>-7743635.0269299708</v>
      </c>
      <c r="K73" s="119" cm="1">
        <f t="array" ref="K73">SUMPRODUCT(($I68:K68))-SUMPRODUCT(($I68:K68)*($I$6:K$6&lt;=(K$6-$E15)))</f>
        <v>-11552583.580111988</v>
      </c>
      <c r="L73" s="119" cm="1">
        <f t="array" ref="L73">SUMPRODUCT(($I68:L68))-SUMPRODUCT(($I68:L68)*($I$6:L$6&lt;=(L$6-$E15)))</f>
        <v>-15361532.133294005</v>
      </c>
      <c r="M73" s="119" cm="1">
        <f t="array" ref="M73">SUMPRODUCT(($I68:M68))-SUMPRODUCT(($I68:M68)*($I$6:M$6&lt;=(M$6-$E15)))</f>
        <v>-17266006.409885012</v>
      </c>
      <c r="N73" s="119" cm="1">
        <f t="array" ref="N73">SUMPRODUCT(($I68:N68))-SUMPRODUCT(($I68:N68)*($I$6:N$6&lt;=(N$6-$E15)))</f>
        <v>-17266006.409885012</v>
      </c>
      <c r="O73" s="119" cm="1">
        <f t="array" ref="O73">SUMPRODUCT(($I68:O68))-SUMPRODUCT(($I68:O68)*($I$6:O$6&lt;=(O$6-$E15)))</f>
        <v>-17266006.409885012</v>
      </c>
      <c r="P73" s="119" cm="1">
        <f t="array" ref="P73">SUMPRODUCT(($I68:P68))-SUMPRODUCT(($I68:P68)*($I$6:P$6&lt;=(P$6-$E15)))</f>
        <v>-17266006.409885012</v>
      </c>
      <c r="Q73" s="119" cm="1">
        <f t="array" ref="Q73">SUMPRODUCT(($I68:Q68))-SUMPRODUCT(($I68:Q68)*($I$6:Q$6&lt;=(Q$6-$E15)))</f>
        <v>-17266006.409885012</v>
      </c>
      <c r="R73" s="119" cm="1">
        <f t="array" ref="R73">SUMPRODUCT(($I68:R68))-SUMPRODUCT(($I68:R68)*($I$6:R$6&lt;=(R$6-$E15)))</f>
        <v>-17266006.409885012</v>
      </c>
      <c r="S73" s="119" cm="1">
        <f t="array" ref="S73">SUMPRODUCT(($I68:S68))-SUMPRODUCT(($I68:S68)*($I$6:S$6&lt;=(S$6-$E15)))</f>
        <v>-17266006.409885012</v>
      </c>
      <c r="T73" s="119" cm="1">
        <f t="array" ref="T73">SUMPRODUCT(($I68:T68))-SUMPRODUCT(($I68:T68)*($I$6:T$6&lt;=(T$6-$E15)))</f>
        <v>-17266006.409885012</v>
      </c>
      <c r="U73" s="119" cm="1">
        <f t="array" ref="U73">SUMPRODUCT(($I68:U68))-SUMPRODUCT(($I68:U68)*($I$6:U$6&lt;=(U$6-$E15)))</f>
        <v>-17266006.409885012</v>
      </c>
      <c r="V73" s="119" cm="1">
        <f t="array" ref="V73">SUMPRODUCT(($I68:V68))-SUMPRODUCT(($I68:V68)*($I$6:V$6&lt;=(V$6-$E15)))</f>
        <v>-17266006.409885012</v>
      </c>
      <c r="W73" s="119" cm="1">
        <f t="array" ref="W73">SUMPRODUCT(($I68:W68))-SUMPRODUCT(($I68:W68)*($I$6:W$6&lt;=(W$6-$E15)))</f>
        <v>-17266006.409885012</v>
      </c>
      <c r="X73" s="119" cm="1">
        <f t="array" ref="X73">SUMPRODUCT(($I68:X68))-SUMPRODUCT(($I68:X68)*($I$6:X$6&lt;=(X$6-$E15)))</f>
        <v>-17266006.409885012</v>
      </c>
      <c r="Y73" s="119" cm="1">
        <f t="array" ref="Y73">SUMPRODUCT(($I68:Y68))-SUMPRODUCT(($I68:Y68)*($I$6:Y$6&lt;=(Y$6-$E15)))</f>
        <v>-17266006.409885012</v>
      </c>
      <c r="Z73" s="119" cm="1">
        <f t="array" ref="Z73">SUMPRODUCT(($I68:Z68))-SUMPRODUCT(($I68:Z68)*($I$6:Z$6&lt;=(Z$6-$E15)))</f>
        <v>-17266006.409885012</v>
      </c>
      <c r="AA73" s="119" cm="1">
        <f t="array" ref="AA73">SUMPRODUCT(($I68:AA68))-SUMPRODUCT(($I68:AA68)*($I$6:AA$6&lt;=(AA$6-$E15)))</f>
        <v>-17266006.409885012</v>
      </c>
      <c r="AB73" s="119" cm="1">
        <f t="array" ref="AB73">SUMPRODUCT(($I68:AB68))-SUMPRODUCT(($I68:AB68)*($I$6:AB$6&lt;=(AB$6-$E15)))</f>
        <v>-17266006.409885012</v>
      </c>
      <c r="AC73" s="119" cm="1">
        <f t="array" ref="AC73">SUMPRODUCT(($I68:AC68))-SUMPRODUCT(($I68:AC68)*($I$6:AC$6&lt;=(AC$6-$E15)))</f>
        <v>-17266006.409885012</v>
      </c>
      <c r="AD73" s="119" cm="1">
        <f t="array" ref="AD73">SUMPRODUCT(($I68:AD68))-SUMPRODUCT(($I68:AD68)*($I$6:AD$6&lt;=(AD$6-$E15)))</f>
        <v>-17266006.409885012</v>
      </c>
      <c r="AE73" s="119" cm="1">
        <f t="array" ref="AE73">SUMPRODUCT(($I68:AE68))-SUMPRODUCT(($I68:AE68)*($I$6:AE$6&lt;=(AE$6-$E15)))</f>
        <v>-17266006.409885012</v>
      </c>
      <c r="AF73" s="119" cm="1">
        <f t="array" ref="AF73">SUMPRODUCT(($I68:AF68))-SUMPRODUCT(($I68:AF68)*($I$6:AF$6&lt;=(AF$6-$E15)))</f>
        <v>-17266006.409885012</v>
      </c>
      <c r="AG73" s="119" cm="1">
        <f t="array" ref="AG73">SUMPRODUCT(($I68:AG68))-SUMPRODUCT(($I68:AG68)*($I$6:AG$6&lt;=(AG$6-$E15)))</f>
        <v>-17266006.409885012</v>
      </c>
      <c r="AH73"/>
    </row>
    <row r="74" spans="1:34" x14ac:dyDescent="0.3">
      <c r="A74" s="8"/>
      <c r="B74" s="8"/>
      <c r="C74" s="4" t="str">
        <f>C16</f>
        <v>Building capex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-3097454.0107719889</v>
      </c>
      <c r="J74" s="119" cm="1">
        <f t="array" ref="J74">SUMPRODUCT(($I69:J69))-SUMPRODUCT(($I69:J69)*($I$6:J$6&lt;=(J$6-$E16)))</f>
        <v>-6194908.0215439778</v>
      </c>
      <c r="K74" s="119" cm="1">
        <f t="array" ref="K74">SUMPRODUCT(($I69:K69))-SUMPRODUCT(($I69:K69)*($I$6:K$6&lt;=(K$6-$E16)))</f>
        <v>-9242066.8640895914</v>
      </c>
      <c r="L74" s="119" cm="1">
        <f t="array" ref="L74">SUMPRODUCT(($I69:L69))-SUMPRODUCT(($I69:L69)*($I$6:L$6&lt;=(L$6-$E16)))</f>
        <v>-12289225.706635205</v>
      </c>
      <c r="M74" s="119" cm="1">
        <f t="array" ref="M74">SUMPRODUCT(($I69:M69))-SUMPRODUCT(($I69:M69)*($I$6:M$6&lt;=(M$6-$E16)))</f>
        <v>-13812805.127908012</v>
      </c>
      <c r="N74" s="119" cm="1">
        <f t="array" ref="N74">SUMPRODUCT(($I69:N69))-SUMPRODUCT(($I69:N69)*($I$6:N$6&lt;=(N$6-$E16)))</f>
        <v>-13812805.127908012</v>
      </c>
      <c r="O74" s="119" cm="1">
        <f t="array" ref="O74">SUMPRODUCT(($I69:O69))-SUMPRODUCT(($I69:O69)*($I$6:O$6&lt;=(O$6-$E16)))</f>
        <v>-13812805.127908012</v>
      </c>
      <c r="P74" s="119" cm="1">
        <f t="array" ref="P74">SUMPRODUCT(($I69:P69))-SUMPRODUCT(($I69:P69)*($I$6:P$6&lt;=(P$6-$E16)))</f>
        <v>-13812805.127908012</v>
      </c>
      <c r="Q74" s="119" cm="1">
        <f t="array" ref="Q74">SUMPRODUCT(($I69:Q69))-SUMPRODUCT(($I69:Q69)*($I$6:Q$6&lt;=(Q$6-$E16)))</f>
        <v>-13812805.127908012</v>
      </c>
      <c r="R74" s="119" cm="1">
        <f t="array" ref="R74">SUMPRODUCT(($I69:R69))-SUMPRODUCT(($I69:R69)*($I$6:R$6&lt;=(R$6-$E16)))</f>
        <v>-13812805.127908012</v>
      </c>
      <c r="S74" s="119" cm="1">
        <f t="array" ref="S74">SUMPRODUCT(($I69:S69))-SUMPRODUCT(($I69:S69)*($I$6:S$6&lt;=(S$6-$E16)))</f>
        <v>-13812805.127908012</v>
      </c>
      <c r="T74" s="119" cm="1">
        <f t="array" ref="T74">SUMPRODUCT(($I69:T69))-SUMPRODUCT(($I69:T69)*($I$6:T$6&lt;=(T$6-$E16)))</f>
        <v>-13812805.127908012</v>
      </c>
      <c r="U74" s="119" cm="1">
        <f t="array" ref="U74">SUMPRODUCT(($I69:U69))-SUMPRODUCT(($I69:U69)*($I$6:U$6&lt;=(U$6-$E16)))</f>
        <v>-13812805.127908012</v>
      </c>
      <c r="V74" s="119" cm="1">
        <f t="array" ref="V74">SUMPRODUCT(($I69:V69))-SUMPRODUCT(($I69:V69)*($I$6:V$6&lt;=(V$6-$E16)))</f>
        <v>-13812805.127908012</v>
      </c>
      <c r="W74" s="119" cm="1">
        <f t="array" ref="W74">SUMPRODUCT(($I69:W69))-SUMPRODUCT(($I69:W69)*($I$6:W$6&lt;=(W$6-$E16)))</f>
        <v>-13812805.127908012</v>
      </c>
      <c r="X74" s="119" cm="1">
        <f t="array" ref="X74">SUMPRODUCT(($I69:X69))-SUMPRODUCT(($I69:X69)*($I$6:X$6&lt;=(X$6-$E16)))</f>
        <v>-13812805.127908012</v>
      </c>
      <c r="Y74" s="119" cm="1">
        <f t="array" ref="Y74">SUMPRODUCT(($I69:Y69))-SUMPRODUCT(($I69:Y69)*($I$6:Y$6&lt;=(Y$6-$E16)))</f>
        <v>-13812805.127908012</v>
      </c>
      <c r="Z74" s="119" cm="1">
        <f t="array" ref="Z74">SUMPRODUCT(($I69:Z69))-SUMPRODUCT(($I69:Z69)*($I$6:Z$6&lt;=(Z$6-$E16)))</f>
        <v>-13812805.127908012</v>
      </c>
      <c r="AA74" s="119" cm="1">
        <f t="array" ref="AA74">SUMPRODUCT(($I69:AA69))-SUMPRODUCT(($I69:AA69)*($I$6:AA$6&lt;=(AA$6-$E16)))</f>
        <v>-13812805.127908012</v>
      </c>
      <c r="AB74" s="119" cm="1">
        <f t="array" ref="AB74">SUMPRODUCT(($I69:AB69))-SUMPRODUCT(($I69:AB69)*($I$6:AB$6&lt;=(AB$6-$E16)))</f>
        <v>-13812805.127908012</v>
      </c>
      <c r="AC74" s="119" cm="1">
        <f t="array" ref="AC74">SUMPRODUCT(($I69:AC69))-SUMPRODUCT(($I69:AC69)*($I$6:AC$6&lt;=(AC$6-$E16)))</f>
        <v>-13812805.127908012</v>
      </c>
      <c r="AD74" s="119" cm="1">
        <f t="array" ref="AD74">SUMPRODUCT(($I69:AD69))-SUMPRODUCT(($I69:AD69)*($I$6:AD$6&lt;=(AD$6-$E16)))</f>
        <v>-13812805.127908012</v>
      </c>
      <c r="AE74" s="119" cm="1">
        <f t="array" ref="AE74">SUMPRODUCT(($I69:AE69))-SUMPRODUCT(($I69:AE69)*($I$6:AE$6&lt;=(AE$6-$E16)))</f>
        <v>-13812805.127908012</v>
      </c>
      <c r="AF74" s="119" cm="1">
        <f t="array" ref="AF74">SUMPRODUCT(($I69:AF69))-SUMPRODUCT(($I69:AF69)*($I$6:AF$6&lt;=(AF$6-$E16)))</f>
        <v>-13812805.127908012</v>
      </c>
      <c r="AG74" s="119" cm="1">
        <f t="array" ref="AG74">SUMPRODUCT(($I69:AG69))-SUMPRODUCT(($I69:AG69)*($I$6:AG$6&lt;=(AG$6-$E16)))</f>
        <v>-13812805.127908012</v>
      </c>
      <c r="AH74"/>
    </row>
    <row r="75" spans="1:34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3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3">
      <c r="A77" s="8"/>
      <c r="B77" s="8"/>
      <c r="C77" s="4" t="str">
        <f>$C$76&amp;" - "&amp;C14</f>
        <v>Annualised capex - Switch capex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-260337.01778024758</v>
      </c>
      <c r="K77" s="119">
        <f t="shared" si="8"/>
        <v>-434839.52933620155</v>
      </c>
      <c r="L77" s="119">
        <f t="shared" si="8"/>
        <v>-606508.54178478883</v>
      </c>
      <c r="M77" s="119">
        <f t="shared" si="8"/>
        <v>-778177.55423337605</v>
      </c>
      <c r="N77" s="119">
        <f t="shared" si="8"/>
        <v>-864012.06045766966</v>
      </c>
      <c r="O77" s="119">
        <f t="shared" si="8"/>
        <v>-864012.06045766966</v>
      </c>
      <c r="P77" s="119">
        <f t="shared" si="8"/>
        <v>-864012.06045766966</v>
      </c>
      <c r="Q77" s="119">
        <f t="shared" si="8"/>
        <v>-864012.06045766966</v>
      </c>
      <c r="R77" s="119">
        <f t="shared" si="8"/>
        <v>-864012.06045766966</v>
      </c>
      <c r="S77" s="119">
        <f t="shared" si="8"/>
        <v>-864012.06045766966</v>
      </c>
      <c r="T77" s="119">
        <f t="shared" si="8"/>
        <v>-864012.06045766966</v>
      </c>
      <c r="U77" s="119">
        <f t="shared" si="8"/>
        <v>-864012.06045766966</v>
      </c>
      <c r="V77" s="119">
        <f t="shared" si="8"/>
        <v>-864012.06045766966</v>
      </c>
      <c r="W77" s="119">
        <f t="shared" si="8"/>
        <v>-864012.06045766966</v>
      </c>
      <c r="X77" s="119">
        <f t="shared" si="8"/>
        <v>-864012.06045766966</v>
      </c>
      <c r="Y77" s="119">
        <f t="shared" si="8"/>
        <v>-864012.06045766966</v>
      </c>
      <c r="Z77" s="119">
        <f t="shared" si="8"/>
        <v>-864012.06045766966</v>
      </c>
      <c r="AA77" s="119">
        <f t="shared" si="8"/>
        <v>-864012.06045766966</v>
      </c>
      <c r="AB77" s="119">
        <f t="shared" si="8"/>
        <v>-864012.06045766966</v>
      </c>
      <c r="AC77" s="119">
        <f t="shared" si="8"/>
        <v>-864012.06045766966</v>
      </c>
      <c r="AD77" s="119">
        <f t="shared" si="8"/>
        <v>-864012.06045766966</v>
      </c>
      <c r="AE77" s="119">
        <f t="shared" si="8"/>
        <v>-864012.06045766966</v>
      </c>
      <c r="AF77" s="119">
        <f t="shared" si="8"/>
        <v>-864012.06045766966</v>
      </c>
      <c r="AG77" s="119">
        <f t="shared" si="8"/>
        <v>-864012.06045766966</v>
      </c>
      <c r="AH77"/>
    </row>
    <row r="78" spans="1:34" x14ac:dyDescent="0.3">
      <c r="A78" s="8"/>
      <c r="B78" s="8"/>
      <c r="C78" s="4" t="str">
        <f>$C$76&amp;" - "&amp;C15</f>
        <v>Annualised capex - Relay capex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-234918.79291707426</v>
      </c>
      <c r="K78" s="119">
        <f t="shared" si="9"/>
        <v>-469837.58583414851</v>
      </c>
      <c r="L78" s="119">
        <f t="shared" si="9"/>
        <v>-700941.86522875843</v>
      </c>
      <c r="M78" s="119">
        <f t="shared" si="9"/>
        <v>-932046.14462336828</v>
      </c>
      <c r="N78" s="119">
        <f t="shared" si="9"/>
        <v>-1047598.2843206731</v>
      </c>
      <c r="O78" s="119">
        <f t="shared" si="9"/>
        <v>-1047598.2843206731</v>
      </c>
      <c r="P78" s="119">
        <f t="shared" si="9"/>
        <v>-1047598.2843206731</v>
      </c>
      <c r="Q78" s="119">
        <f t="shared" si="9"/>
        <v>-1047598.2843206731</v>
      </c>
      <c r="R78" s="119">
        <f t="shared" si="9"/>
        <v>-1047598.2843206731</v>
      </c>
      <c r="S78" s="119">
        <f t="shared" si="9"/>
        <v>-1047598.2843206731</v>
      </c>
      <c r="T78" s="119">
        <f t="shared" si="9"/>
        <v>-1047598.2843206731</v>
      </c>
      <c r="U78" s="119">
        <f t="shared" si="9"/>
        <v>-1047598.2843206731</v>
      </c>
      <c r="V78" s="119">
        <f t="shared" si="9"/>
        <v>-1047598.2843206731</v>
      </c>
      <c r="W78" s="119">
        <f t="shared" si="9"/>
        <v>-1047598.2843206731</v>
      </c>
      <c r="X78" s="119">
        <f t="shared" si="9"/>
        <v>-1047598.2843206731</v>
      </c>
      <c r="Y78" s="119">
        <f t="shared" si="9"/>
        <v>-1047598.2843206731</v>
      </c>
      <c r="Z78" s="119">
        <f t="shared" si="9"/>
        <v>-1047598.2843206731</v>
      </c>
      <c r="AA78" s="119">
        <f t="shared" si="9"/>
        <v>-1047598.2843206731</v>
      </c>
      <c r="AB78" s="119">
        <f t="shared" si="9"/>
        <v>-1047598.2843206731</v>
      </c>
      <c r="AC78" s="119">
        <f t="shared" si="9"/>
        <v>-1047598.2843206731</v>
      </c>
      <c r="AD78" s="119">
        <f t="shared" si="9"/>
        <v>-1047598.2843206731</v>
      </c>
      <c r="AE78" s="119">
        <f t="shared" si="9"/>
        <v>-1047598.2843206731</v>
      </c>
      <c r="AF78" s="119">
        <f t="shared" si="9"/>
        <v>-1047598.2843206731</v>
      </c>
      <c r="AG78" s="119">
        <f t="shared" si="9"/>
        <v>-1047598.2843206731</v>
      </c>
      <c r="AH78"/>
    </row>
    <row r="79" spans="1:34" x14ac:dyDescent="0.3">
      <c r="A79" s="8"/>
      <c r="B79" s="8"/>
      <c r="C79" s="4" t="str">
        <f>$C$76&amp;" - "&amp;C16</f>
        <v>Annualised capex - Building capex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-132055.95469099216</v>
      </c>
      <c r="K79" s="119">
        <f t="shared" si="10"/>
        <v>-264111.90938198433</v>
      </c>
      <c r="L79" s="119">
        <f t="shared" si="10"/>
        <v>-394023.59447821253</v>
      </c>
      <c r="M79" s="119">
        <f t="shared" si="10"/>
        <v>-523935.27957444068</v>
      </c>
      <c r="N79" s="119">
        <f t="shared" si="10"/>
        <v>-588891.12212255481</v>
      </c>
      <c r="O79" s="119">
        <f t="shared" si="10"/>
        <v>-588891.12212255481</v>
      </c>
      <c r="P79" s="119">
        <f t="shared" si="10"/>
        <v>-588891.12212255481</v>
      </c>
      <c r="Q79" s="119">
        <f t="shared" si="10"/>
        <v>-588891.12212255481</v>
      </c>
      <c r="R79" s="119">
        <f t="shared" si="10"/>
        <v>-588891.12212255481</v>
      </c>
      <c r="S79" s="119">
        <f t="shared" si="10"/>
        <v>-588891.12212255481</v>
      </c>
      <c r="T79" s="119">
        <f t="shared" si="10"/>
        <v>-588891.12212255481</v>
      </c>
      <c r="U79" s="119">
        <f t="shared" si="10"/>
        <v>-588891.12212255481</v>
      </c>
      <c r="V79" s="119">
        <f t="shared" si="10"/>
        <v>-588891.12212255481</v>
      </c>
      <c r="W79" s="119">
        <f t="shared" si="10"/>
        <v>-588891.12212255481</v>
      </c>
      <c r="X79" s="119">
        <f t="shared" si="10"/>
        <v>-588891.12212255481</v>
      </c>
      <c r="Y79" s="119">
        <f t="shared" si="10"/>
        <v>-588891.12212255481</v>
      </c>
      <c r="Z79" s="119">
        <f t="shared" si="10"/>
        <v>-588891.12212255481</v>
      </c>
      <c r="AA79" s="119">
        <f t="shared" si="10"/>
        <v>-588891.12212255481</v>
      </c>
      <c r="AB79" s="119">
        <f t="shared" si="10"/>
        <v>-588891.12212255481</v>
      </c>
      <c r="AC79" s="119">
        <f t="shared" si="10"/>
        <v>-588891.12212255481</v>
      </c>
      <c r="AD79" s="119">
        <f t="shared" si="10"/>
        <v>-588891.12212255481</v>
      </c>
      <c r="AE79" s="119">
        <f t="shared" si="10"/>
        <v>-588891.12212255481</v>
      </c>
      <c r="AF79" s="119">
        <f t="shared" si="10"/>
        <v>-588891.12212255481</v>
      </c>
      <c r="AG79" s="119">
        <f t="shared" si="10"/>
        <v>-588891.12212255481</v>
      </c>
      <c r="AH79"/>
    </row>
    <row r="80" spans="1:34" x14ac:dyDescent="0.3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-627311.76538831403</v>
      </c>
      <c r="K80" s="176">
        <f t="shared" si="11"/>
        <v>-1168789.0245523343</v>
      </c>
      <c r="L80" s="176">
        <f t="shared" si="11"/>
        <v>-1701474.0014917597</v>
      </c>
      <c r="M80" s="176">
        <f t="shared" si="11"/>
        <v>-2234158.9784311852</v>
      </c>
      <c r="N80" s="176">
        <f t="shared" si="11"/>
        <v>-2500501.4669008972</v>
      </c>
      <c r="O80" s="176">
        <f t="shared" si="11"/>
        <v>-2500501.4669008972</v>
      </c>
      <c r="P80" s="176">
        <f t="shared" si="11"/>
        <v>-2500501.4669008972</v>
      </c>
      <c r="Q80" s="176">
        <f t="shared" si="11"/>
        <v>-2500501.4669008972</v>
      </c>
      <c r="R80" s="176">
        <f t="shared" si="11"/>
        <v>-2500501.4669008972</v>
      </c>
      <c r="S80" s="176">
        <f t="shared" si="11"/>
        <v>-2500501.4669008972</v>
      </c>
      <c r="T80" s="176">
        <f t="shared" si="11"/>
        <v>-2500501.4669008972</v>
      </c>
      <c r="U80" s="176">
        <f t="shared" si="11"/>
        <v>-2500501.4669008972</v>
      </c>
      <c r="V80" s="176">
        <f t="shared" si="11"/>
        <v>-2500501.4669008972</v>
      </c>
      <c r="W80" s="176">
        <f t="shared" si="11"/>
        <v>-2500501.4669008972</v>
      </c>
      <c r="X80" s="176">
        <f t="shared" si="11"/>
        <v>-2500501.4669008972</v>
      </c>
      <c r="Y80" s="176">
        <f t="shared" si="11"/>
        <v>-2500501.4669008972</v>
      </c>
      <c r="Z80" s="176">
        <f t="shared" si="11"/>
        <v>-2500501.4669008972</v>
      </c>
      <c r="AA80" s="176">
        <f t="shared" si="11"/>
        <v>-2500501.4669008972</v>
      </c>
      <c r="AB80" s="176">
        <f t="shared" si="11"/>
        <v>-2500501.4669008972</v>
      </c>
      <c r="AC80" s="176">
        <f>SUM(AC77:AC79)</f>
        <v>-2500501.4669008972</v>
      </c>
      <c r="AD80" s="176">
        <f>SUM(AD77:AD79)</f>
        <v>-2500501.4669008972</v>
      </c>
      <c r="AE80" s="176">
        <f>SUM(AE77:AE79)</f>
        <v>-2500501.4669008972</v>
      </c>
      <c r="AF80" s="176">
        <f>SUM(AF77:AF79)</f>
        <v>-2500501.4669008972</v>
      </c>
      <c r="AG80" s="176">
        <f>SUM(AG77:AG79)</f>
        <v>-2500501.4669008972</v>
      </c>
      <c r="AH80"/>
    </row>
    <row r="81" spans="1:34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3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-627311.76538831403</v>
      </c>
      <c r="K82" s="119">
        <f t="shared" si="13"/>
        <v>-1168789.0245523343</v>
      </c>
      <c r="L82" s="119">
        <f t="shared" si="13"/>
        <v>-1701474.0014917597</v>
      </c>
      <c r="M82" s="119">
        <f t="shared" si="13"/>
        <v>-2234158.9784311852</v>
      </c>
      <c r="N82" s="119">
        <f t="shared" si="13"/>
        <v>-2500501.4669008972</v>
      </c>
      <c r="O82" s="119">
        <f t="shared" si="13"/>
        <v>-2500501.4669008972</v>
      </c>
      <c r="P82" s="119">
        <f t="shared" si="13"/>
        <v>-2500501.4669008972</v>
      </c>
      <c r="Q82" s="119">
        <f t="shared" si="13"/>
        <v>-2500501.4669008972</v>
      </c>
      <c r="R82" s="119">
        <f t="shared" si="13"/>
        <v>-2500501.4669008972</v>
      </c>
      <c r="S82" s="119">
        <f t="shared" si="13"/>
        <v>-2500501.4669008972</v>
      </c>
      <c r="T82" s="119">
        <f t="shared" si="13"/>
        <v>-2500501.4669008972</v>
      </c>
      <c r="U82" s="119">
        <f t="shared" si="13"/>
        <v>-2500501.4669008972</v>
      </c>
      <c r="V82" s="119">
        <f t="shared" si="13"/>
        <v>-2500501.4669008972</v>
      </c>
      <c r="W82" s="119">
        <f t="shared" si="13"/>
        <v>-2500501.4669008972</v>
      </c>
      <c r="X82" s="119">
        <f t="shared" si="13"/>
        <v>-2500501.4669008972</v>
      </c>
      <c r="Y82" s="119">
        <f t="shared" si="13"/>
        <v>-2500501.4669008972</v>
      </c>
      <c r="Z82" s="119">
        <f t="shared" si="13"/>
        <v>-2500501.4669008972</v>
      </c>
      <c r="AA82" s="119">
        <f t="shared" si="13"/>
        <v>-2500501.4669008972</v>
      </c>
      <c r="AB82" s="119">
        <f t="shared" si="13"/>
        <v>-2500501.4669008972</v>
      </c>
      <c r="AC82" s="119">
        <f>AC80</f>
        <v>-2500501.4669008972</v>
      </c>
      <c r="AD82" s="119">
        <f>AD80</f>
        <v>-2500501.4669008972</v>
      </c>
      <c r="AE82" s="119">
        <f>AE80</f>
        <v>-2500501.4669008972</v>
      </c>
      <c r="AF82" s="119">
        <f>AF80</f>
        <v>-2500501.4669008972</v>
      </c>
      <c r="AG82" s="119">
        <f>AG80</f>
        <v>-2500501.4669008972</v>
      </c>
      <c r="AH82"/>
    </row>
    <row r="83" spans="1:34" x14ac:dyDescent="0.3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3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 t="shared" ref="I84:AG84" si="15">I64</f>
        <v>42766.204186080489</v>
      </c>
      <c r="J84" s="31">
        <f t="shared" si="15"/>
        <v>562132.36918490171</v>
      </c>
      <c r="K84" s="31">
        <f t="shared" si="15"/>
        <v>1049184.7768059028</v>
      </c>
      <c r="L84" s="31">
        <f t="shared" si="15"/>
        <v>1364852.9258299372</v>
      </c>
      <c r="M84" s="31">
        <f t="shared" si="15"/>
        <v>1856473.8026106264</v>
      </c>
      <c r="N84" s="31">
        <f t="shared" si="15"/>
        <v>2434998.3616777482</v>
      </c>
      <c r="O84" s="31">
        <f t="shared" si="15"/>
        <v>2733770.0339243752</v>
      </c>
      <c r="P84" s="31">
        <f t="shared" si="15"/>
        <v>3103137.5775121367</v>
      </c>
      <c r="Q84" s="31">
        <f t="shared" si="15"/>
        <v>3546485.6059653913</v>
      </c>
      <c r="R84" s="31">
        <f t="shared" si="15"/>
        <v>4098373.4301024019</v>
      </c>
      <c r="S84" s="31">
        <f t="shared" si="15"/>
        <v>4787839.2886530347</v>
      </c>
      <c r="T84" s="31">
        <f t="shared" si="15"/>
        <v>5653054.0808842322</v>
      </c>
      <c r="U84" s="31">
        <f t="shared" si="15"/>
        <v>6695005.4389641937</v>
      </c>
      <c r="V84" s="31">
        <f t="shared" si="15"/>
        <v>7863563.4479048131</v>
      </c>
      <c r="W84" s="31">
        <f t="shared" si="15"/>
        <v>9330037.2920248602</v>
      </c>
      <c r="X84" s="31">
        <f t="shared" si="15"/>
        <v>10785436.132015795</v>
      </c>
      <c r="Y84" s="31">
        <f t="shared" si="15"/>
        <v>11437749.166807022</v>
      </c>
      <c r="Z84" s="31">
        <f t="shared" si="15"/>
        <v>11865705.657955049</v>
      </c>
      <c r="AA84" s="31">
        <f t="shared" si="15"/>
        <v>12154707.604729583</v>
      </c>
      <c r="AB84" s="31">
        <f t="shared" si="15"/>
        <v>12405712.158300115</v>
      </c>
      <c r="AC84" s="31">
        <f t="shared" si="15"/>
        <v>61708.288069574206</v>
      </c>
      <c r="AD84" s="31">
        <f t="shared" si="15"/>
        <v>62498.38634901218</v>
      </c>
      <c r="AE84" s="31">
        <f t="shared" si="15"/>
        <v>63288.484628450176</v>
      </c>
      <c r="AF84" s="31">
        <f t="shared" si="15"/>
        <v>64078.582907888158</v>
      </c>
      <c r="AG84" s="31">
        <f t="shared" si="15"/>
        <v>64868.681187326125</v>
      </c>
      <c r="AH84"/>
    </row>
    <row r="85" spans="1:34" x14ac:dyDescent="0.3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3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42766.204186080489</v>
      </c>
      <c r="J87" s="179">
        <f t="shared" si="17"/>
        <v>-65179.396203412325</v>
      </c>
      <c r="K87" s="179">
        <f t="shared" si="17"/>
        <v>-119604.2477464315</v>
      </c>
      <c r="L87" s="179">
        <f t="shared" si="17"/>
        <v>-336621.07566182246</v>
      </c>
      <c r="M87" s="179">
        <f t="shared" si="17"/>
        <v>-377685.1758205588</v>
      </c>
      <c r="N87" s="179">
        <f t="shared" si="17"/>
        <v>-65503.105223149061</v>
      </c>
      <c r="O87" s="179">
        <f t="shared" si="17"/>
        <v>233268.56702347798</v>
      </c>
      <c r="P87" s="179">
        <f t="shared" si="17"/>
        <v>602636.11061123945</v>
      </c>
      <c r="Q87" s="179">
        <f t="shared" si="17"/>
        <v>1045984.1390644941</v>
      </c>
      <c r="R87" s="179">
        <f t="shared" si="17"/>
        <v>1597871.9632015047</v>
      </c>
      <c r="S87" s="179">
        <f t="shared" si="17"/>
        <v>2287337.8217521375</v>
      </c>
      <c r="T87" s="179">
        <f t="shared" si="17"/>
        <v>3152552.613983335</v>
      </c>
      <c r="U87" s="179">
        <f t="shared" si="17"/>
        <v>4194503.9720632965</v>
      </c>
      <c r="V87" s="179">
        <f t="shared" si="17"/>
        <v>5363061.9810039159</v>
      </c>
      <c r="W87" s="179">
        <f t="shared" si="17"/>
        <v>6829535.8251239629</v>
      </c>
      <c r="X87" s="179">
        <f t="shared" si="17"/>
        <v>8284934.6651148973</v>
      </c>
      <c r="Y87" s="179">
        <f t="shared" si="17"/>
        <v>8937247.6999061257</v>
      </c>
      <c r="Z87" s="179">
        <f t="shared" si="17"/>
        <v>9365204.1910541505</v>
      </c>
      <c r="AA87" s="179">
        <f t="shared" si="17"/>
        <v>9654206.1378286853</v>
      </c>
      <c r="AB87" s="179">
        <f t="shared" si="17"/>
        <v>9905210.6913992167</v>
      </c>
      <c r="AC87" s="179">
        <f>SUM(AC82:AC86)</f>
        <v>-2438793.178831323</v>
      </c>
      <c r="AD87" s="179">
        <f>SUM(AD82:AD86)</f>
        <v>-2438003.0805518851</v>
      </c>
      <c r="AE87" s="179">
        <f>SUM(AE82:AE86)</f>
        <v>-2437212.9822724471</v>
      </c>
      <c r="AF87" s="179">
        <f>SUM(AF82:AF86)</f>
        <v>-2436422.8839930091</v>
      </c>
      <c r="AG87" s="179">
        <f>SUM(AG82:AG86)</f>
        <v>-2435632.7857135711</v>
      </c>
      <c r="AH87"/>
    </row>
    <row r="88" spans="1:34" x14ac:dyDescent="0.3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3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3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3">
      <c r="C91" s="82"/>
      <c r="D91" s="234"/>
      <c r="E91" s="231"/>
      <c r="F91" s="231"/>
      <c r="G91" s="233"/>
    </row>
    <row r="92" spans="1:34" x14ac:dyDescent="0.3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4" x14ac:dyDescent="0.3">
      <c r="G94" s="12"/>
    </row>
    <row r="102" spans="1:43" ht="14.4" x14ac:dyDescent="0.3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119</v>
      </c>
      <c r="C106" s="1" t="s">
        <v>186</v>
      </c>
      <c r="D106"/>
      <c r="E106"/>
      <c r="F106"/>
      <c r="G106" s="38" t="str">
        <f>PROPER($A$3)&amp;A106</f>
        <v>Option 3NPV</v>
      </c>
      <c r="I106" s="31">
        <f>I87</f>
        <v>42766.204186080489</v>
      </c>
      <c r="J106" s="31">
        <f t="shared" ref="J106:AG106" si="18">J87</f>
        <v>-65179.396203412325</v>
      </c>
      <c r="K106" s="31">
        <f t="shared" si="18"/>
        <v>-119604.2477464315</v>
      </c>
      <c r="L106" s="31">
        <f t="shared" si="18"/>
        <v>-336621.07566182246</v>
      </c>
      <c r="M106" s="31">
        <f t="shared" si="18"/>
        <v>-377685.1758205588</v>
      </c>
      <c r="N106" s="31">
        <f t="shared" si="18"/>
        <v>-65503.105223149061</v>
      </c>
      <c r="O106" s="31">
        <f t="shared" si="18"/>
        <v>233268.56702347798</v>
      </c>
      <c r="P106" s="31">
        <f t="shared" si="18"/>
        <v>602636.11061123945</v>
      </c>
      <c r="Q106" s="31">
        <f t="shared" si="18"/>
        <v>1045984.1390644941</v>
      </c>
      <c r="R106" s="31">
        <f t="shared" si="18"/>
        <v>1597871.9632015047</v>
      </c>
      <c r="S106" s="31">
        <f t="shared" si="18"/>
        <v>2287337.8217521375</v>
      </c>
      <c r="T106" s="31">
        <f t="shared" si="18"/>
        <v>3152552.613983335</v>
      </c>
      <c r="U106" s="31">
        <f t="shared" si="18"/>
        <v>4194503.9720632965</v>
      </c>
      <c r="V106" s="31">
        <f t="shared" si="18"/>
        <v>5363061.9810039159</v>
      </c>
      <c r="W106" s="31">
        <f t="shared" si="18"/>
        <v>6829535.8251239629</v>
      </c>
      <c r="X106" s="31">
        <f t="shared" si="18"/>
        <v>8284934.6651148973</v>
      </c>
      <c r="Y106" s="31">
        <f t="shared" si="18"/>
        <v>8937247.6999061257</v>
      </c>
      <c r="Z106" s="31">
        <f t="shared" si="18"/>
        <v>9365204.1910541505</v>
      </c>
      <c r="AA106" s="31">
        <f t="shared" si="18"/>
        <v>9654206.1378286853</v>
      </c>
      <c r="AB106" s="31">
        <f t="shared" si="18"/>
        <v>9905210.6913992167</v>
      </c>
      <c r="AC106" s="31">
        <f t="shared" si="18"/>
        <v>-2438793.178831323</v>
      </c>
      <c r="AD106" s="31">
        <f t="shared" si="18"/>
        <v>-2438003.0805518851</v>
      </c>
      <c r="AE106" s="31">
        <f t="shared" si="18"/>
        <v>-2437212.9822724471</v>
      </c>
      <c r="AF106" s="31">
        <f t="shared" si="18"/>
        <v>-2436422.8839930091</v>
      </c>
      <c r="AG106" s="31">
        <f t="shared" si="18"/>
        <v>-2435632.7857135711</v>
      </c>
    </row>
    <row r="107" spans="1:43" x14ac:dyDescent="0.3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-627311.76538831403</v>
      </c>
      <c r="K107" s="31">
        <f t="shared" si="19"/>
        <v>-1168789.0245523343</v>
      </c>
      <c r="L107" s="31">
        <f t="shared" si="19"/>
        <v>-1701474.0014917597</v>
      </c>
      <c r="M107" s="31">
        <f t="shared" si="19"/>
        <v>-2234158.9784311852</v>
      </c>
      <c r="N107" s="31">
        <f t="shared" si="19"/>
        <v>-2500501.4669008972</v>
      </c>
      <c r="O107" s="31">
        <f t="shared" si="19"/>
        <v>-2500501.4669008972</v>
      </c>
      <c r="P107" s="31">
        <f t="shared" si="19"/>
        <v>-2500501.4669008972</v>
      </c>
      <c r="Q107" s="31">
        <f t="shared" si="19"/>
        <v>-2500501.4669008972</v>
      </c>
      <c r="R107" s="31">
        <f t="shared" si="19"/>
        <v>-2500501.4669008972</v>
      </c>
      <c r="S107" s="31">
        <f t="shared" si="19"/>
        <v>-2500501.4669008972</v>
      </c>
      <c r="T107" s="31">
        <f t="shared" si="19"/>
        <v>-2500501.4669008972</v>
      </c>
      <c r="U107" s="31">
        <f t="shared" si="19"/>
        <v>-2500501.4669008972</v>
      </c>
      <c r="V107" s="31">
        <f t="shared" si="19"/>
        <v>-2500501.4669008972</v>
      </c>
      <c r="W107" s="31">
        <f t="shared" si="19"/>
        <v>-2500501.4669008972</v>
      </c>
      <c r="X107" s="31">
        <f t="shared" si="19"/>
        <v>-2500501.4669008972</v>
      </c>
      <c r="Y107" s="31">
        <f t="shared" si="19"/>
        <v>-2500501.4669008972</v>
      </c>
      <c r="Z107" s="31">
        <f t="shared" si="19"/>
        <v>-2500501.4669008972</v>
      </c>
      <c r="AA107" s="31">
        <f t="shared" si="19"/>
        <v>-2500501.4669008972</v>
      </c>
      <c r="AB107" s="31">
        <f t="shared" si="19"/>
        <v>-2500501.4669008972</v>
      </c>
      <c r="AC107" s="31">
        <f t="shared" si="19"/>
        <v>-2500501.4669008972</v>
      </c>
      <c r="AD107" s="31">
        <f t="shared" si="19"/>
        <v>-2500501.4669008972</v>
      </c>
      <c r="AE107" s="31">
        <f t="shared" si="19"/>
        <v>-2500501.4669008972</v>
      </c>
      <c r="AF107" s="31">
        <f t="shared" si="19"/>
        <v>-2500501.4669008972</v>
      </c>
      <c r="AG107" s="31">
        <f t="shared" si="19"/>
        <v>-2500501.4669008972</v>
      </c>
    </row>
    <row r="108" spans="1:43" x14ac:dyDescent="0.3">
      <c r="C108" s="1" t="s">
        <v>239</v>
      </c>
      <c r="D108"/>
      <c r="E108"/>
      <c r="F108"/>
      <c r="G108"/>
      <c r="I108" s="31">
        <f>SUM(I84:I85)</f>
        <v>42766.204186080489</v>
      </c>
      <c r="J108" s="31">
        <f t="shared" ref="J108:AG108" si="20">SUM(J84:J85)</f>
        <v>562132.36918490171</v>
      </c>
      <c r="K108" s="31">
        <f t="shared" si="20"/>
        <v>1049184.7768059028</v>
      </c>
      <c r="L108" s="31">
        <f t="shared" si="20"/>
        <v>1364852.9258299372</v>
      </c>
      <c r="M108" s="31">
        <f t="shared" si="20"/>
        <v>1856473.8026106264</v>
      </c>
      <c r="N108" s="31">
        <f t="shared" si="20"/>
        <v>2434998.3616777482</v>
      </c>
      <c r="O108" s="31">
        <f t="shared" si="20"/>
        <v>2733770.0339243752</v>
      </c>
      <c r="P108" s="31">
        <f t="shared" si="20"/>
        <v>3103137.5775121367</v>
      </c>
      <c r="Q108" s="31">
        <f t="shared" si="20"/>
        <v>3546485.6059653913</v>
      </c>
      <c r="R108" s="31">
        <f t="shared" si="20"/>
        <v>4098373.4301024019</v>
      </c>
      <c r="S108" s="31">
        <f t="shared" si="20"/>
        <v>4787839.2886530347</v>
      </c>
      <c r="T108" s="31">
        <f t="shared" si="20"/>
        <v>5653054.0808842322</v>
      </c>
      <c r="U108" s="31">
        <f t="shared" si="20"/>
        <v>6695005.4389641937</v>
      </c>
      <c r="V108" s="31">
        <f t="shared" si="20"/>
        <v>7863563.4479048131</v>
      </c>
      <c r="W108" s="31">
        <f t="shared" si="20"/>
        <v>9330037.2920248602</v>
      </c>
      <c r="X108" s="31">
        <f t="shared" si="20"/>
        <v>10785436.132015795</v>
      </c>
      <c r="Y108" s="31">
        <f t="shared" si="20"/>
        <v>11437749.166807022</v>
      </c>
      <c r="Z108" s="31">
        <f t="shared" si="20"/>
        <v>11865705.657955049</v>
      </c>
      <c r="AA108" s="31">
        <f t="shared" si="20"/>
        <v>12154707.604729583</v>
      </c>
      <c r="AB108" s="31">
        <f t="shared" si="20"/>
        <v>12405712.158300115</v>
      </c>
      <c r="AC108" s="31">
        <f t="shared" si="20"/>
        <v>61708.288069574206</v>
      </c>
      <c r="AD108" s="31">
        <f t="shared" si="20"/>
        <v>62498.38634901218</v>
      </c>
      <c r="AE108" s="31">
        <f t="shared" si="20"/>
        <v>63288.484628450176</v>
      </c>
      <c r="AF108" s="31">
        <f t="shared" si="20"/>
        <v>64078.582907888158</v>
      </c>
      <c r="AG108" s="31">
        <f t="shared" si="20"/>
        <v>64868.681187326125</v>
      </c>
    </row>
    <row r="109" spans="1:43" x14ac:dyDescent="0.3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42766.204186080489</v>
      </c>
      <c r="J110" s="31" cm="1">
        <f t="array" ref="J110">J$106+IF($C110&lt;&gt;0,SUMPRODUCT((J$107:J$108)*TRANSPOSE(($D110:$E110))),0)</f>
        <v>-127910.57274224373</v>
      </c>
      <c r="K110" s="31" cm="1">
        <f t="array" ref="K110">K$106+IF($C110&lt;&gt;0,SUMPRODUCT((K$107:K$108)*TRANSPOSE(($D110:$E110))),0)</f>
        <v>-236483.15020166495</v>
      </c>
      <c r="L110" s="31" cm="1">
        <f t="array" ref="L110">L$106+IF($C110&lt;&gt;0,SUMPRODUCT((L$107:L$108)*TRANSPOSE(($D110:$E110))),0)</f>
        <v>-506768.47581099847</v>
      </c>
      <c r="M110" s="31" cm="1">
        <f t="array" ref="M110">M$106+IF($C110&lt;&gt;0,SUMPRODUCT((M$107:M$108)*TRANSPOSE(($D110:$E110))),0)</f>
        <v>-601101.07366367732</v>
      </c>
      <c r="N110" s="31" cm="1">
        <f t="array" ref="N110">N$106+IF($C110&lt;&gt;0,SUMPRODUCT((N$107:N$108)*TRANSPOSE(($D110:$E110))),0)</f>
        <v>-315553.25191323878</v>
      </c>
      <c r="O110" s="31" cm="1">
        <f t="array" ref="O110">O$106+IF($C110&lt;&gt;0,SUMPRODUCT((O$107:O$108)*TRANSPOSE(($D110:$E110))),0)</f>
        <v>-16781.579666611739</v>
      </c>
      <c r="P110" s="31" cm="1">
        <f t="array" ref="P110">P$106+IF($C110&lt;&gt;0,SUMPRODUCT((P$107:P$108)*TRANSPOSE(($D110:$E110))),0)</f>
        <v>352585.96392114973</v>
      </c>
      <c r="Q110" s="31" cm="1">
        <f t="array" ref="Q110">Q$106+IF($C110&lt;&gt;0,SUMPRODUCT((Q$107:Q$108)*TRANSPOSE(($D110:$E110))),0)</f>
        <v>795933.99237440433</v>
      </c>
      <c r="R110" s="31" cm="1">
        <f t="array" ref="R110">R$106+IF($C110&lt;&gt;0,SUMPRODUCT((R$107:R$108)*TRANSPOSE(($D110:$E110))),0)</f>
        <v>1347821.8165114149</v>
      </c>
      <c r="S110" s="31" cm="1">
        <f t="array" ref="S110">S$106+IF($C110&lt;&gt;0,SUMPRODUCT((S$107:S$108)*TRANSPOSE(($D110:$E110))),0)</f>
        <v>2037287.6750620478</v>
      </c>
      <c r="T110" s="31" cm="1">
        <f t="array" ref="T110">T$106+IF($C110&lt;&gt;0,SUMPRODUCT((T$107:T$108)*TRANSPOSE(($D110:$E110))),0)</f>
        <v>2902502.4672932453</v>
      </c>
      <c r="U110" s="31" cm="1">
        <f t="array" ref="U110">U$106+IF($C110&lt;&gt;0,SUMPRODUCT((U$107:U$108)*TRANSPOSE(($D110:$E110))),0)</f>
        <v>3944453.8253732068</v>
      </c>
      <c r="V110" s="31" cm="1">
        <f t="array" ref="V110">V$106+IF($C110&lt;&gt;0,SUMPRODUCT((V$107:V$108)*TRANSPOSE(($D110:$E110))),0)</f>
        <v>5113011.8343138266</v>
      </c>
      <c r="W110" s="31" cm="1">
        <f t="array" ref="W110">W$106+IF($C110&lt;&gt;0,SUMPRODUCT((W$107:W$108)*TRANSPOSE(($D110:$E110))),0)</f>
        <v>6579485.6784338728</v>
      </c>
      <c r="X110" s="31" cm="1">
        <f t="array" ref="X110">X$106+IF($C110&lt;&gt;0,SUMPRODUCT((X$107:X$108)*TRANSPOSE(($D110:$E110))),0)</f>
        <v>8034884.5184248071</v>
      </c>
      <c r="Y110" s="31" cm="1">
        <f t="array" ref="Y110">Y$106+IF($C110&lt;&gt;0,SUMPRODUCT((Y$107:Y$108)*TRANSPOSE(($D110:$E110))),0)</f>
        <v>8687197.5532160364</v>
      </c>
      <c r="Z110" s="31" cm="1">
        <f t="array" ref="Z110">Z$106+IF($C110&lt;&gt;0,SUMPRODUCT((Z$107:Z$108)*TRANSPOSE(($D110:$E110))),0)</f>
        <v>9115154.0443640612</v>
      </c>
      <c r="AA110" s="31" cm="1">
        <f t="array" ref="AA110">AA$106+IF($C110&lt;&gt;0,SUMPRODUCT((AA$107:AA$108)*TRANSPOSE(($D110:$E110))),0)</f>
        <v>9404155.9911385961</v>
      </c>
      <c r="AB110" s="31" cm="1">
        <f t="array" ref="AB110">AB$106+IF($C110&lt;&gt;0,SUMPRODUCT((AB$107:AB$108)*TRANSPOSE(($D110:$E110))),0)</f>
        <v>9655160.5447091274</v>
      </c>
      <c r="AC110" s="31" cm="1">
        <f t="array" ref="AC110">AC$106+IF($C110&lt;&gt;0,SUMPRODUCT((AC$107:AC$108)*TRANSPOSE(($D110:$E110))),0)</f>
        <v>-2688843.3255214128</v>
      </c>
      <c r="AD110" s="31" cm="1">
        <f t="array" ref="AD110">AD$106+IF($C110&lt;&gt;0,SUMPRODUCT((AD$107:AD$108)*TRANSPOSE(($D110:$E110))),0)</f>
        <v>-2688053.2272419748</v>
      </c>
      <c r="AE110" s="31" cm="1">
        <f t="array" ref="AE110">AE$106+IF($C110&lt;&gt;0,SUMPRODUCT((AE$107:AE$108)*TRANSPOSE(($D110:$E110))),0)</f>
        <v>-2687263.1289625368</v>
      </c>
      <c r="AF110" s="31" cm="1">
        <f t="array" ref="AF110">AF$106+IF($C110&lt;&gt;0,SUMPRODUCT((AF$107:AF$108)*TRANSPOSE(($D110:$E110))),0)</f>
        <v>-2686473.0306830988</v>
      </c>
      <c r="AG110" s="31" cm="1">
        <f t="array" ref="AG110">AG$106+IF($C110&lt;&gt;0,SUMPRODUCT((AG$107:AG$108)*TRANSPOSE(($D110:$E110))),0)</f>
        <v>-2685682.9324036608</v>
      </c>
    </row>
    <row r="111" spans="1:43" x14ac:dyDescent="0.3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42766.204186080489</v>
      </c>
      <c r="J111" s="31" cm="1">
        <f t="array" ref="J111">J$106+IF($C111&lt;&gt;0,SUMPRODUCT((J$107:J$108)*TRANSPOSE(($D111:$E111))),0)</f>
        <v>-2448.2196645809163</v>
      </c>
      <c r="K111" s="31" cm="1">
        <f t="array" ref="K111">K$106+IF($C111&lt;&gt;0,SUMPRODUCT((K$107:K$108)*TRANSPOSE(($D111:$E111))),0)</f>
        <v>-2725.3452911980567</v>
      </c>
      <c r="L111" s="31" cm="1">
        <f t="array" ref="L111">L$106+IF($C111&lt;&gt;0,SUMPRODUCT((L$107:L$108)*TRANSPOSE(($D111:$E111))),0)</f>
        <v>-166473.67551264647</v>
      </c>
      <c r="M111" s="31" cm="1">
        <f t="array" ref="M111">M$106+IF($C111&lt;&gt;0,SUMPRODUCT((M$107:M$108)*TRANSPOSE(($D111:$E111))),0)</f>
        <v>-154269.27797744027</v>
      </c>
      <c r="N111" s="31" cm="1">
        <f t="array" ref="N111">N$106+IF($C111&lt;&gt;0,SUMPRODUCT((N$107:N$108)*TRANSPOSE(($D111:$E111))),0)</f>
        <v>184547.04146694066</v>
      </c>
      <c r="O111" s="31" cm="1">
        <f t="array" ref="O111">O$106+IF($C111&lt;&gt;0,SUMPRODUCT((O$107:O$108)*TRANSPOSE(($D111:$E111))),0)</f>
        <v>483318.7137135677</v>
      </c>
      <c r="P111" s="31" cm="1">
        <f t="array" ref="P111">P$106+IF($C111&lt;&gt;0,SUMPRODUCT((P$107:P$108)*TRANSPOSE(($D111:$E111))),0)</f>
        <v>852686.25730132917</v>
      </c>
      <c r="Q111" s="31" cm="1">
        <f t="array" ref="Q111">Q$106+IF($C111&lt;&gt;0,SUMPRODUCT((Q$107:Q$108)*TRANSPOSE(($D111:$E111))),0)</f>
        <v>1296034.2857545838</v>
      </c>
      <c r="R111" s="31" cm="1">
        <f t="array" ref="R111">R$106+IF($C111&lt;&gt;0,SUMPRODUCT((R$107:R$108)*TRANSPOSE(($D111:$E111))),0)</f>
        <v>1847922.1098915944</v>
      </c>
      <c r="S111" s="31" cm="1">
        <f t="array" ref="S111">S$106+IF($C111&lt;&gt;0,SUMPRODUCT((S$107:S$108)*TRANSPOSE(($D111:$E111))),0)</f>
        <v>2537387.9684422272</v>
      </c>
      <c r="T111" s="31" cm="1">
        <f t="array" ref="T111">T$106+IF($C111&lt;&gt;0,SUMPRODUCT((T$107:T$108)*TRANSPOSE(($D111:$E111))),0)</f>
        <v>3402602.7606734247</v>
      </c>
      <c r="U111" s="31" cm="1">
        <f t="array" ref="U111">U$106+IF($C111&lt;&gt;0,SUMPRODUCT((U$107:U$108)*TRANSPOSE(($D111:$E111))),0)</f>
        <v>4444554.1187533867</v>
      </c>
      <c r="V111" s="31" cm="1">
        <f t="array" ref="V111">V$106+IF($C111&lt;&gt;0,SUMPRODUCT((V$107:V$108)*TRANSPOSE(($D111:$E111))),0)</f>
        <v>5613112.1276940051</v>
      </c>
      <c r="W111" s="31" cm="1">
        <f t="array" ref="W111">W$106+IF($C111&lt;&gt;0,SUMPRODUCT((W$107:W$108)*TRANSPOSE(($D111:$E111))),0)</f>
        <v>7079585.9718140531</v>
      </c>
      <c r="X111" s="31" cm="1">
        <f t="array" ref="X111">X$106+IF($C111&lt;&gt;0,SUMPRODUCT((X$107:X$108)*TRANSPOSE(($D111:$E111))),0)</f>
        <v>8534984.8118049875</v>
      </c>
      <c r="Y111" s="31" cm="1">
        <f t="array" ref="Y111">Y$106+IF($C111&lt;&gt;0,SUMPRODUCT((Y$107:Y$108)*TRANSPOSE(($D111:$E111))),0)</f>
        <v>9187297.8465962149</v>
      </c>
      <c r="Z111" s="31" cm="1">
        <f t="array" ref="Z111">Z$106+IF($C111&lt;&gt;0,SUMPRODUCT((Z$107:Z$108)*TRANSPOSE(($D111:$E111))),0)</f>
        <v>9615254.3377442397</v>
      </c>
      <c r="AA111" s="31" cm="1">
        <f t="array" ref="AA111">AA$106+IF($C111&lt;&gt;0,SUMPRODUCT((AA$107:AA$108)*TRANSPOSE(($D111:$E111))),0)</f>
        <v>9904256.2845187746</v>
      </c>
      <c r="AB111" s="31" cm="1">
        <f t="array" ref="AB111">AB$106+IF($C111&lt;&gt;0,SUMPRODUCT((AB$107:AB$108)*TRANSPOSE(($D111:$E111))),0)</f>
        <v>10155260.838089306</v>
      </c>
      <c r="AC111" s="31" cm="1">
        <f t="array" ref="AC111">AC$106+IF($C111&lt;&gt;0,SUMPRODUCT((AC$107:AC$108)*TRANSPOSE(($D111:$E111))),0)</f>
        <v>-2188743.0321412333</v>
      </c>
      <c r="AD111" s="31" cm="1">
        <f t="array" ref="AD111">AD$106+IF($C111&lt;&gt;0,SUMPRODUCT((AD$107:AD$108)*TRANSPOSE(($D111:$E111))),0)</f>
        <v>-2187952.9338617953</v>
      </c>
      <c r="AE111" s="31" cm="1">
        <f t="array" ref="AE111">AE$106+IF($C111&lt;&gt;0,SUMPRODUCT((AE$107:AE$108)*TRANSPOSE(($D111:$E111))),0)</f>
        <v>-2187162.8355823574</v>
      </c>
      <c r="AF111" s="31" cm="1">
        <f t="array" ref="AF111">AF$106+IF($C111&lt;&gt;0,SUMPRODUCT((AF$107:AF$108)*TRANSPOSE(($D111:$E111))),0)</f>
        <v>-2186372.7373029194</v>
      </c>
      <c r="AG111" s="31" cm="1">
        <f t="array" ref="AG111">AG$106+IF($C111&lt;&gt;0,SUMPRODUCT((AG$107:AG$108)*TRANSPOSE(($D111:$E111))),0)</f>
        <v>-2185582.6390234814</v>
      </c>
    </row>
    <row r="112" spans="1:43" x14ac:dyDescent="0.3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47042.82460468854</v>
      </c>
      <c r="J112" s="31" cm="1">
        <f t="array" ref="J112">J$106+IF($C112&lt;&gt;0,SUMPRODUCT((J$107:J$108)*TRANSPOSE(($D112:$E112))),0)</f>
        <v>-8966.1592849221488</v>
      </c>
      <c r="K112" s="31" cm="1">
        <f t="array" ref="K112">K$106+IF($C112&lt;&gt;0,SUMPRODUCT((K$107:K$108)*TRANSPOSE(($D112:$E112))),0)</f>
        <v>-14685.770065841207</v>
      </c>
      <c r="L112" s="31" cm="1">
        <f t="array" ref="L112">L$106+IF($C112&lt;&gt;0,SUMPRODUCT((L$107:L$108)*TRANSPOSE(($D112:$E112))),0)</f>
        <v>-200135.78307882874</v>
      </c>
      <c r="M112" s="31" cm="1">
        <f t="array" ref="M112">M$106+IF($C112&lt;&gt;0,SUMPRODUCT((M$107:M$108)*TRANSPOSE(($D112:$E112))),0)</f>
        <v>-192037.79555949615</v>
      </c>
      <c r="N112" s="31" cm="1">
        <f t="array" ref="N112">N$106+IF($C112&lt;&gt;0,SUMPRODUCT((N$107:N$108)*TRANSPOSE(($D112:$E112))),0)</f>
        <v>177996.73094462577</v>
      </c>
      <c r="O112" s="31" cm="1">
        <f t="array" ref="O112">O$106+IF($C112&lt;&gt;0,SUMPRODUCT((O$107:O$108)*TRANSPOSE(($D112:$E112))),0)</f>
        <v>506645.57041591551</v>
      </c>
      <c r="P112" s="31" cm="1">
        <f t="array" ref="P112">P$106+IF($C112&lt;&gt;0,SUMPRODUCT((P$107:P$108)*TRANSPOSE(($D112:$E112))),0)</f>
        <v>912949.86836245307</v>
      </c>
      <c r="Q112" s="31" cm="1">
        <f t="array" ref="Q112">Q$106+IF($C112&lt;&gt;0,SUMPRODUCT((Q$107:Q$108)*TRANSPOSE(($D112:$E112))),0)</f>
        <v>1400632.6996610332</v>
      </c>
      <c r="R112" s="31" cm="1">
        <f t="array" ref="R112">R$106+IF($C112&lt;&gt;0,SUMPRODUCT((R$107:R$108)*TRANSPOSE(($D112:$E112))),0)</f>
        <v>2007709.3062117449</v>
      </c>
      <c r="S112" s="31" cm="1">
        <f t="array" ref="S112">S$106+IF($C112&lt;&gt;0,SUMPRODUCT((S$107:S$108)*TRANSPOSE(($D112:$E112))),0)</f>
        <v>2766121.7506174408</v>
      </c>
      <c r="T112" s="31" cm="1">
        <f t="array" ref="T112">T$106+IF($C112&lt;&gt;0,SUMPRODUCT((T$107:T$108)*TRANSPOSE(($D112:$E112))),0)</f>
        <v>3717858.0220717583</v>
      </c>
      <c r="U112" s="31" cm="1">
        <f t="array" ref="U112">U$106+IF($C112&lt;&gt;0,SUMPRODUCT((U$107:U$108)*TRANSPOSE(($D112:$E112))),0)</f>
        <v>4864004.5159597155</v>
      </c>
      <c r="V112" s="31" cm="1">
        <f t="array" ref="V112">V$106+IF($C112&lt;&gt;0,SUMPRODUCT((V$107:V$108)*TRANSPOSE(($D112:$E112))),0)</f>
        <v>6149418.3257943969</v>
      </c>
      <c r="W112" s="31" cm="1">
        <f t="array" ref="W112">W$106+IF($C112&lt;&gt;0,SUMPRODUCT((W$107:W$108)*TRANSPOSE(($D112:$E112))),0)</f>
        <v>7762539.5543264486</v>
      </c>
      <c r="X112" s="31" cm="1">
        <f t="array" ref="X112">X$106+IF($C112&lt;&gt;0,SUMPRODUCT((X$107:X$108)*TRANSPOSE(($D112:$E112))),0)</f>
        <v>9363478.2783164773</v>
      </c>
      <c r="Y112" s="31" cm="1">
        <f t="array" ref="Y112">Y$106+IF($C112&lt;&gt;0,SUMPRODUCT((Y$107:Y$108)*TRANSPOSE(($D112:$E112))),0)</f>
        <v>10081022.616586829</v>
      </c>
      <c r="Z112" s="31" cm="1">
        <f t="array" ref="Z112">Z$106+IF($C112&lt;&gt;0,SUMPRODUCT((Z$107:Z$108)*TRANSPOSE(($D112:$E112))),0)</f>
        <v>10551774.756849656</v>
      </c>
      <c r="AA112" s="31" cm="1">
        <f t="array" ref="AA112">AA$106+IF($C112&lt;&gt;0,SUMPRODUCT((AA$107:AA$108)*TRANSPOSE(($D112:$E112))),0)</f>
        <v>10869676.898301644</v>
      </c>
      <c r="AB112" s="31" cm="1">
        <f t="array" ref="AB112">AB$106+IF($C112&lt;&gt;0,SUMPRODUCT((AB$107:AB$108)*TRANSPOSE(($D112:$E112))),0)</f>
        <v>11145781.907229228</v>
      </c>
      <c r="AC112" s="31" cm="1">
        <f t="array" ref="AC112">AC$106+IF($C112&lt;&gt;0,SUMPRODUCT((AC$107:AC$108)*TRANSPOSE(($D112:$E112))),0)</f>
        <v>-2432622.3500243658</v>
      </c>
      <c r="AD112" s="31" cm="1">
        <f t="array" ref="AD112">AD$106+IF($C112&lt;&gt;0,SUMPRODUCT((AD$107:AD$108)*TRANSPOSE(($D112:$E112))),0)</f>
        <v>-2431753.2419169839</v>
      </c>
      <c r="AE112" s="31" cm="1">
        <f t="array" ref="AE112">AE$106+IF($C112&lt;&gt;0,SUMPRODUCT((AE$107:AE$108)*TRANSPOSE(($D112:$E112))),0)</f>
        <v>-2430884.1338096019</v>
      </c>
      <c r="AF112" s="31" cm="1">
        <f t="array" ref="AF112">AF$106+IF($C112&lt;&gt;0,SUMPRODUCT((AF$107:AF$108)*TRANSPOSE(($D112:$E112))),0)</f>
        <v>-2430015.0257022204</v>
      </c>
      <c r="AG112" s="31" cm="1">
        <f t="array" ref="AG112">AG$106+IF($C112&lt;&gt;0,SUMPRODUCT((AG$107:AG$108)*TRANSPOSE(($D112:$E112))),0)</f>
        <v>-2429145.9175948384</v>
      </c>
    </row>
    <row r="113" spans="1:33" x14ac:dyDescent="0.3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38489.583767472439</v>
      </c>
      <c r="J113" s="31" cm="1">
        <f t="array" ref="J113">J$106+IF($C113&lt;&gt;0,SUMPRODUCT((J$107:J$108)*TRANSPOSE(($D113:$E113))),0)</f>
        <v>-121392.6331219025</v>
      </c>
      <c r="K113" s="31" cm="1">
        <f t="array" ref="K113">K$106+IF($C113&lt;&gt;0,SUMPRODUCT((K$107:K$108)*TRANSPOSE(($D113:$E113))),0)</f>
        <v>-224522.7254270218</v>
      </c>
      <c r="L113" s="31" cm="1">
        <f t="array" ref="L113">L$106+IF($C113&lt;&gt;0,SUMPRODUCT((L$107:L$108)*TRANSPOSE(($D113:$E113))),0)</f>
        <v>-473106.3682448162</v>
      </c>
      <c r="M113" s="31" cm="1">
        <f t="array" ref="M113">M$106+IF($C113&lt;&gt;0,SUMPRODUCT((M$107:M$108)*TRANSPOSE(($D113:$E113))),0)</f>
        <v>-563332.55608162144</v>
      </c>
      <c r="N113" s="31" cm="1">
        <f t="array" ref="N113">N$106+IF($C113&lt;&gt;0,SUMPRODUCT((N$107:N$108)*TRANSPOSE(($D113:$E113))),0)</f>
        <v>-309002.94139092392</v>
      </c>
      <c r="O113" s="31" cm="1">
        <f t="array" ref="O113">O$106+IF($C113&lt;&gt;0,SUMPRODUCT((O$107:O$108)*TRANSPOSE(($D113:$E113))),0)</f>
        <v>-40108.436368959548</v>
      </c>
      <c r="P113" s="31" cm="1">
        <f t="array" ref="P113">P$106+IF($C113&lt;&gt;0,SUMPRODUCT((P$107:P$108)*TRANSPOSE(($D113:$E113))),0)</f>
        <v>292322.35286002577</v>
      </c>
      <c r="Q113" s="31" cm="1">
        <f t="array" ref="Q113">Q$106+IF($C113&lt;&gt;0,SUMPRODUCT((Q$107:Q$108)*TRANSPOSE(($D113:$E113))),0)</f>
        <v>691335.57846795488</v>
      </c>
      <c r="R113" s="31" cm="1">
        <f t="array" ref="R113">R$106+IF($C113&lt;&gt;0,SUMPRODUCT((R$107:R$108)*TRANSPOSE(($D113:$E113))),0)</f>
        <v>1188034.6201912644</v>
      </c>
      <c r="S113" s="31" cm="1">
        <f t="array" ref="S113">S$106+IF($C113&lt;&gt;0,SUMPRODUCT((S$107:S$108)*TRANSPOSE(($D113:$E113))),0)</f>
        <v>1808553.892886834</v>
      </c>
      <c r="T113" s="31" cm="1">
        <f t="array" ref="T113">T$106+IF($C113&lt;&gt;0,SUMPRODUCT((T$107:T$108)*TRANSPOSE(($D113:$E113))),0)</f>
        <v>2587247.2058949117</v>
      </c>
      <c r="U113" s="31" cm="1">
        <f t="array" ref="U113">U$106+IF($C113&lt;&gt;0,SUMPRODUCT((U$107:U$108)*TRANSPOSE(($D113:$E113))),0)</f>
        <v>3525003.428166877</v>
      </c>
      <c r="V113" s="31" cm="1">
        <f t="array" ref="V113">V$106+IF($C113&lt;&gt;0,SUMPRODUCT((V$107:V$108)*TRANSPOSE(($D113:$E113))),0)</f>
        <v>4576705.6362134349</v>
      </c>
      <c r="W113" s="31" cm="1">
        <f t="array" ref="W113">W$106+IF($C113&lt;&gt;0,SUMPRODUCT((W$107:W$108)*TRANSPOSE(($D113:$E113))),0)</f>
        <v>5896532.0959214773</v>
      </c>
      <c r="X113" s="31" cm="1">
        <f t="array" ref="X113">X$106+IF($C113&lt;&gt;0,SUMPRODUCT((X$107:X$108)*TRANSPOSE(($D113:$E113))),0)</f>
        <v>7206391.0519133173</v>
      </c>
      <c r="Y113" s="31" cm="1">
        <f t="array" ref="Y113">Y$106+IF($C113&lt;&gt;0,SUMPRODUCT((Y$107:Y$108)*TRANSPOSE(($D113:$E113))),0)</f>
        <v>7793472.7832254237</v>
      </c>
      <c r="Z113" s="31" cm="1">
        <f t="array" ref="Z113">Z$106+IF($C113&lt;&gt;0,SUMPRODUCT((Z$107:Z$108)*TRANSPOSE(($D113:$E113))),0)</f>
        <v>8178633.625258645</v>
      </c>
      <c r="AA113" s="31" cm="1">
        <f t="array" ref="AA113">AA$106+IF($C113&lt;&gt;0,SUMPRODUCT((AA$107:AA$108)*TRANSPOSE(($D113:$E113))),0)</f>
        <v>8438735.3773557264</v>
      </c>
      <c r="AB113" s="31" cm="1">
        <f t="array" ref="AB113">AB$106+IF($C113&lt;&gt;0,SUMPRODUCT((AB$107:AB$108)*TRANSPOSE(($D113:$E113))),0)</f>
        <v>8664639.4755692054</v>
      </c>
      <c r="AC113" s="31" cm="1">
        <f t="array" ref="AC113">AC$106+IF($C113&lt;&gt;0,SUMPRODUCT((AC$107:AC$108)*TRANSPOSE(($D113:$E113))),0)</f>
        <v>-2444964.0076382803</v>
      </c>
      <c r="AD113" s="31" cm="1">
        <f t="array" ref="AD113">AD$106+IF($C113&lt;&gt;0,SUMPRODUCT((AD$107:AD$108)*TRANSPOSE(($D113:$E113))),0)</f>
        <v>-2444252.9191867863</v>
      </c>
      <c r="AE113" s="31" cm="1">
        <f t="array" ref="AE113">AE$106+IF($C113&lt;&gt;0,SUMPRODUCT((AE$107:AE$108)*TRANSPOSE(($D113:$E113))),0)</f>
        <v>-2443541.8307352923</v>
      </c>
      <c r="AF113" s="31" cm="1">
        <f t="array" ref="AF113">AF$106+IF($C113&lt;&gt;0,SUMPRODUCT((AF$107:AF$108)*TRANSPOSE(($D113:$E113))),0)</f>
        <v>-2442830.7422837978</v>
      </c>
      <c r="AG113" s="31" cm="1">
        <f t="array" ref="AG113">AG$106+IF($C113&lt;&gt;0,SUMPRODUCT((AG$107:AG$108)*TRANSPOSE(($D113:$E113))),0)</f>
        <v>-2442119.6538323038</v>
      </c>
    </row>
    <row r="114" spans="1:33" x14ac:dyDescent="0.3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38489.583767472439</v>
      </c>
      <c r="J114" s="31" cm="1">
        <f t="array" ref="J114">J$106+IF($C114&lt;&gt;0,SUMPRODUCT((J$107:J$108)*TRANSPOSE(($D114:$E114))),0)</f>
        <v>-184123.80966073391</v>
      </c>
      <c r="K114" s="31" cm="1">
        <f t="array" ref="K114">K$106+IF($C114&lt;&gt;0,SUMPRODUCT((K$107:K$108)*TRANSPOSE(($D114:$E114))),0)</f>
        <v>-341401.62788225524</v>
      </c>
      <c r="L114" s="31" cm="1">
        <f t="array" ref="L114">L$106+IF($C114&lt;&gt;0,SUMPRODUCT((L$107:L$108)*TRANSPOSE(($D114:$E114))),0)</f>
        <v>-643253.76839399221</v>
      </c>
      <c r="M114" s="31" cm="1">
        <f t="array" ref="M114">M$106+IF($C114&lt;&gt;0,SUMPRODUCT((M$107:M$108)*TRANSPOSE(($D114:$E114))),0)</f>
        <v>-786748.45392473997</v>
      </c>
      <c r="N114" s="31" cm="1">
        <f t="array" ref="N114">N$106+IF($C114&lt;&gt;0,SUMPRODUCT((N$107:N$108)*TRANSPOSE(($D114:$E114))),0)</f>
        <v>-559053.08808101364</v>
      </c>
      <c r="O114" s="31" cm="1">
        <f t="array" ref="O114">O$106+IF($C114&lt;&gt;0,SUMPRODUCT((O$107:O$108)*TRANSPOSE(($D114:$E114))),0)</f>
        <v>-290158.58305904927</v>
      </c>
      <c r="P114" s="31" cm="1">
        <f t="array" ref="P114">P$106+IF($C114&lt;&gt;0,SUMPRODUCT((P$107:P$108)*TRANSPOSE(($D114:$E114))),0)</f>
        <v>42272.206169936107</v>
      </c>
      <c r="Q114" s="31" cm="1">
        <f t="array" ref="Q114">Q$106+IF($C114&lt;&gt;0,SUMPRODUCT((Q$107:Q$108)*TRANSPOSE(($D114:$E114))),0)</f>
        <v>441285.43177786516</v>
      </c>
      <c r="R114" s="31" cm="1">
        <f t="array" ref="R114">R$106+IF($C114&lt;&gt;0,SUMPRODUCT((R$107:R$108)*TRANSPOSE(($D114:$E114))),0)</f>
        <v>937984.47350117471</v>
      </c>
      <c r="S114" s="31" cm="1">
        <f t="array" ref="S114">S$106+IF($C114&lt;&gt;0,SUMPRODUCT((S$107:S$108)*TRANSPOSE(($D114:$E114))),0)</f>
        <v>1558503.7461967443</v>
      </c>
      <c r="T114" s="31" cm="1">
        <f t="array" ref="T114">T$106+IF($C114&lt;&gt;0,SUMPRODUCT((T$107:T$108)*TRANSPOSE(($D114:$E114))),0)</f>
        <v>2337197.0592048219</v>
      </c>
      <c r="U114" s="31" cm="1">
        <f t="array" ref="U114">U$106+IF($C114&lt;&gt;0,SUMPRODUCT((U$107:U$108)*TRANSPOSE(($D114:$E114))),0)</f>
        <v>3274953.2814767873</v>
      </c>
      <c r="V114" s="31" cm="1">
        <f t="array" ref="V114">V$106+IF($C114&lt;&gt;0,SUMPRODUCT((V$107:V$108)*TRANSPOSE(($D114:$E114))),0)</f>
        <v>4326655.4895233447</v>
      </c>
      <c r="W114" s="31" cm="1">
        <f t="array" ref="W114">W$106+IF($C114&lt;&gt;0,SUMPRODUCT((W$107:W$108)*TRANSPOSE(($D114:$E114))),0)</f>
        <v>5646481.9492313871</v>
      </c>
      <c r="X114" s="31" cm="1">
        <f t="array" ref="X114">X$106+IF($C114&lt;&gt;0,SUMPRODUCT((X$107:X$108)*TRANSPOSE(($D114:$E114))),0)</f>
        <v>6956340.905223228</v>
      </c>
      <c r="Y114" s="31" cm="1">
        <f t="array" ref="Y114">Y$106+IF($C114&lt;&gt;0,SUMPRODUCT((Y$107:Y$108)*TRANSPOSE(($D114:$E114))),0)</f>
        <v>7543422.6365353335</v>
      </c>
      <c r="Z114" s="31" cm="1">
        <f t="array" ref="Z114">Z$106+IF($C114&lt;&gt;0,SUMPRODUCT((Z$107:Z$108)*TRANSPOSE(($D114:$E114))),0)</f>
        <v>7928583.4785685558</v>
      </c>
      <c r="AA114" s="31" cm="1">
        <f t="array" ref="AA114">AA$106+IF($C114&lt;&gt;0,SUMPRODUCT((AA$107:AA$108)*TRANSPOSE(($D114:$E114))),0)</f>
        <v>8188685.2306656372</v>
      </c>
      <c r="AB114" s="31" cm="1">
        <f t="array" ref="AB114">AB$106+IF($C114&lt;&gt;0,SUMPRODUCT((AB$107:AB$108)*TRANSPOSE(($D114:$E114))),0)</f>
        <v>8414589.3288791161</v>
      </c>
      <c r="AC114" s="31" cm="1">
        <f t="array" ref="AC114">AC$106+IF($C114&lt;&gt;0,SUMPRODUCT((AC$107:AC$108)*TRANSPOSE(($D114:$E114))),0)</f>
        <v>-2695014.15432837</v>
      </c>
      <c r="AD114" s="31" cm="1">
        <f t="array" ref="AD114">AD$106+IF($C114&lt;&gt;0,SUMPRODUCT((AD$107:AD$108)*TRANSPOSE(($D114:$E114))),0)</f>
        <v>-2694303.065876876</v>
      </c>
      <c r="AE114" s="31" cm="1">
        <f t="array" ref="AE114">AE$106+IF($C114&lt;&gt;0,SUMPRODUCT((AE$107:AE$108)*TRANSPOSE(($D114:$E114))),0)</f>
        <v>-2693591.977425382</v>
      </c>
      <c r="AF114" s="31" cm="1">
        <f t="array" ref="AF114">AF$106+IF($C114&lt;&gt;0,SUMPRODUCT((AF$107:AF$108)*TRANSPOSE(($D114:$E114))),0)</f>
        <v>-2692880.8889738875</v>
      </c>
      <c r="AG114" s="31" cm="1">
        <f t="array" ref="AG114">AG$106+IF($C114&lt;&gt;0,SUMPRODUCT((AG$107:AG$108)*TRANSPOSE(($D114:$E114))),0)</f>
        <v>-2692169.8005223935</v>
      </c>
    </row>
    <row r="115" spans="1:33" x14ac:dyDescent="0.3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42766.204186080489</v>
      </c>
      <c r="J115" s="31" cm="1">
        <f t="array" ref="J115">J$106+IF($C115&lt;&gt;0,SUMPRODUCT((J$107:J$108)*TRANSPOSE(($D115:$E115))),0)</f>
        <v>-65179.396203412325</v>
      </c>
      <c r="K115" s="31" cm="1">
        <f t="array" ref="K115">K$106+IF($C115&lt;&gt;0,SUMPRODUCT((K$107:K$108)*TRANSPOSE(($D115:$E115))),0)</f>
        <v>-119604.2477464315</v>
      </c>
      <c r="L115" s="31" cm="1">
        <f t="array" ref="L115">L$106+IF($C115&lt;&gt;0,SUMPRODUCT((L$107:L$108)*TRANSPOSE(($D115:$E115))),0)</f>
        <v>-336621.07566182246</v>
      </c>
      <c r="M115" s="31" cm="1">
        <f t="array" ref="M115">M$106+IF($C115&lt;&gt;0,SUMPRODUCT((M$107:M$108)*TRANSPOSE(($D115:$E115))),0)</f>
        <v>-377685.1758205588</v>
      </c>
      <c r="N115" s="31" cm="1">
        <f t="array" ref="N115">N$106+IF($C115&lt;&gt;0,SUMPRODUCT((N$107:N$108)*TRANSPOSE(($D115:$E115))),0)</f>
        <v>-65503.105223149061</v>
      </c>
      <c r="O115" s="31" cm="1">
        <f t="array" ref="O115">O$106+IF($C115&lt;&gt;0,SUMPRODUCT((O$107:O$108)*TRANSPOSE(($D115:$E115))),0)</f>
        <v>233268.56702347798</v>
      </c>
      <c r="P115" s="31" cm="1">
        <f t="array" ref="P115">P$106+IF($C115&lt;&gt;0,SUMPRODUCT((P$107:P$108)*TRANSPOSE(($D115:$E115))),0)</f>
        <v>602636.11061123945</v>
      </c>
      <c r="Q115" s="31" cm="1">
        <f t="array" ref="Q115">Q$106+IF($C115&lt;&gt;0,SUMPRODUCT((Q$107:Q$108)*TRANSPOSE(($D115:$E115))),0)</f>
        <v>1045984.1390644941</v>
      </c>
      <c r="R115" s="31" cm="1">
        <f t="array" ref="R115">R$106+IF($C115&lt;&gt;0,SUMPRODUCT((R$107:R$108)*TRANSPOSE(($D115:$E115))),0)</f>
        <v>1597871.9632015047</v>
      </c>
      <c r="S115" s="31" cm="1">
        <f t="array" ref="S115">S$106+IF($C115&lt;&gt;0,SUMPRODUCT((S$107:S$108)*TRANSPOSE(($D115:$E115))),0)</f>
        <v>2287337.8217521375</v>
      </c>
      <c r="T115" s="31" cm="1">
        <f t="array" ref="T115">T$106+IF($C115&lt;&gt;0,SUMPRODUCT((T$107:T$108)*TRANSPOSE(($D115:$E115))),0)</f>
        <v>3152552.613983335</v>
      </c>
      <c r="U115" s="31" cm="1">
        <f t="array" ref="U115">U$106+IF($C115&lt;&gt;0,SUMPRODUCT((U$107:U$108)*TRANSPOSE(($D115:$E115))),0)</f>
        <v>4194503.9720632965</v>
      </c>
      <c r="V115" s="31" cm="1">
        <f t="array" ref="V115">V$106+IF($C115&lt;&gt;0,SUMPRODUCT((V$107:V$108)*TRANSPOSE(($D115:$E115))),0)</f>
        <v>5363061.9810039159</v>
      </c>
      <c r="W115" s="31" cm="1">
        <f t="array" ref="W115">W$106+IF($C115&lt;&gt;0,SUMPRODUCT((W$107:W$108)*TRANSPOSE(($D115:$E115))),0)</f>
        <v>6829535.8251239629</v>
      </c>
      <c r="X115" s="31" cm="1">
        <f t="array" ref="X115">X$106+IF($C115&lt;&gt;0,SUMPRODUCT((X$107:X$108)*TRANSPOSE(($D115:$E115))),0)</f>
        <v>8284934.6651148973</v>
      </c>
      <c r="Y115" s="31" cm="1">
        <f t="array" ref="Y115">Y$106+IF($C115&lt;&gt;0,SUMPRODUCT((Y$107:Y$108)*TRANSPOSE(($D115:$E115))),0)</f>
        <v>8937247.6999061257</v>
      </c>
      <c r="Z115" s="31" cm="1">
        <f t="array" ref="Z115">Z$106+IF($C115&lt;&gt;0,SUMPRODUCT((Z$107:Z$108)*TRANSPOSE(($D115:$E115))),0)</f>
        <v>9365204.1910541505</v>
      </c>
      <c r="AA115" s="31" cm="1">
        <f t="array" ref="AA115">AA$106+IF($C115&lt;&gt;0,SUMPRODUCT((AA$107:AA$108)*TRANSPOSE(($D115:$E115))),0)</f>
        <v>9654206.1378286853</v>
      </c>
      <c r="AB115" s="31" cm="1">
        <f t="array" ref="AB115">AB$106+IF($C115&lt;&gt;0,SUMPRODUCT((AB$107:AB$108)*TRANSPOSE(($D115:$E115))),0)</f>
        <v>9905210.6913992167</v>
      </c>
      <c r="AC115" s="31" cm="1">
        <f t="array" ref="AC115">AC$106+IF($C115&lt;&gt;0,SUMPRODUCT((AC$107:AC$108)*TRANSPOSE(($D115:$E115))),0)</f>
        <v>-2438793.178831323</v>
      </c>
      <c r="AD115" s="31" cm="1">
        <f t="array" ref="AD115">AD$106+IF($C115&lt;&gt;0,SUMPRODUCT((AD$107:AD$108)*TRANSPOSE(($D115:$E115))),0)</f>
        <v>-2438003.0805518851</v>
      </c>
      <c r="AE115" s="31" cm="1">
        <f t="array" ref="AE115">AE$106+IF($C115&lt;&gt;0,SUMPRODUCT((AE$107:AE$108)*TRANSPOSE(($D115:$E115))),0)</f>
        <v>-2437212.9822724471</v>
      </c>
      <c r="AF115" s="31" cm="1">
        <f t="array" ref="AF115">AF$106+IF($C115&lt;&gt;0,SUMPRODUCT((AF$107:AF$108)*TRANSPOSE(($D115:$E115))),0)</f>
        <v>-2436422.8839930091</v>
      </c>
      <c r="AG115" s="31" cm="1">
        <f t="array" ref="AG115">AG$106+IF($C115&lt;&gt;0,SUMPRODUCT((AG$107:AG$108)*TRANSPOSE(($D115:$E115))),0)</f>
        <v>-2435632.7857135711</v>
      </c>
    </row>
    <row r="116" spans="1:33" x14ac:dyDescent="0.3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42766.204186080489</v>
      </c>
      <c r="J116" s="31" cm="1">
        <f t="array" ref="J116">J$106+IF($C116&lt;&gt;0,SUMPRODUCT((J$107:J$108)*TRANSPOSE(($D116:$E116))),0)</f>
        <v>-65179.396203412325</v>
      </c>
      <c r="K116" s="31" cm="1">
        <f t="array" ref="K116">K$106+IF($C116&lt;&gt;0,SUMPRODUCT((K$107:K$108)*TRANSPOSE(($D116:$E116))),0)</f>
        <v>-119604.2477464315</v>
      </c>
      <c r="L116" s="31" cm="1">
        <f t="array" ref="L116">L$106+IF($C116&lt;&gt;0,SUMPRODUCT((L$107:L$108)*TRANSPOSE(($D116:$E116))),0)</f>
        <v>-336621.07566182246</v>
      </c>
      <c r="M116" s="31" cm="1">
        <f t="array" ref="M116">M$106+IF($C116&lt;&gt;0,SUMPRODUCT((M$107:M$108)*TRANSPOSE(($D116:$E116))),0)</f>
        <v>-377685.1758205588</v>
      </c>
      <c r="N116" s="31" cm="1">
        <f t="array" ref="N116">N$106+IF($C116&lt;&gt;0,SUMPRODUCT((N$107:N$108)*TRANSPOSE(($D116:$E116))),0)</f>
        <v>-65503.105223149061</v>
      </c>
      <c r="O116" s="31" cm="1">
        <f t="array" ref="O116">O$106+IF($C116&lt;&gt;0,SUMPRODUCT((O$107:O$108)*TRANSPOSE(($D116:$E116))),0)</f>
        <v>233268.56702347798</v>
      </c>
      <c r="P116" s="31" cm="1">
        <f t="array" ref="P116">P$106+IF($C116&lt;&gt;0,SUMPRODUCT((P$107:P$108)*TRANSPOSE(($D116:$E116))),0)</f>
        <v>602636.11061123945</v>
      </c>
      <c r="Q116" s="31" cm="1">
        <f t="array" ref="Q116">Q$106+IF($C116&lt;&gt;0,SUMPRODUCT((Q$107:Q$108)*TRANSPOSE(($D116:$E116))),0)</f>
        <v>1045984.1390644941</v>
      </c>
      <c r="R116" s="31" cm="1">
        <f t="array" ref="R116">R$106+IF($C116&lt;&gt;0,SUMPRODUCT((R$107:R$108)*TRANSPOSE(($D116:$E116))),0)</f>
        <v>1597871.9632015047</v>
      </c>
      <c r="S116" s="31" cm="1">
        <f t="array" ref="S116">S$106+IF($C116&lt;&gt;0,SUMPRODUCT((S$107:S$108)*TRANSPOSE(($D116:$E116))),0)</f>
        <v>2287337.8217521375</v>
      </c>
      <c r="T116" s="31" cm="1">
        <f t="array" ref="T116">T$106+IF($C116&lt;&gt;0,SUMPRODUCT((T$107:T$108)*TRANSPOSE(($D116:$E116))),0)</f>
        <v>3152552.613983335</v>
      </c>
      <c r="U116" s="31" cm="1">
        <f t="array" ref="U116">U$106+IF($C116&lt;&gt;0,SUMPRODUCT((U$107:U$108)*TRANSPOSE(($D116:$E116))),0)</f>
        <v>4194503.9720632965</v>
      </c>
      <c r="V116" s="31" cm="1">
        <f t="array" ref="V116">V$106+IF($C116&lt;&gt;0,SUMPRODUCT((V$107:V$108)*TRANSPOSE(($D116:$E116))),0)</f>
        <v>5363061.9810039159</v>
      </c>
      <c r="W116" s="31" cm="1">
        <f t="array" ref="W116">W$106+IF($C116&lt;&gt;0,SUMPRODUCT((W$107:W$108)*TRANSPOSE(($D116:$E116))),0)</f>
        <v>6829535.8251239629</v>
      </c>
      <c r="X116" s="31" cm="1">
        <f t="array" ref="X116">X$106+IF($C116&lt;&gt;0,SUMPRODUCT((X$107:X$108)*TRANSPOSE(($D116:$E116))),0)</f>
        <v>8284934.6651148973</v>
      </c>
      <c r="Y116" s="31" cm="1">
        <f t="array" ref="Y116">Y$106+IF($C116&lt;&gt;0,SUMPRODUCT((Y$107:Y$108)*TRANSPOSE(($D116:$E116))),0)</f>
        <v>8937247.6999061257</v>
      </c>
      <c r="Z116" s="31" cm="1">
        <f t="array" ref="Z116">Z$106+IF($C116&lt;&gt;0,SUMPRODUCT((Z$107:Z$108)*TRANSPOSE(($D116:$E116))),0)</f>
        <v>9365204.1910541505</v>
      </c>
      <c r="AA116" s="31" cm="1">
        <f t="array" ref="AA116">AA$106+IF($C116&lt;&gt;0,SUMPRODUCT((AA$107:AA$108)*TRANSPOSE(($D116:$E116))),0)</f>
        <v>9654206.1378286853</v>
      </c>
      <c r="AB116" s="31" cm="1">
        <f t="array" ref="AB116">AB$106+IF($C116&lt;&gt;0,SUMPRODUCT((AB$107:AB$108)*TRANSPOSE(($D116:$E116))),0)</f>
        <v>9905210.6913992167</v>
      </c>
      <c r="AC116" s="31" cm="1">
        <f t="array" ref="AC116">AC$106+IF($C116&lt;&gt;0,SUMPRODUCT((AC$107:AC$108)*TRANSPOSE(($D116:$E116))),0)</f>
        <v>-2438793.178831323</v>
      </c>
      <c r="AD116" s="31" cm="1">
        <f t="array" ref="AD116">AD$106+IF($C116&lt;&gt;0,SUMPRODUCT((AD$107:AD$108)*TRANSPOSE(($D116:$E116))),0)</f>
        <v>-2438003.0805518851</v>
      </c>
      <c r="AE116" s="31" cm="1">
        <f t="array" ref="AE116">AE$106+IF($C116&lt;&gt;0,SUMPRODUCT((AE$107:AE$108)*TRANSPOSE(($D116:$E116))),0)</f>
        <v>-2437212.9822724471</v>
      </c>
      <c r="AF116" s="31" cm="1">
        <f t="array" ref="AF116">AF$106+IF($C116&lt;&gt;0,SUMPRODUCT((AF$107:AF$108)*TRANSPOSE(($D116:$E116))),0)</f>
        <v>-2436422.8839930091</v>
      </c>
      <c r="AG116" s="31" cm="1">
        <f t="array" ref="AG116">AG$106+IF($C116&lt;&gt;0,SUMPRODUCT((AG$107:AG$108)*TRANSPOSE(($D116:$E116))),0)</f>
        <v>-2435632.7857135711</v>
      </c>
    </row>
    <row r="117" spans="1:33" x14ac:dyDescent="0.3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42766.204186080489</v>
      </c>
      <c r="J117" s="31" cm="1">
        <f t="array" ref="J117">J$106+IF($C117&lt;&gt;0,SUMPRODUCT((J$107:J$108)*TRANSPOSE(($D117:$E117))),0)</f>
        <v>-65179.396203412325</v>
      </c>
      <c r="K117" s="31" cm="1">
        <f t="array" ref="K117">K$106+IF($C117&lt;&gt;0,SUMPRODUCT((K$107:K$108)*TRANSPOSE(($D117:$E117))),0)</f>
        <v>-119604.2477464315</v>
      </c>
      <c r="L117" s="31" cm="1">
        <f t="array" ref="L117">L$106+IF($C117&lt;&gt;0,SUMPRODUCT((L$107:L$108)*TRANSPOSE(($D117:$E117))),0)</f>
        <v>-336621.07566182246</v>
      </c>
      <c r="M117" s="31" cm="1">
        <f t="array" ref="M117">M$106+IF($C117&lt;&gt;0,SUMPRODUCT((M$107:M$108)*TRANSPOSE(($D117:$E117))),0)</f>
        <v>-377685.1758205588</v>
      </c>
      <c r="N117" s="31" cm="1">
        <f t="array" ref="N117">N$106+IF($C117&lt;&gt;0,SUMPRODUCT((N$107:N$108)*TRANSPOSE(($D117:$E117))),0)</f>
        <v>-65503.105223149061</v>
      </c>
      <c r="O117" s="31" cm="1">
        <f t="array" ref="O117">O$106+IF($C117&lt;&gt;0,SUMPRODUCT((O$107:O$108)*TRANSPOSE(($D117:$E117))),0)</f>
        <v>233268.56702347798</v>
      </c>
      <c r="P117" s="31" cm="1">
        <f t="array" ref="P117">P$106+IF($C117&lt;&gt;0,SUMPRODUCT((P$107:P$108)*TRANSPOSE(($D117:$E117))),0)</f>
        <v>602636.11061123945</v>
      </c>
      <c r="Q117" s="31" cm="1">
        <f t="array" ref="Q117">Q$106+IF($C117&lt;&gt;0,SUMPRODUCT((Q$107:Q$108)*TRANSPOSE(($D117:$E117))),0)</f>
        <v>1045984.1390644941</v>
      </c>
      <c r="R117" s="31" cm="1">
        <f t="array" ref="R117">R$106+IF($C117&lt;&gt;0,SUMPRODUCT((R$107:R$108)*TRANSPOSE(($D117:$E117))),0)</f>
        <v>1597871.9632015047</v>
      </c>
      <c r="S117" s="31" cm="1">
        <f t="array" ref="S117">S$106+IF($C117&lt;&gt;0,SUMPRODUCT((S$107:S$108)*TRANSPOSE(($D117:$E117))),0)</f>
        <v>2287337.8217521375</v>
      </c>
      <c r="T117" s="31" cm="1">
        <f t="array" ref="T117">T$106+IF($C117&lt;&gt;0,SUMPRODUCT((T$107:T$108)*TRANSPOSE(($D117:$E117))),0)</f>
        <v>3152552.613983335</v>
      </c>
      <c r="U117" s="31" cm="1">
        <f t="array" ref="U117">U$106+IF($C117&lt;&gt;0,SUMPRODUCT((U$107:U$108)*TRANSPOSE(($D117:$E117))),0)</f>
        <v>4194503.9720632965</v>
      </c>
      <c r="V117" s="31" cm="1">
        <f t="array" ref="V117">V$106+IF($C117&lt;&gt;0,SUMPRODUCT((V$107:V$108)*TRANSPOSE(($D117:$E117))),0)</f>
        <v>5363061.9810039159</v>
      </c>
      <c r="W117" s="31" cm="1">
        <f t="array" ref="W117">W$106+IF($C117&lt;&gt;0,SUMPRODUCT((W$107:W$108)*TRANSPOSE(($D117:$E117))),0)</f>
        <v>6829535.8251239629</v>
      </c>
      <c r="X117" s="31" cm="1">
        <f t="array" ref="X117">X$106+IF($C117&lt;&gt;0,SUMPRODUCT((X$107:X$108)*TRANSPOSE(($D117:$E117))),0)</f>
        <v>8284934.6651148973</v>
      </c>
      <c r="Y117" s="31" cm="1">
        <f t="array" ref="Y117">Y$106+IF($C117&lt;&gt;0,SUMPRODUCT((Y$107:Y$108)*TRANSPOSE(($D117:$E117))),0)</f>
        <v>8937247.6999061257</v>
      </c>
      <c r="Z117" s="31" cm="1">
        <f t="array" ref="Z117">Z$106+IF($C117&lt;&gt;0,SUMPRODUCT((Z$107:Z$108)*TRANSPOSE(($D117:$E117))),0)</f>
        <v>9365204.1910541505</v>
      </c>
      <c r="AA117" s="31" cm="1">
        <f t="array" ref="AA117">AA$106+IF($C117&lt;&gt;0,SUMPRODUCT((AA$107:AA$108)*TRANSPOSE(($D117:$E117))),0)</f>
        <v>9654206.1378286853</v>
      </c>
      <c r="AB117" s="31" cm="1">
        <f t="array" ref="AB117">AB$106+IF($C117&lt;&gt;0,SUMPRODUCT((AB$107:AB$108)*TRANSPOSE(($D117:$E117))),0)</f>
        <v>9905210.6913992167</v>
      </c>
      <c r="AC117" s="31" cm="1">
        <f t="array" ref="AC117">AC$106+IF($C117&lt;&gt;0,SUMPRODUCT((AC$107:AC$108)*TRANSPOSE(($D117:$E117))),0)</f>
        <v>-2438793.178831323</v>
      </c>
      <c r="AD117" s="31" cm="1">
        <f t="array" ref="AD117">AD$106+IF($C117&lt;&gt;0,SUMPRODUCT((AD$107:AD$108)*TRANSPOSE(($D117:$E117))),0)</f>
        <v>-2438003.0805518851</v>
      </c>
      <c r="AE117" s="31" cm="1">
        <f t="array" ref="AE117">AE$106+IF($C117&lt;&gt;0,SUMPRODUCT((AE$107:AE$108)*TRANSPOSE(($D117:$E117))),0)</f>
        <v>-2437212.9822724471</v>
      </c>
      <c r="AF117" s="31" cm="1">
        <f t="array" ref="AF117">AF$106+IF($C117&lt;&gt;0,SUMPRODUCT((AF$107:AF$108)*TRANSPOSE(($D117:$E117))),0)</f>
        <v>-2436422.8839930091</v>
      </c>
      <c r="AG117" s="31" cm="1">
        <f t="array" ref="AG117">AG$106+IF($C117&lt;&gt;0,SUMPRODUCT((AG$107:AG$108)*TRANSPOSE(($D117:$E117))),0)</f>
        <v>-2435632.7857135711</v>
      </c>
    </row>
  </sheetData>
  <conditionalFormatting sqref="E14:E16">
    <cfRule type="expression" dxfId="7" priority="1">
      <formula>AND(SUM($I14:$AB14)&lt;&gt;0, E14=0)</formula>
    </cfRule>
  </conditionalFormatting>
  <conditionalFormatting sqref="E28">
    <cfRule type="expression" dxfId="6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I14" sqref="I14"/>
      <selection pane="topRight" activeCell="I14" sqref="I14"/>
      <selection pane="bottomLeft" activeCell="I14" sqref="I14"/>
      <selection pane="bottomRight" activeCell="H11" sqref="H11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3.90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Ttransformer rebuild - KYM, NKA, PLD, MNA &amp; WBL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134</v>
      </c>
      <c r="B3" s="5"/>
      <c r="C3" s="200" t="str">
        <f>INDEX(Assumptions!$E$14:$E$18, MATCH(A3,_xlfn.ANCHORARRAY( Assumptions!$C$14),0))</f>
        <v>Refurbish Hawker Siddeley CBs (only at KYM, PLD and WBL ZSS)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3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tr">
        <f>'Option1 (base case)'!C14</f>
        <v>Switch capex</v>
      </c>
      <c r="D14"/>
      <c r="E14" s="148">
        <f>'Option1 (base case)'!E14</f>
        <v>50</v>
      </c>
      <c r="G14" s="207">
        <f>input_dollars</f>
        <v>45291</v>
      </c>
      <c r="H14" s="149"/>
      <c r="I14" s="32">
        <v>4690124.5602750955</v>
      </c>
      <c r="J14" s="32">
        <v>4093064.2285201279</v>
      </c>
      <c r="K14" s="32">
        <v>4026602.7562209899</v>
      </c>
      <c r="L14" s="32">
        <v>4026602.7562209899</v>
      </c>
      <c r="M14" s="32">
        <v>2013301.3781104949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 t="str">
        <f>'Option1 (base case)'!C15</f>
        <v>Relay capex</v>
      </c>
      <c r="D15"/>
      <c r="E15" s="148">
        <f>'Option1 (base case)'!E15</f>
        <v>25</v>
      </c>
      <c r="G15" s="207">
        <f>input_dollars</f>
        <v>45291</v>
      </c>
      <c r="H15" s="2"/>
      <c r="I15" s="32">
        <v>3871817.5134649854</v>
      </c>
      <c r="J15" s="32">
        <v>3871817.5134649854</v>
      </c>
      <c r="K15" s="32">
        <v>3808948.5531820171</v>
      </c>
      <c r="L15" s="32">
        <v>3808948.5531820171</v>
      </c>
      <c r="M15" s="32">
        <v>1904474.2765910085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 t="str">
        <f>'Option1 (base case)'!C16</f>
        <v>Building capex</v>
      </c>
      <c r="D16"/>
      <c r="E16" s="148">
        <f>'Option1 (base case)'!E16</f>
        <v>50</v>
      </c>
      <c r="G16" s="207">
        <f>input_dollars</f>
        <v>45291</v>
      </c>
      <c r="H16" s="2"/>
      <c r="I16" s="32">
        <v>3097454.0107719889</v>
      </c>
      <c r="J16" s="32">
        <v>3097454.0107719889</v>
      </c>
      <c r="K16" s="32">
        <v>3047158.8425456141</v>
      </c>
      <c r="L16" s="32">
        <v>3047158.8425456141</v>
      </c>
      <c r="M16" s="32">
        <v>1523579.4212728071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1" t="s">
        <v>30</v>
      </c>
      <c r="G17" s="207">
        <f>input_dollars</f>
        <v>45291</v>
      </c>
      <c r="H17" s="107"/>
      <c r="I17" s="106">
        <f t="shared" ref="I17:Q17" si="0">SUM(I14:I16)</f>
        <v>11659396.08451207</v>
      </c>
      <c r="J17" s="106">
        <f t="shared" si="0"/>
        <v>11062335.752757102</v>
      </c>
      <c r="K17" s="106">
        <f t="shared" si="0"/>
        <v>10882710.151948621</v>
      </c>
      <c r="L17" s="106">
        <f t="shared" si="0"/>
        <v>10882710.151948621</v>
      </c>
      <c r="M17" s="106">
        <f t="shared" si="0"/>
        <v>5441355.0759743107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3">
      <c r="G20" s="205"/>
      <c r="AH20"/>
      <c r="AI20"/>
      <c r="AJ20"/>
      <c r="AK20"/>
      <c r="AL20"/>
      <c r="AM20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150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tr">
        <f>'Option1 (base case)'!C30</f>
        <v>Switchgear risk</v>
      </c>
      <c r="D30" s="205" t="s">
        <v>206</v>
      </c>
      <c r="G30" s="207">
        <f>input_dollars</f>
        <v>45291</v>
      </c>
      <c r="H30" s="149"/>
      <c r="I30" s="32">
        <v>624885.15871154342</v>
      </c>
      <c r="J30" s="32">
        <v>521012.52663415077</v>
      </c>
      <c r="K30" s="32">
        <v>477014.65868444764</v>
      </c>
      <c r="L30" s="32">
        <v>459000.142036348</v>
      </c>
      <c r="M30" s="32">
        <v>459791.62305960729</v>
      </c>
      <c r="N30" s="32">
        <v>461358.77289689367</v>
      </c>
      <c r="O30" s="32">
        <v>466529.64435508806</v>
      </c>
      <c r="P30" s="32">
        <v>472362.00232419523</v>
      </c>
      <c r="Q30" s="32">
        <v>473441.50040264823</v>
      </c>
      <c r="R30" s="136">
        <v>474418.13475585222</v>
      </c>
      <c r="S30" s="136">
        <v>475394.7691090561</v>
      </c>
      <c r="T30" s="136">
        <v>476371.40346226009</v>
      </c>
      <c r="U30" s="136">
        <v>477348.03781546408</v>
      </c>
      <c r="V30" s="136">
        <v>478324.67216866801</v>
      </c>
      <c r="W30" s="136">
        <v>479301.30652187194</v>
      </c>
      <c r="X30" s="136">
        <v>480277.94087507587</v>
      </c>
      <c r="Y30" s="136">
        <v>481254.57522827986</v>
      </c>
      <c r="Z30" s="136">
        <v>482231.2095814838</v>
      </c>
      <c r="AA30" s="136">
        <v>483207.84393468773</v>
      </c>
      <c r="AB30" s="136">
        <v>484184.47828789172</v>
      </c>
      <c r="AC30" s="136" cm="1">
        <f t="array" ref="AC30">SUMPRODUCT((Assumptions!$H$70:$H$71)*(Assumptions!$G$70:$G$71)*(Assumptions!$I$70:$I$71)*(AC$24:AC$25))</f>
        <v>0</v>
      </c>
      <c r="AD30" s="136" cm="1">
        <f t="array" ref="AD30">SUMPRODUCT((Assumptions!$H$70:$H$71)*(Assumptions!$G$70:$G$71)*(Assumptions!$I$70:$I$71)*(AD$24:AD$25))</f>
        <v>0</v>
      </c>
      <c r="AE30" s="136" cm="1">
        <f t="array" ref="AE30">SUMPRODUCT((Assumptions!$H$70:$H$71)*(Assumptions!$G$70:$G$71)*(Assumptions!$I$70:$I$71)*(AE$24:AE$25))</f>
        <v>0</v>
      </c>
      <c r="AF30" s="136" cm="1">
        <f t="array" ref="AF30">SUMPRODUCT((Assumptions!$H$70:$H$71)*(Assumptions!$G$70:$G$71)*(Assumptions!$I$70:$I$71)*(AF$24:AF$25))</f>
        <v>0</v>
      </c>
      <c r="AG30" s="136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tr">
        <f>'Option1 (base case)'!C31</f>
        <v>Control cable risk</v>
      </c>
      <c r="D31" s="206"/>
      <c r="E31"/>
      <c r="G31" s="207">
        <f>input_dollars</f>
        <v>45291</v>
      </c>
      <c r="H31" s="149"/>
      <c r="I31" s="32">
        <v>423763.4578062162</v>
      </c>
      <c r="J31" s="32">
        <v>427955.04171882273</v>
      </c>
      <c r="K31" s="32">
        <v>431498.94754445116</v>
      </c>
      <c r="L31" s="32">
        <v>434188.64849425113</v>
      </c>
      <c r="M31" s="32">
        <v>434116.86664332129</v>
      </c>
      <c r="N31" s="32">
        <v>434819.83929045359</v>
      </c>
      <c r="O31" s="32">
        <v>439426.84246904915</v>
      </c>
      <c r="P31" s="32">
        <v>444853.40568244178</v>
      </c>
      <c r="Q31" s="32">
        <v>445091.19663665735</v>
      </c>
      <c r="R31" s="136">
        <v>445091.19663665735</v>
      </c>
      <c r="S31" s="136">
        <v>445091.19663665735</v>
      </c>
      <c r="T31" s="136">
        <v>445091.19663665735</v>
      </c>
      <c r="U31" s="136">
        <v>445091.19663665735</v>
      </c>
      <c r="V31" s="136">
        <v>445091.19663665735</v>
      </c>
      <c r="W31" s="136">
        <v>445091.19663665735</v>
      </c>
      <c r="X31" s="136">
        <v>445091.19663665735</v>
      </c>
      <c r="Y31" s="136">
        <v>445091.19663665735</v>
      </c>
      <c r="Z31" s="136">
        <v>445091.19663665735</v>
      </c>
      <c r="AA31" s="136">
        <v>445091.19663665735</v>
      </c>
      <c r="AB31" s="136">
        <v>445091.19663665735</v>
      </c>
      <c r="AC31" s="136" cm="1">
        <f t="array" ref="AC31">(1+Assumptions!$G$81)*SUMPRODUCT((Assumptions!$G$78:$G$79)*(AC$24:AC$25))</f>
        <v>0</v>
      </c>
      <c r="AD31" s="136" cm="1">
        <f t="array" ref="AD31">(1+Assumptions!$G$81)*SUMPRODUCT((Assumptions!$G$78:$G$79)*(AD$24:AD$25))</f>
        <v>0</v>
      </c>
      <c r="AE31" s="136" cm="1">
        <f t="array" ref="AE31">(1+Assumptions!$G$81)*SUMPRODUCT((Assumptions!$G$78:$G$79)*(AE$24:AE$25))</f>
        <v>0</v>
      </c>
      <c r="AF31" s="136" cm="1">
        <f t="array" ref="AF31">(1+Assumptions!$G$81)*SUMPRODUCT((Assumptions!$G$78:$G$79)*(AF$24:AF$25))</f>
        <v>0</v>
      </c>
      <c r="AG31" s="136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tr">
        <f>'Option1 (base case)'!C32</f>
        <v>Relay risk</v>
      </c>
      <c r="D32" s="205" t="s">
        <v>206</v>
      </c>
      <c r="E32"/>
      <c r="G32" s="207">
        <f>input_dollars</f>
        <v>45291</v>
      </c>
      <c r="H32"/>
      <c r="I32" s="32">
        <v>513907.02860113443</v>
      </c>
      <c r="J32" s="32">
        <v>612106.68918626185</v>
      </c>
      <c r="K32" s="32">
        <v>732487.79597479035</v>
      </c>
      <c r="L32" s="32">
        <v>880555.22578634415</v>
      </c>
      <c r="M32" s="32">
        <v>1063186.9901416844</v>
      </c>
      <c r="N32" s="32">
        <v>1289108.7226084024</v>
      </c>
      <c r="O32" s="32">
        <v>1569291.0474479939</v>
      </c>
      <c r="P32" s="32">
        <v>1917786.4554300993</v>
      </c>
      <c r="Q32" s="32">
        <v>2352256.9435837166</v>
      </c>
      <c r="R32" s="136">
        <v>2895164.6481054872</v>
      </c>
      <c r="S32" s="136">
        <v>3575127.1570114829</v>
      </c>
      <c r="T32" s="136">
        <v>4430301.590900559</v>
      </c>
      <c r="U32" s="136">
        <v>5461680.9970342843</v>
      </c>
      <c r="V32" s="136">
        <v>6619153.012676849</v>
      </c>
      <c r="W32" s="136">
        <v>8074073.3579109423</v>
      </c>
      <c r="X32" s="136">
        <v>9517552.9084373321</v>
      </c>
      <c r="Y32" s="136">
        <v>10157764.202555779</v>
      </c>
      <c r="Z32" s="136">
        <v>10574855.703864168</v>
      </c>
      <c r="AA32" s="136">
        <v>10854727.295825705</v>
      </c>
      <c r="AB32" s="136">
        <v>11098921.69813155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tr">
        <f>'Option1 (base case)'!C33</f>
        <v>Building risk</v>
      </c>
      <c r="D33" s="219"/>
      <c r="E33"/>
      <c r="G33" s="207">
        <f>input_dollars</f>
        <v>45291</v>
      </c>
      <c r="H33"/>
      <c r="I33" s="32">
        <v>39334.295599063102</v>
      </c>
      <c r="J33" s="32">
        <v>43504.473751946782</v>
      </c>
      <c r="K33" s="32">
        <v>48045.732179578023</v>
      </c>
      <c r="L33" s="32">
        <v>52935.033038282905</v>
      </c>
      <c r="M33" s="32">
        <v>58108.829337508236</v>
      </c>
      <c r="N33" s="32">
        <v>63748.145225401939</v>
      </c>
      <c r="O33" s="32">
        <v>70076.595604508097</v>
      </c>
      <c r="P33" s="32">
        <v>77017.011420722818</v>
      </c>
      <c r="Q33" s="32">
        <v>84163.539100801107</v>
      </c>
      <c r="R33" s="136">
        <v>91891.639318006652</v>
      </c>
      <c r="S33" s="136">
        <v>100220.60611923291</v>
      </c>
      <c r="T33" s="136">
        <v>109188.76938900055</v>
      </c>
      <c r="U33" s="136">
        <v>118836.37357272033</v>
      </c>
      <c r="V33" s="136">
        <v>129205.64705793234</v>
      </c>
      <c r="W33" s="136">
        <v>140340.87312870036</v>
      </c>
      <c r="X33" s="136">
        <v>152288.46250777817</v>
      </c>
      <c r="Y33" s="136">
        <v>165097.02750103633</v>
      </c>
      <c r="Z33" s="136">
        <v>178817.45775867789</v>
      </c>
      <c r="AA33" s="136">
        <v>193502.9976676025</v>
      </c>
      <c r="AB33" s="136">
        <v>209209.32538937608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1" t="str">
        <f>'Option1 (base case)'!C34</f>
        <v>Flood risk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170</v>
      </c>
      <c r="D36" s="218"/>
      <c r="E36" s="107"/>
      <c r="F36" s="3"/>
      <c r="G36" s="209"/>
      <c r="H36" s="107"/>
      <c r="I36" s="170">
        <f>SUM(I28:I34)</f>
        <v>1601889.9407179572</v>
      </c>
      <c r="J36" s="170">
        <f t="shared" ref="J36:AG36" si="3">SUM(J28:J34)</f>
        <v>1604578.7312911823</v>
      </c>
      <c r="K36" s="170">
        <f t="shared" si="3"/>
        <v>1689047.134383267</v>
      </c>
      <c r="L36" s="170">
        <f t="shared" si="3"/>
        <v>1826679.0493552263</v>
      </c>
      <c r="M36" s="170">
        <f t="shared" si="3"/>
        <v>2015204.3091821212</v>
      </c>
      <c r="N36" s="170">
        <f t="shared" si="3"/>
        <v>2249035.4800211517</v>
      </c>
      <c r="O36" s="170">
        <f t="shared" si="3"/>
        <v>2545324.1298766392</v>
      </c>
      <c r="P36" s="170">
        <f t="shared" si="3"/>
        <v>2912018.8748574592</v>
      </c>
      <c r="Q36" s="170">
        <f t="shared" si="3"/>
        <v>3354953.1797238234</v>
      </c>
      <c r="R36" s="170">
        <f t="shared" si="3"/>
        <v>3906565.6188160037</v>
      </c>
      <c r="S36" s="170">
        <f t="shared" si="3"/>
        <v>4595833.7288764296</v>
      </c>
      <c r="T36" s="170">
        <f t="shared" si="3"/>
        <v>5460952.960388477</v>
      </c>
      <c r="U36" s="170">
        <f t="shared" si="3"/>
        <v>6502956.6050591264</v>
      </c>
      <c r="V36" s="170">
        <f t="shared" si="3"/>
        <v>7671774.5285401065</v>
      </c>
      <c r="W36" s="170">
        <f t="shared" si="3"/>
        <v>9138806.7341981716</v>
      </c>
      <c r="X36" s="170">
        <f t="shared" si="3"/>
        <v>10595210.508456845</v>
      </c>
      <c r="Y36" s="170">
        <f t="shared" si="3"/>
        <v>11249207.001921752</v>
      </c>
      <c r="Z36" s="170">
        <f t="shared" si="3"/>
        <v>11680995.567840988</v>
      </c>
      <c r="AA36" s="170">
        <f t="shared" si="3"/>
        <v>11976529.334064653</v>
      </c>
      <c r="AB36" s="170">
        <f t="shared" si="3"/>
        <v>12237406.698445475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x14ac:dyDescent="0.3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3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x14ac:dyDescent="0.3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F63" s="2"/>
      <c r="G63" s="212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42766.204186080489</v>
      </c>
      <c r="J64" s="132">
        <f>(1-INDEX(Data!$C$9:$C$13, MATCH($A$3, options,0)))*('Option1 (base case)'!J36-J36)</f>
        <v>152251.23592751217</v>
      </c>
      <c r="K64" s="132">
        <f>(1-INDEX(Data!$C$9:$C$13, MATCH($A$3, options,0)))*('Option1 (base case)'!K36-K36)</f>
        <v>202477.55810039677</v>
      </c>
      <c r="L64" s="132">
        <f>(1-INDEX(Data!$C$9:$C$13, MATCH($A$3, options,0)))*('Option1 (base case)'!L36-L36)</f>
        <v>225544.68609836791</v>
      </c>
      <c r="M64" s="132">
        <f>(1-INDEX(Data!$C$9:$C$13, MATCH($A$3, options,0)))*('Option1 (base case)'!M36-M36)</f>
        <v>225968.4778896838</v>
      </c>
      <c r="N64" s="132">
        <f>(1-INDEX(Data!$C$9:$C$13, MATCH($A$3, options,0)))*('Option1 (base case)'!N36-N36)</f>
        <v>226887.88197923219</v>
      </c>
      <c r="O64" s="132">
        <f>(1-INDEX(Data!$C$9:$C$13, MATCH($A$3, options,0)))*('Option1 (base case)'!O36-O36)</f>
        <v>230031.4688827889</v>
      </c>
      <c r="P64" s="132">
        <f>(1-INDEX(Data!$C$9:$C$13, MATCH($A$3, options,0)))*('Option1 (base case)'!P36-P36)</f>
        <v>233436.21104975883</v>
      </c>
      <c r="Q64" s="132">
        <f>(1-INDEX(Data!$C$9:$C$13, MATCH($A$3, options,0)))*('Option1 (base case)'!Q36-Q36)</f>
        <v>234294.12048505573</v>
      </c>
      <c r="R64" s="132">
        <f>(1-INDEX(Data!$C$9:$C$13, MATCH($A$3, options,0)))*('Option1 (base case)'!R36-R36)</f>
        <v>235084.21876449371</v>
      </c>
      <c r="S64" s="132">
        <f>(1-INDEX(Data!$C$9:$C$13, MATCH($A$3, options,0)))*('Option1 (base case)'!S36-S36)</f>
        <v>235874.31704393215</v>
      </c>
      <c r="T64" s="132">
        <f>(1-INDEX(Data!$C$9:$C$13, MATCH($A$3, options,0)))*('Option1 (base case)'!T36-T36)</f>
        <v>236664.41532337014</v>
      </c>
      <c r="U64" s="132">
        <f>(1-INDEX(Data!$C$9:$C$13, MATCH($A$3, options,0)))*('Option1 (base case)'!U36-U36)</f>
        <v>237454.51360280812</v>
      </c>
      <c r="V64" s="132">
        <f>(1-INDEX(Data!$C$9:$C$13, MATCH($A$3, options,0)))*('Option1 (base case)'!V36-V36)</f>
        <v>238244.6118822461</v>
      </c>
      <c r="W64" s="132">
        <f>(1-INDEX(Data!$C$9:$C$13, MATCH($A$3, options,0)))*('Option1 (base case)'!W36-W36)</f>
        <v>239034.71016168594</v>
      </c>
      <c r="X64" s="132">
        <f>(1-INDEX(Data!$C$9:$C$13, MATCH($A$3, options,0)))*('Option1 (base case)'!X36-X36)</f>
        <v>239824.80844112299</v>
      </c>
      <c r="Y64" s="132">
        <f>(1-INDEX(Data!$C$9:$C$13, MATCH($A$3, options,0)))*('Option1 (base case)'!Y36-Y36)</f>
        <v>240614.90672056004</v>
      </c>
      <c r="Z64" s="132">
        <f>(1-INDEX(Data!$C$9:$C$13, MATCH($A$3, options,0)))*('Option1 (base case)'!Z36-Z36)</f>
        <v>241405.00499999896</v>
      </c>
      <c r="AA64" s="132">
        <f>(1-INDEX(Data!$C$9:$C$13, MATCH($A$3, options,0)))*('Option1 (base case)'!AA36-AA36)</f>
        <v>242195.10327943601</v>
      </c>
      <c r="AB64" s="132">
        <f>(1-INDEX(Data!$C$9:$C$13, MATCH($A$3, options,0)))*('Option1 (base case)'!AB36-AB36)</f>
        <v>242985.20155887492</v>
      </c>
      <c r="AC64" s="132">
        <f>(1-INDEX(Data!$C$9:$C$13, MATCH($A$3, options,0)))*('Option1 (base case)'!AC36-AC36)</f>
        <v>61708.288069574206</v>
      </c>
      <c r="AD64" s="132">
        <f>(1-INDEX(Data!$C$9:$C$13, MATCH($A$3, options,0)))*('Option1 (base case)'!AD36-AD36)</f>
        <v>62498.38634901218</v>
      </c>
      <c r="AE64" s="132">
        <f>(1-INDEX(Data!$C$9:$C$13, MATCH($A$3, options,0)))*('Option1 (base case)'!AE36-AE36)</f>
        <v>63288.484628450176</v>
      </c>
      <c r="AF64" s="132">
        <f>(1-INDEX(Data!$C$9:$C$13, MATCH($A$3, options,0)))*('Option1 (base case)'!AF36-AF36)</f>
        <v>64078.582907888158</v>
      </c>
      <c r="AG64" s="132">
        <f>(1-INDEX(Data!$C$9:$C$13, MATCH($A$3, options,0)))*('Option1 (base case)'!AG36-AG36)</f>
        <v>64868.681187326125</v>
      </c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Switch capex</v>
      </c>
      <c r="D67" s="38"/>
      <c r="F67" s="97"/>
      <c r="G67" s="210">
        <f>input_dollars</f>
        <v>45291</v>
      </c>
      <c r="H67" s="31"/>
      <c r="I67" s="119">
        <f t="shared" ref="I67:AG67" si="5">-I14</f>
        <v>-4690124.5602750955</v>
      </c>
      <c r="J67" s="119">
        <f t="shared" si="5"/>
        <v>-4093064.2285201279</v>
      </c>
      <c r="K67" s="119">
        <f t="shared" si="5"/>
        <v>-4026602.7562209899</v>
      </c>
      <c r="L67" s="119">
        <f t="shared" si="5"/>
        <v>-4026602.7562209899</v>
      </c>
      <c r="M67" s="119">
        <f t="shared" si="5"/>
        <v>-2013301.3781104949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3">
      <c r="A68" s="8"/>
      <c r="B68" s="8"/>
      <c r="C68" s="4" t="str">
        <f>C15</f>
        <v>Relay capex</v>
      </c>
      <c r="D68" s="38"/>
      <c r="F68" s="97"/>
      <c r="G68" s="210">
        <f>input_dollars</f>
        <v>45291</v>
      </c>
      <c r="H68" s="31"/>
      <c r="I68" s="119">
        <f t="shared" ref="I68:AG68" si="6">-I15</f>
        <v>-3871817.5134649854</v>
      </c>
      <c r="J68" s="119">
        <f t="shared" si="6"/>
        <v>-3871817.5134649854</v>
      </c>
      <c r="K68" s="119">
        <f t="shared" si="6"/>
        <v>-3808948.5531820171</v>
      </c>
      <c r="L68" s="119">
        <f t="shared" si="6"/>
        <v>-3808948.5531820171</v>
      </c>
      <c r="M68" s="119">
        <f t="shared" si="6"/>
        <v>-1904474.2765910085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3">
      <c r="A69" s="8"/>
      <c r="B69" s="8"/>
      <c r="C69" s="4" t="str">
        <f>C16</f>
        <v>Building capex</v>
      </c>
      <c r="D69" s="38"/>
      <c r="F69" s="97"/>
      <c r="G69" s="210">
        <f>input_dollars</f>
        <v>45291</v>
      </c>
      <c r="H69" s="31"/>
      <c r="I69" s="119">
        <f t="shared" ref="I69:AG69" si="7">-I16</f>
        <v>-3097454.0107719889</v>
      </c>
      <c r="J69" s="119">
        <f t="shared" si="7"/>
        <v>-3097454.0107719889</v>
      </c>
      <c r="K69" s="119">
        <f t="shared" si="7"/>
        <v>-3047158.8425456141</v>
      </c>
      <c r="L69" s="119">
        <f t="shared" si="7"/>
        <v>-3047158.8425456141</v>
      </c>
      <c r="M69" s="119">
        <f t="shared" si="7"/>
        <v>-1523579.4212728071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Switch capex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-4690124.5602750955</v>
      </c>
      <c r="J72" s="119" cm="1">
        <f t="array" ref="J72">SUMPRODUCT(($I67:J67))-SUMPRODUCT(($I67:J67)*($I$6:J$6&lt;=(J$6-$E14)))</f>
        <v>-8783188.7887952235</v>
      </c>
      <c r="K72" s="119" cm="1">
        <f t="array" ref="K72">SUMPRODUCT(($I67:K67))-SUMPRODUCT(($I67:K67)*($I$6:K$6&lt;=(K$6-$E14)))</f>
        <v>-12809791.545016214</v>
      </c>
      <c r="L72" s="119" cm="1">
        <f t="array" ref="L72">SUMPRODUCT(($I67:L67))-SUMPRODUCT(($I67:L67)*($I$6:L$6&lt;=(L$6-$E14)))</f>
        <v>-16836394.301237203</v>
      </c>
      <c r="M72" s="119" cm="1">
        <f t="array" ref="M72">SUMPRODUCT(($I67:M67))-SUMPRODUCT(($I67:M67)*($I$6:M$6&lt;=(M$6-$E14)))</f>
        <v>-18849695.679347698</v>
      </c>
      <c r="N72" s="119" cm="1">
        <f t="array" ref="N72">SUMPRODUCT(($I67:N67))-SUMPRODUCT(($I67:N67)*($I$6:N$6&lt;=(N$6-$E14)))</f>
        <v>-18849695.679347698</v>
      </c>
      <c r="O72" s="119" cm="1">
        <f t="array" ref="O72">SUMPRODUCT(($I67:O67))-SUMPRODUCT(($I67:O67)*($I$6:O$6&lt;=(O$6-$E14)))</f>
        <v>-18849695.679347698</v>
      </c>
      <c r="P72" s="119" cm="1">
        <f t="array" ref="P72">SUMPRODUCT(($I67:P67))-SUMPRODUCT(($I67:P67)*($I$6:P$6&lt;=(P$6-$E14)))</f>
        <v>-18849695.679347698</v>
      </c>
      <c r="Q72" s="119" cm="1">
        <f t="array" ref="Q72">SUMPRODUCT(($I67:Q67))-SUMPRODUCT(($I67:Q67)*($I$6:Q$6&lt;=(Q$6-$E14)))</f>
        <v>-18849695.679347698</v>
      </c>
      <c r="R72" s="119" cm="1">
        <f t="array" ref="R72">SUMPRODUCT(($I67:R67))-SUMPRODUCT(($I67:R67)*($I$6:R$6&lt;=(R$6-$E14)))</f>
        <v>-18849695.679347698</v>
      </c>
      <c r="S72" s="119" cm="1">
        <f t="array" ref="S72">SUMPRODUCT(($I67:S67))-SUMPRODUCT(($I67:S67)*($I$6:S$6&lt;=(S$6-$E14)))</f>
        <v>-18849695.679347698</v>
      </c>
      <c r="T72" s="119" cm="1">
        <f t="array" ref="T72">SUMPRODUCT(($I67:T67))-SUMPRODUCT(($I67:T67)*($I$6:T$6&lt;=(T$6-$E14)))</f>
        <v>-18849695.679347698</v>
      </c>
      <c r="U72" s="119" cm="1">
        <f t="array" ref="U72">SUMPRODUCT(($I67:U67))-SUMPRODUCT(($I67:U67)*($I$6:U$6&lt;=(U$6-$E14)))</f>
        <v>-18849695.679347698</v>
      </c>
      <c r="V72" s="119" cm="1">
        <f t="array" ref="V72">SUMPRODUCT(($I67:V67))-SUMPRODUCT(($I67:V67)*($I$6:V$6&lt;=(V$6-$E14)))</f>
        <v>-18849695.679347698</v>
      </c>
      <c r="W72" s="119" cm="1">
        <f t="array" ref="W72">SUMPRODUCT(($I67:W67))-SUMPRODUCT(($I67:W67)*($I$6:W$6&lt;=(W$6-$E14)))</f>
        <v>-18849695.679347698</v>
      </c>
      <c r="X72" s="119" cm="1">
        <f t="array" ref="X72">SUMPRODUCT(($I67:X67))-SUMPRODUCT(($I67:X67)*($I$6:X$6&lt;=(X$6-$E14)))</f>
        <v>-18849695.679347698</v>
      </c>
      <c r="Y72" s="119" cm="1">
        <f t="array" ref="Y72">SUMPRODUCT(($I67:Y67))-SUMPRODUCT(($I67:Y67)*($I$6:Y$6&lt;=(Y$6-$E14)))</f>
        <v>-18849695.679347698</v>
      </c>
      <c r="Z72" s="119" cm="1">
        <f t="array" ref="Z72">SUMPRODUCT(($I67:Z67))-SUMPRODUCT(($I67:Z67)*($I$6:Z$6&lt;=(Z$6-$E14)))</f>
        <v>-18849695.679347698</v>
      </c>
      <c r="AA72" s="119" cm="1">
        <f t="array" ref="AA72">SUMPRODUCT(($I67:AA67))-SUMPRODUCT(($I67:AA67)*($I$6:AA$6&lt;=(AA$6-$E14)))</f>
        <v>-18849695.679347698</v>
      </c>
      <c r="AB72" s="119" cm="1">
        <f t="array" ref="AB72">SUMPRODUCT(($I67:AB67))-SUMPRODUCT(($I67:AB67)*($I$6:AB$6&lt;=(AB$6-$E14)))</f>
        <v>-18849695.679347698</v>
      </c>
      <c r="AC72" s="119" cm="1">
        <f t="array" ref="AC72">SUMPRODUCT(($I67:AC67))-SUMPRODUCT(($I67:AC67)*($I$6:AC$6&lt;=(AC$6-$E14)))</f>
        <v>-18849695.679347698</v>
      </c>
      <c r="AD72" s="119" cm="1">
        <f t="array" ref="AD72">SUMPRODUCT(($I67:AD67))-SUMPRODUCT(($I67:AD67)*($I$6:AD$6&lt;=(AD$6-$E14)))</f>
        <v>-18849695.679347698</v>
      </c>
      <c r="AE72" s="119" cm="1">
        <f t="array" ref="AE72">SUMPRODUCT(($I67:AE67))-SUMPRODUCT(($I67:AE67)*($I$6:AE$6&lt;=(AE$6-$E14)))</f>
        <v>-18849695.679347698</v>
      </c>
      <c r="AF72" s="119" cm="1">
        <f t="array" ref="AF72">SUMPRODUCT(($I67:AF67))-SUMPRODUCT(($I67:AF67)*($I$6:AF$6&lt;=(AF$6-$E14)))</f>
        <v>-18849695.679347698</v>
      </c>
      <c r="AG72" s="119" cm="1">
        <f t="array" ref="AG72">SUMPRODUCT(($I67:AG67))-SUMPRODUCT(($I67:AG67)*($I$6:AG$6&lt;=(AG$6-$E14)))</f>
        <v>-18849695.679347698</v>
      </c>
    </row>
    <row r="73" spans="1:33" x14ac:dyDescent="0.3">
      <c r="A73" s="8"/>
      <c r="B73" s="8"/>
      <c r="C73" s="4" t="str">
        <f>C15</f>
        <v>Relay capex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-3871817.5134649854</v>
      </c>
      <c r="J73" s="119" cm="1">
        <f t="array" ref="J73">SUMPRODUCT(($I68:J68))-SUMPRODUCT(($I68:J68)*($I$6:J$6&lt;=(J$6-$E15)))</f>
        <v>-7743635.0269299708</v>
      </c>
      <c r="K73" s="119" cm="1">
        <f t="array" ref="K73">SUMPRODUCT(($I68:K68))-SUMPRODUCT(($I68:K68)*($I$6:K$6&lt;=(K$6-$E15)))</f>
        <v>-11552583.580111988</v>
      </c>
      <c r="L73" s="119" cm="1">
        <f t="array" ref="L73">SUMPRODUCT(($I68:L68))-SUMPRODUCT(($I68:L68)*($I$6:L$6&lt;=(L$6-$E15)))</f>
        <v>-15361532.133294005</v>
      </c>
      <c r="M73" s="119" cm="1">
        <f t="array" ref="M73">SUMPRODUCT(($I68:M68))-SUMPRODUCT(($I68:M68)*($I$6:M$6&lt;=(M$6-$E15)))</f>
        <v>-17266006.409885012</v>
      </c>
      <c r="N73" s="119" cm="1">
        <f t="array" ref="N73">SUMPRODUCT(($I68:N68))-SUMPRODUCT(($I68:N68)*($I$6:N$6&lt;=(N$6-$E15)))</f>
        <v>-17266006.409885012</v>
      </c>
      <c r="O73" s="119" cm="1">
        <f t="array" ref="O73">SUMPRODUCT(($I68:O68))-SUMPRODUCT(($I68:O68)*($I$6:O$6&lt;=(O$6-$E15)))</f>
        <v>-17266006.409885012</v>
      </c>
      <c r="P73" s="119" cm="1">
        <f t="array" ref="P73">SUMPRODUCT(($I68:P68))-SUMPRODUCT(($I68:P68)*($I$6:P$6&lt;=(P$6-$E15)))</f>
        <v>-17266006.409885012</v>
      </c>
      <c r="Q73" s="119" cm="1">
        <f t="array" ref="Q73">SUMPRODUCT(($I68:Q68))-SUMPRODUCT(($I68:Q68)*($I$6:Q$6&lt;=(Q$6-$E15)))</f>
        <v>-17266006.409885012</v>
      </c>
      <c r="R73" s="119" cm="1">
        <f t="array" ref="R73">SUMPRODUCT(($I68:R68))-SUMPRODUCT(($I68:R68)*($I$6:R$6&lt;=(R$6-$E15)))</f>
        <v>-17266006.409885012</v>
      </c>
      <c r="S73" s="119" cm="1">
        <f t="array" ref="S73">SUMPRODUCT(($I68:S68))-SUMPRODUCT(($I68:S68)*($I$6:S$6&lt;=(S$6-$E15)))</f>
        <v>-17266006.409885012</v>
      </c>
      <c r="T73" s="119" cm="1">
        <f t="array" ref="T73">SUMPRODUCT(($I68:T68))-SUMPRODUCT(($I68:T68)*($I$6:T$6&lt;=(T$6-$E15)))</f>
        <v>-17266006.409885012</v>
      </c>
      <c r="U73" s="119" cm="1">
        <f t="array" ref="U73">SUMPRODUCT(($I68:U68))-SUMPRODUCT(($I68:U68)*($I$6:U$6&lt;=(U$6-$E15)))</f>
        <v>-17266006.409885012</v>
      </c>
      <c r="V73" s="119" cm="1">
        <f t="array" ref="V73">SUMPRODUCT(($I68:V68))-SUMPRODUCT(($I68:V68)*($I$6:V$6&lt;=(V$6-$E15)))</f>
        <v>-17266006.409885012</v>
      </c>
      <c r="W73" s="119" cm="1">
        <f t="array" ref="W73">SUMPRODUCT(($I68:W68))-SUMPRODUCT(($I68:W68)*($I$6:W$6&lt;=(W$6-$E15)))</f>
        <v>-17266006.409885012</v>
      </c>
      <c r="X73" s="119" cm="1">
        <f t="array" ref="X73">SUMPRODUCT(($I68:X68))-SUMPRODUCT(($I68:X68)*($I$6:X$6&lt;=(X$6-$E15)))</f>
        <v>-17266006.409885012</v>
      </c>
      <c r="Y73" s="119" cm="1">
        <f t="array" ref="Y73">SUMPRODUCT(($I68:Y68))-SUMPRODUCT(($I68:Y68)*($I$6:Y$6&lt;=(Y$6-$E15)))</f>
        <v>-17266006.409885012</v>
      </c>
      <c r="Z73" s="119" cm="1">
        <f t="array" ref="Z73">SUMPRODUCT(($I68:Z68))-SUMPRODUCT(($I68:Z68)*($I$6:Z$6&lt;=(Z$6-$E15)))</f>
        <v>-17266006.409885012</v>
      </c>
      <c r="AA73" s="119" cm="1">
        <f t="array" ref="AA73">SUMPRODUCT(($I68:AA68))-SUMPRODUCT(($I68:AA68)*($I$6:AA$6&lt;=(AA$6-$E15)))</f>
        <v>-17266006.409885012</v>
      </c>
      <c r="AB73" s="119" cm="1">
        <f t="array" ref="AB73">SUMPRODUCT(($I68:AB68))-SUMPRODUCT(($I68:AB68)*($I$6:AB$6&lt;=(AB$6-$E15)))</f>
        <v>-17266006.409885012</v>
      </c>
      <c r="AC73" s="119" cm="1">
        <f t="array" ref="AC73">SUMPRODUCT(($I68:AC68))-SUMPRODUCT(($I68:AC68)*($I$6:AC$6&lt;=(AC$6-$E15)))</f>
        <v>-17266006.409885012</v>
      </c>
      <c r="AD73" s="119" cm="1">
        <f t="array" ref="AD73">SUMPRODUCT(($I68:AD68))-SUMPRODUCT(($I68:AD68)*($I$6:AD$6&lt;=(AD$6-$E15)))</f>
        <v>-17266006.409885012</v>
      </c>
      <c r="AE73" s="119" cm="1">
        <f t="array" ref="AE73">SUMPRODUCT(($I68:AE68))-SUMPRODUCT(($I68:AE68)*($I$6:AE$6&lt;=(AE$6-$E15)))</f>
        <v>-17266006.409885012</v>
      </c>
      <c r="AF73" s="119" cm="1">
        <f t="array" ref="AF73">SUMPRODUCT(($I68:AF68))-SUMPRODUCT(($I68:AF68)*($I$6:AF$6&lt;=(AF$6-$E15)))</f>
        <v>-17266006.409885012</v>
      </c>
      <c r="AG73" s="119" cm="1">
        <f t="array" ref="AG73">SUMPRODUCT(($I68:AG68))-SUMPRODUCT(($I68:AG68)*($I$6:AG$6&lt;=(AG$6-$E15)))</f>
        <v>-17266006.409885012</v>
      </c>
    </row>
    <row r="74" spans="1:33" x14ac:dyDescent="0.3">
      <c r="A74" s="8"/>
      <c r="B74" s="8"/>
      <c r="C74" s="4" t="str">
        <f>C16</f>
        <v>Building capex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-3097454.0107719889</v>
      </c>
      <c r="J74" s="119" cm="1">
        <f t="array" ref="J74">SUMPRODUCT(($I69:J69))-SUMPRODUCT(($I69:J69)*($I$6:J$6&lt;=(J$6-$E16)))</f>
        <v>-6194908.0215439778</v>
      </c>
      <c r="K74" s="119" cm="1">
        <f t="array" ref="K74">SUMPRODUCT(($I69:K69))-SUMPRODUCT(($I69:K69)*($I$6:K$6&lt;=(K$6-$E16)))</f>
        <v>-9242066.8640895914</v>
      </c>
      <c r="L74" s="119" cm="1">
        <f t="array" ref="L74">SUMPRODUCT(($I69:L69))-SUMPRODUCT(($I69:L69)*($I$6:L$6&lt;=(L$6-$E16)))</f>
        <v>-12289225.706635205</v>
      </c>
      <c r="M74" s="119" cm="1">
        <f t="array" ref="M74">SUMPRODUCT(($I69:M69))-SUMPRODUCT(($I69:M69)*($I$6:M$6&lt;=(M$6-$E16)))</f>
        <v>-13812805.127908012</v>
      </c>
      <c r="N74" s="119" cm="1">
        <f t="array" ref="N74">SUMPRODUCT(($I69:N69))-SUMPRODUCT(($I69:N69)*($I$6:N$6&lt;=(N$6-$E16)))</f>
        <v>-13812805.127908012</v>
      </c>
      <c r="O74" s="119" cm="1">
        <f t="array" ref="O74">SUMPRODUCT(($I69:O69))-SUMPRODUCT(($I69:O69)*($I$6:O$6&lt;=(O$6-$E16)))</f>
        <v>-13812805.127908012</v>
      </c>
      <c r="P74" s="119" cm="1">
        <f t="array" ref="P74">SUMPRODUCT(($I69:P69))-SUMPRODUCT(($I69:P69)*($I$6:P$6&lt;=(P$6-$E16)))</f>
        <v>-13812805.127908012</v>
      </c>
      <c r="Q74" s="119" cm="1">
        <f t="array" ref="Q74">SUMPRODUCT(($I69:Q69))-SUMPRODUCT(($I69:Q69)*($I$6:Q$6&lt;=(Q$6-$E16)))</f>
        <v>-13812805.127908012</v>
      </c>
      <c r="R74" s="119" cm="1">
        <f t="array" ref="R74">SUMPRODUCT(($I69:R69))-SUMPRODUCT(($I69:R69)*($I$6:R$6&lt;=(R$6-$E16)))</f>
        <v>-13812805.127908012</v>
      </c>
      <c r="S74" s="119" cm="1">
        <f t="array" ref="S74">SUMPRODUCT(($I69:S69))-SUMPRODUCT(($I69:S69)*($I$6:S$6&lt;=(S$6-$E16)))</f>
        <v>-13812805.127908012</v>
      </c>
      <c r="T74" s="119" cm="1">
        <f t="array" ref="T74">SUMPRODUCT(($I69:T69))-SUMPRODUCT(($I69:T69)*($I$6:T$6&lt;=(T$6-$E16)))</f>
        <v>-13812805.127908012</v>
      </c>
      <c r="U74" s="119" cm="1">
        <f t="array" ref="U74">SUMPRODUCT(($I69:U69))-SUMPRODUCT(($I69:U69)*($I$6:U$6&lt;=(U$6-$E16)))</f>
        <v>-13812805.127908012</v>
      </c>
      <c r="V74" s="119" cm="1">
        <f t="array" ref="V74">SUMPRODUCT(($I69:V69))-SUMPRODUCT(($I69:V69)*($I$6:V$6&lt;=(V$6-$E16)))</f>
        <v>-13812805.127908012</v>
      </c>
      <c r="W74" s="119" cm="1">
        <f t="array" ref="W74">SUMPRODUCT(($I69:W69))-SUMPRODUCT(($I69:W69)*($I$6:W$6&lt;=(W$6-$E16)))</f>
        <v>-13812805.127908012</v>
      </c>
      <c r="X74" s="119" cm="1">
        <f t="array" ref="X74">SUMPRODUCT(($I69:X69))-SUMPRODUCT(($I69:X69)*($I$6:X$6&lt;=(X$6-$E16)))</f>
        <v>-13812805.127908012</v>
      </c>
      <c r="Y74" s="119" cm="1">
        <f t="array" ref="Y74">SUMPRODUCT(($I69:Y69))-SUMPRODUCT(($I69:Y69)*($I$6:Y$6&lt;=(Y$6-$E16)))</f>
        <v>-13812805.127908012</v>
      </c>
      <c r="Z74" s="119" cm="1">
        <f t="array" ref="Z74">SUMPRODUCT(($I69:Z69))-SUMPRODUCT(($I69:Z69)*($I$6:Z$6&lt;=(Z$6-$E16)))</f>
        <v>-13812805.127908012</v>
      </c>
      <c r="AA74" s="119" cm="1">
        <f t="array" ref="AA74">SUMPRODUCT(($I69:AA69))-SUMPRODUCT(($I69:AA69)*($I$6:AA$6&lt;=(AA$6-$E16)))</f>
        <v>-13812805.127908012</v>
      </c>
      <c r="AB74" s="119" cm="1">
        <f t="array" ref="AB74">SUMPRODUCT(($I69:AB69))-SUMPRODUCT(($I69:AB69)*($I$6:AB$6&lt;=(AB$6-$E16)))</f>
        <v>-13812805.127908012</v>
      </c>
      <c r="AC74" s="119" cm="1">
        <f t="array" ref="AC74">SUMPRODUCT(($I69:AC69))-SUMPRODUCT(($I69:AC69)*($I$6:AC$6&lt;=(AC$6-$E16)))</f>
        <v>-13812805.127908012</v>
      </c>
      <c r="AD74" s="119" cm="1">
        <f t="array" ref="AD74">SUMPRODUCT(($I69:AD69))-SUMPRODUCT(($I69:AD69)*($I$6:AD$6&lt;=(AD$6-$E16)))</f>
        <v>-13812805.127908012</v>
      </c>
      <c r="AE74" s="119" cm="1">
        <f t="array" ref="AE74">SUMPRODUCT(($I69:AE69))-SUMPRODUCT(($I69:AE69)*($I$6:AE$6&lt;=(AE$6-$E16)))</f>
        <v>-13812805.127908012</v>
      </c>
      <c r="AF74" s="119" cm="1">
        <f t="array" ref="AF74">SUMPRODUCT(($I69:AF69))-SUMPRODUCT(($I69:AF69)*($I$6:AF$6&lt;=(AF$6-$E16)))</f>
        <v>-13812805.127908012</v>
      </c>
      <c r="AG74" s="119" cm="1">
        <f t="array" ref="AG74">SUMPRODUCT(($I69:AG69))-SUMPRODUCT(($I69:AG69)*($I$6:AG$6&lt;=(AG$6-$E16)))</f>
        <v>-13812805.127908012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Switch capex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-199957.40833370198</v>
      </c>
      <c r="K77" s="119">
        <f t="shared" si="8"/>
        <v>-374459.9198896559</v>
      </c>
      <c r="L77" s="119">
        <f t="shared" si="8"/>
        <v>-546128.93233824323</v>
      </c>
      <c r="M77" s="119">
        <f t="shared" si="8"/>
        <v>-717797.94478683046</v>
      </c>
      <c r="N77" s="119">
        <f t="shared" si="8"/>
        <v>-803632.45101112407</v>
      </c>
      <c r="O77" s="119">
        <f t="shared" si="8"/>
        <v>-803632.45101112407</v>
      </c>
      <c r="P77" s="119">
        <f t="shared" si="8"/>
        <v>-803632.45101112407</v>
      </c>
      <c r="Q77" s="119">
        <f t="shared" si="8"/>
        <v>-803632.45101112407</v>
      </c>
      <c r="R77" s="119">
        <f t="shared" si="8"/>
        <v>-803632.45101112407</v>
      </c>
      <c r="S77" s="119">
        <f t="shared" si="8"/>
        <v>-803632.45101112407</v>
      </c>
      <c r="T77" s="119">
        <f t="shared" si="8"/>
        <v>-803632.45101112407</v>
      </c>
      <c r="U77" s="119">
        <f t="shared" si="8"/>
        <v>-803632.45101112407</v>
      </c>
      <c r="V77" s="119">
        <f t="shared" si="8"/>
        <v>-803632.45101112407</v>
      </c>
      <c r="W77" s="119">
        <f t="shared" si="8"/>
        <v>-803632.45101112407</v>
      </c>
      <c r="X77" s="119">
        <f t="shared" si="8"/>
        <v>-803632.45101112407</v>
      </c>
      <c r="Y77" s="119">
        <f t="shared" si="8"/>
        <v>-803632.45101112407</v>
      </c>
      <c r="Z77" s="119">
        <f t="shared" si="8"/>
        <v>-803632.45101112407</v>
      </c>
      <c r="AA77" s="119">
        <f t="shared" si="8"/>
        <v>-803632.45101112407</v>
      </c>
      <c r="AB77" s="119">
        <f t="shared" si="8"/>
        <v>-803632.45101112407</v>
      </c>
      <c r="AC77" s="119">
        <f t="shared" si="8"/>
        <v>-803632.45101112407</v>
      </c>
      <c r="AD77" s="119">
        <f t="shared" si="8"/>
        <v>-803632.45101112407</v>
      </c>
      <c r="AE77" s="119">
        <f t="shared" si="8"/>
        <v>-803632.45101112407</v>
      </c>
      <c r="AF77" s="119">
        <f t="shared" si="8"/>
        <v>-803632.45101112407</v>
      </c>
      <c r="AG77" s="119">
        <f t="shared" si="8"/>
        <v>-803632.45101112407</v>
      </c>
    </row>
    <row r="78" spans="1:33" x14ac:dyDescent="0.3">
      <c r="A78" s="8"/>
      <c r="B78" s="8"/>
      <c r="C78" s="4" t="str">
        <f>$C$76&amp;" - "&amp;C15</f>
        <v>Annualised capex - Relay capex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-234918.79291707426</v>
      </c>
      <c r="K78" s="119">
        <f t="shared" si="9"/>
        <v>-469837.58583414851</v>
      </c>
      <c r="L78" s="119">
        <f t="shared" si="9"/>
        <v>-700941.86522875843</v>
      </c>
      <c r="M78" s="119">
        <f t="shared" si="9"/>
        <v>-932046.14462336828</v>
      </c>
      <c r="N78" s="119">
        <f t="shared" si="9"/>
        <v>-1047598.2843206731</v>
      </c>
      <c r="O78" s="119">
        <f t="shared" si="9"/>
        <v>-1047598.2843206731</v>
      </c>
      <c r="P78" s="119">
        <f t="shared" si="9"/>
        <v>-1047598.2843206731</v>
      </c>
      <c r="Q78" s="119">
        <f t="shared" si="9"/>
        <v>-1047598.2843206731</v>
      </c>
      <c r="R78" s="119">
        <f t="shared" si="9"/>
        <v>-1047598.2843206731</v>
      </c>
      <c r="S78" s="119">
        <f t="shared" si="9"/>
        <v>-1047598.2843206731</v>
      </c>
      <c r="T78" s="119">
        <f t="shared" si="9"/>
        <v>-1047598.2843206731</v>
      </c>
      <c r="U78" s="119">
        <f t="shared" si="9"/>
        <v>-1047598.2843206731</v>
      </c>
      <c r="V78" s="119">
        <f t="shared" si="9"/>
        <v>-1047598.2843206731</v>
      </c>
      <c r="W78" s="119">
        <f t="shared" si="9"/>
        <v>-1047598.2843206731</v>
      </c>
      <c r="X78" s="119">
        <f t="shared" si="9"/>
        <v>-1047598.2843206731</v>
      </c>
      <c r="Y78" s="119">
        <f t="shared" si="9"/>
        <v>-1047598.2843206731</v>
      </c>
      <c r="Z78" s="119">
        <f t="shared" si="9"/>
        <v>-1047598.2843206731</v>
      </c>
      <c r="AA78" s="119">
        <f t="shared" si="9"/>
        <v>-1047598.2843206731</v>
      </c>
      <c r="AB78" s="119">
        <f t="shared" si="9"/>
        <v>-1047598.2843206731</v>
      </c>
      <c r="AC78" s="119">
        <f t="shared" si="9"/>
        <v>-1047598.2843206731</v>
      </c>
      <c r="AD78" s="119">
        <f t="shared" si="9"/>
        <v>-1047598.2843206731</v>
      </c>
      <c r="AE78" s="119">
        <f t="shared" si="9"/>
        <v>-1047598.2843206731</v>
      </c>
      <c r="AF78" s="119">
        <f t="shared" si="9"/>
        <v>-1047598.2843206731</v>
      </c>
      <c r="AG78" s="119">
        <f t="shared" si="9"/>
        <v>-1047598.2843206731</v>
      </c>
    </row>
    <row r="79" spans="1:33" x14ac:dyDescent="0.3">
      <c r="A79" s="8"/>
      <c r="B79" s="8"/>
      <c r="C79" s="4" t="str">
        <f>$C$76&amp;" - "&amp;C16</f>
        <v>Annualised capex - Building capex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-132055.95469099216</v>
      </c>
      <c r="K79" s="119">
        <f t="shared" si="10"/>
        <v>-264111.90938198433</v>
      </c>
      <c r="L79" s="119">
        <f t="shared" si="10"/>
        <v>-394023.59447821253</v>
      </c>
      <c r="M79" s="119">
        <f t="shared" si="10"/>
        <v>-523935.27957444068</v>
      </c>
      <c r="N79" s="119">
        <f t="shared" si="10"/>
        <v>-588891.12212255481</v>
      </c>
      <c r="O79" s="119">
        <f t="shared" si="10"/>
        <v>-588891.12212255481</v>
      </c>
      <c r="P79" s="119">
        <f t="shared" si="10"/>
        <v>-588891.12212255481</v>
      </c>
      <c r="Q79" s="119">
        <f t="shared" si="10"/>
        <v>-588891.12212255481</v>
      </c>
      <c r="R79" s="119">
        <f t="shared" si="10"/>
        <v>-588891.12212255481</v>
      </c>
      <c r="S79" s="119">
        <f t="shared" si="10"/>
        <v>-588891.12212255481</v>
      </c>
      <c r="T79" s="119">
        <f t="shared" si="10"/>
        <v>-588891.12212255481</v>
      </c>
      <c r="U79" s="119">
        <f t="shared" si="10"/>
        <v>-588891.12212255481</v>
      </c>
      <c r="V79" s="119">
        <f t="shared" si="10"/>
        <v>-588891.12212255481</v>
      </c>
      <c r="W79" s="119">
        <f t="shared" si="10"/>
        <v>-588891.12212255481</v>
      </c>
      <c r="X79" s="119">
        <f t="shared" si="10"/>
        <v>-588891.12212255481</v>
      </c>
      <c r="Y79" s="119">
        <f t="shared" si="10"/>
        <v>-588891.12212255481</v>
      </c>
      <c r="Z79" s="119">
        <f t="shared" si="10"/>
        <v>-588891.12212255481</v>
      </c>
      <c r="AA79" s="119">
        <f t="shared" si="10"/>
        <v>-588891.12212255481</v>
      </c>
      <c r="AB79" s="119">
        <f t="shared" si="10"/>
        <v>-588891.12212255481</v>
      </c>
      <c r="AC79" s="119">
        <f t="shared" si="10"/>
        <v>-588891.12212255481</v>
      </c>
      <c r="AD79" s="119">
        <f t="shared" si="10"/>
        <v>-588891.12212255481</v>
      </c>
      <c r="AE79" s="119">
        <f t="shared" si="10"/>
        <v>-588891.12212255481</v>
      </c>
      <c r="AF79" s="119">
        <f t="shared" si="10"/>
        <v>-588891.12212255481</v>
      </c>
      <c r="AG79" s="119">
        <f t="shared" si="10"/>
        <v>-588891.12212255481</v>
      </c>
    </row>
    <row r="80" spans="1:33" x14ac:dyDescent="0.3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-566932.15594176843</v>
      </c>
      <c r="K80" s="176">
        <f t="shared" si="11"/>
        <v>-1108409.4151057887</v>
      </c>
      <c r="L80" s="176">
        <f t="shared" si="11"/>
        <v>-1641094.3920452141</v>
      </c>
      <c r="M80" s="176">
        <f t="shared" si="11"/>
        <v>-2173779.3689846396</v>
      </c>
      <c r="N80" s="176">
        <f t="shared" si="11"/>
        <v>-2440121.8574543521</v>
      </c>
      <c r="O80" s="176">
        <f t="shared" si="11"/>
        <v>-2440121.8574543521</v>
      </c>
      <c r="P80" s="176">
        <f t="shared" si="11"/>
        <v>-2440121.8574543521</v>
      </c>
      <c r="Q80" s="176">
        <f t="shared" si="11"/>
        <v>-2440121.8574543521</v>
      </c>
      <c r="R80" s="176">
        <f t="shared" si="11"/>
        <v>-2440121.8574543521</v>
      </c>
      <c r="S80" s="176">
        <f t="shared" si="11"/>
        <v>-2440121.8574543521</v>
      </c>
      <c r="T80" s="176">
        <f t="shared" si="11"/>
        <v>-2440121.8574543521</v>
      </c>
      <c r="U80" s="176">
        <f t="shared" si="11"/>
        <v>-2440121.8574543521</v>
      </c>
      <c r="V80" s="176">
        <f t="shared" si="11"/>
        <v>-2440121.8574543521</v>
      </c>
      <c r="W80" s="176">
        <f t="shared" si="11"/>
        <v>-2440121.8574543521</v>
      </c>
      <c r="X80" s="176">
        <f t="shared" si="11"/>
        <v>-2440121.8574543521</v>
      </c>
      <c r="Y80" s="176">
        <f t="shared" si="11"/>
        <v>-2440121.8574543521</v>
      </c>
      <c r="Z80" s="176">
        <f t="shared" si="11"/>
        <v>-2440121.8574543521</v>
      </c>
      <c r="AA80" s="176">
        <f t="shared" si="11"/>
        <v>-2440121.8574543521</v>
      </c>
      <c r="AB80" s="176">
        <f t="shared" si="11"/>
        <v>-2440121.8574543521</v>
      </c>
      <c r="AC80" s="176">
        <f>SUM(AC77:AC79)</f>
        <v>-2440121.8574543521</v>
      </c>
      <c r="AD80" s="176">
        <f>SUM(AD77:AD79)</f>
        <v>-2440121.8574543521</v>
      </c>
      <c r="AE80" s="176">
        <f>SUM(AE77:AE79)</f>
        <v>-2440121.8574543521</v>
      </c>
      <c r="AF80" s="176">
        <f>SUM(AF77:AF79)</f>
        <v>-2440121.8574543521</v>
      </c>
      <c r="AG80" s="176">
        <f>SUM(AG77:AG79)</f>
        <v>-2440121.8574543521</v>
      </c>
    </row>
    <row r="81" spans="1:33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-566932.15594176843</v>
      </c>
      <c r="K82" s="119">
        <f t="shared" si="13"/>
        <v>-1108409.4151057887</v>
      </c>
      <c r="L82" s="119">
        <f t="shared" si="13"/>
        <v>-1641094.3920452141</v>
      </c>
      <c r="M82" s="119">
        <f t="shared" si="13"/>
        <v>-2173779.3689846396</v>
      </c>
      <c r="N82" s="119">
        <f t="shared" si="13"/>
        <v>-2440121.8574543521</v>
      </c>
      <c r="O82" s="119">
        <f t="shared" si="13"/>
        <v>-2440121.8574543521</v>
      </c>
      <c r="P82" s="119">
        <f t="shared" si="13"/>
        <v>-2440121.8574543521</v>
      </c>
      <c r="Q82" s="119">
        <f t="shared" si="13"/>
        <v>-2440121.8574543521</v>
      </c>
      <c r="R82" s="119">
        <f t="shared" si="13"/>
        <v>-2440121.8574543521</v>
      </c>
      <c r="S82" s="119">
        <f t="shared" si="13"/>
        <v>-2440121.8574543521</v>
      </c>
      <c r="T82" s="119">
        <f t="shared" si="13"/>
        <v>-2440121.8574543521</v>
      </c>
      <c r="U82" s="119">
        <f t="shared" si="13"/>
        <v>-2440121.8574543521</v>
      </c>
      <c r="V82" s="119">
        <f t="shared" si="13"/>
        <v>-2440121.8574543521</v>
      </c>
      <c r="W82" s="119">
        <f t="shared" si="13"/>
        <v>-2440121.8574543521</v>
      </c>
      <c r="X82" s="119">
        <f t="shared" si="13"/>
        <v>-2440121.8574543521</v>
      </c>
      <c r="Y82" s="119">
        <f t="shared" si="13"/>
        <v>-2440121.8574543521</v>
      </c>
      <c r="Z82" s="119">
        <f t="shared" si="13"/>
        <v>-2440121.8574543521</v>
      </c>
      <c r="AA82" s="119">
        <f t="shared" si="13"/>
        <v>-2440121.8574543521</v>
      </c>
      <c r="AB82" s="119">
        <f t="shared" si="13"/>
        <v>-2440121.8574543521</v>
      </c>
      <c r="AC82" s="119">
        <f>AC80</f>
        <v>-2440121.8574543521</v>
      </c>
      <c r="AD82" s="119">
        <f>AD80</f>
        <v>-2440121.8574543521</v>
      </c>
      <c r="AE82" s="119">
        <f>AE80</f>
        <v>-2440121.8574543521</v>
      </c>
      <c r="AF82" s="119">
        <f>AF80</f>
        <v>-2440121.8574543521</v>
      </c>
      <c r="AG82" s="119">
        <f>AG80</f>
        <v>-2440121.8574543521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3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42766.204186080489</v>
      </c>
      <c r="J84" s="31">
        <f t="shared" ref="J84:AB84" si="15">J64</f>
        <v>152251.23592751217</v>
      </c>
      <c r="K84" s="31">
        <f t="shared" si="15"/>
        <v>202477.55810039677</v>
      </c>
      <c r="L84" s="31">
        <f t="shared" si="15"/>
        <v>225544.68609836791</v>
      </c>
      <c r="M84" s="31">
        <f t="shared" si="15"/>
        <v>225968.4778896838</v>
      </c>
      <c r="N84" s="31">
        <f t="shared" si="15"/>
        <v>226887.88197923219</v>
      </c>
      <c r="O84" s="31">
        <f t="shared" si="15"/>
        <v>230031.4688827889</v>
      </c>
      <c r="P84" s="31">
        <f t="shared" si="15"/>
        <v>233436.21104975883</v>
      </c>
      <c r="Q84" s="31">
        <f t="shared" si="15"/>
        <v>234294.12048505573</v>
      </c>
      <c r="R84" s="31">
        <f t="shared" si="15"/>
        <v>235084.21876449371</v>
      </c>
      <c r="S84" s="31">
        <f t="shared" si="15"/>
        <v>235874.31704393215</v>
      </c>
      <c r="T84" s="31">
        <f t="shared" si="15"/>
        <v>236664.41532337014</v>
      </c>
      <c r="U84" s="31">
        <f t="shared" si="15"/>
        <v>237454.51360280812</v>
      </c>
      <c r="V84" s="31">
        <f t="shared" si="15"/>
        <v>238244.6118822461</v>
      </c>
      <c r="W84" s="31">
        <f t="shared" si="15"/>
        <v>239034.71016168594</v>
      </c>
      <c r="X84" s="31">
        <f t="shared" si="15"/>
        <v>239824.80844112299</v>
      </c>
      <c r="Y84" s="31">
        <f t="shared" si="15"/>
        <v>240614.90672056004</v>
      </c>
      <c r="Z84" s="31">
        <f t="shared" si="15"/>
        <v>241405.00499999896</v>
      </c>
      <c r="AA84" s="31">
        <f t="shared" si="15"/>
        <v>242195.10327943601</v>
      </c>
      <c r="AB84" s="31">
        <f t="shared" si="15"/>
        <v>242985.20155887492</v>
      </c>
      <c r="AC84" s="31">
        <f>AC64</f>
        <v>61708.288069574206</v>
      </c>
      <c r="AD84" s="31">
        <f>AD64</f>
        <v>62498.38634901218</v>
      </c>
      <c r="AE84" s="31">
        <f>AE64</f>
        <v>63288.484628450176</v>
      </c>
      <c r="AF84" s="31">
        <f>AF64</f>
        <v>64078.582907888158</v>
      </c>
      <c r="AG84" s="31">
        <f>AG64</f>
        <v>64868.681187326125</v>
      </c>
    </row>
    <row r="85" spans="1:33" x14ac:dyDescent="0.3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42766.204186080489</v>
      </c>
      <c r="J87" s="179">
        <f t="shared" si="17"/>
        <v>-414680.92001425626</v>
      </c>
      <c r="K87" s="179">
        <f t="shared" si="17"/>
        <v>-905931.85700539197</v>
      </c>
      <c r="L87" s="179">
        <f t="shared" si="17"/>
        <v>-1415549.7059468462</v>
      </c>
      <c r="M87" s="179">
        <f t="shared" si="17"/>
        <v>-1947810.8910949558</v>
      </c>
      <c r="N87" s="179">
        <f t="shared" si="17"/>
        <v>-2213233.9754751199</v>
      </c>
      <c r="O87" s="179">
        <f t="shared" si="17"/>
        <v>-2210090.3885715632</v>
      </c>
      <c r="P87" s="179">
        <f t="shared" si="17"/>
        <v>-2206685.6464045933</v>
      </c>
      <c r="Q87" s="179">
        <f t="shared" si="17"/>
        <v>-2205827.7369692964</v>
      </c>
      <c r="R87" s="179">
        <f t="shared" si="17"/>
        <v>-2205037.6386898584</v>
      </c>
      <c r="S87" s="179">
        <f t="shared" si="17"/>
        <v>-2204247.5404104199</v>
      </c>
      <c r="T87" s="179">
        <f t="shared" si="17"/>
        <v>-2203457.4421309819</v>
      </c>
      <c r="U87" s="179">
        <f t="shared" si="17"/>
        <v>-2202667.343851544</v>
      </c>
      <c r="V87" s="179">
        <f t="shared" si="17"/>
        <v>-2201877.245572106</v>
      </c>
      <c r="W87" s="179">
        <f t="shared" si="17"/>
        <v>-2201087.1472926661</v>
      </c>
      <c r="X87" s="179">
        <f t="shared" si="17"/>
        <v>-2200297.0490132291</v>
      </c>
      <c r="Y87" s="179">
        <f t="shared" si="17"/>
        <v>-2199506.950733792</v>
      </c>
      <c r="Z87" s="179">
        <f t="shared" si="17"/>
        <v>-2198716.8524543531</v>
      </c>
      <c r="AA87" s="179">
        <f t="shared" si="17"/>
        <v>-2197926.7541749161</v>
      </c>
      <c r="AB87" s="179">
        <f t="shared" si="17"/>
        <v>-2197136.6558954772</v>
      </c>
      <c r="AC87" s="179">
        <f>SUM(AC82:AC86)</f>
        <v>-2378413.5693847779</v>
      </c>
      <c r="AD87" s="179">
        <f>SUM(AD82:AD86)</f>
        <v>-2377623.4711053399</v>
      </c>
      <c r="AE87" s="179">
        <f>SUM(AE82:AE86)</f>
        <v>-2376833.372825902</v>
      </c>
      <c r="AF87" s="179">
        <f>SUM(AF82:AF86)</f>
        <v>-2376043.274546464</v>
      </c>
      <c r="AG87" s="179">
        <f>SUM(AG82:AG86)</f>
        <v>-2375253.176267026</v>
      </c>
    </row>
    <row r="88" spans="1:33" x14ac:dyDescent="0.3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82"/>
      <c r="D91" s="234"/>
      <c r="E91" s="231"/>
      <c r="F91" s="231"/>
      <c r="G91" s="233"/>
    </row>
    <row r="92" spans="1:33" x14ac:dyDescent="0.3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3">
      <c r="G94" s="12"/>
    </row>
    <row r="102" spans="1:43" ht="14.4" x14ac:dyDescent="0.3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119</v>
      </c>
      <c r="C106" s="1" t="s">
        <v>186</v>
      </c>
      <c r="D106"/>
      <c r="E106"/>
      <c r="F106"/>
      <c r="G106" s="38" t="str">
        <f>PROPER($A$3)&amp;A106</f>
        <v>Option 4NPV</v>
      </c>
      <c r="I106" s="31">
        <f>I87</f>
        <v>42766.204186080489</v>
      </c>
      <c r="J106" s="31">
        <f t="shared" ref="J106:AG106" si="18">J87</f>
        <v>-414680.92001425626</v>
      </c>
      <c r="K106" s="31">
        <f t="shared" si="18"/>
        <v>-905931.85700539197</v>
      </c>
      <c r="L106" s="31">
        <f t="shared" si="18"/>
        <v>-1415549.7059468462</v>
      </c>
      <c r="M106" s="31">
        <f t="shared" si="18"/>
        <v>-1947810.8910949558</v>
      </c>
      <c r="N106" s="31">
        <f t="shared" si="18"/>
        <v>-2213233.9754751199</v>
      </c>
      <c r="O106" s="31">
        <f t="shared" si="18"/>
        <v>-2210090.3885715632</v>
      </c>
      <c r="P106" s="31">
        <f t="shared" si="18"/>
        <v>-2206685.6464045933</v>
      </c>
      <c r="Q106" s="31">
        <f t="shared" si="18"/>
        <v>-2205827.7369692964</v>
      </c>
      <c r="R106" s="31">
        <f t="shared" si="18"/>
        <v>-2205037.6386898584</v>
      </c>
      <c r="S106" s="31">
        <f t="shared" si="18"/>
        <v>-2204247.5404104199</v>
      </c>
      <c r="T106" s="31">
        <f t="shared" si="18"/>
        <v>-2203457.4421309819</v>
      </c>
      <c r="U106" s="31">
        <f t="shared" si="18"/>
        <v>-2202667.343851544</v>
      </c>
      <c r="V106" s="31">
        <f t="shared" si="18"/>
        <v>-2201877.245572106</v>
      </c>
      <c r="W106" s="31">
        <f t="shared" si="18"/>
        <v>-2201087.1472926661</v>
      </c>
      <c r="X106" s="31">
        <f t="shared" si="18"/>
        <v>-2200297.0490132291</v>
      </c>
      <c r="Y106" s="31">
        <f t="shared" si="18"/>
        <v>-2199506.950733792</v>
      </c>
      <c r="Z106" s="31">
        <f t="shared" si="18"/>
        <v>-2198716.8524543531</v>
      </c>
      <c r="AA106" s="31">
        <f t="shared" si="18"/>
        <v>-2197926.7541749161</v>
      </c>
      <c r="AB106" s="31">
        <f t="shared" si="18"/>
        <v>-2197136.6558954772</v>
      </c>
      <c r="AC106" s="31">
        <f t="shared" si="18"/>
        <v>-2378413.5693847779</v>
      </c>
      <c r="AD106" s="31">
        <f t="shared" si="18"/>
        <v>-2377623.4711053399</v>
      </c>
      <c r="AE106" s="31">
        <f t="shared" si="18"/>
        <v>-2376833.372825902</v>
      </c>
      <c r="AF106" s="31">
        <f t="shared" si="18"/>
        <v>-2376043.274546464</v>
      </c>
      <c r="AG106" s="31">
        <f t="shared" si="18"/>
        <v>-2375253.176267026</v>
      </c>
    </row>
    <row r="107" spans="1:43" x14ac:dyDescent="0.3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-566932.15594176843</v>
      </c>
      <c r="K107" s="31">
        <f t="shared" si="19"/>
        <v>-1108409.4151057887</v>
      </c>
      <c r="L107" s="31">
        <f t="shared" si="19"/>
        <v>-1641094.3920452141</v>
      </c>
      <c r="M107" s="31">
        <f t="shared" si="19"/>
        <v>-2173779.3689846396</v>
      </c>
      <c r="N107" s="31">
        <f t="shared" si="19"/>
        <v>-2440121.8574543521</v>
      </c>
      <c r="O107" s="31">
        <f t="shared" si="19"/>
        <v>-2440121.8574543521</v>
      </c>
      <c r="P107" s="31">
        <f t="shared" si="19"/>
        <v>-2440121.8574543521</v>
      </c>
      <c r="Q107" s="31">
        <f t="shared" si="19"/>
        <v>-2440121.8574543521</v>
      </c>
      <c r="R107" s="31">
        <f t="shared" si="19"/>
        <v>-2440121.8574543521</v>
      </c>
      <c r="S107" s="31">
        <f t="shared" si="19"/>
        <v>-2440121.8574543521</v>
      </c>
      <c r="T107" s="31">
        <f t="shared" si="19"/>
        <v>-2440121.8574543521</v>
      </c>
      <c r="U107" s="31">
        <f t="shared" si="19"/>
        <v>-2440121.8574543521</v>
      </c>
      <c r="V107" s="31">
        <f t="shared" si="19"/>
        <v>-2440121.8574543521</v>
      </c>
      <c r="W107" s="31">
        <f t="shared" si="19"/>
        <v>-2440121.8574543521</v>
      </c>
      <c r="X107" s="31">
        <f t="shared" si="19"/>
        <v>-2440121.8574543521</v>
      </c>
      <c r="Y107" s="31">
        <f t="shared" si="19"/>
        <v>-2440121.8574543521</v>
      </c>
      <c r="Z107" s="31">
        <f t="shared" si="19"/>
        <v>-2440121.8574543521</v>
      </c>
      <c r="AA107" s="31">
        <f t="shared" si="19"/>
        <v>-2440121.8574543521</v>
      </c>
      <c r="AB107" s="31">
        <f t="shared" si="19"/>
        <v>-2440121.8574543521</v>
      </c>
      <c r="AC107" s="31">
        <f t="shared" si="19"/>
        <v>-2440121.8574543521</v>
      </c>
      <c r="AD107" s="31">
        <f t="shared" si="19"/>
        <v>-2440121.8574543521</v>
      </c>
      <c r="AE107" s="31">
        <f t="shared" si="19"/>
        <v>-2440121.8574543521</v>
      </c>
      <c r="AF107" s="31">
        <f t="shared" si="19"/>
        <v>-2440121.8574543521</v>
      </c>
      <c r="AG107" s="31">
        <f t="shared" si="19"/>
        <v>-2440121.8574543521</v>
      </c>
    </row>
    <row r="108" spans="1:43" x14ac:dyDescent="0.3">
      <c r="C108" s="1" t="s">
        <v>239</v>
      </c>
      <c r="D108"/>
      <c r="E108"/>
      <c r="F108"/>
      <c r="G108"/>
      <c r="I108" s="31">
        <f>SUM(I84:I85)</f>
        <v>42766.204186080489</v>
      </c>
      <c r="J108" s="31">
        <f t="shared" ref="J108:AG108" si="20">SUM(J84:J85)</f>
        <v>152251.23592751217</v>
      </c>
      <c r="K108" s="31">
        <f t="shared" si="20"/>
        <v>202477.55810039677</v>
      </c>
      <c r="L108" s="31">
        <f t="shared" si="20"/>
        <v>225544.68609836791</v>
      </c>
      <c r="M108" s="31">
        <f t="shared" si="20"/>
        <v>225968.4778896838</v>
      </c>
      <c r="N108" s="31">
        <f t="shared" si="20"/>
        <v>226887.88197923219</v>
      </c>
      <c r="O108" s="31">
        <f t="shared" si="20"/>
        <v>230031.4688827889</v>
      </c>
      <c r="P108" s="31">
        <f t="shared" si="20"/>
        <v>233436.21104975883</v>
      </c>
      <c r="Q108" s="31">
        <f t="shared" si="20"/>
        <v>234294.12048505573</v>
      </c>
      <c r="R108" s="31">
        <f t="shared" si="20"/>
        <v>235084.21876449371</v>
      </c>
      <c r="S108" s="31">
        <f t="shared" si="20"/>
        <v>235874.31704393215</v>
      </c>
      <c r="T108" s="31">
        <f t="shared" si="20"/>
        <v>236664.41532337014</v>
      </c>
      <c r="U108" s="31">
        <f t="shared" si="20"/>
        <v>237454.51360280812</v>
      </c>
      <c r="V108" s="31">
        <f t="shared" si="20"/>
        <v>238244.6118822461</v>
      </c>
      <c r="W108" s="31">
        <f t="shared" si="20"/>
        <v>239034.71016168594</v>
      </c>
      <c r="X108" s="31">
        <f t="shared" si="20"/>
        <v>239824.80844112299</v>
      </c>
      <c r="Y108" s="31">
        <f t="shared" si="20"/>
        <v>240614.90672056004</v>
      </c>
      <c r="Z108" s="31">
        <f t="shared" si="20"/>
        <v>241405.00499999896</v>
      </c>
      <c r="AA108" s="31">
        <f t="shared" si="20"/>
        <v>242195.10327943601</v>
      </c>
      <c r="AB108" s="31">
        <f t="shared" si="20"/>
        <v>242985.20155887492</v>
      </c>
      <c r="AC108" s="31">
        <f t="shared" si="20"/>
        <v>61708.288069574206</v>
      </c>
      <c r="AD108" s="31">
        <f t="shared" si="20"/>
        <v>62498.38634901218</v>
      </c>
      <c r="AE108" s="31">
        <f t="shared" si="20"/>
        <v>63288.484628450176</v>
      </c>
      <c r="AF108" s="31">
        <f t="shared" si="20"/>
        <v>64078.582907888158</v>
      </c>
      <c r="AG108" s="31">
        <f t="shared" si="20"/>
        <v>64868.681187326125</v>
      </c>
    </row>
    <row r="109" spans="1:43" x14ac:dyDescent="0.3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42766.204186080489</v>
      </c>
      <c r="J110" s="31" cm="1">
        <f t="array" ref="J110">J$106+IF($C110&lt;&gt;0,SUMPRODUCT((J$107:J$108)*TRANSPOSE(($D110:$E110))),0)</f>
        <v>-471374.13560843311</v>
      </c>
      <c r="K110" s="31" cm="1">
        <f t="array" ref="K110">K$106+IF($C110&lt;&gt;0,SUMPRODUCT((K$107:K$108)*TRANSPOSE(($D110:$E110))),0)</f>
        <v>-1016772.7985159708</v>
      </c>
      <c r="L110" s="31" cm="1">
        <f t="array" ref="L110">L$106+IF($C110&lt;&gt;0,SUMPRODUCT((L$107:L$108)*TRANSPOSE(($D110:$E110))),0)</f>
        <v>-1579659.1451513676</v>
      </c>
      <c r="M110" s="31" cm="1">
        <f t="array" ref="M110">M$106+IF($C110&lt;&gt;0,SUMPRODUCT((M$107:M$108)*TRANSPOSE(($D110:$E110))),0)</f>
        <v>-2165188.82799342</v>
      </c>
      <c r="N110" s="31" cm="1">
        <f t="array" ref="N110">N$106+IF($C110&lt;&gt;0,SUMPRODUCT((N$107:N$108)*TRANSPOSE(($D110:$E110))),0)</f>
        <v>-2457246.1612205552</v>
      </c>
      <c r="O110" s="31" cm="1">
        <f t="array" ref="O110">O$106+IF($C110&lt;&gt;0,SUMPRODUCT((O$107:O$108)*TRANSPOSE(($D110:$E110))),0)</f>
        <v>-2454102.5743169985</v>
      </c>
      <c r="P110" s="31" cm="1">
        <f t="array" ref="P110">P$106+IF($C110&lt;&gt;0,SUMPRODUCT((P$107:P$108)*TRANSPOSE(($D110:$E110))),0)</f>
        <v>-2450697.8321500286</v>
      </c>
      <c r="Q110" s="31" cm="1">
        <f t="array" ref="Q110">Q$106+IF($C110&lt;&gt;0,SUMPRODUCT((Q$107:Q$108)*TRANSPOSE(($D110:$E110))),0)</f>
        <v>-2449839.9227147317</v>
      </c>
      <c r="R110" s="31" cm="1">
        <f t="array" ref="R110">R$106+IF($C110&lt;&gt;0,SUMPRODUCT((R$107:R$108)*TRANSPOSE(($D110:$E110))),0)</f>
        <v>-2449049.8244352937</v>
      </c>
      <c r="S110" s="31" cm="1">
        <f t="array" ref="S110">S$106+IF($C110&lt;&gt;0,SUMPRODUCT((S$107:S$108)*TRANSPOSE(($D110:$E110))),0)</f>
        <v>-2448259.7261558552</v>
      </c>
      <c r="T110" s="31" cm="1">
        <f t="array" ref="T110">T$106+IF($C110&lt;&gt;0,SUMPRODUCT((T$107:T$108)*TRANSPOSE(($D110:$E110))),0)</f>
        <v>-2447469.6278764172</v>
      </c>
      <c r="U110" s="31" cm="1">
        <f t="array" ref="U110">U$106+IF($C110&lt;&gt;0,SUMPRODUCT((U$107:U$108)*TRANSPOSE(($D110:$E110))),0)</f>
        <v>-2446679.5295969793</v>
      </c>
      <c r="V110" s="31" cm="1">
        <f t="array" ref="V110">V$106+IF($C110&lt;&gt;0,SUMPRODUCT((V$107:V$108)*TRANSPOSE(($D110:$E110))),0)</f>
        <v>-2445889.4313175413</v>
      </c>
      <c r="W110" s="31" cm="1">
        <f t="array" ref="W110">W$106+IF($C110&lt;&gt;0,SUMPRODUCT((W$107:W$108)*TRANSPOSE(($D110:$E110))),0)</f>
        <v>-2445099.3330381014</v>
      </c>
      <c r="X110" s="31" cm="1">
        <f t="array" ref="X110">X$106+IF($C110&lt;&gt;0,SUMPRODUCT((X$107:X$108)*TRANSPOSE(($D110:$E110))),0)</f>
        <v>-2444309.2347586644</v>
      </c>
      <c r="Y110" s="31" cm="1">
        <f t="array" ref="Y110">Y$106+IF($C110&lt;&gt;0,SUMPRODUCT((Y$107:Y$108)*TRANSPOSE(($D110:$E110))),0)</f>
        <v>-2443519.1364792273</v>
      </c>
      <c r="Z110" s="31" cm="1">
        <f t="array" ref="Z110">Z$106+IF($C110&lt;&gt;0,SUMPRODUCT((Z$107:Z$108)*TRANSPOSE(($D110:$E110))),0)</f>
        <v>-2442729.0381997884</v>
      </c>
      <c r="AA110" s="31" cm="1">
        <f t="array" ref="AA110">AA$106+IF($C110&lt;&gt;0,SUMPRODUCT((AA$107:AA$108)*TRANSPOSE(($D110:$E110))),0)</f>
        <v>-2441938.9399203514</v>
      </c>
      <c r="AB110" s="31" cm="1">
        <f t="array" ref="AB110">AB$106+IF($C110&lt;&gt;0,SUMPRODUCT((AB$107:AB$108)*TRANSPOSE(($D110:$E110))),0)</f>
        <v>-2441148.8416409125</v>
      </c>
      <c r="AC110" s="31" cm="1">
        <f t="array" ref="AC110">AC$106+IF($C110&lt;&gt;0,SUMPRODUCT((AC$107:AC$108)*TRANSPOSE(($D110:$E110))),0)</f>
        <v>-2622425.7551302132</v>
      </c>
      <c r="AD110" s="31" cm="1">
        <f t="array" ref="AD110">AD$106+IF($C110&lt;&gt;0,SUMPRODUCT((AD$107:AD$108)*TRANSPOSE(($D110:$E110))),0)</f>
        <v>-2621635.6568507752</v>
      </c>
      <c r="AE110" s="31" cm="1">
        <f t="array" ref="AE110">AE$106+IF($C110&lt;&gt;0,SUMPRODUCT((AE$107:AE$108)*TRANSPOSE(($D110:$E110))),0)</f>
        <v>-2620845.5585713373</v>
      </c>
      <c r="AF110" s="31" cm="1">
        <f t="array" ref="AF110">AF$106+IF($C110&lt;&gt;0,SUMPRODUCT((AF$107:AF$108)*TRANSPOSE(($D110:$E110))),0)</f>
        <v>-2620055.4602918993</v>
      </c>
      <c r="AG110" s="31" cm="1">
        <f t="array" ref="AG110">AG$106+IF($C110&lt;&gt;0,SUMPRODUCT((AG$107:AG$108)*TRANSPOSE(($D110:$E110))),0)</f>
        <v>-2619265.3620124613</v>
      </c>
    </row>
    <row r="111" spans="1:43" x14ac:dyDescent="0.3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42766.204186080489</v>
      </c>
      <c r="J111" s="31" cm="1">
        <f t="array" ref="J111">J$106+IF($C111&lt;&gt;0,SUMPRODUCT((J$107:J$108)*TRANSPOSE(($D111:$E111))),0)</f>
        <v>-357987.70442007942</v>
      </c>
      <c r="K111" s="31" cm="1">
        <f t="array" ref="K111">K$106+IF($C111&lt;&gt;0,SUMPRODUCT((K$107:K$108)*TRANSPOSE(($D111:$E111))),0)</f>
        <v>-795090.91549481312</v>
      </c>
      <c r="L111" s="31" cm="1">
        <f t="array" ref="L111">L$106+IF($C111&lt;&gt;0,SUMPRODUCT((L$107:L$108)*TRANSPOSE(($D111:$E111))),0)</f>
        <v>-1251440.2667423247</v>
      </c>
      <c r="M111" s="31" cm="1">
        <f t="array" ref="M111">M$106+IF($C111&lt;&gt;0,SUMPRODUCT((M$107:M$108)*TRANSPOSE(($D111:$E111))),0)</f>
        <v>-1730432.9541964917</v>
      </c>
      <c r="N111" s="31" cm="1">
        <f t="array" ref="N111">N$106+IF($C111&lt;&gt;0,SUMPRODUCT((N$107:N$108)*TRANSPOSE(($D111:$E111))),0)</f>
        <v>-1969221.7897296846</v>
      </c>
      <c r="O111" s="31" cm="1">
        <f t="array" ref="O111">O$106+IF($C111&lt;&gt;0,SUMPRODUCT((O$107:O$108)*TRANSPOSE(($D111:$E111))),0)</f>
        <v>-1966078.2028261279</v>
      </c>
      <c r="P111" s="31" cm="1">
        <f t="array" ref="P111">P$106+IF($C111&lt;&gt;0,SUMPRODUCT((P$107:P$108)*TRANSPOSE(($D111:$E111))),0)</f>
        <v>-1962673.460659158</v>
      </c>
      <c r="Q111" s="31" cm="1">
        <f t="array" ref="Q111">Q$106+IF($C111&lt;&gt;0,SUMPRODUCT((Q$107:Q$108)*TRANSPOSE(($D111:$E111))),0)</f>
        <v>-1961815.5512238611</v>
      </c>
      <c r="R111" s="31" cm="1">
        <f t="array" ref="R111">R$106+IF($C111&lt;&gt;0,SUMPRODUCT((R$107:R$108)*TRANSPOSE(($D111:$E111))),0)</f>
        <v>-1961025.4529444231</v>
      </c>
      <c r="S111" s="31" cm="1">
        <f t="array" ref="S111">S$106+IF($C111&lt;&gt;0,SUMPRODUCT((S$107:S$108)*TRANSPOSE(($D111:$E111))),0)</f>
        <v>-1960235.3546649846</v>
      </c>
      <c r="T111" s="31" cm="1">
        <f t="array" ref="T111">T$106+IF($C111&lt;&gt;0,SUMPRODUCT((T$107:T$108)*TRANSPOSE(($D111:$E111))),0)</f>
        <v>-1959445.2563855466</v>
      </c>
      <c r="U111" s="31" cm="1">
        <f t="array" ref="U111">U$106+IF($C111&lt;&gt;0,SUMPRODUCT((U$107:U$108)*TRANSPOSE(($D111:$E111))),0)</f>
        <v>-1958655.1581061087</v>
      </c>
      <c r="V111" s="31" cm="1">
        <f t="array" ref="V111">V$106+IF($C111&lt;&gt;0,SUMPRODUCT((V$107:V$108)*TRANSPOSE(($D111:$E111))),0)</f>
        <v>-1957865.0598266707</v>
      </c>
      <c r="W111" s="31" cm="1">
        <f t="array" ref="W111">W$106+IF($C111&lt;&gt;0,SUMPRODUCT((W$107:W$108)*TRANSPOSE(($D111:$E111))),0)</f>
        <v>-1957074.9615472308</v>
      </c>
      <c r="X111" s="31" cm="1">
        <f t="array" ref="X111">X$106+IF($C111&lt;&gt;0,SUMPRODUCT((X$107:X$108)*TRANSPOSE(($D111:$E111))),0)</f>
        <v>-1956284.8632677938</v>
      </c>
      <c r="Y111" s="31" cm="1">
        <f t="array" ref="Y111">Y$106+IF($C111&lt;&gt;0,SUMPRODUCT((Y$107:Y$108)*TRANSPOSE(($D111:$E111))),0)</f>
        <v>-1955494.7649883567</v>
      </c>
      <c r="Z111" s="31" cm="1">
        <f t="array" ref="Z111">Z$106+IF($C111&lt;&gt;0,SUMPRODUCT((Z$107:Z$108)*TRANSPOSE(($D111:$E111))),0)</f>
        <v>-1954704.6667089178</v>
      </c>
      <c r="AA111" s="31" cm="1">
        <f t="array" ref="AA111">AA$106+IF($C111&lt;&gt;0,SUMPRODUCT((AA$107:AA$108)*TRANSPOSE(($D111:$E111))),0)</f>
        <v>-1953914.5684294808</v>
      </c>
      <c r="AB111" s="31" cm="1">
        <f t="array" ref="AB111">AB$106+IF($C111&lt;&gt;0,SUMPRODUCT((AB$107:AB$108)*TRANSPOSE(($D111:$E111))),0)</f>
        <v>-1953124.4701500419</v>
      </c>
      <c r="AC111" s="31" cm="1">
        <f t="array" ref="AC111">AC$106+IF($C111&lt;&gt;0,SUMPRODUCT((AC$107:AC$108)*TRANSPOSE(($D111:$E111))),0)</f>
        <v>-2134401.3836393426</v>
      </c>
      <c r="AD111" s="31" cm="1">
        <f t="array" ref="AD111">AD$106+IF($C111&lt;&gt;0,SUMPRODUCT((AD$107:AD$108)*TRANSPOSE(($D111:$E111))),0)</f>
        <v>-2133611.2853599046</v>
      </c>
      <c r="AE111" s="31" cm="1">
        <f t="array" ref="AE111">AE$106+IF($C111&lt;&gt;0,SUMPRODUCT((AE$107:AE$108)*TRANSPOSE(($D111:$E111))),0)</f>
        <v>-2132821.1870804667</v>
      </c>
      <c r="AF111" s="31" cm="1">
        <f t="array" ref="AF111">AF$106+IF($C111&lt;&gt;0,SUMPRODUCT((AF$107:AF$108)*TRANSPOSE(($D111:$E111))),0)</f>
        <v>-2132031.0888010287</v>
      </c>
      <c r="AG111" s="31" cm="1">
        <f t="array" ref="AG111">AG$106+IF($C111&lt;&gt;0,SUMPRODUCT((AG$107:AG$108)*TRANSPOSE(($D111:$E111))),0)</f>
        <v>-2131240.9905215907</v>
      </c>
    </row>
    <row r="112" spans="1:43" x14ac:dyDescent="0.3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47042.82460468854</v>
      </c>
      <c r="J112" s="31" cm="1">
        <f t="array" ref="J112">J$106+IF($C112&lt;&gt;0,SUMPRODUCT((J$107:J$108)*TRANSPOSE(($D112:$E112))),0)</f>
        <v>-399455.79642150505</v>
      </c>
      <c r="K112" s="31" cm="1">
        <f t="array" ref="K112">K$106+IF($C112&lt;&gt;0,SUMPRODUCT((K$107:K$108)*TRANSPOSE(($D112:$E112))),0)</f>
        <v>-885684.10119535227</v>
      </c>
      <c r="L112" s="31" cm="1">
        <f t="array" ref="L112">L$106+IF($C112&lt;&gt;0,SUMPRODUCT((L$107:L$108)*TRANSPOSE(($D112:$E112))),0)</f>
        <v>-1392995.2373370093</v>
      </c>
      <c r="M112" s="31" cm="1">
        <f t="array" ref="M112">M$106+IF($C112&lt;&gt;0,SUMPRODUCT((M$107:M$108)*TRANSPOSE(($D112:$E112))),0)</f>
        <v>-1925214.0433059875</v>
      </c>
      <c r="N112" s="31" cm="1">
        <f t="array" ref="N112">N$106+IF($C112&lt;&gt;0,SUMPRODUCT((N$107:N$108)*TRANSPOSE(($D112:$E112))),0)</f>
        <v>-2190545.1872771969</v>
      </c>
      <c r="O112" s="31" cm="1">
        <f t="array" ref="O112">O$106+IF($C112&lt;&gt;0,SUMPRODUCT((O$107:O$108)*TRANSPOSE(($D112:$E112))),0)</f>
        <v>-2187087.2416832843</v>
      </c>
      <c r="P112" s="31" cm="1">
        <f t="array" ref="P112">P$106+IF($C112&lt;&gt;0,SUMPRODUCT((P$107:P$108)*TRANSPOSE(($D112:$E112))),0)</f>
        <v>-2183342.0252996176</v>
      </c>
      <c r="Q112" s="31" cm="1">
        <f t="array" ref="Q112">Q$106+IF($C112&lt;&gt;0,SUMPRODUCT((Q$107:Q$108)*TRANSPOSE(($D112:$E112))),0)</f>
        <v>-2182398.3249207907</v>
      </c>
      <c r="R112" s="31" cm="1">
        <f t="array" ref="R112">R$106+IF($C112&lt;&gt;0,SUMPRODUCT((R$107:R$108)*TRANSPOSE(($D112:$E112))),0)</f>
        <v>-2181529.2168134088</v>
      </c>
      <c r="S112" s="31" cm="1">
        <f t="array" ref="S112">S$106+IF($C112&lt;&gt;0,SUMPRODUCT((S$107:S$108)*TRANSPOSE(($D112:$E112))),0)</f>
        <v>-2180660.1087060268</v>
      </c>
      <c r="T112" s="31" cm="1">
        <f t="array" ref="T112">T$106+IF($C112&lt;&gt;0,SUMPRODUCT((T$107:T$108)*TRANSPOSE(($D112:$E112))),0)</f>
        <v>-2179791.0005986448</v>
      </c>
      <c r="U112" s="31" cm="1">
        <f t="array" ref="U112">U$106+IF($C112&lt;&gt;0,SUMPRODUCT((U$107:U$108)*TRANSPOSE(($D112:$E112))),0)</f>
        <v>-2178921.8924912633</v>
      </c>
      <c r="V112" s="31" cm="1">
        <f t="array" ref="V112">V$106+IF($C112&lt;&gt;0,SUMPRODUCT((V$107:V$108)*TRANSPOSE(($D112:$E112))),0)</f>
        <v>-2178052.7843838814</v>
      </c>
      <c r="W112" s="31" cm="1">
        <f t="array" ref="W112">W$106+IF($C112&lt;&gt;0,SUMPRODUCT((W$107:W$108)*TRANSPOSE(($D112:$E112))),0)</f>
        <v>-2177183.6762764975</v>
      </c>
      <c r="X112" s="31" cm="1">
        <f t="array" ref="X112">X$106+IF($C112&lt;&gt;0,SUMPRODUCT((X$107:X$108)*TRANSPOSE(($D112:$E112))),0)</f>
        <v>-2176314.568169117</v>
      </c>
      <c r="Y112" s="31" cm="1">
        <f t="array" ref="Y112">Y$106+IF($C112&lt;&gt;0,SUMPRODUCT((Y$107:Y$108)*TRANSPOSE(($D112:$E112))),0)</f>
        <v>-2175445.4600617359</v>
      </c>
      <c r="Z112" s="31" cm="1">
        <f t="array" ref="Z112">Z$106+IF($C112&lt;&gt;0,SUMPRODUCT((Z$107:Z$108)*TRANSPOSE(($D112:$E112))),0)</f>
        <v>-2174576.351954353</v>
      </c>
      <c r="AA112" s="31" cm="1">
        <f t="array" ref="AA112">AA$106+IF($C112&lt;&gt;0,SUMPRODUCT((AA$107:AA$108)*TRANSPOSE(($D112:$E112))),0)</f>
        <v>-2173707.2438469725</v>
      </c>
      <c r="AB112" s="31" cm="1">
        <f t="array" ref="AB112">AB$106+IF($C112&lt;&gt;0,SUMPRODUCT((AB$107:AB$108)*TRANSPOSE(($D112:$E112))),0)</f>
        <v>-2172838.1357395896</v>
      </c>
      <c r="AC112" s="31" cm="1">
        <f t="array" ref="AC112">AC$106+IF($C112&lt;&gt;0,SUMPRODUCT((AC$107:AC$108)*TRANSPOSE(($D112:$E112))),0)</f>
        <v>-2372242.7405778207</v>
      </c>
      <c r="AD112" s="31" cm="1">
        <f t="array" ref="AD112">AD$106+IF($C112&lt;&gt;0,SUMPRODUCT((AD$107:AD$108)*TRANSPOSE(($D112:$E112))),0)</f>
        <v>-2371373.6324704387</v>
      </c>
      <c r="AE112" s="31" cm="1">
        <f t="array" ref="AE112">AE$106+IF($C112&lt;&gt;0,SUMPRODUCT((AE$107:AE$108)*TRANSPOSE(($D112:$E112))),0)</f>
        <v>-2370504.5243630568</v>
      </c>
      <c r="AF112" s="31" cm="1">
        <f t="array" ref="AF112">AF$106+IF($C112&lt;&gt;0,SUMPRODUCT((AF$107:AF$108)*TRANSPOSE(($D112:$E112))),0)</f>
        <v>-2369635.4162556753</v>
      </c>
      <c r="AG112" s="31" cm="1">
        <f t="array" ref="AG112">AG$106+IF($C112&lt;&gt;0,SUMPRODUCT((AG$107:AG$108)*TRANSPOSE(($D112:$E112))),0)</f>
        <v>-2368766.3081482933</v>
      </c>
    </row>
    <row r="113" spans="1:33" x14ac:dyDescent="0.3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38489.583767472439</v>
      </c>
      <c r="J113" s="31" cm="1">
        <f t="array" ref="J113">J$106+IF($C113&lt;&gt;0,SUMPRODUCT((J$107:J$108)*TRANSPOSE(($D113:$E113))),0)</f>
        <v>-429906.04360700748</v>
      </c>
      <c r="K113" s="31" cm="1">
        <f t="array" ref="K113">K$106+IF($C113&lt;&gt;0,SUMPRODUCT((K$107:K$108)*TRANSPOSE(($D113:$E113))),0)</f>
        <v>-926179.61281543167</v>
      </c>
      <c r="L113" s="31" cm="1">
        <f t="array" ref="L113">L$106+IF($C113&lt;&gt;0,SUMPRODUCT((L$107:L$108)*TRANSPOSE(($D113:$E113))),0)</f>
        <v>-1438104.1745566831</v>
      </c>
      <c r="M113" s="31" cm="1">
        <f t="array" ref="M113">M$106+IF($C113&lt;&gt;0,SUMPRODUCT((M$107:M$108)*TRANSPOSE(($D113:$E113))),0)</f>
        <v>-1970407.7388839242</v>
      </c>
      <c r="N113" s="31" cm="1">
        <f t="array" ref="N113">N$106+IF($C113&lt;&gt;0,SUMPRODUCT((N$107:N$108)*TRANSPOSE(($D113:$E113))),0)</f>
        <v>-2235922.7636730429</v>
      </c>
      <c r="O113" s="31" cm="1">
        <f t="array" ref="O113">O$106+IF($C113&lt;&gt;0,SUMPRODUCT((O$107:O$108)*TRANSPOSE(($D113:$E113))),0)</f>
        <v>-2233093.5354598421</v>
      </c>
      <c r="P113" s="31" cm="1">
        <f t="array" ref="P113">P$106+IF($C113&lt;&gt;0,SUMPRODUCT((P$107:P$108)*TRANSPOSE(($D113:$E113))),0)</f>
        <v>-2230029.2675095689</v>
      </c>
      <c r="Q113" s="31" cm="1">
        <f t="array" ref="Q113">Q$106+IF($C113&lt;&gt;0,SUMPRODUCT((Q$107:Q$108)*TRANSPOSE(($D113:$E113))),0)</f>
        <v>-2229257.149017802</v>
      </c>
      <c r="R113" s="31" cm="1">
        <f t="array" ref="R113">R$106+IF($C113&lt;&gt;0,SUMPRODUCT((R$107:R$108)*TRANSPOSE(($D113:$E113))),0)</f>
        <v>-2228546.060566308</v>
      </c>
      <c r="S113" s="31" cm="1">
        <f t="array" ref="S113">S$106+IF($C113&lt;&gt;0,SUMPRODUCT((S$107:S$108)*TRANSPOSE(($D113:$E113))),0)</f>
        <v>-2227834.972114813</v>
      </c>
      <c r="T113" s="31" cm="1">
        <f t="array" ref="T113">T$106+IF($C113&lt;&gt;0,SUMPRODUCT((T$107:T$108)*TRANSPOSE(($D113:$E113))),0)</f>
        <v>-2227123.8836633191</v>
      </c>
      <c r="U113" s="31" cm="1">
        <f t="array" ref="U113">U$106+IF($C113&lt;&gt;0,SUMPRODUCT((U$107:U$108)*TRANSPOSE(($D113:$E113))),0)</f>
        <v>-2226412.7952118246</v>
      </c>
      <c r="V113" s="31" cm="1">
        <f t="array" ref="V113">V$106+IF($C113&lt;&gt;0,SUMPRODUCT((V$107:V$108)*TRANSPOSE(($D113:$E113))),0)</f>
        <v>-2225701.7067603306</v>
      </c>
      <c r="W113" s="31" cm="1">
        <f t="array" ref="W113">W$106+IF($C113&lt;&gt;0,SUMPRODUCT((W$107:W$108)*TRANSPOSE(($D113:$E113))),0)</f>
        <v>-2224990.6183088347</v>
      </c>
      <c r="X113" s="31" cm="1">
        <f t="array" ref="X113">X$106+IF($C113&lt;&gt;0,SUMPRODUCT((X$107:X$108)*TRANSPOSE(($D113:$E113))),0)</f>
        <v>-2224279.5298573412</v>
      </c>
      <c r="Y113" s="31" cm="1">
        <f t="array" ref="Y113">Y$106+IF($C113&lt;&gt;0,SUMPRODUCT((Y$107:Y$108)*TRANSPOSE(($D113:$E113))),0)</f>
        <v>-2223568.4414058481</v>
      </c>
      <c r="Z113" s="31" cm="1">
        <f t="array" ref="Z113">Z$106+IF($C113&lt;&gt;0,SUMPRODUCT((Z$107:Z$108)*TRANSPOSE(($D113:$E113))),0)</f>
        <v>-2222857.3529543532</v>
      </c>
      <c r="AA113" s="31" cm="1">
        <f t="array" ref="AA113">AA$106+IF($C113&lt;&gt;0,SUMPRODUCT((AA$107:AA$108)*TRANSPOSE(($D113:$E113))),0)</f>
        <v>-2222146.2645028597</v>
      </c>
      <c r="AB113" s="31" cm="1">
        <f t="array" ref="AB113">AB$106+IF($C113&lt;&gt;0,SUMPRODUCT((AB$107:AB$108)*TRANSPOSE(($D113:$E113))),0)</f>
        <v>-2221435.1760513647</v>
      </c>
      <c r="AC113" s="31" cm="1">
        <f t="array" ref="AC113">AC$106+IF($C113&lt;&gt;0,SUMPRODUCT((AC$107:AC$108)*TRANSPOSE(($D113:$E113))),0)</f>
        <v>-2384584.3981917351</v>
      </c>
      <c r="AD113" s="31" cm="1">
        <f t="array" ref="AD113">AD$106+IF($C113&lt;&gt;0,SUMPRODUCT((AD$107:AD$108)*TRANSPOSE(($D113:$E113))),0)</f>
        <v>-2383873.3097402412</v>
      </c>
      <c r="AE113" s="31" cm="1">
        <f t="array" ref="AE113">AE$106+IF($C113&lt;&gt;0,SUMPRODUCT((AE$107:AE$108)*TRANSPOSE(($D113:$E113))),0)</f>
        <v>-2383162.2212887472</v>
      </c>
      <c r="AF113" s="31" cm="1">
        <f t="array" ref="AF113">AF$106+IF($C113&lt;&gt;0,SUMPRODUCT((AF$107:AF$108)*TRANSPOSE(($D113:$E113))),0)</f>
        <v>-2382451.1328372527</v>
      </c>
      <c r="AG113" s="31" cm="1">
        <f t="array" ref="AG113">AG$106+IF($C113&lt;&gt;0,SUMPRODUCT((AG$107:AG$108)*TRANSPOSE(($D113:$E113))),0)</f>
        <v>-2381740.0443857587</v>
      </c>
    </row>
    <row r="114" spans="1:33" x14ac:dyDescent="0.3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38489.583767472439</v>
      </c>
      <c r="J114" s="31" cm="1">
        <f t="array" ref="J114">J$106+IF($C114&lt;&gt;0,SUMPRODUCT((J$107:J$108)*TRANSPOSE(($D114:$E114))),0)</f>
        <v>-486599.25920118432</v>
      </c>
      <c r="K114" s="31" cm="1">
        <f t="array" ref="K114">K$106+IF($C114&lt;&gt;0,SUMPRODUCT((K$107:K$108)*TRANSPOSE(($D114:$E114))),0)</f>
        <v>-1037020.5543260105</v>
      </c>
      <c r="L114" s="31" cm="1">
        <f t="array" ref="L114">L$106+IF($C114&lt;&gt;0,SUMPRODUCT((L$107:L$108)*TRANSPOSE(($D114:$E114))),0)</f>
        <v>-1602213.6137612043</v>
      </c>
      <c r="M114" s="31" cm="1">
        <f t="array" ref="M114">M$106+IF($C114&lt;&gt;0,SUMPRODUCT((M$107:M$108)*TRANSPOSE(($D114:$E114))),0)</f>
        <v>-2187785.6757823881</v>
      </c>
      <c r="N114" s="31" cm="1">
        <f t="array" ref="N114">N$106+IF($C114&lt;&gt;0,SUMPRODUCT((N$107:N$108)*TRANSPOSE(($D114:$E114))),0)</f>
        <v>-2479934.9494184782</v>
      </c>
      <c r="O114" s="31" cm="1">
        <f t="array" ref="O114">O$106+IF($C114&lt;&gt;0,SUMPRODUCT((O$107:O$108)*TRANSPOSE(($D114:$E114))),0)</f>
        <v>-2477105.7212052774</v>
      </c>
      <c r="P114" s="31" cm="1">
        <f t="array" ref="P114">P$106+IF($C114&lt;&gt;0,SUMPRODUCT((P$107:P$108)*TRANSPOSE(($D114:$E114))),0)</f>
        <v>-2474041.4532550042</v>
      </c>
      <c r="Q114" s="31" cm="1">
        <f t="array" ref="Q114">Q$106+IF($C114&lt;&gt;0,SUMPRODUCT((Q$107:Q$108)*TRANSPOSE(($D114:$E114))),0)</f>
        <v>-2473269.3347632373</v>
      </c>
      <c r="R114" s="31" cm="1">
        <f t="array" ref="R114">R$106+IF($C114&lt;&gt;0,SUMPRODUCT((R$107:R$108)*TRANSPOSE(($D114:$E114))),0)</f>
        <v>-2472558.2463117428</v>
      </c>
      <c r="S114" s="31" cm="1">
        <f t="array" ref="S114">S$106+IF($C114&lt;&gt;0,SUMPRODUCT((S$107:S$108)*TRANSPOSE(($D114:$E114))),0)</f>
        <v>-2471847.1578602483</v>
      </c>
      <c r="T114" s="31" cm="1">
        <f t="array" ref="T114">T$106+IF($C114&lt;&gt;0,SUMPRODUCT((T$107:T$108)*TRANSPOSE(($D114:$E114))),0)</f>
        <v>-2471136.0694087544</v>
      </c>
      <c r="U114" s="31" cm="1">
        <f t="array" ref="U114">U$106+IF($C114&lt;&gt;0,SUMPRODUCT((U$107:U$108)*TRANSPOSE(($D114:$E114))),0)</f>
        <v>-2470424.9809572599</v>
      </c>
      <c r="V114" s="31" cm="1">
        <f t="array" ref="V114">V$106+IF($C114&lt;&gt;0,SUMPRODUCT((V$107:V$108)*TRANSPOSE(($D114:$E114))),0)</f>
        <v>-2469713.8925057659</v>
      </c>
      <c r="W114" s="31" cm="1">
        <f t="array" ref="W114">W$106+IF($C114&lt;&gt;0,SUMPRODUCT((W$107:W$108)*TRANSPOSE(($D114:$E114))),0)</f>
        <v>-2469002.80405427</v>
      </c>
      <c r="X114" s="31" cm="1">
        <f t="array" ref="X114">X$106+IF($C114&lt;&gt;0,SUMPRODUCT((X$107:X$108)*TRANSPOSE(($D114:$E114))),0)</f>
        <v>-2468291.7156027765</v>
      </c>
      <c r="Y114" s="31" cm="1">
        <f t="array" ref="Y114">Y$106+IF($C114&lt;&gt;0,SUMPRODUCT((Y$107:Y$108)*TRANSPOSE(($D114:$E114))),0)</f>
        <v>-2467580.6271512834</v>
      </c>
      <c r="Z114" s="31" cm="1">
        <f t="array" ref="Z114">Z$106+IF($C114&lt;&gt;0,SUMPRODUCT((Z$107:Z$108)*TRANSPOSE(($D114:$E114))),0)</f>
        <v>-2466869.538699788</v>
      </c>
      <c r="AA114" s="31" cm="1">
        <f t="array" ref="AA114">AA$106+IF($C114&lt;&gt;0,SUMPRODUCT((AA$107:AA$108)*TRANSPOSE(($D114:$E114))),0)</f>
        <v>-2466158.450248295</v>
      </c>
      <c r="AB114" s="31" cm="1">
        <f t="array" ref="AB114">AB$106+IF($C114&lt;&gt;0,SUMPRODUCT((AB$107:AB$108)*TRANSPOSE(($D114:$E114))),0)</f>
        <v>-2465447.3617968</v>
      </c>
      <c r="AC114" s="31" cm="1">
        <f t="array" ref="AC114">AC$106+IF($C114&lt;&gt;0,SUMPRODUCT((AC$107:AC$108)*TRANSPOSE(($D114:$E114))),0)</f>
        <v>-2628596.5839371704</v>
      </c>
      <c r="AD114" s="31" cm="1">
        <f t="array" ref="AD114">AD$106+IF($C114&lt;&gt;0,SUMPRODUCT((AD$107:AD$108)*TRANSPOSE(($D114:$E114))),0)</f>
        <v>-2627885.4954856765</v>
      </c>
      <c r="AE114" s="31" cm="1">
        <f t="array" ref="AE114">AE$106+IF($C114&lt;&gt;0,SUMPRODUCT((AE$107:AE$108)*TRANSPOSE(($D114:$E114))),0)</f>
        <v>-2627174.407034182</v>
      </c>
      <c r="AF114" s="31" cm="1">
        <f t="array" ref="AF114">AF$106+IF($C114&lt;&gt;0,SUMPRODUCT((AF$107:AF$108)*TRANSPOSE(($D114:$E114))),0)</f>
        <v>-2626463.318582688</v>
      </c>
      <c r="AG114" s="31" cm="1">
        <f t="array" ref="AG114">AG$106+IF($C114&lt;&gt;0,SUMPRODUCT((AG$107:AG$108)*TRANSPOSE(($D114:$E114))),0)</f>
        <v>-2625752.230131194</v>
      </c>
    </row>
    <row r="115" spans="1:33" x14ac:dyDescent="0.3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42766.204186080489</v>
      </c>
      <c r="J115" s="31" cm="1">
        <f t="array" ref="J115">J$106+IF($C115&lt;&gt;0,SUMPRODUCT((J$107:J$108)*TRANSPOSE(($D115:$E115))),0)</f>
        <v>-414680.92001425626</v>
      </c>
      <c r="K115" s="31" cm="1">
        <f t="array" ref="K115">K$106+IF($C115&lt;&gt;0,SUMPRODUCT((K$107:K$108)*TRANSPOSE(($D115:$E115))),0)</f>
        <v>-905931.85700539197</v>
      </c>
      <c r="L115" s="31" cm="1">
        <f t="array" ref="L115">L$106+IF($C115&lt;&gt;0,SUMPRODUCT((L$107:L$108)*TRANSPOSE(($D115:$E115))),0)</f>
        <v>-1415549.7059468462</v>
      </c>
      <c r="M115" s="31" cm="1">
        <f t="array" ref="M115">M$106+IF($C115&lt;&gt;0,SUMPRODUCT((M$107:M$108)*TRANSPOSE(($D115:$E115))),0)</f>
        <v>-1947810.8910949558</v>
      </c>
      <c r="N115" s="31" cm="1">
        <f t="array" ref="N115">N$106+IF($C115&lt;&gt;0,SUMPRODUCT((N$107:N$108)*TRANSPOSE(($D115:$E115))),0)</f>
        <v>-2213233.9754751199</v>
      </c>
      <c r="O115" s="31" cm="1">
        <f t="array" ref="O115">O$106+IF($C115&lt;&gt;0,SUMPRODUCT((O$107:O$108)*TRANSPOSE(($D115:$E115))),0)</f>
        <v>-2210090.3885715632</v>
      </c>
      <c r="P115" s="31" cm="1">
        <f t="array" ref="P115">P$106+IF($C115&lt;&gt;0,SUMPRODUCT((P$107:P$108)*TRANSPOSE(($D115:$E115))),0)</f>
        <v>-2206685.6464045933</v>
      </c>
      <c r="Q115" s="31" cm="1">
        <f t="array" ref="Q115">Q$106+IF($C115&lt;&gt;0,SUMPRODUCT((Q$107:Q$108)*TRANSPOSE(($D115:$E115))),0)</f>
        <v>-2205827.7369692964</v>
      </c>
      <c r="R115" s="31" cm="1">
        <f t="array" ref="R115">R$106+IF($C115&lt;&gt;0,SUMPRODUCT((R$107:R$108)*TRANSPOSE(($D115:$E115))),0)</f>
        <v>-2205037.6386898584</v>
      </c>
      <c r="S115" s="31" cm="1">
        <f t="array" ref="S115">S$106+IF($C115&lt;&gt;0,SUMPRODUCT((S$107:S$108)*TRANSPOSE(($D115:$E115))),0)</f>
        <v>-2204247.5404104199</v>
      </c>
      <c r="T115" s="31" cm="1">
        <f t="array" ref="T115">T$106+IF($C115&lt;&gt;0,SUMPRODUCT((T$107:T$108)*TRANSPOSE(($D115:$E115))),0)</f>
        <v>-2203457.4421309819</v>
      </c>
      <c r="U115" s="31" cm="1">
        <f t="array" ref="U115">U$106+IF($C115&lt;&gt;0,SUMPRODUCT((U$107:U$108)*TRANSPOSE(($D115:$E115))),0)</f>
        <v>-2202667.343851544</v>
      </c>
      <c r="V115" s="31" cm="1">
        <f t="array" ref="V115">V$106+IF($C115&lt;&gt;0,SUMPRODUCT((V$107:V$108)*TRANSPOSE(($D115:$E115))),0)</f>
        <v>-2201877.245572106</v>
      </c>
      <c r="W115" s="31" cm="1">
        <f t="array" ref="W115">W$106+IF($C115&lt;&gt;0,SUMPRODUCT((W$107:W$108)*TRANSPOSE(($D115:$E115))),0)</f>
        <v>-2201087.1472926661</v>
      </c>
      <c r="X115" s="31" cm="1">
        <f t="array" ref="X115">X$106+IF($C115&lt;&gt;0,SUMPRODUCT((X$107:X$108)*TRANSPOSE(($D115:$E115))),0)</f>
        <v>-2200297.0490132291</v>
      </c>
      <c r="Y115" s="31" cm="1">
        <f t="array" ref="Y115">Y$106+IF($C115&lt;&gt;0,SUMPRODUCT((Y$107:Y$108)*TRANSPOSE(($D115:$E115))),0)</f>
        <v>-2199506.950733792</v>
      </c>
      <c r="Z115" s="31" cm="1">
        <f t="array" ref="Z115">Z$106+IF($C115&lt;&gt;0,SUMPRODUCT((Z$107:Z$108)*TRANSPOSE(($D115:$E115))),0)</f>
        <v>-2198716.8524543531</v>
      </c>
      <c r="AA115" s="31" cm="1">
        <f t="array" ref="AA115">AA$106+IF($C115&lt;&gt;0,SUMPRODUCT((AA$107:AA$108)*TRANSPOSE(($D115:$E115))),0)</f>
        <v>-2197926.7541749161</v>
      </c>
      <c r="AB115" s="31" cm="1">
        <f t="array" ref="AB115">AB$106+IF($C115&lt;&gt;0,SUMPRODUCT((AB$107:AB$108)*TRANSPOSE(($D115:$E115))),0)</f>
        <v>-2197136.6558954772</v>
      </c>
      <c r="AC115" s="31" cm="1">
        <f t="array" ref="AC115">AC$106+IF($C115&lt;&gt;0,SUMPRODUCT((AC$107:AC$108)*TRANSPOSE(($D115:$E115))),0)</f>
        <v>-2378413.5693847779</v>
      </c>
      <c r="AD115" s="31" cm="1">
        <f t="array" ref="AD115">AD$106+IF($C115&lt;&gt;0,SUMPRODUCT((AD$107:AD$108)*TRANSPOSE(($D115:$E115))),0)</f>
        <v>-2377623.4711053399</v>
      </c>
      <c r="AE115" s="31" cm="1">
        <f t="array" ref="AE115">AE$106+IF($C115&lt;&gt;0,SUMPRODUCT((AE$107:AE$108)*TRANSPOSE(($D115:$E115))),0)</f>
        <v>-2376833.372825902</v>
      </c>
      <c r="AF115" s="31" cm="1">
        <f t="array" ref="AF115">AF$106+IF($C115&lt;&gt;0,SUMPRODUCT((AF$107:AF$108)*TRANSPOSE(($D115:$E115))),0)</f>
        <v>-2376043.274546464</v>
      </c>
      <c r="AG115" s="31" cm="1">
        <f t="array" ref="AG115">AG$106+IF($C115&lt;&gt;0,SUMPRODUCT((AG$107:AG$108)*TRANSPOSE(($D115:$E115))),0)</f>
        <v>-2375253.176267026</v>
      </c>
    </row>
    <row r="116" spans="1:33" x14ac:dyDescent="0.3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42766.204186080489</v>
      </c>
      <c r="J116" s="31" cm="1">
        <f t="array" ref="J116">J$106+IF($C116&lt;&gt;0,SUMPRODUCT((J$107:J$108)*TRANSPOSE(($D116:$E116))),0)</f>
        <v>-414680.92001425626</v>
      </c>
      <c r="K116" s="31" cm="1">
        <f t="array" ref="K116">K$106+IF($C116&lt;&gt;0,SUMPRODUCT((K$107:K$108)*TRANSPOSE(($D116:$E116))),0)</f>
        <v>-905931.85700539197</v>
      </c>
      <c r="L116" s="31" cm="1">
        <f t="array" ref="L116">L$106+IF($C116&lt;&gt;0,SUMPRODUCT((L$107:L$108)*TRANSPOSE(($D116:$E116))),0)</f>
        <v>-1415549.7059468462</v>
      </c>
      <c r="M116" s="31" cm="1">
        <f t="array" ref="M116">M$106+IF($C116&lt;&gt;0,SUMPRODUCT((M$107:M$108)*TRANSPOSE(($D116:$E116))),0)</f>
        <v>-1947810.8910949558</v>
      </c>
      <c r="N116" s="31" cm="1">
        <f t="array" ref="N116">N$106+IF($C116&lt;&gt;0,SUMPRODUCT((N$107:N$108)*TRANSPOSE(($D116:$E116))),0)</f>
        <v>-2213233.9754751199</v>
      </c>
      <c r="O116" s="31" cm="1">
        <f t="array" ref="O116">O$106+IF($C116&lt;&gt;0,SUMPRODUCT((O$107:O$108)*TRANSPOSE(($D116:$E116))),0)</f>
        <v>-2210090.3885715632</v>
      </c>
      <c r="P116" s="31" cm="1">
        <f t="array" ref="P116">P$106+IF($C116&lt;&gt;0,SUMPRODUCT((P$107:P$108)*TRANSPOSE(($D116:$E116))),0)</f>
        <v>-2206685.6464045933</v>
      </c>
      <c r="Q116" s="31" cm="1">
        <f t="array" ref="Q116">Q$106+IF($C116&lt;&gt;0,SUMPRODUCT((Q$107:Q$108)*TRANSPOSE(($D116:$E116))),0)</f>
        <v>-2205827.7369692964</v>
      </c>
      <c r="R116" s="31" cm="1">
        <f t="array" ref="R116">R$106+IF($C116&lt;&gt;0,SUMPRODUCT((R$107:R$108)*TRANSPOSE(($D116:$E116))),0)</f>
        <v>-2205037.6386898584</v>
      </c>
      <c r="S116" s="31" cm="1">
        <f t="array" ref="S116">S$106+IF($C116&lt;&gt;0,SUMPRODUCT((S$107:S$108)*TRANSPOSE(($D116:$E116))),0)</f>
        <v>-2204247.5404104199</v>
      </c>
      <c r="T116" s="31" cm="1">
        <f t="array" ref="T116">T$106+IF($C116&lt;&gt;0,SUMPRODUCT((T$107:T$108)*TRANSPOSE(($D116:$E116))),0)</f>
        <v>-2203457.4421309819</v>
      </c>
      <c r="U116" s="31" cm="1">
        <f t="array" ref="U116">U$106+IF($C116&lt;&gt;0,SUMPRODUCT((U$107:U$108)*TRANSPOSE(($D116:$E116))),0)</f>
        <v>-2202667.343851544</v>
      </c>
      <c r="V116" s="31" cm="1">
        <f t="array" ref="V116">V$106+IF($C116&lt;&gt;0,SUMPRODUCT((V$107:V$108)*TRANSPOSE(($D116:$E116))),0)</f>
        <v>-2201877.245572106</v>
      </c>
      <c r="W116" s="31" cm="1">
        <f t="array" ref="W116">W$106+IF($C116&lt;&gt;0,SUMPRODUCT((W$107:W$108)*TRANSPOSE(($D116:$E116))),0)</f>
        <v>-2201087.1472926661</v>
      </c>
      <c r="X116" s="31" cm="1">
        <f t="array" ref="X116">X$106+IF($C116&lt;&gt;0,SUMPRODUCT((X$107:X$108)*TRANSPOSE(($D116:$E116))),0)</f>
        <v>-2200297.0490132291</v>
      </c>
      <c r="Y116" s="31" cm="1">
        <f t="array" ref="Y116">Y$106+IF($C116&lt;&gt;0,SUMPRODUCT((Y$107:Y$108)*TRANSPOSE(($D116:$E116))),0)</f>
        <v>-2199506.950733792</v>
      </c>
      <c r="Z116" s="31" cm="1">
        <f t="array" ref="Z116">Z$106+IF($C116&lt;&gt;0,SUMPRODUCT((Z$107:Z$108)*TRANSPOSE(($D116:$E116))),0)</f>
        <v>-2198716.8524543531</v>
      </c>
      <c r="AA116" s="31" cm="1">
        <f t="array" ref="AA116">AA$106+IF($C116&lt;&gt;0,SUMPRODUCT((AA$107:AA$108)*TRANSPOSE(($D116:$E116))),0)</f>
        <v>-2197926.7541749161</v>
      </c>
      <c r="AB116" s="31" cm="1">
        <f t="array" ref="AB116">AB$106+IF($C116&lt;&gt;0,SUMPRODUCT((AB$107:AB$108)*TRANSPOSE(($D116:$E116))),0)</f>
        <v>-2197136.6558954772</v>
      </c>
      <c r="AC116" s="31" cm="1">
        <f t="array" ref="AC116">AC$106+IF($C116&lt;&gt;0,SUMPRODUCT((AC$107:AC$108)*TRANSPOSE(($D116:$E116))),0)</f>
        <v>-2378413.5693847779</v>
      </c>
      <c r="AD116" s="31" cm="1">
        <f t="array" ref="AD116">AD$106+IF($C116&lt;&gt;0,SUMPRODUCT((AD$107:AD$108)*TRANSPOSE(($D116:$E116))),0)</f>
        <v>-2377623.4711053399</v>
      </c>
      <c r="AE116" s="31" cm="1">
        <f t="array" ref="AE116">AE$106+IF($C116&lt;&gt;0,SUMPRODUCT((AE$107:AE$108)*TRANSPOSE(($D116:$E116))),0)</f>
        <v>-2376833.372825902</v>
      </c>
      <c r="AF116" s="31" cm="1">
        <f t="array" ref="AF116">AF$106+IF($C116&lt;&gt;0,SUMPRODUCT((AF$107:AF$108)*TRANSPOSE(($D116:$E116))),0)</f>
        <v>-2376043.274546464</v>
      </c>
      <c r="AG116" s="31" cm="1">
        <f t="array" ref="AG116">AG$106+IF($C116&lt;&gt;0,SUMPRODUCT((AG$107:AG$108)*TRANSPOSE(($D116:$E116))),0)</f>
        <v>-2375253.176267026</v>
      </c>
    </row>
    <row r="117" spans="1:33" x14ac:dyDescent="0.3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42766.204186080489</v>
      </c>
      <c r="J117" s="31" cm="1">
        <f t="array" ref="J117">J$106+IF($C117&lt;&gt;0,SUMPRODUCT((J$107:J$108)*TRANSPOSE(($D117:$E117))),0)</f>
        <v>-414680.92001425626</v>
      </c>
      <c r="K117" s="31" cm="1">
        <f t="array" ref="K117">K$106+IF($C117&lt;&gt;0,SUMPRODUCT((K$107:K$108)*TRANSPOSE(($D117:$E117))),0)</f>
        <v>-905931.85700539197</v>
      </c>
      <c r="L117" s="31" cm="1">
        <f t="array" ref="L117">L$106+IF($C117&lt;&gt;0,SUMPRODUCT((L$107:L$108)*TRANSPOSE(($D117:$E117))),0)</f>
        <v>-1415549.7059468462</v>
      </c>
      <c r="M117" s="31" cm="1">
        <f t="array" ref="M117">M$106+IF($C117&lt;&gt;0,SUMPRODUCT((M$107:M$108)*TRANSPOSE(($D117:$E117))),0)</f>
        <v>-1947810.8910949558</v>
      </c>
      <c r="N117" s="31" cm="1">
        <f t="array" ref="N117">N$106+IF($C117&lt;&gt;0,SUMPRODUCT((N$107:N$108)*TRANSPOSE(($D117:$E117))),0)</f>
        <v>-2213233.9754751199</v>
      </c>
      <c r="O117" s="31" cm="1">
        <f t="array" ref="O117">O$106+IF($C117&lt;&gt;0,SUMPRODUCT((O$107:O$108)*TRANSPOSE(($D117:$E117))),0)</f>
        <v>-2210090.3885715632</v>
      </c>
      <c r="P117" s="31" cm="1">
        <f t="array" ref="P117">P$106+IF($C117&lt;&gt;0,SUMPRODUCT((P$107:P$108)*TRANSPOSE(($D117:$E117))),0)</f>
        <v>-2206685.6464045933</v>
      </c>
      <c r="Q117" s="31" cm="1">
        <f t="array" ref="Q117">Q$106+IF($C117&lt;&gt;0,SUMPRODUCT((Q$107:Q$108)*TRANSPOSE(($D117:$E117))),0)</f>
        <v>-2205827.7369692964</v>
      </c>
      <c r="R117" s="31" cm="1">
        <f t="array" ref="R117">R$106+IF($C117&lt;&gt;0,SUMPRODUCT((R$107:R$108)*TRANSPOSE(($D117:$E117))),0)</f>
        <v>-2205037.6386898584</v>
      </c>
      <c r="S117" s="31" cm="1">
        <f t="array" ref="S117">S$106+IF($C117&lt;&gt;0,SUMPRODUCT((S$107:S$108)*TRANSPOSE(($D117:$E117))),0)</f>
        <v>-2204247.5404104199</v>
      </c>
      <c r="T117" s="31" cm="1">
        <f t="array" ref="T117">T$106+IF($C117&lt;&gt;0,SUMPRODUCT((T$107:T$108)*TRANSPOSE(($D117:$E117))),0)</f>
        <v>-2203457.4421309819</v>
      </c>
      <c r="U117" s="31" cm="1">
        <f t="array" ref="U117">U$106+IF($C117&lt;&gt;0,SUMPRODUCT((U$107:U$108)*TRANSPOSE(($D117:$E117))),0)</f>
        <v>-2202667.343851544</v>
      </c>
      <c r="V117" s="31" cm="1">
        <f t="array" ref="V117">V$106+IF($C117&lt;&gt;0,SUMPRODUCT((V$107:V$108)*TRANSPOSE(($D117:$E117))),0)</f>
        <v>-2201877.245572106</v>
      </c>
      <c r="W117" s="31" cm="1">
        <f t="array" ref="W117">W$106+IF($C117&lt;&gt;0,SUMPRODUCT((W$107:W$108)*TRANSPOSE(($D117:$E117))),0)</f>
        <v>-2201087.1472926661</v>
      </c>
      <c r="X117" s="31" cm="1">
        <f t="array" ref="X117">X$106+IF($C117&lt;&gt;0,SUMPRODUCT((X$107:X$108)*TRANSPOSE(($D117:$E117))),0)</f>
        <v>-2200297.0490132291</v>
      </c>
      <c r="Y117" s="31" cm="1">
        <f t="array" ref="Y117">Y$106+IF($C117&lt;&gt;0,SUMPRODUCT((Y$107:Y$108)*TRANSPOSE(($D117:$E117))),0)</f>
        <v>-2199506.950733792</v>
      </c>
      <c r="Z117" s="31" cm="1">
        <f t="array" ref="Z117">Z$106+IF($C117&lt;&gt;0,SUMPRODUCT((Z$107:Z$108)*TRANSPOSE(($D117:$E117))),0)</f>
        <v>-2198716.8524543531</v>
      </c>
      <c r="AA117" s="31" cm="1">
        <f t="array" ref="AA117">AA$106+IF($C117&lt;&gt;0,SUMPRODUCT((AA$107:AA$108)*TRANSPOSE(($D117:$E117))),0)</f>
        <v>-2197926.7541749161</v>
      </c>
      <c r="AB117" s="31" cm="1">
        <f t="array" ref="AB117">AB$106+IF($C117&lt;&gt;0,SUMPRODUCT((AB$107:AB$108)*TRANSPOSE(($D117:$E117))),0)</f>
        <v>-2197136.6558954772</v>
      </c>
      <c r="AC117" s="31" cm="1">
        <f t="array" ref="AC117">AC$106+IF($C117&lt;&gt;0,SUMPRODUCT((AC$107:AC$108)*TRANSPOSE(($D117:$E117))),0)</f>
        <v>-2378413.5693847779</v>
      </c>
      <c r="AD117" s="31" cm="1">
        <f t="array" ref="AD117">AD$106+IF($C117&lt;&gt;0,SUMPRODUCT((AD$107:AD$108)*TRANSPOSE(($D117:$E117))),0)</f>
        <v>-2377623.4711053399</v>
      </c>
      <c r="AE117" s="31" cm="1">
        <f t="array" ref="AE117">AE$106+IF($C117&lt;&gt;0,SUMPRODUCT((AE$107:AE$108)*TRANSPOSE(($D117:$E117))),0)</f>
        <v>-2376833.372825902</v>
      </c>
      <c r="AF117" s="31" cm="1">
        <f t="array" ref="AF117">AF$106+IF($C117&lt;&gt;0,SUMPRODUCT((AF$107:AF$108)*TRANSPOSE(($D117:$E117))),0)</f>
        <v>-2376043.274546464</v>
      </c>
      <c r="AG117" s="31" cm="1">
        <f t="array" ref="AG117">AG$106+IF($C117&lt;&gt;0,SUMPRODUCT((AG$107:AG$108)*TRANSPOSE(($D117:$E117))),0)</f>
        <v>-2375253.176267026</v>
      </c>
    </row>
  </sheetData>
  <conditionalFormatting sqref="E14:E16">
    <cfRule type="expression" dxfId="4" priority="53">
      <formula>AND(SUM($I14:$AB14)&lt;&gt;0, E14=0)</formula>
    </cfRule>
  </conditionalFormatting>
  <conditionalFormatting sqref="E28">
    <cfRule type="expression" dxfId="3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3.90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Ttransformer rebuild - KYM, NKA, PLD, MNA &amp; WBL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183</v>
      </c>
      <c r="B3" s="5"/>
      <c r="C3" s="200">
        <f>INDEX(Assumptions!$E$14:$E$18, MATCH(A3,_xlfn.ANCHORARRAY( Assumptions!$C$14),0))</f>
        <v>0</v>
      </c>
    </row>
    <row r="4" spans="1:43" x14ac:dyDescent="0.3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  <c r="AH12"/>
      <c r="AI12"/>
      <c r="AJ12"/>
      <c r="AK12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3">
      <c r="G20" s="205"/>
      <c r="AH20"/>
      <c r="AI20"/>
      <c r="AJ20"/>
      <c r="AK20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x14ac:dyDescent="0.3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3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x14ac:dyDescent="0.3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F63" s="2"/>
      <c r="G63" s="212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3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3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3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3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3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3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3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3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3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82"/>
      <c r="D91" s="234"/>
      <c r="E91" s="231"/>
      <c r="F91" s="231"/>
      <c r="G91" s="233"/>
    </row>
    <row r="92" spans="1:33" x14ac:dyDescent="0.3">
      <c r="C92" s="235" t="s">
        <v>191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3">
      <c r="G94" s="12"/>
    </row>
    <row r="102" spans="1:43" ht="14.4" x14ac:dyDescent="0.3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119</v>
      </c>
      <c r="C106" s="1" t="s">
        <v>186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3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3">
      <c r="C108" s="1" t="s">
        <v>239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3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3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3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3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3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3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3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3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" priority="38">
      <formula>AND(SUM($I14:$AB14)&lt;&gt;0, E14=0)</formula>
    </cfRule>
  </conditionalFormatting>
  <conditionalFormatting sqref="E28">
    <cfRule type="expression" dxfId="0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3.2" zeroHeight="1" outlineLevelRow="1" x14ac:dyDescent="0.25"/>
  <cols>
    <col min="1" max="1" width="8.08984375" style="10" customWidth="1"/>
    <col min="2" max="2" width="5.453125" style="10" customWidth="1"/>
    <col min="3" max="3" width="16.90625" style="10" bestFit="1" customWidth="1"/>
    <col min="4" max="4" width="12.36328125" style="10" customWidth="1"/>
    <col min="5" max="5" width="14.26953125" customWidth="1"/>
    <col min="6" max="6" width="12.36328125" style="10" customWidth="1"/>
    <col min="7" max="7" width="11.6328125" style="10" customWidth="1"/>
    <col min="8" max="8" width="8.63281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" x14ac:dyDescent="0.35">
      <c r="A2" s="56" t="str">
        <f>proj</f>
        <v>Ttransformer rebuild - KYM, NKA, PLD, MNA &amp; WBL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" x14ac:dyDescent="0.35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3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t="13.8" hidden="1" outlineLevel="1" x14ac:dyDescent="0.3">
      <c r="A5" s="116" t="s">
        <v>192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t="13.8" hidden="1" outlineLevel="1" x14ac:dyDescent="0.3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t="13.8" hidden="1" outlineLevel="1" x14ac:dyDescent="0.3">
      <c r="A7" s="116" t="s">
        <v>193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3"/>
    <row r="9" spans="1:34" s="2" customFormat="1" ht="14.4" x14ac:dyDescent="0.3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ht="13.8" x14ac:dyDescent="0.3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4.4" x14ac:dyDescent="0.3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ht="13.8" x14ac:dyDescent="0.3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ht="13.8" x14ac:dyDescent="0.3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ht="13.8" x14ac:dyDescent="0.3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0</v>
      </c>
      <c r="G14" s="271">
        <f>output_dollars</f>
        <v>46203</v>
      </c>
      <c r="H14" s="272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ht="13.8" x14ac:dyDescent="0.3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ht="13.8" x14ac:dyDescent="0.3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84164481.870281324</v>
      </c>
      <c r="G16" s="225">
        <f>output_dollars</f>
        <v>46203</v>
      </c>
      <c r="H16" s="31"/>
      <c r="I16" s="31">
        <f>'Option1 (base case)'!I$36*conv_2026</f>
        <v>1830358.6226704705</v>
      </c>
      <c r="J16" s="31">
        <f>'Option1 (base case)'!J$36*conv_2026</f>
        <v>1955198.2881213403</v>
      </c>
      <c r="K16" s="31">
        <f>'Option1 (base case)'!K$36*conv_2026</f>
        <v>2105101.7512743338</v>
      </c>
      <c r="L16" s="31">
        <f>'Option1 (base case)'!L$36*conv_2026</f>
        <v>2283945.7484626137</v>
      </c>
      <c r="M16" s="31">
        <f>'Option1 (base case)'!M$36*conv_2026</f>
        <v>2494229.5375369424</v>
      </c>
      <c r="N16" s="31">
        <f>'Option1 (base case)'!N$36*conv_2026</f>
        <v>2755486.4211285249</v>
      </c>
      <c r="O16" s="31">
        <f>'Option1 (base case)'!O$36*conv_2026</f>
        <v>3088728.3441624739</v>
      </c>
      <c r="P16" s="31">
        <f>'Option1 (base case)'!P$36*conv_2026</f>
        <v>3500616.7438415461</v>
      </c>
      <c r="Q16" s="31">
        <f>'Option1 (base case)'!Q$36*conv_2026</f>
        <v>3994518.7115190891</v>
      </c>
      <c r="R16" s="31">
        <f>'Option1 (base case)'!R$36*conv_2026</f>
        <v>4609294.4812725801</v>
      </c>
      <c r="S16" s="31">
        <f>'Option1 (base case)'!S$36*conv_2026</f>
        <v>5377268.9880975932</v>
      </c>
      <c r="T16" s="31">
        <f>'Option1 (base case)'!T$36*conv_2026</f>
        <v>6340950.4318726575</v>
      </c>
      <c r="U16" s="31">
        <f>'Option1 (base case)'!U$36*conv_2026</f>
        <v>7501488.776005907</v>
      </c>
      <c r="V16" s="31">
        <f>'Option1 (base case)'!V$36*conv_2026</f>
        <v>8803160.3347733747</v>
      </c>
      <c r="W16" s="31">
        <f>'Option1 (base case)'!W$36*conv_2026</f>
        <v>10436718.33951777</v>
      </c>
      <c r="X16" s="31">
        <f>'Option1 (base case)'!X$36*conv_2026</f>
        <v>12058447.828546207</v>
      </c>
      <c r="Y16" s="31">
        <f>'Option1 (base case)'!Y$36*conv_2026</f>
        <v>12787168.107202509</v>
      </c>
      <c r="Z16" s="31">
        <f>'Option1 (base case)'!Z$36*conv_2026</f>
        <v>13268590.373159213</v>
      </c>
      <c r="AA16" s="31">
        <f>'Option1 (base case)'!AA$36*conv_2026</f>
        <v>13598372.949399753</v>
      </c>
      <c r="AB16" s="31">
        <f>'Option1 (base case)'!AB$36*conv_2026</f>
        <v>13889585.9777501</v>
      </c>
      <c r="AC16" s="31">
        <f>'Option1 (base case)'!AC$36*conv_2026</f>
        <v>68675.934181347533</v>
      </c>
      <c r="AD16" s="31">
        <f>'Option1 (base case)'!AD$36*conv_2026</f>
        <v>69555.244548446048</v>
      </c>
      <c r="AE16" s="31">
        <f>'Option1 (base case)'!AE$36*conv_2026</f>
        <v>70434.554915544591</v>
      </c>
      <c r="AF16" s="31">
        <f>'Option1 (base case)'!AF$36*conv_2026</f>
        <v>71313.865282643121</v>
      </c>
      <c r="AG16" s="31">
        <f>'Option1 (base case)'!AG$36*conv_2026</f>
        <v>72193.175649741621</v>
      </c>
    </row>
    <row r="17" spans="1:33" s="1" customFormat="1" ht="13.8" x14ac:dyDescent="0.3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ht="13.8" x14ac:dyDescent="0.3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ht="13.8" x14ac:dyDescent="0.3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ht="13.8" x14ac:dyDescent="0.3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ht="13.8" x14ac:dyDescent="0.3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ht="13.8" x14ac:dyDescent="0.3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ht="13.8" x14ac:dyDescent="0.3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ht="13.8" x14ac:dyDescent="0.3">
      <c r="A24" s="135" t="str">
        <f t="shared" si="3"/>
        <v>Option 1 (base case)</v>
      </c>
      <c r="B24" s="135"/>
      <c r="C24" s="8" t="s">
        <v>187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ht="13.8" x14ac:dyDescent="0.3">
      <c r="A25" s="135" t="str">
        <f t="shared" si="3"/>
        <v>Option 1 (base case)</v>
      </c>
      <c r="B25" s="135"/>
      <c r="C25" s="8" t="s">
        <v>188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ht="13.8" x14ac:dyDescent="0.3">
      <c r="D26" s="38" t="str">
        <f t="shared" ref="D26:D39" si="6">A26&amp;C26</f>
        <v/>
      </c>
      <c r="G26" s="228"/>
    </row>
    <row r="27" spans="1:33" s="2" customFormat="1" ht="13.8" x14ac:dyDescent="0.3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ht="13.8" x14ac:dyDescent="0.3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ht="13.8" x14ac:dyDescent="0.3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-29930576.747568678</v>
      </c>
      <c r="G29" s="225">
        <f>output_dollars</f>
        <v>46203</v>
      </c>
      <c r="H29" s="31"/>
      <c r="I29" s="31">
        <f>SUM(Option2!I$67:I$69)*conv_2026*I$7</f>
        <v>-8421912.7557080761</v>
      </c>
      <c r="J29" s="31">
        <f>SUM(Option2!J$67:J$69)*conv_2026*J$7</f>
        <v>-7120512.2468781844</v>
      </c>
      <c r="K29" s="31">
        <f>SUM(Option2!K$67:K$69)*conv_2026*K$7</f>
        <v>-7125442.9445489282</v>
      </c>
      <c r="L29" s="31">
        <f>SUM(Option2!L$67:L$69)*conv_2026*L$7</f>
        <v>-7125442.9445489282</v>
      </c>
      <c r="M29" s="31">
        <f>SUM(Option2!M$67:M$69)*conv_2026*M$7</f>
        <v>-2375147.6481829756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ht="13.8" x14ac:dyDescent="0.3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21726061.096239485</v>
      </c>
      <c r="G30" s="225">
        <f>output_dollars</f>
        <v>46203</v>
      </c>
      <c r="H30" s="31"/>
      <c r="I30" s="31">
        <f>Option2!I$36*conv_2026*I$7</f>
        <v>1830358.6226704705</v>
      </c>
      <c r="J30" s="31">
        <f>Option2!J$36*conv_2026*J$7</f>
        <v>1799813.8316076521</v>
      </c>
      <c r="K30" s="31">
        <f>Option2!K$36*conv_2026*K$7</f>
        <v>1644131.072891312</v>
      </c>
      <c r="L30" s="31">
        <f>Option2!L$36*conv_2026*L$7</f>
        <v>1550483.2611133505</v>
      </c>
      <c r="M30" s="31">
        <f>Option2!M$36*conv_2026*M$7</f>
        <v>1444959.1735339942</v>
      </c>
      <c r="N30" s="31">
        <f>Option2!N$36*conv_2026*N$7</f>
        <v>1327310.3313647574</v>
      </c>
      <c r="O30" s="31">
        <f>Option2!O$36*conv_2026*O$7</f>
        <v>1348733.8017823217</v>
      </c>
      <c r="P30" s="31">
        <f>Option2!P$36*conv_2026*P$7</f>
        <v>1372777.2546999976</v>
      </c>
      <c r="Q30" s="31">
        <f>Option2!Q$36*conv_2026*Q$7</f>
        <v>1383195.5930019994</v>
      </c>
      <c r="R30" s="31">
        <f>Option2!R$36*conv_2026*R$7</f>
        <v>1393851.8897245254</v>
      </c>
      <c r="S30" s="31">
        <f>Option2!S$36*conv_2026*S$7</f>
        <v>1405229.8655696742</v>
      </c>
      <c r="T30" s="31">
        <f>Option2!T$36*conv_2026*T$7</f>
        <v>1417397.3688192558</v>
      </c>
      <c r="U30" s="31">
        <f>Option2!U$36*conv_2026*U$7</f>
        <v>1430447.7636760443</v>
      </c>
      <c r="V30" s="31">
        <f>Option2!V$36*conv_2026*V$7</f>
        <v>1444492.2274513259</v>
      </c>
      <c r="W30" s="31">
        <f>Option2!W$36*conv_2026*W$7</f>
        <v>1459678.6530676573</v>
      </c>
      <c r="X30" s="31">
        <f>Option2!X$36*conv_2026*X$7</f>
        <v>1476220.9600517727</v>
      </c>
      <c r="Y30" s="31">
        <f>Option2!Y$36*conv_2026*Y$7</f>
        <v>1494428.6865449797</v>
      </c>
      <c r="Z30" s="31">
        <f>Option2!Z$36*conv_2026*Z$7</f>
        <v>1515991.7201307523</v>
      </c>
      <c r="AA30" s="31">
        <f>Option2!AA$36*conv_2026*AA$7</f>
        <v>1541579.7123099649</v>
      </c>
      <c r="AB30" s="31">
        <f>Option2!AB$36*conv_2026*AB$7</f>
        <v>1571965.1813095002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ht="13.8" x14ac:dyDescent="0.3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ht="13.8" x14ac:dyDescent="0.3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-20389426.059873641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-453226.09839420044</v>
      </c>
      <c r="K32" s="31">
        <f>Option2!K$82*conv_2026*K$7</f>
        <v>-827450.94810502615</v>
      </c>
      <c r="L32" s="31">
        <f>Option2!L$82*conv_2026*L$7</f>
        <v>-1201934.9350142484</v>
      </c>
      <c r="M32" s="31">
        <f>Option2!M$82*conv_2026*M$7</f>
        <v>-1576418.9219234702</v>
      </c>
      <c r="N32" s="31">
        <f>Option2!N$82*conv_2026*N$7</f>
        <v>-1701246.9175598777</v>
      </c>
      <c r="O32" s="31">
        <f>Option2!O$82*conv_2026*O$7</f>
        <v>-1701246.9175598777</v>
      </c>
      <c r="P32" s="31">
        <f>Option2!P$82*conv_2026*P$7</f>
        <v>-1701246.9175598777</v>
      </c>
      <c r="Q32" s="31">
        <f>Option2!Q$82*conv_2026*Q$7</f>
        <v>-1701246.9175598777</v>
      </c>
      <c r="R32" s="31">
        <f>Option2!R$82*conv_2026*R$7</f>
        <v>-1701246.9175598777</v>
      </c>
      <c r="S32" s="31">
        <f>Option2!S$82*conv_2026*S$7</f>
        <v>-1701246.9175598777</v>
      </c>
      <c r="T32" s="31">
        <f>Option2!T$82*conv_2026*T$7</f>
        <v>-1701246.9175598777</v>
      </c>
      <c r="U32" s="31">
        <f>Option2!U$82*conv_2026*U$7</f>
        <v>-1701246.9175598777</v>
      </c>
      <c r="V32" s="31">
        <f>Option2!V$82*conv_2026*V$7</f>
        <v>-1701246.9175598777</v>
      </c>
      <c r="W32" s="31">
        <f>Option2!W$82*conv_2026*W$7</f>
        <v>-1701246.9175598777</v>
      </c>
      <c r="X32" s="31">
        <f>Option2!X$82*conv_2026*X$7</f>
        <v>-1701246.9175598777</v>
      </c>
      <c r="Y32" s="31">
        <f>Option2!Y$82*conv_2026*Y$7</f>
        <v>-1701246.9175598777</v>
      </c>
      <c r="Z32" s="31">
        <f>Option2!Z$82*conv_2026*Z$7</f>
        <v>-1701246.9175598777</v>
      </c>
      <c r="AA32" s="31">
        <f>Option2!AA$82*conv_2026*AA$7</f>
        <v>-1701246.9175598777</v>
      </c>
      <c r="AB32" s="31">
        <f>Option2!AB$82*conv_2026*AB$7</f>
        <v>-1701246.9175598777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ht="13.8" x14ac:dyDescent="0.3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ht="13.8" x14ac:dyDescent="0.3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62438420.774041846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155384.45651368826</v>
      </c>
      <c r="K34" s="31">
        <f>Option2!K$84*conv_2026*K$7</f>
        <v>460970.67838302173</v>
      </c>
      <c r="L34" s="31">
        <f>Option2!L$84*conv_2026*L$7</f>
        <v>733462.48734926293</v>
      </c>
      <c r="M34" s="31">
        <f>Option2!M$84*conv_2026*M$7</f>
        <v>1049270.3640029484</v>
      </c>
      <c r="N34" s="31">
        <f>Option2!N$84*conv_2026*N$7</f>
        <v>1428176.0897637676</v>
      </c>
      <c r="O34" s="31">
        <f>Option2!O$84*conv_2026*O$7</f>
        <v>1739994.542380152</v>
      </c>
      <c r="P34" s="31">
        <f>Option2!P$84*conv_2026*P$7</f>
        <v>2127839.4891415485</v>
      </c>
      <c r="Q34" s="31">
        <f>Option2!Q$84*conv_2026*Q$7</f>
        <v>2611323.1185170896</v>
      </c>
      <c r="R34" s="31">
        <f>Option2!R$84*conv_2026*R$7</f>
        <v>3215442.5915480545</v>
      </c>
      <c r="S34" s="31">
        <f>Option2!S$84*conv_2026*S$7</f>
        <v>3972039.1225279192</v>
      </c>
      <c r="T34" s="31">
        <f>Option2!T$84*conv_2026*T$7</f>
        <v>4923553.0630534012</v>
      </c>
      <c r="U34" s="31">
        <f>Option2!U$84*conv_2026*U$7</f>
        <v>6071041.0123298634</v>
      </c>
      <c r="V34" s="31">
        <f>Option2!V$84*conv_2026*V$7</f>
        <v>7358668.1073220493</v>
      </c>
      <c r="W34" s="31">
        <f>Option2!W$84*conv_2026*W$7</f>
        <v>8977039.6864501126</v>
      </c>
      <c r="X34" s="31">
        <f>Option2!X$84*conv_2026*X$7</f>
        <v>10582226.868494434</v>
      </c>
      <c r="Y34" s="31">
        <f>Option2!Y$84*conv_2026*Y$7</f>
        <v>11292739.42065753</v>
      </c>
      <c r="Z34" s="31">
        <f>Option2!Z$84*conv_2026*Z$7</f>
        <v>11752598.65302846</v>
      </c>
      <c r="AA34" s="31">
        <f>Option2!AA$84*conv_2026*AA$7</f>
        <v>12056793.237089787</v>
      </c>
      <c r="AB34" s="31">
        <f>Option2!AB$84*conv_2026*AB$7</f>
        <v>12317620.796440599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ht="13.8" x14ac:dyDescent="0.3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ht="13.8" x14ac:dyDescent="0.3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-297841.64188051218</v>
      </c>
      <c r="K36" s="52">
        <f t="shared" si="9"/>
        <v>-366480.26972200442</v>
      </c>
      <c r="L36" s="52">
        <f t="shared" si="9"/>
        <v>-468472.44766498543</v>
      </c>
      <c r="M36" s="52">
        <f t="shared" si="9"/>
        <v>-527148.55792052182</v>
      </c>
      <c r="N36" s="52">
        <f t="shared" si="9"/>
        <v>-273070.82779611018</v>
      </c>
      <c r="O36" s="52">
        <f t="shared" si="9"/>
        <v>38747.624820274301</v>
      </c>
      <c r="P36" s="52">
        <f t="shared" si="9"/>
        <v>426592.57158167078</v>
      </c>
      <c r="Q36" s="52">
        <f t="shared" si="9"/>
        <v>910076.2009572119</v>
      </c>
      <c r="R36" s="52">
        <f t="shared" si="9"/>
        <v>1514195.6739881767</v>
      </c>
      <c r="S36" s="52">
        <f t="shared" si="9"/>
        <v>2270792.2049680417</v>
      </c>
      <c r="T36" s="52">
        <f t="shared" si="9"/>
        <v>3222306.1454935232</v>
      </c>
      <c r="U36" s="52">
        <f t="shared" si="9"/>
        <v>4369794.0947699854</v>
      </c>
      <c r="V36" s="52">
        <f t="shared" si="9"/>
        <v>5657421.1897621714</v>
      </c>
      <c r="W36" s="52">
        <f t="shared" si="9"/>
        <v>7275792.7688902346</v>
      </c>
      <c r="X36" s="52">
        <f t="shared" si="9"/>
        <v>8880979.9509345572</v>
      </c>
      <c r="Y36" s="52">
        <f t="shared" si="9"/>
        <v>9591492.5030976534</v>
      </c>
      <c r="Z36" s="52">
        <f t="shared" si="9"/>
        <v>10051351.735468583</v>
      </c>
      <c r="AA36" s="52">
        <f t="shared" si="9"/>
        <v>10355546.31952991</v>
      </c>
      <c r="AB36" s="52">
        <f t="shared" si="9"/>
        <v>10616373.878880722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ht="13.8" x14ac:dyDescent="0.3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42048994.714168198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ht="13.8" x14ac:dyDescent="0.3">
      <c r="A38" s="135" t="str">
        <f t="shared" si="7"/>
        <v>Option 2</v>
      </c>
      <c r="B38" s="135"/>
      <c r="C38" s="8" t="s">
        <v>187</v>
      </c>
      <c r="D38" s="38" t="str">
        <f t="shared" si="6"/>
        <v>Option 2PV of costs</v>
      </c>
      <c r="E38" s="1"/>
      <c r="F38" s="108">
        <f>SUM(F32:F33)</f>
        <v>-20389426.059873641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ht="13.8" x14ac:dyDescent="0.3">
      <c r="A39" s="135" t="str">
        <f t="shared" si="7"/>
        <v>Option 2</v>
      </c>
      <c r="B39" s="135"/>
      <c r="C39" s="8" t="s">
        <v>188</v>
      </c>
      <c r="D39" s="38" t="str">
        <f t="shared" si="6"/>
        <v>Option 2PV of benefits</v>
      </c>
      <c r="E39" s="1"/>
      <c r="F39" s="108">
        <f>SUM(F34:F35)</f>
        <v>62438420.774041846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ht="13.8" x14ac:dyDescent="0.3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ht="13.8" x14ac:dyDescent="0.3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ht="13.8" x14ac:dyDescent="0.3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ht="13.8" x14ac:dyDescent="0.3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-53034351.219907813</v>
      </c>
      <c r="G43" s="225">
        <f>output_dollars</f>
        <v>46203</v>
      </c>
      <c r="H43" s="31"/>
      <c r="I43" s="31">
        <f>SUM(Option3!I$67:I$69)*conv_2026*I$7</f>
        <v>-14552041.922896974</v>
      </c>
      <c r="J43" s="31">
        <f>SUM(Option3!J$67:J$69)*conv_2026*J$7</f>
        <v>-12311413.358149841</v>
      </c>
      <c r="K43" s="31">
        <f>SUM(Option3!K$67:K$69)*conv_2026*K$7</f>
        <v>-12111505.755389905</v>
      </c>
      <c r="L43" s="31">
        <f>SUM(Option3!L$67:L$69)*conv_2026*L$7</f>
        <v>-12111505.755389905</v>
      </c>
      <c r="M43" s="31">
        <f>SUM(Option3!M$67:M$69)*conv_2026*M$7</f>
        <v>-6055752.8776949523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ht="13.8" x14ac:dyDescent="0.3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5446642.3038956933</v>
      </c>
      <c r="G44" s="225">
        <f>output_dollars</f>
        <v>46203</v>
      </c>
      <c r="H44" s="31"/>
      <c r="I44" s="31">
        <f>Option3!I$36*conv_2026*I$7</f>
        <v>1782763.5731925471</v>
      </c>
      <c r="J44" s="31">
        <f>Option3!J$36*conv_2026*J$7</f>
        <v>1329594.0654953399</v>
      </c>
      <c r="K44" s="31">
        <f>Option3!K$36*conv_2026*K$7</f>
        <v>937450.74473926984</v>
      </c>
      <c r="L44" s="31">
        <f>Option3!L$36*conv_2026*L$7</f>
        <v>764983.66680778295</v>
      </c>
      <c r="M44" s="31">
        <f>Option3!M$36*conv_2026*M$7</f>
        <v>428136.3648704674</v>
      </c>
      <c r="N44" s="31">
        <f>Option3!N$36*conv_2026*N$7</f>
        <v>45545.950413664526</v>
      </c>
      <c r="O44" s="31">
        <f>Option3!O$36*conv_2026*O$7</f>
        <v>46281.101013307605</v>
      </c>
      <c r="P44" s="31">
        <f>Option3!P$36*conv_2026*P$7</f>
        <v>47095.690257726746</v>
      </c>
      <c r="Q44" s="31">
        <f>Option3!Q$36*conv_2026*Q$7</f>
        <v>47590.030305777502</v>
      </c>
      <c r="R44" s="31">
        <f>Option3!R$36*conv_2026*R$7</f>
        <v>48162.86117385039</v>
      </c>
      <c r="S44" s="31">
        <f>Option3!S$36*conv_2026*S$7</f>
        <v>48822.094745387985</v>
      </c>
      <c r="T44" s="31">
        <f>Option3!T$36*conv_2026*T$7</f>
        <v>49595.054379643923</v>
      </c>
      <c r="U44" s="31">
        <f>Option3!U$36*conv_2026*U$7</f>
        <v>50532.555154757421</v>
      </c>
      <c r="V44" s="31">
        <f>Option3!V$36*conv_2026*V$7</f>
        <v>51701.127700810888</v>
      </c>
      <c r="W44" s="31">
        <f>Option3!W$36*conv_2026*W$7</f>
        <v>53201.845684844557</v>
      </c>
      <c r="X44" s="31">
        <f>Option3!X$36*conv_2026*X$7</f>
        <v>55199.560107324818</v>
      </c>
      <c r="Y44" s="31">
        <f>Option3!Y$36*conv_2026*Y$7</f>
        <v>57952.412922082476</v>
      </c>
      <c r="Z44" s="31">
        <f>Option3!Z$36*conv_2026*Z$7</f>
        <v>63096.487764073565</v>
      </c>
      <c r="AA44" s="31">
        <f>Option3!AA$36*conv_2026*AA$7</f>
        <v>71245.142600217994</v>
      </c>
      <c r="AB44" s="31">
        <f>Option3!AB$36*conv_2026*AB$7</f>
        <v>83112.028973768742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ht="13.8" x14ac:dyDescent="0.3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ht="13.8" x14ac:dyDescent="0.3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-33119575.324137498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-698143.19694657589</v>
      </c>
      <c r="K46" s="31">
        <f>Option3!K$82*conv_2026*K$7</f>
        <v>-1300760.0864172112</v>
      </c>
      <c r="L46" s="31">
        <f>Option3!L$82*conv_2026*L$7</f>
        <v>-1893591.9338092308</v>
      </c>
      <c r="M46" s="31">
        <f>Option3!M$82*conv_2026*M$7</f>
        <v>-2486423.7812012509</v>
      </c>
      <c r="N46" s="31">
        <f>Option3!N$82*conv_2026*N$7</f>
        <v>-2782839.7048972598</v>
      </c>
      <c r="O46" s="31">
        <f>Option3!O$82*conv_2026*O$7</f>
        <v>-2782839.7048972598</v>
      </c>
      <c r="P46" s="31">
        <f>Option3!P$82*conv_2026*P$7</f>
        <v>-2782839.7048972598</v>
      </c>
      <c r="Q46" s="31">
        <f>Option3!Q$82*conv_2026*Q$7</f>
        <v>-2782839.7048972598</v>
      </c>
      <c r="R46" s="31">
        <f>Option3!R$82*conv_2026*R$7</f>
        <v>-2782839.7048972598</v>
      </c>
      <c r="S46" s="31">
        <f>Option3!S$82*conv_2026*S$7</f>
        <v>-2782839.7048972598</v>
      </c>
      <c r="T46" s="31">
        <f>Option3!T$82*conv_2026*T$7</f>
        <v>-2782839.7048972598</v>
      </c>
      <c r="U46" s="31">
        <f>Option3!U$82*conv_2026*U$7</f>
        <v>-2782839.7048972598</v>
      </c>
      <c r="V46" s="31">
        <f>Option3!V$82*conv_2026*V$7</f>
        <v>-2782839.7048972598</v>
      </c>
      <c r="W46" s="31">
        <f>Option3!W$82*conv_2026*W$7</f>
        <v>-2782839.7048972598</v>
      </c>
      <c r="X46" s="31">
        <f>Option3!X$82*conv_2026*X$7</f>
        <v>-2782839.7048972598</v>
      </c>
      <c r="Y46" s="31">
        <f>Option3!Y$82*conv_2026*Y$7</f>
        <v>-2782839.7048972598</v>
      </c>
      <c r="Z46" s="31">
        <f>Option3!Z$82*conv_2026*Z$7</f>
        <v>-2782839.7048972598</v>
      </c>
      <c r="AA46" s="31">
        <f>Option3!AA$82*conv_2026*AA$7</f>
        <v>-2782839.7048972598</v>
      </c>
      <c r="AB46" s="31">
        <f>Option3!AB$82*conv_2026*AB$7</f>
        <v>-2782839.7048972598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ht="13.8" x14ac:dyDescent="0.3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ht="13.8" x14ac:dyDescent="0.3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78717839.566385627</v>
      </c>
      <c r="G48" s="225">
        <f t="shared" si="12"/>
        <v>46203</v>
      </c>
      <c r="H48" s="31"/>
      <c r="I48" s="31">
        <f>Option3!I$84*conv_2026*I$7</f>
        <v>47595.049477923378</v>
      </c>
      <c r="J48" s="31">
        <f>Option3!J$84*conv_2026*J$7</f>
        <v>625604.22262600041</v>
      </c>
      <c r="K48" s="31">
        <f>Option3!K$84*conv_2026*K$7</f>
        <v>1167651.0065350637</v>
      </c>
      <c r="L48" s="31">
        <f>Option3!L$84*conv_2026*L$7</f>
        <v>1518962.0816548306</v>
      </c>
      <c r="M48" s="31">
        <f>Option3!M$84*conv_2026*M$7</f>
        <v>2066093.1726664752</v>
      </c>
      <c r="N48" s="31">
        <f>Option3!N$84*conv_2026*N$7</f>
        <v>2709940.4707148601</v>
      </c>
      <c r="O48" s="31">
        <f>Option3!O$84*conv_2026*O$7</f>
        <v>3042447.243149166</v>
      </c>
      <c r="P48" s="31">
        <f>Option3!P$84*conv_2026*P$7</f>
        <v>3453521.0535838194</v>
      </c>
      <c r="Q48" s="31">
        <f>Option3!Q$84*conv_2026*Q$7</f>
        <v>3946928.6812133114</v>
      </c>
      <c r="R48" s="31">
        <f>Option3!R$84*conv_2026*R$7</f>
        <v>4561131.6200987296</v>
      </c>
      <c r="S48" s="31">
        <f>Option3!S$84*conv_2026*S$7</f>
        <v>5328446.8933522049</v>
      </c>
      <c r="T48" s="31">
        <f>Option3!T$84*conv_2026*T$7</f>
        <v>6291355.3774930136</v>
      </c>
      <c r="U48" s="31">
        <f>Option3!U$84*conv_2026*U$7</f>
        <v>7450956.2208511503</v>
      </c>
      <c r="V48" s="31">
        <f>Option3!V$84*conv_2026*V$7</f>
        <v>8751459.2070725635</v>
      </c>
      <c r="W48" s="31">
        <f>Option3!W$84*conv_2026*W$7</f>
        <v>10383516.493832925</v>
      </c>
      <c r="X48" s="31">
        <f>Option3!X$84*conv_2026*X$7</f>
        <v>12003248.268438881</v>
      </c>
      <c r="Y48" s="31">
        <f>Option3!Y$84*conv_2026*Y$7</f>
        <v>12729215.694280429</v>
      </c>
      <c r="Z48" s="31">
        <f>Option3!Z$84*conv_2026*Z$7</f>
        <v>13205493.885395139</v>
      </c>
      <c r="AA48" s="31">
        <f>Option3!AA$84*conv_2026*AA$7</f>
        <v>13527127.806799535</v>
      </c>
      <c r="AB48" s="31">
        <f>Option3!AB$84*conv_2026*AB$7</f>
        <v>13806473.948776333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ht="13.8" x14ac:dyDescent="0.3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ht="13.8" x14ac:dyDescent="0.3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47595.049477923378</v>
      </c>
      <c r="J50" s="52">
        <f t="shared" si="13"/>
        <v>-72538.974320575478</v>
      </c>
      <c r="K50" s="52">
        <f t="shared" si="13"/>
        <v>-133109.07988214749</v>
      </c>
      <c r="L50" s="52">
        <f t="shared" si="13"/>
        <v>-374629.8521544002</v>
      </c>
      <c r="M50" s="52">
        <f t="shared" si="13"/>
        <v>-420330.60853477567</v>
      </c>
      <c r="N50" s="52">
        <f t="shared" si="13"/>
        <v>-72899.234182399698</v>
      </c>
      <c r="O50" s="52">
        <f t="shared" si="13"/>
        <v>259607.53825190617</v>
      </c>
      <c r="P50" s="52">
        <f t="shared" si="13"/>
        <v>670681.34868655959</v>
      </c>
      <c r="Q50" s="52">
        <f t="shared" si="13"/>
        <v>1164088.9763160516</v>
      </c>
      <c r="R50" s="52">
        <f t="shared" si="13"/>
        <v>1778291.9152014698</v>
      </c>
      <c r="S50" s="52">
        <f t="shared" si="13"/>
        <v>2545607.1884549451</v>
      </c>
      <c r="T50" s="52">
        <f t="shared" si="13"/>
        <v>3508515.6725957538</v>
      </c>
      <c r="U50" s="52">
        <f t="shared" si="13"/>
        <v>4668116.515953891</v>
      </c>
      <c r="V50" s="52">
        <f t="shared" si="13"/>
        <v>5968619.5021753032</v>
      </c>
      <c r="W50" s="52">
        <f t="shared" si="13"/>
        <v>7600676.788935665</v>
      </c>
      <c r="X50" s="52">
        <f t="shared" si="13"/>
        <v>9220408.563541621</v>
      </c>
      <c r="Y50" s="52">
        <f t="shared" si="13"/>
        <v>9946375.9893831685</v>
      </c>
      <c r="Z50" s="52">
        <f t="shared" si="13"/>
        <v>10422654.180497879</v>
      </c>
      <c r="AA50" s="52">
        <f t="shared" si="13"/>
        <v>10744288.101902274</v>
      </c>
      <c r="AB50" s="52">
        <f t="shared" si="13"/>
        <v>11023634.243879072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ht="13.8" x14ac:dyDescent="0.3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45598264.242248133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ht="13.8" x14ac:dyDescent="0.3">
      <c r="A52" s="135" t="str">
        <f t="shared" si="10"/>
        <v>Option 3</v>
      </c>
      <c r="B52" s="135"/>
      <c r="C52" s="8" t="s">
        <v>187</v>
      </c>
      <c r="D52" s="38" t="str">
        <f t="shared" si="11"/>
        <v>Option 3PV of costs</v>
      </c>
      <c r="E52" s="1"/>
      <c r="F52" s="108">
        <f>SUM(F46:F47)</f>
        <v>-33119575.324137498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ht="13.8" x14ac:dyDescent="0.3">
      <c r="A53" s="135" t="str">
        <f t="shared" si="10"/>
        <v>Option 3</v>
      </c>
      <c r="B53" s="135"/>
      <c r="C53" s="8" t="s">
        <v>188</v>
      </c>
      <c r="D53" s="38" t="str">
        <f t="shared" si="11"/>
        <v>Option 3PV of benefits</v>
      </c>
      <c r="E53" s="1"/>
      <c r="F53" s="108">
        <f>SUM(F48:F49)</f>
        <v>78717839.566385627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ht="13.8" x14ac:dyDescent="0.3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ht="13.8" x14ac:dyDescent="0.3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ht="13.8" x14ac:dyDescent="0.3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ht="13.8" x14ac:dyDescent="0.3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-51485077.764930077</v>
      </c>
      <c r="G57" s="225">
        <f>output_dollars</f>
        <v>46203</v>
      </c>
      <c r="H57" s="31"/>
      <c r="I57" s="31">
        <f>SUM(Option4!I$67:I$69)*conv_2026*I$7</f>
        <v>-12975889.352033634</v>
      </c>
      <c r="J57" s="31">
        <f>SUM(Option4!J$67:J$69)*conv_2026*J$7</f>
        <v>-12311413.358149841</v>
      </c>
      <c r="K57" s="31">
        <f>SUM(Option4!K$67:K$69)*conv_2026*K$7</f>
        <v>-12111505.755389905</v>
      </c>
      <c r="L57" s="31">
        <f>SUM(Option4!L$67:L$69)*conv_2026*L$7</f>
        <v>-12111505.755389905</v>
      </c>
      <c r="M57" s="31">
        <f>SUM(Option4!M$67:M$69)*conv_2026*M$7</f>
        <v>-6055752.8776949523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ht="13.8" x14ac:dyDescent="0.3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80717542.618868977</v>
      </c>
      <c r="G58" s="225">
        <f>output_dollars</f>
        <v>46203</v>
      </c>
      <c r="H58" s="31"/>
      <c r="I58" s="31">
        <f>Option4!I$36*conv_2026*I$7</f>
        <v>1782763.5731925471</v>
      </c>
      <c r="J58" s="31">
        <f>Option4!J$36*conv_2026*J$7</f>
        <v>1785755.9622250551</v>
      </c>
      <c r="K58" s="31">
        <f>Option4!K$36*conv_2026*K$7</f>
        <v>1879761.916248851</v>
      </c>
      <c r="L58" s="31">
        <f>Option4!L$36*conv_2026*L$7</f>
        <v>2032934.2149716783</v>
      </c>
      <c r="M58" s="31">
        <f>Option4!M$36*conv_2026*M$7</f>
        <v>2242746.3608020041</v>
      </c>
      <c r="N58" s="31">
        <f>Option4!N$36*conv_2026*N$7</f>
        <v>2502980.0279551609</v>
      </c>
      <c r="O58" s="31">
        <f>Option4!O$36*conv_2026*O$7</f>
        <v>2832723.4133690321</v>
      </c>
      <c r="P58" s="31">
        <f>Option4!P$36*conv_2026*P$7</f>
        <v>3240822.6324326955</v>
      </c>
      <c r="Q58" s="31">
        <f>Option4!Q$36*conv_2026*Q$7</f>
        <v>3733769.8218502169</v>
      </c>
      <c r="R58" s="31">
        <f>Option4!R$36*conv_2026*R$7</f>
        <v>4347666.2812366085</v>
      </c>
      <c r="S58" s="31">
        <f>Option4!S$36*conv_2026*S$7</f>
        <v>5114761.4776945235</v>
      </c>
      <c r="T58" s="31">
        <f>Option4!T$36*conv_2026*T$7</f>
        <v>6077563.6111024888</v>
      </c>
      <c r="U58" s="31">
        <f>Option4!U$36*conv_2026*U$7</f>
        <v>7237222.6448686402</v>
      </c>
      <c r="V58" s="31">
        <f>Option4!V$36*conv_2026*V$7</f>
        <v>8538014.8932690099</v>
      </c>
      <c r="W58" s="31">
        <f>Option4!W$36*conv_2026*W$7</f>
        <v>10170693.587646304</v>
      </c>
      <c r="X58" s="31">
        <f>Option4!X$36*conv_2026*X$7</f>
        <v>11791543.766307643</v>
      </c>
      <c r="Y58" s="31">
        <f>Option4!Y$36*conv_2026*Y$7</f>
        <v>12519384.734596848</v>
      </c>
      <c r="Z58" s="31">
        <f>Option4!Z$36*conv_2026*Z$7</f>
        <v>12999927.690186452</v>
      </c>
      <c r="AA58" s="31">
        <f>Option4!AA$36*conv_2026*AA$7</f>
        <v>13328830.956059895</v>
      </c>
      <c r="AB58" s="31">
        <f>Option4!AB$36*conv_2026*AB$7</f>
        <v>13619164.674043141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ht="13.8" x14ac:dyDescent="0.3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ht="13.8" x14ac:dyDescent="0.3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-32214023.089266337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-630945.96600782021</v>
      </c>
      <c r="K60" s="31">
        <f>Option4!K$82*conv_2026*K$7</f>
        <v>-1233562.8554784555</v>
      </c>
      <c r="L60" s="31">
        <f>Option4!L$82*conv_2026*L$7</f>
        <v>-1826394.7028704754</v>
      </c>
      <c r="M60" s="31">
        <f>Option4!M$82*conv_2026*M$7</f>
        <v>-2419226.5502624954</v>
      </c>
      <c r="N60" s="31">
        <f>Option4!N$82*conv_2026*N$7</f>
        <v>-2715642.4739585049</v>
      </c>
      <c r="O60" s="31">
        <f>Option4!O$82*conv_2026*O$7</f>
        <v>-2715642.4739585049</v>
      </c>
      <c r="P60" s="31">
        <f>Option4!P$82*conv_2026*P$7</f>
        <v>-2715642.4739585049</v>
      </c>
      <c r="Q60" s="31">
        <f>Option4!Q$82*conv_2026*Q$7</f>
        <v>-2715642.4739585049</v>
      </c>
      <c r="R60" s="31">
        <f>Option4!R$82*conv_2026*R$7</f>
        <v>-2715642.4739585049</v>
      </c>
      <c r="S60" s="31">
        <f>Option4!S$82*conv_2026*S$7</f>
        <v>-2715642.4739585049</v>
      </c>
      <c r="T60" s="31">
        <f>Option4!T$82*conv_2026*T$7</f>
        <v>-2715642.4739585049</v>
      </c>
      <c r="U60" s="31">
        <f>Option4!U$82*conv_2026*U$7</f>
        <v>-2715642.4739585049</v>
      </c>
      <c r="V60" s="31">
        <f>Option4!V$82*conv_2026*V$7</f>
        <v>-2715642.4739585049</v>
      </c>
      <c r="W60" s="31">
        <f>Option4!W$82*conv_2026*W$7</f>
        <v>-2715642.4739585049</v>
      </c>
      <c r="X60" s="31">
        <f>Option4!X$82*conv_2026*X$7</f>
        <v>-2715642.4739585049</v>
      </c>
      <c r="Y60" s="31">
        <f>Option4!Y$82*conv_2026*Y$7</f>
        <v>-2715642.4739585049</v>
      </c>
      <c r="Z60" s="31">
        <f>Option4!Z$82*conv_2026*Z$7</f>
        <v>-2715642.4739585049</v>
      </c>
      <c r="AA60" s="31">
        <f>Option4!AA$82*conv_2026*AA$7</f>
        <v>-2715642.4739585049</v>
      </c>
      <c r="AB60" s="31">
        <f>Option4!AB$82*conv_2026*AB$7</f>
        <v>-2715642.4739585049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ht="13.8" x14ac:dyDescent="0.3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ht="13.8" x14ac:dyDescent="0.3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3446939.2514123493</v>
      </c>
      <c r="G62" s="225">
        <f t="shared" si="16"/>
        <v>46203</v>
      </c>
      <c r="H62" s="31"/>
      <c r="I62" s="31">
        <f>Option4!I$84*conv_2026*I$7</f>
        <v>47595.049477923378</v>
      </c>
      <c r="J62" s="31">
        <f>Option4!J$84*conv_2026*J$7</f>
        <v>169442.32589628521</v>
      </c>
      <c r="K62" s="31">
        <f>Option4!K$84*conv_2026*K$7</f>
        <v>225339.83502548281</v>
      </c>
      <c r="L62" s="31">
        <f>Option4!L$84*conv_2026*L$7</f>
        <v>251011.53349093525</v>
      </c>
      <c r="M62" s="31">
        <f>Option4!M$84*conv_2026*M$7</f>
        <v>251483.17673493823</v>
      </c>
      <c r="N62" s="31">
        <f>Option4!N$84*conv_2026*N$7</f>
        <v>252506.39317336379</v>
      </c>
      <c r="O62" s="31">
        <f>Option4!O$84*conv_2026*O$7</f>
        <v>256004.93079344163</v>
      </c>
      <c r="P62" s="31">
        <f>Option4!P$84*conv_2026*P$7</f>
        <v>259794.11140885032</v>
      </c>
      <c r="Q62" s="31">
        <f>Option4!Q$84*conv_2026*Q$7</f>
        <v>260748.88966887235</v>
      </c>
      <c r="R62" s="31">
        <f>Option4!R$84*conv_2026*R$7</f>
        <v>261628.20003597089</v>
      </c>
      <c r="S62" s="31">
        <f>Option4!S$84*conv_2026*S$7</f>
        <v>262507.5104030699</v>
      </c>
      <c r="T62" s="31">
        <f>Option4!T$84*conv_2026*T$7</f>
        <v>263386.82077016844</v>
      </c>
      <c r="U62" s="31">
        <f>Option4!U$84*conv_2026*U$7</f>
        <v>264266.13113726699</v>
      </c>
      <c r="V62" s="31">
        <f>Option4!V$84*conv_2026*V$7</f>
        <v>265145.44150436547</v>
      </c>
      <c r="W62" s="31">
        <f>Option4!W$84*conv_2026*W$7</f>
        <v>266024.75187146611</v>
      </c>
      <c r="X62" s="31">
        <f>Option4!X$84*conv_2026*X$7</f>
        <v>266904.06223856355</v>
      </c>
      <c r="Y62" s="31">
        <f>Option4!Y$84*conv_2026*Y$7</f>
        <v>267783.37260566105</v>
      </c>
      <c r="Z62" s="31">
        <f>Option4!Z$84*conv_2026*Z$7</f>
        <v>268662.68297276064</v>
      </c>
      <c r="AA62" s="31">
        <f>Option4!AA$84*conv_2026*AA$7</f>
        <v>269541.99333985813</v>
      </c>
      <c r="AB62" s="31">
        <f>Option4!AB$84*conv_2026*AB$7</f>
        <v>270421.30370695767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ht="13.8" x14ac:dyDescent="0.3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ht="13.8" x14ac:dyDescent="0.3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47595.049477923378</v>
      </c>
      <c r="J64" s="52">
        <f t="shared" si="17"/>
        <v>-461503.64011153497</v>
      </c>
      <c r="K64" s="52">
        <f t="shared" si="17"/>
        <v>-1008223.0204529727</v>
      </c>
      <c r="L64" s="52">
        <f t="shared" si="17"/>
        <v>-1575383.16937954</v>
      </c>
      <c r="M64" s="52">
        <f t="shared" si="17"/>
        <v>-2167743.3735275571</v>
      </c>
      <c r="N64" s="52">
        <f t="shared" si="17"/>
        <v>-2463136.0807851409</v>
      </c>
      <c r="O64" s="52">
        <f t="shared" si="17"/>
        <v>-2459637.543165063</v>
      </c>
      <c r="P64" s="52">
        <f t="shared" si="17"/>
        <v>-2455848.3625496547</v>
      </c>
      <c r="Q64" s="52">
        <f t="shared" si="17"/>
        <v>-2454893.5842896327</v>
      </c>
      <c r="R64" s="52">
        <f t="shared" si="17"/>
        <v>-2454014.2739225337</v>
      </c>
      <c r="S64" s="52">
        <f t="shared" si="17"/>
        <v>-2453134.9635554347</v>
      </c>
      <c r="T64" s="52">
        <f t="shared" si="17"/>
        <v>-2452255.6531883366</v>
      </c>
      <c r="U64" s="52">
        <f t="shared" si="17"/>
        <v>-2451376.3428212376</v>
      </c>
      <c r="V64" s="52">
        <f t="shared" si="17"/>
        <v>-2450497.0324541396</v>
      </c>
      <c r="W64" s="52">
        <f t="shared" si="17"/>
        <v>-2449617.7220870387</v>
      </c>
      <c r="X64" s="52">
        <f t="shared" si="17"/>
        <v>-2448738.4117199415</v>
      </c>
      <c r="Y64" s="52">
        <f t="shared" si="17"/>
        <v>-2447859.1013528439</v>
      </c>
      <c r="Z64" s="52">
        <f t="shared" si="17"/>
        <v>-2446979.7909857444</v>
      </c>
      <c r="AA64" s="52">
        <f t="shared" si="17"/>
        <v>-2446100.4806186468</v>
      </c>
      <c r="AB64" s="52">
        <f t="shared" si="17"/>
        <v>-2445221.1702515474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ht="13.8" x14ac:dyDescent="0.3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-28767083.83785399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ht="13.8" x14ac:dyDescent="0.3">
      <c r="A66" s="135" t="str">
        <f t="shared" si="15"/>
        <v>Option 4</v>
      </c>
      <c r="B66" s="135"/>
      <c r="C66" s="8" t="s">
        <v>187</v>
      </c>
      <c r="D66" s="38" t="str">
        <f t="shared" si="14"/>
        <v>Option 4PV of costs</v>
      </c>
      <c r="E66" s="1"/>
      <c r="F66" s="108">
        <f>SUM(F60:F61)</f>
        <v>-32214023.089266337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ht="13.8" x14ac:dyDescent="0.3">
      <c r="A67" s="135" t="str">
        <f t="shared" si="15"/>
        <v>Option 4</v>
      </c>
      <c r="B67" s="135"/>
      <c r="C67" s="8" t="s">
        <v>188</v>
      </c>
      <c r="D67" s="38" t="str">
        <f t="shared" si="14"/>
        <v>Option 4PV of benefits</v>
      </c>
      <c r="E67" s="1"/>
      <c r="F67" s="108">
        <f>SUM(F62:F63)</f>
        <v>3446939.2514123493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ht="13.8" x14ac:dyDescent="0.3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ht="13.8" x14ac:dyDescent="0.3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ht="13.8" x14ac:dyDescent="0.3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ht="13.8" x14ac:dyDescent="0.3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ht="13.8" x14ac:dyDescent="0.3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ht="13.8" x14ac:dyDescent="0.3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ht="13.8" x14ac:dyDescent="0.3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ht="13.8" x14ac:dyDescent="0.3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ht="13.8" x14ac:dyDescent="0.3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ht="13.8" x14ac:dyDescent="0.3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ht="13.8" x14ac:dyDescent="0.3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ht="13.8" x14ac:dyDescent="0.3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ht="13.8" x14ac:dyDescent="0.3">
      <c r="A80" s="135" t="str">
        <f t="shared" si="19"/>
        <v>Option 5</v>
      </c>
      <c r="B80" s="135"/>
      <c r="C80" s="8" t="s">
        <v>187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ht="13.8" x14ac:dyDescent="0.3">
      <c r="A81" s="135" t="str">
        <f t="shared" si="19"/>
        <v>Option 5</v>
      </c>
      <c r="B81" s="135"/>
      <c r="C81" s="8" t="s">
        <v>188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ht="13.8" x14ac:dyDescent="0.3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5">
      <c r="E83" s="84"/>
      <c r="G83" s="229"/>
    </row>
    <row r="84" spans="1:33" ht="12" x14ac:dyDescent="0.25">
      <c r="E84" s="84"/>
      <c r="G84" s="229"/>
    </row>
    <row r="85" spans="1:33" ht="12" x14ac:dyDescent="0.25">
      <c r="E85" s="84"/>
      <c r="G85" s="229"/>
    </row>
    <row r="86" spans="1:33" ht="12" x14ac:dyDescent="0.25">
      <c r="E86" s="84"/>
      <c r="G86" s="229"/>
    </row>
    <row r="87" spans="1:33" ht="12" x14ac:dyDescent="0.25">
      <c r="E87" s="10"/>
      <c r="G87" s="229"/>
    </row>
    <row r="88" spans="1:33" ht="14.4" x14ac:dyDescent="0.3">
      <c r="A88" s="202" t="s">
        <v>200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5">
      <c r="E89" s="84"/>
      <c r="G89" s="229"/>
    </row>
    <row r="90" spans="1:33" ht="12" x14ac:dyDescent="0.25">
      <c r="E90" s="84"/>
    </row>
    <row r="91" spans="1:33" ht="13.8" x14ac:dyDescent="0.3">
      <c r="A91" s="198" t="str">
        <f>Summary!$C$26</f>
        <v>Option 3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3 annualised capex</v>
      </c>
      <c r="I91" s="297" cm="1">
        <f t="array" ref="I91">MAX($D91*INDEX(I$15:W$81, MATCH($A91&amp;$C91, $D$15:$D$81,0),))/mill_conv</f>
        <v>2.7828397048972597</v>
      </c>
      <c r="J91" s="297" cm="1">
        <f t="array" ref="J91">MAX($D91*INDEX(J$15:X$81, MATCH($A91&amp;$C91, $D$15:$D$81,0),))/mill_conv</f>
        <v>2.7828397048972597</v>
      </c>
      <c r="K91" s="297" cm="1">
        <f t="array" ref="K91">MAX($D91*INDEX(K$15:Y$81, MATCH($A91&amp;$C91, $D$15:$D$81,0),))/mill_conv</f>
        <v>2.7828397048972597</v>
      </c>
      <c r="L91" s="297" cm="1">
        <f t="array" ref="L91">MAX($D91*INDEX(L$15:Z$81, MATCH($A91&amp;$C91, $D$15:$D$81,0),))/mill_conv</f>
        <v>2.7828397048972597</v>
      </c>
      <c r="M91" s="297" cm="1">
        <f t="array" ref="M91">MAX($D91*INDEX(M$15:AA$81, MATCH($A91&amp;$C91, $D$15:$D$81,0),))/mill_conv</f>
        <v>2.7828397048972597</v>
      </c>
      <c r="N91" s="297" cm="1">
        <f t="array" ref="N91">MAX($D91*INDEX(N$15:AB$81, MATCH($A91&amp;$C91, $D$15:$D$81,0),))/mill_conv</f>
        <v>2.7828397048972597</v>
      </c>
      <c r="O91" s="297" cm="1">
        <f t="array" ref="O91">MAX($D91*INDEX(O$15:AC$81, MATCH($A91&amp;$C91, $D$15:$D$81,0),))/mill_conv</f>
        <v>2.7828397048972597</v>
      </c>
      <c r="P91" s="297" cm="1">
        <f t="array" ref="P91">MAX($D91*INDEX(P$15:AD$81, MATCH($A91&amp;$C91, $D$15:$D$81,0),))/mill_conv</f>
        <v>2.7828397048972597</v>
      </c>
      <c r="Q91" s="297" cm="1">
        <f t="array" ref="Q91">MAX($D91*INDEX(Q$15:AE$81, MATCH($A91&amp;$C91, $D$15:$D$81,0),))/mill_conv</f>
        <v>2.7828397048972597</v>
      </c>
      <c r="R91" s="297" cm="1">
        <f t="array" ref="R91">MAX($D91*INDEX(R$15:AF$81, MATCH($A91&amp;$C91, $D$15:$D$81,0),))/mill_conv</f>
        <v>2.7828397048972597</v>
      </c>
      <c r="S91" s="297" cm="1">
        <f t="array" ref="S91">MAX($D91*INDEX(S$15:AG$81, MATCH($A91&amp;$C91, $D$15:$D$81,0),))/mill_conv</f>
        <v>2.7828397048972597</v>
      </c>
      <c r="T91" s="297" cm="1">
        <f t="array" ref="T91">MAX($D91*INDEX(T$15:AH$81, MATCH($A91&amp;$C91, $D$15:$D$81,0),))/mill_conv</f>
        <v>2.7828397048972597</v>
      </c>
      <c r="U91" s="297" cm="1">
        <f t="array" ref="U91">MAX($D91*INDEX(U$15:AI$81, MATCH($A91&amp;$C91, $D$15:$D$81,0),))/mill_conv</f>
        <v>2.7828397048972597</v>
      </c>
      <c r="V91" s="297" cm="1">
        <f t="array" ref="V91">MAX($D91*INDEX(V$15:AJ$81, MATCH($A91&amp;$C91, $D$15:$D$81,0),))/mill_conv</f>
        <v>2.7828397048972597</v>
      </c>
      <c r="W91" s="297" cm="1">
        <f t="array" ref="W91">MAX($D91*INDEX(W$15:AK$81, MATCH($A91&amp;$C91, $D$15:$D$81,0),))/mill_conv</f>
        <v>2.7828397048972597</v>
      </c>
      <c r="X91" s="297" cm="1">
        <f t="array" ref="X91">MAX($D91*INDEX(X$15:AL$81, MATCH($A91&amp;$C91, $D$15:$D$81,0),))/mill_conv</f>
        <v>2.7828397048972597</v>
      </c>
      <c r="Y91" s="297" cm="1">
        <f t="array" ref="Y91">MAX($D91*INDEX(Y$15:AM$81, MATCH($A91&amp;$C91, $D$15:$D$81,0),))/mill_conv</f>
        <v>2.7828397048972597</v>
      </c>
      <c r="Z91" s="297" cm="1">
        <f t="array" ref="Z91">MAX($D91*INDEX(Z$15:AN$81, MATCH($A91&amp;$C91, $D$15:$D$81,0),))/mill_conv</f>
        <v>2.7828397048972597</v>
      </c>
      <c r="AA91" s="297" cm="1">
        <f t="array" ref="AA91">MAX($D91*INDEX(AA$15:AO$81, MATCH($A91&amp;$C91, $D$15:$D$81,0),))/mill_conv</f>
        <v>2.7828397048972597</v>
      </c>
      <c r="AB91" s="297" cm="1">
        <f t="array" ref="AB91">MAX($D91*INDEX(AB$15:AP$81, MATCH($A91&amp;$C91, $D$15:$D$81,0),))/mill_conv</f>
        <v>2.7828397048972597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ht="13.8" x14ac:dyDescent="0.3">
      <c r="A92" s="197" t="str">
        <f>A16</f>
        <v>Option 1 (base case)</v>
      </c>
      <c r="B92" s="139"/>
      <c r="C92" s="197" t="s">
        <v>170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1.8303586226704704</v>
      </c>
      <c r="J92" s="297">
        <f t="shared" si="23"/>
        <v>1.9551982881213403</v>
      </c>
      <c r="K92" s="297">
        <f t="shared" si="23"/>
        <v>2.1051017512743337</v>
      </c>
      <c r="L92" s="297">
        <f t="shared" si="23"/>
        <v>2.2839457484626138</v>
      </c>
      <c r="M92" s="297">
        <f t="shared" si="23"/>
        <v>2.4942295375369423</v>
      </c>
      <c r="N92" s="297">
        <f t="shared" si="23"/>
        <v>2.7554864211285248</v>
      </c>
      <c r="O92" s="297">
        <f t="shared" si="23"/>
        <v>3.0887283441624738</v>
      </c>
      <c r="P92" s="297">
        <f t="shared" si="23"/>
        <v>3.5006167438415461</v>
      </c>
      <c r="Q92" s="297">
        <f t="shared" si="23"/>
        <v>3.9945187115190892</v>
      </c>
      <c r="R92" s="297">
        <f t="shared" si="23"/>
        <v>4.6092944812725802</v>
      </c>
      <c r="S92" s="297">
        <f t="shared" ref="S92:AG92" si="24">$D92*INDEX(S$15:S$81, MATCH($A92&amp;$C92, $D$15:$D$81,0))/mill_conv</f>
        <v>5.377268988097593</v>
      </c>
      <c r="T92" s="297">
        <f t="shared" si="24"/>
        <v>6.3409504318726579</v>
      </c>
      <c r="U92" s="297">
        <f t="shared" si="24"/>
        <v>7.5014887760059068</v>
      </c>
      <c r="V92" s="297">
        <f t="shared" si="24"/>
        <v>8.8031603347733753</v>
      </c>
      <c r="W92" s="297">
        <f t="shared" si="24"/>
        <v>10.436718339517771</v>
      </c>
      <c r="X92" s="297">
        <f t="shared" si="24"/>
        <v>12.058447828546207</v>
      </c>
      <c r="Y92" s="297">
        <f t="shared" si="24"/>
        <v>12.787168107202509</v>
      </c>
      <c r="Z92" s="297">
        <f t="shared" si="24"/>
        <v>13.268590373159213</v>
      </c>
      <c r="AA92" s="297">
        <f t="shared" si="24"/>
        <v>13.598372949399753</v>
      </c>
      <c r="AB92" s="297">
        <f t="shared" si="24"/>
        <v>13.8895859777501</v>
      </c>
      <c r="AC92" s="297">
        <f t="shared" si="24"/>
        <v>6.8675934181347528E-2</v>
      </c>
      <c r="AD92" s="297">
        <f t="shared" si="24"/>
        <v>6.9555244548446055E-2</v>
      </c>
      <c r="AE92" s="297">
        <f t="shared" si="24"/>
        <v>7.0434554915544595E-2</v>
      </c>
      <c r="AF92" s="297">
        <f t="shared" si="24"/>
        <v>7.1313865282643121E-2</v>
      </c>
      <c r="AG92" s="297">
        <f t="shared" si="24"/>
        <v>7.219317564974162E-2</v>
      </c>
    </row>
    <row r="93" spans="1:33" ht="12" x14ac:dyDescent="0.25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5">
      <c r="E94" s="84"/>
    </row>
    <row r="95" spans="1:33" ht="12" x14ac:dyDescent="0.25">
      <c r="E95" s="84"/>
    </row>
    <row r="96" spans="1:33" ht="12" x14ac:dyDescent="0.25">
      <c r="E96" s="84"/>
    </row>
    <row r="97" spans="1:33" ht="12" x14ac:dyDescent="0.25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ht="13.8" x14ac:dyDescent="0.3">
      <c r="A98" s="198" t="s">
        <v>233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ht="13.8" x14ac:dyDescent="0.3">
      <c r="A99" s="197" t="str">
        <f>A23</f>
        <v>Option 1 (base case)</v>
      </c>
      <c r="B99" s="139"/>
      <c r="C99" s="197" t="s">
        <v>124</v>
      </c>
      <c r="D99" s="190">
        <f>MAX(H99:AG99)</f>
        <v>0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5">
      <c r="E100" s="10"/>
    </row>
    <row r="101" spans="1:33" s="295" customFormat="1" ht="12" x14ac:dyDescent="0.25"/>
    <row r="102" spans="1:33" ht="12" x14ac:dyDescent="0.25">
      <c r="E102" s="10"/>
    </row>
    <row r="103" spans="1:33" ht="12" x14ac:dyDescent="0.25">
      <c r="E103" s="10"/>
      <c r="I103" s="295"/>
    </row>
    <row r="104" spans="1:33" ht="12" x14ac:dyDescent="0.25">
      <c r="E104" s="10"/>
      <c r="H104" s="150"/>
    </row>
    <row r="105" spans="1:33" ht="12" x14ac:dyDescent="0.25">
      <c r="E105" s="10"/>
      <c r="H105" s="150"/>
    </row>
    <row r="106" spans="1:33" ht="12" x14ac:dyDescent="0.25">
      <c r="D106" s="190"/>
      <c r="E106" s="10"/>
    </row>
    <row r="107" spans="1:33" ht="12" x14ac:dyDescent="0.25">
      <c r="D107" s="190"/>
      <c r="E107" s="10"/>
    </row>
    <row r="108" spans="1:33" ht="12" x14ac:dyDescent="0.25">
      <c r="D108" s="190"/>
      <c r="E108" s="84"/>
    </row>
    <row r="109" spans="1:33" ht="12" x14ac:dyDescent="0.25">
      <c r="C109" s="124"/>
      <c r="D109" s="190"/>
      <c r="E109" s="190"/>
    </row>
    <row r="110" spans="1:33" ht="12" x14ac:dyDescent="0.25">
      <c r="D110" s="190"/>
      <c r="E110" s="84"/>
    </row>
    <row r="111" spans="1:33" ht="12" x14ac:dyDescent="0.25">
      <c r="D111" s="190"/>
      <c r="E111" s="84"/>
    </row>
    <row r="112" spans="1:33" ht="12" x14ac:dyDescent="0.25">
      <c r="D112" s="190"/>
      <c r="E112" s="84"/>
    </row>
    <row r="113" spans="4:5" ht="12" x14ac:dyDescent="0.25">
      <c r="D113" s="190"/>
      <c r="E113" s="84"/>
    </row>
    <row r="114" spans="4:5" ht="12" x14ac:dyDescent="0.25">
      <c r="D114" s="190"/>
      <c r="E114" s="84"/>
    </row>
    <row r="115" spans="4:5" ht="12" x14ac:dyDescent="0.25">
      <c r="D115" s="190"/>
      <c r="E115" s="84"/>
    </row>
    <row r="116" spans="4:5" ht="12" x14ac:dyDescent="0.25">
      <c r="D116" s="190"/>
      <c r="E116" s="84"/>
    </row>
    <row r="117" spans="4:5" ht="12" x14ac:dyDescent="0.25">
      <c r="D117" s="190"/>
      <c r="E117" s="84"/>
    </row>
    <row r="118" spans="4:5" ht="12" x14ac:dyDescent="0.25">
      <c r="D118" s="190"/>
      <c r="E118" s="84"/>
    </row>
    <row r="119" spans="4:5" ht="12" x14ac:dyDescent="0.25">
      <c r="D119" s="190"/>
      <c r="E119" s="84"/>
    </row>
    <row r="120" spans="4:5" ht="12" x14ac:dyDescent="0.25">
      <c r="D120" s="190"/>
      <c r="E120" s="84"/>
    </row>
    <row r="121" spans="4:5" ht="12" x14ac:dyDescent="0.25">
      <c r="D121" s="190"/>
      <c r="E121" s="84"/>
    </row>
    <row r="122" spans="4:5" ht="12" x14ac:dyDescent="0.25">
      <c r="D122" s="190"/>
      <c r="E122" s="84"/>
    </row>
    <row r="123" spans="4:5" ht="12" x14ac:dyDescent="0.25">
      <c r="D123" s="190"/>
      <c r="E123" s="84"/>
    </row>
    <row r="124" spans="4:5" ht="12" x14ac:dyDescent="0.25">
      <c r="D124" s="190"/>
      <c r="E124" s="84"/>
    </row>
    <row r="125" spans="4:5" ht="12" x14ac:dyDescent="0.25">
      <c r="D125" s="190"/>
      <c r="E125" s="84"/>
    </row>
    <row r="126" spans="4:5" ht="12" x14ac:dyDescent="0.25">
      <c r="D126" s="190"/>
      <c r="E126" s="84"/>
    </row>
    <row r="127" spans="4:5" ht="12" x14ac:dyDescent="0.25">
      <c r="D127" s="190"/>
      <c r="E127" s="84"/>
    </row>
    <row r="128" spans="4:5" ht="12" x14ac:dyDescent="0.25">
      <c r="D128" s="190"/>
      <c r="E128" s="84"/>
    </row>
    <row r="129" spans="4:5" ht="12" x14ac:dyDescent="0.25">
      <c r="D129" s="190"/>
      <c r="E129" s="84"/>
    </row>
    <row r="130" spans="4:5" ht="12" x14ac:dyDescent="0.25">
      <c r="D130" s="190"/>
      <c r="E130" s="84"/>
    </row>
    <row r="131" spans="4:5" ht="12" x14ac:dyDescent="0.25">
      <c r="D131" s="190"/>
      <c r="E131" s="84"/>
    </row>
    <row r="132" spans="4:5" ht="12" x14ac:dyDescent="0.25">
      <c r="D132" s="190"/>
      <c r="E132" s="84"/>
    </row>
    <row r="133" spans="4:5" ht="12" x14ac:dyDescent="0.25">
      <c r="D133" s="190"/>
      <c r="E133" s="84"/>
    </row>
    <row r="134" spans="4:5" ht="12" x14ac:dyDescent="0.25">
      <c r="D134" s="190"/>
      <c r="E134" s="84"/>
    </row>
    <row r="135" spans="4:5" ht="12" x14ac:dyDescent="0.25">
      <c r="D135" s="190"/>
      <c r="E135" s="84"/>
    </row>
    <row r="136" spans="4:5" ht="12" x14ac:dyDescent="0.25">
      <c r="D136" s="190"/>
      <c r="E136" s="84"/>
    </row>
    <row r="137" spans="4:5" ht="12" x14ac:dyDescent="0.25">
      <c r="D137" s="190"/>
      <c r="E137" s="84"/>
    </row>
    <row r="138" spans="4:5" ht="12" x14ac:dyDescent="0.25">
      <c r="E138" s="84"/>
    </row>
    <row r="139" spans="4:5" ht="12" x14ac:dyDescent="0.25">
      <c r="E139" s="84"/>
    </row>
    <row r="140" spans="4:5" ht="12" x14ac:dyDescent="0.25">
      <c r="E140" s="84"/>
    </row>
    <row r="141" spans="4:5" ht="12" x14ac:dyDescent="0.25">
      <c r="E141" s="84"/>
    </row>
    <row r="142" spans="4:5" ht="12" x14ac:dyDescent="0.25">
      <c r="E142" s="84"/>
    </row>
    <row r="143" spans="4:5" ht="12" x14ac:dyDescent="0.25">
      <c r="E143" s="84"/>
    </row>
    <row r="144" spans="4:5" ht="12" x14ac:dyDescent="0.25">
      <c r="E144" s="84"/>
    </row>
    <row r="145" spans="5:5" ht="12" x14ac:dyDescent="0.25">
      <c r="E145" s="84"/>
    </row>
    <row r="146" spans="5:5" ht="12" x14ac:dyDescent="0.25">
      <c r="E146" s="84"/>
    </row>
    <row r="147" spans="5:5" ht="12" x14ac:dyDescent="0.25">
      <c r="E147" s="84"/>
    </row>
    <row r="148" spans="5:5" ht="12" x14ac:dyDescent="0.25">
      <c r="E148" s="84"/>
    </row>
    <row r="149" spans="5:5" ht="12" x14ac:dyDescent="0.25">
      <c r="E149" s="84"/>
    </row>
    <row r="150" spans="5:5" ht="12" x14ac:dyDescent="0.25">
      <c r="E150" s="84"/>
    </row>
    <row r="151" spans="5:5" ht="12" x14ac:dyDescent="0.25">
      <c r="E151" s="84"/>
    </row>
    <row r="152" spans="5:5" ht="12" x14ac:dyDescent="0.25">
      <c r="E152" s="84"/>
    </row>
    <row r="153" spans="5:5" ht="12" x14ac:dyDescent="0.25">
      <c r="E153" s="84"/>
    </row>
    <row r="154" spans="5:5" ht="12" x14ac:dyDescent="0.25">
      <c r="E154" s="84"/>
    </row>
    <row r="155" spans="5:5" ht="12" x14ac:dyDescent="0.25">
      <c r="E155" s="84"/>
    </row>
    <row r="156" spans="5:5" ht="12" x14ac:dyDescent="0.25">
      <c r="E156" s="84"/>
    </row>
    <row r="157" spans="5:5" ht="12" x14ac:dyDescent="0.25">
      <c r="E157" s="84"/>
    </row>
    <row r="158" spans="5:5" ht="12" x14ac:dyDescent="0.25">
      <c r="E158" s="84"/>
    </row>
    <row r="159" spans="5:5" ht="12" x14ac:dyDescent="0.25">
      <c r="E159" s="84"/>
    </row>
    <row r="160" spans="5:5" ht="12" x14ac:dyDescent="0.25">
      <c r="E160" s="84"/>
    </row>
    <row r="161" spans="5:5" ht="12" x14ac:dyDescent="0.25">
      <c r="E161" s="84"/>
    </row>
    <row r="162" spans="5:5" ht="12" x14ac:dyDescent="0.25">
      <c r="E162" s="84"/>
    </row>
    <row r="163" spans="5:5" ht="12" x14ac:dyDescent="0.25">
      <c r="E163" s="84"/>
    </row>
    <row r="164" spans="5:5" ht="12" x14ac:dyDescent="0.25">
      <c r="E164" s="84"/>
    </row>
    <row r="165" spans="5:5" ht="12" x14ac:dyDescent="0.25">
      <c r="E165" s="84"/>
    </row>
    <row r="166" spans="5:5" ht="12" x14ac:dyDescent="0.25">
      <c r="E166" s="84"/>
    </row>
    <row r="167" spans="5:5" ht="12" x14ac:dyDescent="0.25">
      <c r="E167" s="84"/>
    </row>
    <row r="168" spans="5:5" ht="12" x14ac:dyDescent="0.25">
      <c r="E168" s="84"/>
    </row>
    <row r="169" spans="5:5" ht="12" x14ac:dyDescent="0.25">
      <c r="E169" s="84"/>
    </row>
    <row r="170" spans="5:5" ht="12" x14ac:dyDescent="0.25">
      <c r="E170" s="84"/>
    </row>
    <row r="171" spans="5:5" ht="12" x14ac:dyDescent="0.25">
      <c r="E171" s="84"/>
    </row>
    <row r="172" spans="5:5" ht="12" x14ac:dyDescent="0.25">
      <c r="E172" s="84"/>
    </row>
    <row r="173" spans="5:5" ht="12" x14ac:dyDescent="0.25">
      <c r="E173" s="84"/>
    </row>
    <row r="174" spans="5:5" ht="12" x14ac:dyDescent="0.25">
      <c r="E174" s="84"/>
    </row>
    <row r="175" spans="5:5" ht="12" x14ac:dyDescent="0.25">
      <c r="E175" s="84"/>
    </row>
    <row r="176" spans="5:5" ht="12" x14ac:dyDescent="0.25">
      <c r="E176" s="84"/>
    </row>
    <row r="177" spans="5:5" ht="12" x14ac:dyDescent="0.25">
      <c r="E177" s="84"/>
    </row>
    <row r="178" spans="5:5" ht="12" x14ac:dyDescent="0.25">
      <c r="E178" s="84"/>
    </row>
    <row r="179" spans="5:5" ht="12" x14ac:dyDescent="0.25">
      <c r="E179" s="84"/>
    </row>
    <row r="180" spans="5:5" ht="12" x14ac:dyDescent="0.25">
      <c r="E180" s="84"/>
    </row>
    <row r="181" spans="5:5" ht="12" x14ac:dyDescent="0.25">
      <c r="E181" s="84"/>
    </row>
    <row r="182" spans="5:5" ht="12" x14ac:dyDescent="0.25">
      <c r="E182" s="84"/>
    </row>
    <row r="183" spans="5:5" ht="12" x14ac:dyDescent="0.25">
      <c r="E183" s="84"/>
    </row>
    <row r="184" spans="5:5" ht="12" x14ac:dyDescent="0.25">
      <c r="E184" s="84"/>
    </row>
    <row r="185" spans="5:5" ht="12" x14ac:dyDescent="0.25">
      <c r="E185" s="84"/>
    </row>
    <row r="186" spans="5:5" ht="12" x14ac:dyDescent="0.25">
      <c r="E186" s="84"/>
    </row>
    <row r="187" spans="5:5" ht="12" x14ac:dyDescent="0.25">
      <c r="E187" s="84"/>
    </row>
    <row r="188" spans="5:5" ht="12" x14ac:dyDescent="0.25">
      <c r="E188" s="84"/>
    </row>
    <row r="189" spans="5:5" ht="12" x14ac:dyDescent="0.25">
      <c r="E189" s="84"/>
    </row>
    <row r="190" spans="5:5" ht="12" x14ac:dyDescent="0.25">
      <c r="E190" s="84"/>
    </row>
    <row r="191" spans="5:5" ht="12" x14ac:dyDescent="0.25">
      <c r="E191" s="84"/>
    </row>
    <row r="192" spans="5:5" ht="12" x14ac:dyDescent="0.25">
      <c r="E192" s="84"/>
    </row>
    <row r="193" spans="5:5" ht="12" x14ac:dyDescent="0.25">
      <c r="E193" s="84"/>
    </row>
    <row r="194" spans="5:5" ht="12" x14ac:dyDescent="0.25">
      <c r="E194" s="84"/>
    </row>
    <row r="195" spans="5:5" ht="12" x14ac:dyDescent="0.25">
      <c r="E195" s="84"/>
    </row>
    <row r="196" spans="5:5" ht="12" x14ac:dyDescent="0.25">
      <c r="E196" s="84"/>
    </row>
    <row r="197" spans="5:5" ht="12" x14ac:dyDescent="0.25">
      <c r="E197" s="84"/>
    </row>
    <row r="198" spans="5:5" ht="12" x14ac:dyDescent="0.25">
      <c r="E198" s="84"/>
    </row>
    <row r="199" spans="5:5" ht="12" x14ac:dyDescent="0.25">
      <c r="E199" s="84"/>
    </row>
    <row r="200" spans="5:5" ht="12" x14ac:dyDescent="0.25">
      <c r="E200" s="84"/>
    </row>
    <row r="201" spans="5:5" ht="12" x14ac:dyDescent="0.25">
      <c r="E201" s="84"/>
    </row>
    <row r="202" spans="5:5" ht="12" x14ac:dyDescent="0.25">
      <c r="E202" s="84"/>
    </row>
    <row r="203" spans="5:5" ht="12" x14ac:dyDescent="0.25">
      <c r="E203" s="84"/>
    </row>
    <row r="204" spans="5:5" ht="12" x14ac:dyDescent="0.25">
      <c r="E204" s="84"/>
    </row>
    <row r="205" spans="5:5" ht="12" x14ac:dyDescent="0.25">
      <c r="E205" s="84"/>
    </row>
    <row r="206" spans="5:5" ht="12" x14ac:dyDescent="0.25">
      <c r="E206" s="84"/>
    </row>
    <row r="207" spans="5:5" ht="12" x14ac:dyDescent="0.25">
      <c r="E207" s="84"/>
    </row>
    <row r="208" spans="5:5" ht="12" x14ac:dyDescent="0.25">
      <c r="E208" s="84"/>
    </row>
    <row r="209" spans="5:5" ht="12" x14ac:dyDescent="0.25">
      <c r="E209" s="84"/>
    </row>
    <row r="210" spans="5:5" ht="12" x14ac:dyDescent="0.25">
      <c r="E210" s="84"/>
    </row>
    <row r="211" spans="5:5" ht="12" x14ac:dyDescent="0.25">
      <c r="E211" s="84"/>
    </row>
    <row r="212" spans="5:5" ht="12" x14ac:dyDescent="0.25">
      <c r="E212" s="84"/>
    </row>
    <row r="213" spans="5:5" ht="12" x14ac:dyDescent="0.25">
      <c r="E213" s="84"/>
    </row>
    <row r="214" spans="5:5" ht="12" x14ac:dyDescent="0.25">
      <c r="E214" s="84"/>
    </row>
    <row r="215" spans="5:5" ht="12" x14ac:dyDescent="0.25">
      <c r="E215" s="84"/>
    </row>
    <row r="216" spans="5:5" ht="12" x14ac:dyDescent="0.25">
      <c r="E216" s="84"/>
    </row>
    <row r="217" spans="5:5" ht="12" x14ac:dyDescent="0.25">
      <c r="E217" s="84"/>
    </row>
    <row r="218" spans="5:5" ht="12" x14ac:dyDescent="0.25">
      <c r="E218" s="84"/>
    </row>
    <row r="219" spans="5:5" ht="12" x14ac:dyDescent="0.25">
      <c r="E219" s="84"/>
    </row>
    <row r="220" spans="5:5" ht="12" x14ac:dyDescent="0.25">
      <c r="E220" s="84"/>
    </row>
    <row r="221" spans="5:5" ht="12" x14ac:dyDescent="0.25">
      <c r="E221" s="84"/>
    </row>
    <row r="222" spans="5:5" ht="12" x14ac:dyDescent="0.25">
      <c r="E222" s="84"/>
    </row>
    <row r="223" spans="5:5" ht="12" x14ac:dyDescent="0.25">
      <c r="E223" s="84"/>
    </row>
    <row r="224" spans="5:5" ht="12" x14ac:dyDescent="0.25">
      <c r="E224" s="84"/>
    </row>
    <row r="225" spans="5:5" ht="12" x14ac:dyDescent="0.25">
      <c r="E225" s="84"/>
    </row>
    <row r="226" spans="5:5" ht="12" x14ac:dyDescent="0.25">
      <c r="E226" s="84"/>
    </row>
    <row r="227" spans="5:5" ht="12" x14ac:dyDescent="0.25">
      <c r="E227" s="84"/>
    </row>
    <row r="228" spans="5:5" ht="12" x14ac:dyDescent="0.25">
      <c r="E228" s="84"/>
    </row>
    <row r="229" spans="5:5" ht="12" x14ac:dyDescent="0.25">
      <c r="E229" s="84"/>
    </row>
    <row r="230" spans="5:5" ht="12" x14ac:dyDescent="0.25">
      <c r="E230" s="84"/>
    </row>
    <row r="231" spans="5:5" ht="12" x14ac:dyDescent="0.25">
      <c r="E231" s="84"/>
    </row>
    <row r="232" spans="5:5" ht="12" x14ac:dyDescent="0.25">
      <c r="E232" s="84"/>
    </row>
    <row r="233" spans="5:5" ht="12" x14ac:dyDescent="0.25">
      <c r="E233" s="84"/>
    </row>
    <row r="234" spans="5:5" ht="12" x14ac:dyDescent="0.25">
      <c r="E234" s="84"/>
    </row>
    <row r="235" spans="5:5" ht="12" x14ac:dyDescent="0.25">
      <c r="E235" s="84"/>
    </row>
    <row r="236" spans="5:5" ht="12" x14ac:dyDescent="0.25">
      <c r="E236" s="84"/>
    </row>
    <row r="237" spans="5:5" ht="12" x14ac:dyDescent="0.25">
      <c r="E237" s="84"/>
    </row>
    <row r="238" spans="5:5" ht="12" x14ac:dyDescent="0.25">
      <c r="E238" s="84"/>
    </row>
    <row r="239" spans="5:5" ht="12" x14ac:dyDescent="0.25">
      <c r="E239" s="84"/>
    </row>
    <row r="240" spans="5:5" ht="12" x14ac:dyDescent="0.25">
      <c r="E240" s="84"/>
    </row>
    <row r="241" spans="5:5" ht="12" x14ac:dyDescent="0.25">
      <c r="E241" s="84"/>
    </row>
    <row r="242" spans="5:5" ht="12" x14ac:dyDescent="0.25">
      <c r="E242" s="84"/>
    </row>
    <row r="243" spans="5:5" ht="12" x14ac:dyDescent="0.25">
      <c r="E243" s="84"/>
    </row>
    <row r="244" spans="5:5" ht="12" x14ac:dyDescent="0.25">
      <c r="E244" s="84"/>
    </row>
    <row r="245" spans="5:5" ht="12" x14ac:dyDescent="0.25">
      <c r="E245" s="84"/>
    </row>
    <row r="246" spans="5:5" ht="12" x14ac:dyDescent="0.25">
      <c r="E246" s="84"/>
    </row>
    <row r="247" spans="5:5" ht="12" x14ac:dyDescent="0.25">
      <c r="E247" s="84"/>
    </row>
    <row r="248" spans="5:5" ht="12" x14ac:dyDescent="0.25">
      <c r="E248" s="84"/>
    </row>
    <row r="249" spans="5:5" ht="12" x14ac:dyDescent="0.25">
      <c r="E249" s="84"/>
    </row>
    <row r="250" spans="5:5" ht="12" x14ac:dyDescent="0.25">
      <c r="E250" s="84"/>
    </row>
    <row r="251" spans="5:5" ht="12" x14ac:dyDescent="0.25">
      <c r="E251" s="84"/>
    </row>
    <row r="252" spans="5:5" x14ac:dyDescent="0.25"/>
    <row r="253" spans="5:5" x14ac:dyDescent="0.25"/>
    <row r="254" spans="5:5" x14ac:dyDescent="0.25"/>
    <row r="255" spans="5:5" x14ac:dyDescent="0.25"/>
    <row r="256" spans="5:5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3.2" zeroHeight="1" outlineLevelRow="1" x14ac:dyDescent="0.25"/>
  <cols>
    <col min="1" max="1" width="8.08984375" style="10" customWidth="1"/>
    <col min="2" max="2" width="20.7265625" style="10" customWidth="1"/>
    <col min="3" max="3" width="20.453125" style="10" customWidth="1"/>
    <col min="4" max="4" width="16.90625" style="10" bestFit="1" customWidth="1"/>
    <col min="5" max="5" width="12.36328125" style="10" customWidth="1"/>
    <col min="6" max="6" width="14.26953125" customWidth="1"/>
    <col min="7" max="7" width="11.63281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" x14ac:dyDescent="0.35">
      <c r="A2" s="56" t="str">
        <f>proj</f>
        <v>Ttransformer rebuild - KYM, NKA, PLD, MNA &amp; WBL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" x14ac:dyDescent="0.35">
      <c r="A3" s="203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3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t="13.8" hidden="1" outlineLevel="1" x14ac:dyDescent="0.3">
      <c r="A5" s="116" t="s">
        <v>192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t="13.8" hidden="1" outlineLevel="1" x14ac:dyDescent="0.3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t="13.8" hidden="1" outlineLevel="1" x14ac:dyDescent="0.3">
      <c r="A7" s="116" t="s">
        <v>193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3"/>
    <row r="9" spans="1:33" s="2" customFormat="1" ht="14.4" x14ac:dyDescent="0.3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ht="13.8" x14ac:dyDescent="0.3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4.4" x14ac:dyDescent="0.3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ht="13.8" x14ac:dyDescent="0.3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10355546.31952991</v>
      </c>
      <c r="AA12" s="31">
        <f>Consol!AB36</f>
        <v>10616373.878880722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ht="13.8" x14ac:dyDescent="0.3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ht="13.8" x14ac:dyDescent="0.3">
      <c r="A14" s="253" t="s">
        <v>141</v>
      </c>
      <c r="B14" s="253" t="s">
        <v>119</v>
      </c>
      <c r="C14" s="253" t="s">
        <v>186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ht="13.8" x14ac:dyDescent="0.3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ht="13.8" x14ac:dyDescent="0.3">
      <c r="A16" s="253" t="s">
        <v>141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ht="13.8" x14ac:dyDescent="0.3">
      <c r="A17" s="253" t="s">
        <v>141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ht="13.8" x14ac:dyDescent="0.3">
      <c r="A18" s="253" t="s">
        <v>141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ht="13.8" x14ac:dyDescent="0.3">
      <c r="A19" s="253" t="s">
        <v>141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ht="13.8" x14ac:dyDescent="0.3">
      <c r="A20" s="253" t="s">
        <v>141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ht="13.8" x14ac:dyDescent="0.3">
      <c r="A21" s="253" t="s">
        <v>141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ht="13.8" x14ac:dyDescent="0.3">
      <c r="A22" s="253" t="s">
        <v>141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ht="13.8" x14ac:dyDescent="0.3">
      <c r="A23" s="253" t="s">
        <v>141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ht="13.8" x14ac:dyDescent="0.3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ht="13.8" x14ac:dyDescent="0.3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ht="13.8" x14ac:dyDescent="0.3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ht="13.8" x14ac:dyDescent="0.3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ht="13.8" x14ac:dyDescent="0.3">
      <c r="A28" s="253" t="s">
        <v>131</v>
      </c>
      <c r="B28" s="253" t="s">
        <v>119</v>
      </c>
      <c r="C28" s="253" t="s">
        <v>186</v>
      </c>
      <c r="D28" s="253" t="str">
        <f>A28&amp;B28</f>
        <v>Option 2NPV</v>
      </c>
      <c r="E28" s="254"/>
      <c r="F28" s="31">
        <f>SUMPRODUCT($H28:$AG28, $H$5:$AG$5)</f>
        <v>42048994.714168198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-297841.64188051218</v>
      </c>
      <c r="K28" s="31">
        <f>(INDEX(Option2!K$106:K$117, MATCH($D28, Option2!$G$106:$G$117,0)))*conv_2026*K$7</f>
        <v>-366480.26972200442</v>
      </c>
      <c r="L28" s="31">
        <f>(INDEX(Option2!L$106:L$117, MATCH($D28, Option2!$G$106:$G$117,0)))*conv_2026*L$7</f>
        <v>-468472.44766498543</v>
      </c>
      <c r="M28" s="31">
        <f>(INDEX(Option2!M$106:M$117, MATCH($D28, Option2!$G$106:$G$117,0)))*conv_2026*M$7</f>
        <v>-527148.55792052194</v>
      </c>
      <c r="N28" s="31">
        <f>(INDEX(Option2!N$106:N$117, MATCH($D28, Option2!$G$106:$G$117,0)))*conv_2026*N$7</f>
        <v>-273070.82779611042</v>
      </c>
      <c r="O28" s="31">
        <f>(INDEX(Option2!O$106:O$117, MATCH($D28, Option2!$G$106:$G$117,0)))*conv_2026*O$7</f>
        <v>38747.62482027425</v>
      </c>
      <c r="P28" s="31">
        <f>(INDEX(Option2!P$106:P$117, MATCH($D28, Option2!$G$106:$G$117,0)))*conv_2026*P$7</f>
        <v>426592.57158167049</v>
      </c>
      <c r="Q28" s="31">
        <f>(INDEX(Option2!Q$106:Q$117, MATCH($D28, Option2!$G$106:$G$117,0)))*conv_2026*Q$7</f>
        <v>910076.20095721178</v>
      </c>
      <c r="R28" s="31">
        <f>(INDEX(Option2!R$106:R$117, MATCH($D28, Option2!$G$106:$G$117,0)))*conv_2026*R$7</f>
        <v>1514195.6739881765</v>
      </c>
      <c r="S28" s="31">
        <f>(INDEX(Option2!S$106:S$117, MATCH($D28, Option2!$G$106:$G$117,0)))*conv_2026*S$7</f>
        <v>2270792.2049680413</v>
      </c>
      <c r="T28" s="31">
        <f>(INDEX(Option2!T$106:T$117, MATCH($D28, Option2!$G$106:$G$117,0)))*conv_2026*T$7</f>
        <v>3222306.1454935237</v>
      </c>
      <c r="U28" s="31">
        <f>(INDEX(Option2!U$106:U$117, MATCH($D28, Option2!$G$106:$G$117,0)))*conv_2026*U$7</f>
        <v>4369794.0947699854</v>
      </c>
      <c r="V28" s="31">
        <f>(INDEX(Option2!V$106:V$117, MATCH($D28, Option2!$G$106:$G$117,0)))*conv_2026*V$7</f>
        <v>5657421.1897621704</v>
      </c>
      <c r="W28" s="31">
        <f>(INDEX(Option2!W$106:W$117, MATCH($D28, Option2!$G$106:$G$117,0)))*conv_2026*W$7</f>
        <v>7275792.7688902346</v>
      </c>
      <c r="X28" s="31">
        <f>(INDEX(Option2!X$106:X$117, MATCH($D28, Option2!$G$106:$G$117,0)))*conv_2026*X$7</f>
        <v>8880979.9509345572</v>
      </c>
      <c r="Y28" s="31">
        <f>(INDEX(Option2!Y$106:Y$117, MATCH($D28, Option2!$G$106:$G$117,0)))*conv_2026*Y$7</f>
        <v>9591492.5030976534</v>
      </c>
      <c r="Z28" s="31">
        <f>(INDEX(Option2!Z$106:Z$117, MATCH($D28, Option2!$G$106:$G$117,0)))*conv_2026*Z$7</f>
        <v>10051351.735468583</v>
      </c>
      <c r="AA28" s="31">
        <f>(INDEX(Option2!AA$106:AA$117, MATCH($D28, Option2!$G$106:$G$117,0)))*conv_2026*AA$7</f>
        <v>10355546.31952991</v>
      </c>
      <c r="AB28" s="31">
        <f>(INDEX(Option2!AB$106:AB$117, MATCH($D28, Option2!$G$106:$G$117,0)))*conv_2026*AB$7</f>
        <v>10616373.878880722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ht="13.8" x14ac:dyDescent="0.3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ht="13.8" x14ac:dyDescent="0.3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40010052.108180843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-343164.25171993225</v>
      </c>
      <c r="K30" s="31">
        <f>IF($B30=0,0, (INDEX(Option2!K$106:K$117, MATCH($D30, Option2!$G$106:$G$117,0)))*conv_2026*K$7)</f>
        <v>-449225.36453250708</v>
      </c>
      <c r="L30" s="31">
        <f>IF($B30=0,0, (INDEX(Option2!L$106:L$117, MATCH($D30, Option2!$G$106:$G$117,0)))*conv_2026*L$7)</f>
        <v>-588665.94116641022</v>
      </c>
      <c r="M30" s="31">
        <f>IF($B30=0,0, (INDEX(Option2!M$106:M$117, MATCH($D30, Option2!$G$106:$G$117,0)))*conv_2026*M$7)</f>
        <v>-684790.45011286903</v>
      </c>
      <c r="N30" s="31">
        <f>IF($B30=0,0, (INDEX(Option2!N$106:N$117, MATCH($D30, Option2!$G$106:$G$117,0)))*conv_2026*N$7)</f>
        <v>-443195.51955209818</v>
      </c>
      <c r="O30" s="31">
        <f>IF($B30=0,0, (INDEX(Option2!O$106:O$117, MATCH($D30, Option2!$G$106:$G$117,0)))*conv_2026*O$7)</f>
        <v>-131377.06693571355</v>
      </c>
      <c r="P30" s="31">
        <f>IF($B30=0,0, (INDEX(Option2!P$106:P$117, MATCH($D30, Option2!$G$106:$G$117,0)))*conv_2026*P$7)</f>
        <v>256467.8798256827</v>
      </c>
      <c r="Q30" s="31">
        <f>IF($B30=0,0, (INDEX(Option2!Q$106:Q$117, MATCH($D30, Option2!$G$106:$G$117,0)))*conv_2026*Q$7)</f>
        <v>739951.50920122396</v>
      </c>
      <c r="R30" s="31">
        <f>IF($B30=0,0, (INDEX(Option2!R$106:R$117, MATCH($D30, Option2!$G$106:$G$117,0)))*conv_2026*R$7)</f>
        <v>1344070.9822321886</v>
      </c>
      <c r="S30" s="31">
        <f>IF($B30=0,0, (INDEX(Option2!S$106:S$117, MATCH($D30, Option2!$G$106:$G$117,0)))*conv_2026*S$7)</f>
        <v>2100667.5132120536</v>
      </c>
      <c r="T30" s="31">
        <f>IF($B30=0,0, (INDEX(Option2!T$106:T$117, MATCH($D30, Option2!$G$106:$G$117,0)))*conv_2026*T$7)</f>
        <v>3052181.453737536</v>
      </c>
      <c r="U30" s="31">
        <f>IF($B30=0,0, (INDEX(Option2!U$106:U$117, MATCH($D30, Option2!$G$106:$G$117,0)))*conv_2026*U$7)</f>
        <v>4199669.4030139977</v>
      </c>
      <c r="V30" s="31">
        <f>IF($B30=0,0, (INDEX(Option2!V$106:V$117, MATCH($D30, Option2!$G$106:$G$117,0)))*conv_2026*V$7)</f>
        <v>5487296.4980061827</v>
      </c>
      <c r="W30" s="31">
        <f>IF($B30=0,0, (INDEX(Option2!W$106:W$117, MATCH($D30, Option2!$G$106:$G$117,0)))*conv_2026*W$7)</f>
        <v>7105668.0771342469</v>
      </c>
      <c r="X30" s="31">
        <f>IF($B30=0,0, (INDEX(Option2!X$106:X$117, MATCH($D30, Option2!$G$106:$G$117,0)))*conv_2026*X$7)</f>
        <v>8710855.2591785695</v>
      </c>
      <c r="Y30" s="31">
        <f>IF($B30=0,0, (INDEX(Option2!Y$106:Y$117, MATCH($D30, Option2!$G$106:$G$117,0)))*conv_2026*Y$7)</f>
        <v>9421367.8113416657</v>
      </c>
      <c r="Z30" s="31">
        <f>IF($B30=0,0, (INDEX(Option2!Z$106:Z$117, MATCH($D30, Option2!$G$106:$G$117,0)))*conv_2026*Z$7)</f>
        <v>9881227.0437125973</v>
      </c>
      <c r="AA30" s="31">
        <f>IF($B30=0,0, (INDEX(Option2!AA$106:AA$117, MATCH($D30, Option2!$G$106:$G$117,0)))*conv_2026*AA$7)</f>
        <v>10185421.627773922</v>
      </c>
      <c r="AB30" s="31">
        <f>IF($B30=0,0, (INDEX(Option2!AB$106:AB$117, MATCH($D30, Option2!$G$106:$G$117,0)))*conv_2026*AB$7)</f>
        <v>10446249.187124735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ht="13.8" x14ac:dyDescent="0.3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44087937.320155561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-252519.03204109211</v>
      </c>
      <c r="K31" s="31">
        <f>IF($B31=0,0, (INDEX(Option2!K$106:K$117, MATCH($D31, Option2!$G$106:$G$117,0)))*conv_2026*K$7)</f>
        <v>-283735.17491150176</v>
      </c>
      <c r="L31" s="31">
        <f>IF($B31=0,0, (INDEX(Option2!L$106:L$117, MATCH($D31, Option2!$G$106:$G$117,0)))*conv_2026*L$7)</f>
        <v>-348278.95416356059</v>
      </c>
      <c r="M31" s="31">
        <f>IF($B31=0,0, (INDEX(Option2!M$106:M$117, MATCH($D31, Option2!$G$106:$G$117,0)))*conv_2026*M$7)</f>
        <v>-369506.66572817485</v>
      </c>
      <c r="N31" s="31">
        <f>IF($B31=0,0, (INDEX(Option2!N$106:N$117, MATCH($D31, Option2!$G$106:$G$117,0)))*conv_2026*N$7)</f>
        <v>-102946.13604012261</v>
      </c>
      <c r="O31" s="31">
        <f>IF($B31=0,0, (INDEX(Option2!O$106:O$117, MATCH($D31, Option2!$G$106:$G$117,0)))*conv_2026*O$7)</f>
        <v>208872.31657626203</v>
      </c>
      <c r="P31" s="31">
        <f>IF($B31=0,0, (INDEX(Option2!P$106:P$117, MATCH($D31, Option2!$G$106:$G$117,0)))*conv_2026*P$7)</f>
        <v>596717.26333765825</v>
      </c>
      <c r="Q31" s="31">
        <f>IF($B31=0,0, (INDEX(Option2!Q$106:Q$117, MATCH($D31, Option2!$G$106:$G$117,0)))*conv_2026*Q$7)</f>
        <v>1080200.8927131996</v>
      </c>
      <c r="R31" s="31">
        <f>IF($B31=0,0, (INDEX(Option2!R$106:R$117, MATCH($D31, Option2!$G$106:$G$117,0)))*conv_2026*R$7)</f>
        <v>1684320.3657441644</v>
      </c>
      <c r="S31" s="31">
        <f>IF($B31=0,0, (INDEX(Option2!S$106:S$117, MATCH($D31, Option2!$G$106:$G$117,0)))*conv_2026*S$7)</f>
        <v>2440916.896724029</v>
      </c>
      <c r="T31" s="31">
        <f>IF($B31=0,0, (INDEX(Option2!T$106:T$117, MATCH($D31, Option2!$G$106:$G$117,0)))*conv_2026*T$7)</f>
        <v>3392430.8372495114</v>
      </c>
      <c r="U31" s="31">
        <f>IF($B31=0,0, (INDEX(Option2!U$106:U$117, MATCH($D31, Option2!$G$106:$G$117,0)))*conv_2026*U$7)</f>
        <v>4539918.7865259731</v>
      </c>
      <c r="V31" s="31">
        <f>IF($B31=0,0, (INDEX(Option2!V$106:V$117, MATCH($D31, Option2!$G$106:$G$117,0)))*conv_2026*V$7)</f>
        <v>5827545.8815181591</v>
      </c>
      <c r="W31" s="31">
        <f>IF($B31=0,0, (INDEX(Option2!W$106:W$117, MATCH($D31, Option2!$G$106:$G$117,0)))*conv_2026*W$7)</f>
        <v>7445917.4606462233</v>
      </c>
      <c r="X31" s="31">
        <f>IF($B31=0,0, (INDEX(Option2!X$106:X$117, MATCH($D31, Option2!$G$106:$G$117,0)))*conv_2026*X$7)</f>
        <v>9051104.6426905468</v>
      </c>
      <c r="Y31" s="31">
        <f>IF($B31=0,0, (INDEX(Option2!Y$106:Y$117, MATCH($D31, Option2!$G$106:$G$117,0)))*conv_2026*Y$7)</f>
        <v>9761617.1948536411</v>
      </c>
      <c r="Z31" s="31">
        <f>IF($B31=0,0, (INDEX(Option2!Z$106:Z$117, MATCH($D31, Option2!$G$106:$G$117,0)))*conv_2026*Z$7)</f>
        <v>10221476.427224571</v>
      </c>
      <c r="AA31" s="31">
        <f>IF($B31=0,0, (INDEX(Option2!AA$106:AA$117, MATCH($D31, Option2!$G$106:$G$117,0)))*conv_2026*AA$7)</f>
        <v>10525671.011285897</v>
      </c>
      <c r="AB31" s="31">
        <f>IF($B31=0,0, (INDEX(Option2!AB$106:AB$117, MATCH($D31, Option2!$G$106:$G$117,0)))*conv_2026*AB$7)</f>
        <v>10786498.570636708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ht="13.8" x14ac:dyDescent="0.3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48292836.791572385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-282303.19622914336</v>
      </c>
      <c r="K32" s="31">
        <f>IF($B32=0,0, (INDEX(Option2!K$106:K$117, MATCH($D32, Option2!$G$106:$G$117,0)))*conv_2026*K$7)</f>
        <v>-320383.20188370225</v>
      </c>
      <c r="L32" s="31">
        <f>IF($B32=0,0, (INDEX(Option2!L$106:L$117, MATCH($D32, Option2!$G$106:$G$117,0)))*conv_2026*L$7)</f>
        <v>-395126.19893005915</v>
      </c>
      <c r="M32" s="31">
        <f>IF($B32=0,0, (INDEX(Option2!M$106:M$117, MATCH($D32, Option2!$G$106:$G$117,0)))*conv_2026*M$7)</f>
        <v>-422221.52152022714</v>
      </c>
      <c r="N32" s="31">
        <f>IF($B32=0,0, (INDEX(Option2!N$106:N$117, MATCH($D32, Option2!$G$106:$G$117,0)))*conv_2026*N$7)</f>
        <v>-130253.21881973365</v>
      </c>
      <c r="O32" s="31">
        <f>IF($B32=0,0, (INDEX(Option2!O$106:O$117, MATCH($D32, Option2!$G$106:$G$117,0)))*conv_2026*O$7)</f>
        <v>212747.07905828947</v>
      </c>
      <c r="P32" s="31">
        <f>IF($B32=0,0, (INDEX(Option2!P$106:P$117, MATCH($D32, Option2!$G$106:$G$117,0)))*conv_2026*P$7)</f>
        <v>639376.52049582545</v>
      </c>
      <c r="Q32" s="31">
        <f>IF($B32=0,0, (INDEX(Option2!Q$106:Q$117, MATCH($D32, Option2!$G$106:$G$117,0)))*conv_2026*Q$7)</f>
        <v>1171208.5128089208</v>
      </c>
      <c r="R32" s="31">
        <f>IF($B32=0,0, (INDEX(Option2!R$106:R$117, MATCH($D32, Option2!$G$106:$G$117,0)))*conv_2026*R$7)</f>
        <v>1835739.933142982</v>
      </c>
      <c r="S32" s="31">
        <f>IF($B32=0,0, (INDEX(Option2!S$106:S$117, MATCH($D32, Option2!$G$106:$G$117,0)))*conv_2026*S$7)</f>
        <v>2667996.117220833</v>
      </c>
      <c r="T32" s="31">
        <f>IF($B32=0,0, (INDEX(Option2!T$106:T$117, MATCH($D32, Option2!$G$106:$G$117,0)))*conv_2026*T$7)</f>
        <v>3714661.4517988642</v>
      </c>
      <c r="U32" s="31">
        <f>IF($B32=0,0, (INDEX(Option2!U$106:U$117, MATCH($D32, Option2!$G$106:$G$117,0)))*conv_2026*U$7)</f>
        <v>4976898.1960029714</v>
      </c>
      <c r="V32" s="31">
        <f>IF($B32=0,0, (INDEX(Option2!V$106:V$117, MATCH($D32, Option2!$G$106:$G$117,0)))*conv_2026*V$7)</f>
        <v>6393288.0004943758</v>
      </c>
      <c r="W32" s="31">
        <f>IF($B32=0,0, (INDEX(Option2!W$106:W$117, MATCH($D32, Option2!$G$106:$G$117,0)))*conv_2026*W$7)</f>
        <v>8173496.7375352457</v>
      </c>
      <c r="X32" s="31">
        <f>IF($B32=0,0, (INDEX(Option2!X$106:X$117, MATCH($D32, Option2!$G$106:$G$117,0)))*conv_2026*X$7)</f>
        <v>9939202.6377840005</v>
      </c>
      <c r="Y32" s="31">
        <f>IF($B32=0,0, (INDEX(Option2!Y$106:Y$117, MATCH($D32, Option2!$G$106:$G$117,0)))*conv_2026*Y$7)</f>
        <v>10720766.445163408</v>
      </c>
      <c r="Z32" s="31">
        <f>IF($B32=0,0, (INDEX(Option2!Z$106:Z$117, MATCH($D32, Option2!$G$106:$G$117,0)))*conv_2026*Z$7)</f>
        <v>11226611.600771429</v>
      </c>
      <c r="AA32" s="31">
        <f>IF($B32=0,0, (INDEX(Option2!AA$106:AA$117, MATCH($D32, Option2!$G$106:$G$117,0)))*conv_2026*AA$7)</f>
        <v>11561225.643238887</v>
      </c>
      <c r="AB32" s="31">
        <f>IF($B32=0,0, (INDEX(Option2!AB$106:AB$117, MATCH($D32, Option2!$G$106:$G$117,0)))*conv_2026*AB$7)</f>
        <v>11848135.95852478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ht="13.8" x14ac:dyDescent="0.3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35805152.636764012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-313380.087531881</v>
      </c>
      <c r="K33" s="31">
        <f>IF($B33=0,0, (INDEX(Option2!K$106:K$117, MATCH($D33, Option2!$G$106:$G$117,0)))*conv_2026*K$7)</f>
        <v>-412577.33756030659</v>
      </c>
      <c r="L33" s="31">
        <f>IF($B33=0,0, (INDEX(Option2!L$106:L$117, MATCH($D33, Option2!$G$106:$G$117,0)))*conv_2026*L$7)</f>
        <v>-541818.69639991166</v>
      </c>
      <c r="M33" s="31">
        <f>IF($B33=0,0, (INDEX(Option2!M$106:M$117, MATCH($D33, Option2!$G$106:$G$117,0)))*conv_2026*M$7)</f>
        <v>-632075.5943208168</v>
      </c>
      <c r="N33" s="31">
        <f>IF($B33=0,0, (INDEX(Option2!N$106:N$117, MATCH($D33, Option2!$G$106:$G$117,0)))*conv_2026*N$7)</f>
        <v>-415888.43677248713</v>
      </c>
      <c r="O33" s="31">
        <f>IF($B33=0,0, (INDEX(Option2!O$106:O$117, MATCH($D33, Option2!$G$106:$G$117,0)))*conv_2026*O$7)</f>
        <v>-135251.82941774098</v>
      </c>
      <c r="P33" s="31">
        <f>IF($B33=0,0, (INDEX(Option2!P$106:P$117, MATCH($D33, Option2!$G$106:$G$117,0)))*conv_2026*P$7)</f>
        <v>213808.62266751565</v>
      </c>
      <c r="Q33" s="31">
        <f>IF($B33=0,0, (INDEX(Option2!Q$106:Q$117, MATCH($D33, Option2!$G$106:$G$117,0)))*conv_2026*Q$7)</f>
        <v>648943.88910550275</v>
      </c>
      <c r="R33" s="31">
        <f>IF($B33=0,0, (INDEX(Option2!R$106:R$117, MATCH($D33, Option2!$G$106:$G$117,0)))*conv_2026*R$7)</f>
        <v>1192651.4148333711</v>
      </c>
      <c r="S33" s="31">
        <f>IF($B33=0,0, (INDEX(Option2!S$106:S$117, MATCH($D33, Option2!$G$106:$G$117,0)))*conv_2026*S$7)</f>
        <v>1873588.2927152494</v>
      </c>
      <c r="T33" s="31">
        <f>IF($B33=0,0, (INDEX(Option2!T$106:T$117, MATCH($D33, Option2!$G$106:$G$117,0)))*conv_2026*T$7)</f>
        <v>2729950.8391881832</v>
      </c>
      <c r="U33" s="31">
        <f>IF($B33=0,0, (INDEX(Option2!U$106:U$117, MATCH($D33, Option2!$G$106:$G$117,0)))*conv_2026*U$7)</f>
        <v>3762689.993536999</v>
      </c>
      <c r="V33" s="31">
        <f>IF($B33=0,0, (INDEX(Option2!V$106:V$117, MATCH($D33, Option2!$G$106:$G$117,0)))*conv_2026*V$7)</f>
        <v>4921554.379029965</v>
      </c>
      <c r="W33" s="31">
        <f>IF($B33=0,0, (INDEX(Option2!W$106:W$117, MATCH($D33, Option2!$G$106:$G$117,0)))*conv_2026*W$7)</f>
        <v>6378088.8002452236</v>
      </c>
      <c r="X33" s="31">
        <f>IF($B33=0,0, (INDEX(Option2!X$106:X$117, MATCH($D33, Option2!$G$106:$G$117,0)))*conv_2026*X$7)</f>
        <v>7822757.2640851149</v>
      </c>
      <c r="Y33" s="31">
        <f>IF($B33=0,0, (INDEX(Option2!Y$106:Y$117, MATCH($D33, Option2!$G$106:$G$117,0)))*conv_2026*Y$7)</f>
        <v>8462218.5610319003</v>
      </c>
      <c r="Z33" s="31">
        <f>IF($B33=0,0, (INDEX(Option2!Z$106:Z$117, MATCH($D33, Option2!$G$106:$G$117,0)))*conv_2026*Z$7)</f>
        <v>8876091.8701657373</v>
      </c>
      <c r="AA33" s="31">
        <f>IF($B33=0,0, (INDEX(Option2!AA$106:AA$117, MATCH($D33, Option2!$G$106:$G$117,0)))*conv_2026*AA$7)</f>
        <v>9149866.9958209302</v>
      </c>
      <c r="AB33" s="31">
        <f>IF($B33=0,0, (INDEX(Option2!AB$106:AB$117, MATCH($D33, Option2!$G$106:$G$117,0)))*conv_2026*AB$7)</f>
        <v>9384611.7992366627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ht="13.8" x14ac:dyDescent="0.3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33766210.03077665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-358702.69737130101</v>
      </c>
      <c r="K34" s="31">
        <f>IF($B34=0,0, (INDEX(Option2!K$106:K$117, MATCH($D34, Option2!$G$106:$G$117,0)))*conv_2026*K$7)</f>
        <v>-495322.4323708092</v>
      </c>
      <c r="L34" s="31">
        <f>IF($B34=0,0, (INDEX(Option2!L$106:L$117, MATCH($D34, Option2!$G$106:$G$117,0)))*conv_2026*L$7)</f>
        <v>-662012.18990133656</v>
      </c>
      <c r="M34" s="31">
        <f>IF($B34=0,0, (INDEX(Option2!M$106:M$117, MATCH($D34, Option2!$G$106:$G$117,0)))*conv_2026*M$7)</f>
        <v>-789717.48651316389</v>
      </c>
      <c r="N34" s="31">
        <f>IF($B34=0,0, (INDEX(Option2!N$106:N$117, MATCH($D34, Option2!$G$106:$G$117,0)))*conv_2026*N$7)</f>
        <v>-586013.12852847495</v>
      </c>
      <c r="O34" s="31">
        <f>IF($B34=0,0, (INDEX(Option2!O$106:O$117, MATCH($D34, Option2!$G$106:$G$117,0)))*conv_2026*O$7)</f>
        <v>-305376.52117372875</v>
      </c>
      <c r="P34" s="31">
        <f>IF($B34=0,0, (INDEX(Option2!P$106:P$117, MATCH($D34, Option2!$G$106:$G$117,0)))*conv_2026*P$7)</f>
        <v>43683.930911527823</v>
      </c>
      <c r="Q34" s="31">
        <f>IF($B34=0,0, (INDEX(Option2!Q$106:Q$117, MATCH($D34, Option2!$G$106:$G$117,0)))*conv_2026*Q$7)</f>
        <v>478819.19734951505</v>
      </c>
      <c r="R34" s="31">
        <f>IF($B34=0,0, (INDEX(Option2!R$106:R$117, MATCH($D34, Option2!$G$106:$G$117,0)))*conv_2026*R$7)</f>
        <v>1022526.7230773832</v>
      </c>
      <c r="S34" s="31">
        <f>IF($B34=0,0, (INDEX(Option2!S$106:S$117, MATCH($D34, Option2!$G$106:$G$117,0)))*conv_2026*S$7)</f>
        <v>1703463.6009592616</v>
      </c>
      <c r="T34" s="31">
        <f>IF($B34=0,0, (INDEX(Option2!T$106:T$117, MATCH($D34, Option2!$G$106:$G$117,0)))*conv_2026*T$7)</f>
        <v>2559826.1474321955</v>
      </c>
      <c r="U34" s="31">
        <f>IF($B34=0,0, (INDEX(Option2!U$106:U$117, MATCH($D34, Option2!$G$106:$G$117,0)))*conv_2026*U$7)</f>
        <v>3592565.3017810108</v>
      </c>
      <c r="V34" s="31">
        <f>IF($B34=0,0, (INDEX(Option2!V$106:V$117, MATCH($D34, Option2!$G$106:$G$117,0)))*conv_2026*V$7)</f>
        <v>4751429.6872739783</v>
      </c>
      <c r="W34" s="31">
        <f>IF($B34=0,0, (INDEX(Option2!W$106:W$117, MATCH($D34, Option2!$G$106:$G$117,0)))*conv_2026*W$7)</f>
        <v>6207964.1084892359</v>
      </c>
      <c r="X34" s="31">
        <f>IF($B34=0,0, (INDEX(Option2!X$106:X$117, MATCH($D34, Option2!$G$106:$G$117,0)))*conv_2026*X$7)</f>
        <v>7652632.5723291263</v>
      </c>
      <c r="Y34" s="31">
        <f>IF($B34=0,0, (INDEX(Option2!Y$106:Y$117, MATCH($D34, Option2!$G$106:$G$117,0)))*conv_2026*Y$7)</f>
        <v>8292093.8692759117</v>
      </c>
      <c r="Z34" s="31">
        <f>IF($B34=0,0, (INDEX(Option2!Z$106:Z$117, MATCH($D34, Option2!$G$106:$G$117,0)))*conv_2026*Z$7)</f>
        <v>8705967.1784097496</v>
      </c>
      <c r="AA34" s="31">
        <f>IF($B34=0,0, (INDEX(Option2!AA$106:AA$117, MATCH($D34, Option2!$G$106:$G$117,0)))*conv_2026*AA$7)</f>
        <v>8979742.3040649425</v>
      </c>
      <c r="AB34" s="31">
        <f>IF($B34=0,0, (INDEX(Option2!AB$106:AB$117, MATCH($D34, Option2!$G$106:$G$117,0)))*conv_2026*AB$7)</f>
        <v>9214487.1074806731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ht="13.8" x14ac:dyDescent="0.3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42048994.714168198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-297841.64188051218</v>
      </c>
      <c r="K35" s="31">
        <f>IF($B35=0,0, (INDEX(Option2!K$106:K$117, MATCH($D35, Option2!$G$106:$G$117,0)))*conv_2026*K$7)</f>
        <v>-366480.26972200442</v>
      </c>
      <c r="L35" s="31">
        <f>IF($B35=0,0, (INDEX(Option2!L$106:L$117, MATCH($D35, Option2!$G$106:$G$117,0)))*conv_2026*L$7)</f>
        <v>-468472.44766498543</v>
      </c>
      <c r="M35" s="31">
        <f>IF($B35=0,0, (INDEX(Option2!M$106:M$117, MATCH($D35, Option2!$G$106:$G$117,0)))*conv_2026*M$7)</f>
        <v>-527148.55792052194</v>
      </c>
      <c r="N35" s="31">
        <f>IF($B35=0,0, (INDEX(Option2!N$106:N$117, MATCH($D35, Option2!$G$106:$G$117,0)))*conv_2026*N$7)</f>
        <v>-273070.82779611042</v>
      </c>
      <c r="O35" s="31">
        <f>IF($B35=0,0, (INDEX(Option2!O$106:O$117, MATCH($D35, Option2!$G$106:$G$117,0)))*conv_2026*O$7)</f>
        <v>38747.62482027425</v>
      </c>
      <c r="P35" s="31">
        <f>IF($B35=0,0, (INDEX(Option2!P$106:P$117, MATCH($D35, Option2!$G$106:$G$117,0)))*conv_2026*P$7)</f>
        <v>426592.57158167049</v>
      </c>
      <c r="Q35" s="31">
        <f>IF($B35=0,0, (INDEX(Option2!Q$106:Q$117, MATCH($D35, Option2!$G$106:$G$117,0)))*conv_2026*Q$7)</f>
        <v>910076.20095721178</v>
      </c>
      <c r="R35" s="31">
        <f>IF($B35=0,0, (INDEX(Option2!R$106:R$117, MATCH($D35, Option2!$G$106:$G$117,0)))*conv_2026*R$7)</f>
        <v>1514195.6739881765</v>
      </c>
      <c r="S35" s="31">
        <f>IF($B35=0,0, (INDEX(Option2!S$106:S$117, MATCH($D35, Option2!$G$106:$G$117,0)))*conv_2026*S$7)</f>
        <v>2270792.2049680413</v>
      </c>
      <c r="T35" s="31">
        <f>IF($B35=0,0, (INDEX(Option2!T$106:T$117, MATCH($D35, Option2!$G$106:$G$117,0)))*conv_2026*T$7)</f>
        <v>3222306.1454935237</v>
      </c>
      <c r="U35" s="31">
        <f>IF($B35=0,0, (INDEX(Option2!U$106:U$117, MATCH($D35, Option2!$G$106:$G$117,0)))*conv_2026*U$7)</f>
        <v>4369794.0947699854</v>
      </c>
      <c r="V35" s="31">
        <f>IF($B35=0,0, (INDEX(Option2!V$106:V$117, MATCH($D35, Option2!$G$106:$G$117,0)))*conv_2026*V$7)</f>
        <v>5657421.1897621704</v>
      </c>
      <c r="W35" s="31">
        <f>IF($B35=0,0, (INDEX(Option2!W$106:W$117, MATCH($D35, Option2!$G$106:$G$117,0)))*conv_2026*W$7)</f>
        <v>7275792.7688902346</v>
      </c>
      <c r="X35" s="31">
        <f>IF($B35=0,0, (INDEX(Option2!X$106:X$117, MATCH($D35, Option2!$G$106:$G$117,0)))*conv_2026*X$7)</f>
        <v>8880979.9509345572</v>
      </c>
      <c r="Y35" s="31">
        <f>IF($B35=0,0, (INDEX(Option2!Y$106:Y$117, MATCH($D35, Option2!$G$106:$G$117,0)))*conv_2026*Y$7)</f>
        <v>9591492.5030976534</v>
      </c>
      <c r="Z35" s="31">
        <f>IF($B35=0,0, (INDEX(Option2!Z$106:Z$117, MATCH($D35, Option2!$G$106:$G$117,0)))*conv_2026*Z$7)</f>
        <v>10051351.735468583</v>
      </c>
      <c r="AA35" s="31">
        <f>IF($B35=0,0, (INDEX(Option2!AA$106:AA$117, MATCH($D35, Option2!$G$106:$G$117,0)))*conv_2026*AA$7)</f>
        <v>10355546.31952991</v>
      </c>
      <c r="AB35" s="31">
        <f>IF($B35=0,0, (INDEX(Option2!AB$106:AB$117, MATCH($D35, Option2!$G$106:$G$117,0)))*conv_2026*AB$7)</f>
        <v>10616373.878880722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ht="13.8" x14ac:dyDescent="0.3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42048994.714168198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-297841.64188051218</v>
      </c>
      <c r="K36" s="31">
        <f>IF($B36=0,0, (INDEX(Option2!K$106:K$117, MATCH($D36, Option2!$G$106:$G$117,0)))*conv_2026*K$7)</f>
        <v>-366480.26972200442</v>
      </c>
      <c r="L36" s="31">
        <f>IF($B36=0,0, (INDEX(Option2!L$106:L$117, MATCH($D36, Option2!$G$106:$G$117,0)))*conv_2026*L$7)</f>
        <v>-468472.44766498543</v>
      </c>
      <c r="M36" s="31">
        <f>IF($B36=0,0, (INDEX(Option2!M$106:M$117, MATCH($D36, Option2!$G$106:$G$117,0)))*conv_2026*M$7)</f>
        <v>-527148.55792052194</v>
      </c>
      <c r="N36" s="31">
        <f>IF($B36=0,0, (INDEX(Option2!N$106:N$117, MATCH($D36, Option2!$G$106:$G$117,0)))*conv_2026*N$7)</f>
        <v>-273070.82779611042</v>
      </c>
      <c r="O36" s="31">
        <f>IF($B36=0,0, (INDEX(Option2!O$106:O$117, MATCH($D36, Option2!$G$106:$G$117,0)))*conv_2026*O$7)</f>
        <v>38747.62482027425</v>
      </c>
      <c r="P36" s="31">
        <f>IF($B36=0,0, (INDEX(Option2!P$106:P$117, MATCH($D36, Option2!$G$106:$G$117,0)))*conv_2026*P$7)</f>
        <v>426592.57158167049</v>
      </c>
      <c r="Q36" s="31">
        <f>IF($B36=0,0, (INDEX(Option2!Q$106:Q$117, MATCH($D36, Option2!$G$106:$G$117,0)))*conv_2026*Q$7)</f>
        <v>910076.20095721178</v>
      </c>
      <c r="R36" s="31">
        <f>IF($B36=0,0, (INDEX(Option2!R$106:R$117, MATCH($D36, Option2!$G$106:$G$117,0)))*conv_2026*R$7)</f>
        <v>1514195.6739881765</v>
      </c>
      <c r="S36" s="31">
        <f>IF($B36=0,0, (INDEX(Option2!S$106:S$117, MATCH($D36, Option2!$G$106:$G$117,0)))*conv_2026*S$7)</f>
        <v>2270792.2049680413</v>
      </c>
      <c r="T36" s="31">
        <f>IF($B36=0,0, (INDEX(Option2!T$106:T$117, MATCH($D36, Option2!$G$106:$G$117,0)))*conv_2026*T$7)</f>
        <v>3222306.1454935237</v>
      </c>
      <c r="U36" s="31">
        <f>IF($B36=0,0, (INDEX(Option2!U$106:U$117, MATCH($D36, Option2!$G$106:$G$117,0)))*conv_2026*U$7)</f>
        <v>4369794.0947699854</v>
      </c>
      <c r="V36" s="31">
        <f>IF($B36=0,0, (INDEX(Option2!V$106:V$117, MATCH($D36, Option2!$G$106:$G$117,0)))*conv_2026*V$7)</f>
        <v>5657421.1897621704</v>
      </c>
      <c r="W36" s="31">
        <f>IF($B36=0,0, (INDEX(Option2!W$106:W$117, MATCH($D36, Option2!$G$106:$G$117,0)))*conv_2026*W$7)</f>
        <v>7275792.7688902346</v>
      </c>
      <c r="X36" s="31">
        <f>IF($B36=0,0, (INDEX(Option2!X$106:X$117, MATCH($D36, Option2!$G$106:$G$117,0)))*conv_2026*X$7)</f>
        <v>8880979.9509345572</v>
      </c>
      <c r="Y36" s="31">
        <f>IF($B36=0,0, (INDEX(Option2!Y$106:Y$117, MATCH($D36, Option2!$G$106:$G$117,0)))*conv_2026*Y$7)</f>
        <v>9591492.5030976534</v>
      </c>
      <c r="Z36" s="31">
        <f>IF($B36=0,0, (INDEX(Option2!Z$106:Z$117, MATCH($D36, Option2!$G$106:$G$117,0)))*conv_2026*Z$7)</f>
        <v>10051351.735468583</v>
      </c>
      <c r="AA36" s="31">
        <f>IF($B36=0,0, (INDEX(Option2!AA$106:AA$117, MATCH($D36, Option2!$G$106:$G$117,0)))*conv_2026*AA$7)</f>
        <v>10355546.31952991</v>
      </c>
      <c r="AB36" s="31">
        <f>IF($B36=0,0, (INDEX(Option2!AB$106:AB$117, MATCH($D36, Option2!$G$106:$G$117,0)))*conv_2026*AB$7)</f>
        <v>10616373.878880722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ht="13.8" x14ac:dyDescent="0.3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42048994.714168198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-297841.64188051218</v>
      </c>
      <c r="K37" s="31">
        <f>IF($B37=0,0, (INDEX(Option2!K$106:K$117, MATCH($D37, Option2!$G$106:$G$117,0)))*conv_2026*K$7)</f>
        <v>-366480.26972200442</v>
      </c>
      <c r="L37" s="31">
        <f>IF($B37=0,0, (INDEX(Option2!L$106:L$117, MATCH($D37, Option2!$G$106:$G$117,0)))*conv_2026*L$7)</f>
        <v>-468472.44766498543</v>
      </c>
      <c r="M37" s="31">
        <f>IF($B37=0,0, (INDEX(Option2!M$106:M$117, MATCH($D37, Option2!$G$106:$G$117,0)))*conv_2026*M$7)</f>
        <v>-527148.55792052194</v>
      </c>
      <c r="N37" s="31">
        <f>IF($B37=0,0, (INDEX(Option2!N$106:N$117, MATCH($D37, Option2!$G$106:$G$117,0)))*conv_2026*N$7)</f>
        <v>-273070.82779611042</v>
      </c>
      <c r="O37" s="31">
        <f>IF($B37=0,0, (INDEX(Option2!O$106:O$117, MATCH($D37, Option2!$G$106:$G$117,0)))*conv_2026*O$7)</f>
        <v>38747.62482027425</v>
      </c>
      <c r="P37" s="31">
        <f>IF($B37=0,0, (INDEX(Option2!P$106:P$117, MATCH($D37, Option2!$G$106:$G$117,0)))*conv_2026*P$7)</f>
        <v>426592.57158167049</v>
      </c>
      <c r="Q37" s="31">
        <f>IF($B37=0,0, (INDEX(Option2!Q$106:Q$117, MATCH($D37, Option2!$G$106:$G$117,0)))*conv_2026*Q$7)</f>
        <v>910076.20095721178</v>
      </c>
      <c r="R37" s="31">
        <f>IF($B37=0,0, (INDEX(Option2!R$106:R$117, MATCH($D37, Option2!$G$106:$G$117,0)))*conv_2026*R$7)</f>
        <v>1514195.6739881765</v>
      </c>
      <c r="S37" s="31">
        <f>IF($B37=0,0, (INDEX(Option2!S$106:S$117, MATCH($D37, Option2!$G$106:$G$117,0)))*conv_2026*S$7)</f>
        <v>2270792.2049680413</v>
      </c>
      <c r="T37" s="31">
        <f>IF($B37=0,0, (INDEX(Option2!T$106:T$117, MATCH($D37, Option2!$G$106:$G$117,0)))*conv_2026*T$7)</f>
        <v>3222306.1454935237</v>
      </c>
      <c r="U37" s="31">
        <f>IF($B37=0,0, (INDEX(Option2!U$106:U$117, MATCH($D37, Option2!$G$106:$G$117,0)))*conv_2026*U$7)</f>
        <v>4369794.0947699854</v>
      </c>
      <c r="V37" s="31">
        <f>IF($B37=0,0, (INDEX(Option2!V$106:V$117, MATCH($D37, Option2!$G$106:$G$117,0)))*conv_2026*V$7)</f>
        <v>5657421.1897621704</v>
      </c>
      <c r="W37" s="31">
        <f>IF($B37=0,0, (INDEX(Option2!W$106:W$117, MATCH($D37, Option2!$G$106:$G$117,0)))*conv_2026*W$7)</f>
        <v>7275792.7688902346</v>
      </c>
      <c r="X37" s="31">
        <f>IF($B37=0,0, (INDEX(Option2!X$106:X$117, MATCH($D37, Option2!$G$106:$G$117,0)))*conv_2026*X$7)</f>
        <v>8880979.9509345572</v>
      </c>
      <c r="Y37" s="31">
        <f>IF($B37=0,0, (INDEX(Option2!Y$106:Y$117, MATCH($D37, Option2!$G$106:$G$117,0)))*conv_2026*Y$7)</f>
        <v>9591492.5030976534</v>
      </c>
      <c r="Z37" s="31">
        <f>IF($B37=0,0, (INDEX(Option2!Z$106:Z$117, MATCH($D37, Option2!$G$106:$G$117,0)))*conv_2026*Z$7)</f>
        <v>10051351.735468583</v>
      </c>
      <c r="AA37" s="31">
        <f>IF($B37=0,0, (INDEX(Option2!AA$106:AA$117, MATCH($D37, Option2!$G$106:$G$117,0)))*conv_2026*AA$7)</f>
        <v>10355546.31952991</v>
      </c>
      <c r="AB37" s="31">
        <f>IF($B37=0,0, (INDEX(Option2!AB$106:AB$117, MATCH($D37, Option2!$G$106:$G$117,0)))*conv_2026*AB$7)</f>
        <v>10616373.878880722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ht="13.8" x14ac:dyDescent="0.3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ht="13.8" x14ac:dyDescent="0.3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ht="13.8" x14ac:dyDescent="0.3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47595.049477923378</v>
      </c>
      <c r="J40" s="31">
        <f>Consol!J50</f>
        <v>-72538.974320575478</v>
      </c>
      <c r="K40" s="31">
        <f>Consol!K50</f>
        <v>-133109.07988214749</v>
      </c>
      <c r="L40" s="31">
        <f>Consol!L50</f>
        <v>-374629.8521544002</v>
      </c>
      <c r="M40" s="31">
        <f>Consol!M50</f>
        <v>-420330.60853477567</v>
      </c>
      <c r="N40" s="31">
        <f>Consol!N50</f>
        <v>-72899.234182399698</v>
      </c>
      <c r="O40" s="31">
        <f>Consol!O50</f>
        <v>259607.53825190617</v>
      </c>
      <c r="P40" s="31">
        <f>Consol!P50</f>
        <v>670681.34868655959</v>
      </c>
      <c r="Q40" s="31">
        <f>Consol!Q50</f>
        <v>1164088.9763160516</v>
      </c>
      <c r="R40" s="31">
        <f>Consol!R50</f>
        <v>1778291.9152014698</v>
      </c>
      <c r="S40" s="31">
        <f>Consol!S50</f>
        <v>2545607.1884549451</v>
      </c>
      <c r="T40" s="31">
        <f>Consol!T50</f>
        <v>3508515.6725957538</v>
      </c>
      <c r="U40" s="31">
        <f>Consol!U50</f>
        <v>4668116.515953891</v>
      </c>
      <c r="V40" s="31">
        <f>Consol!V50</f>
        <v>5968619.5021753032</v>
      </c>
      <c r="W40" s="31">
        <f>Consol!W50</f>
        <v>7600676.788935665</v>
      </c>
      <c r="X40" s="31">
        <f>Consol!X50</f>
        <v>9220408.563541621</v>
      </c>
      <c r="Y40" s="31">
        <f>Consol!Y50</f>
        <v>9946375.9893831685</v>
      </c>
      <c r="Z40" s="31">
        <f>Consol!Z50</f>
        <v>10422654.180497879</v>
      </c>
      <c r="AA40" s="31">
        <f>Consol!AA50</f>
        <v>10744288.101902274</v>
      </c>
      <c r="AB40" s="31">
        <f>Consol!AB50</f>
        <v>11023634.243879072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ht="13.8" x14ac:dyDescent="0.3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ht="13.8" x14ac:dyDescent="0.3">
      <c r="A42" s="253" t="s">
        <v>132</v>
      </c>
      <c r="B42" s="253" t="s">
        <v>119</v>
      </c>
      <c r="C42" s="253" t="s">
        <v>186</v>
      </c>
      <c r="D42" s="253" t="str">
        <f>A42&amp;B42</f>
        <v>Option 3NPV</v>
      </c>
      <c r="E42" s="254"/>
      <c r="F42" s="31">
        <f t="shared" ref="F42:F51" si="4">SUMPRODUCT($H42:$AG42, $H$5:$AG$5)</f>
        <v>45598264.242248133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47595.049477923378</v>
      </c>
      <c r="J42" s="31">
        <f>(INDEX(Option3!J$106:J$117, MATCH($D42, Option3!$G$106:$G$117,0)))*conv_2026*J$7</f>
        <v>-72538.974320575493</v>
      </c>
      <c r="K42" s="31">
        <f>(INDEX(Option3!K$106:K$117, MATCH($D42, Option3!$G$106:$G$117,0)))*conv_2026*K$7</f>
        <v>-133109.07988214737</v>
      </c>
      <c r="L42" s="31">
        <f>(INDEX(Option3!L$106:L$117, MATCH($D42, Option3!$G$106:$G$117,0)))*conv_2026*L$7</f>
        <v>-374629.85215440032</v>
      </c>
      <c r="M42" s="31">
        <f>(INDEX(Option3!M$106:M$117, MATCH($D42, Option3!$G$106:$G$117,0)))*conv_2026*M$7</f>
        <v>-420330.60853477573</v>
      </c>
      <c r="N42" s="31">
        <f>(INDEX(Option3!N$106:N$117, MATCH($D42, Option3!$G$106:$G$117,0)))*conv_2026*N$7</f>
        <v>-72899.234182399625</v>
      </c>
      <c r="O42" s="31">
        <f>(INDEX(Option3!O$106:O$117, MATCH($D42, Option3!$G$106:$G$117,0)))*conv_2026*O$7</f>
        <v>259607.53825190617</v>
      </c>
      <c r="P42" s="31">
        <f>(INDEX(Option3!P$106:P$117, MATCH($D42, Option3!$G$106:$G$117,0)))*conv_2026*P$7</f>
        <v>670681.34868655948</v>
      </c>
      <c r="Q42" s="31">
        <f>(INDEX(Option3!Q$106:Q$117, MATCH($D42, Option3!$G$106:$G$117,0)))*conv_2026*Q$7</f>
        <v>1164088.9763160518</v>
      </c>
      <c r="R42" s="31">
        <f>(INDEX(Option3!R$106:R$117, MATCH($D42, Option3!$G$106:$G$117,0)))*conv_2026*R$7</f>
        <v>1778291.9152014696</v>
      </c>
      <c r="S42" s="31">
        <f>(INDEX(Option3!S$106:S$117, MATCH($D42, Option3!$G$106:$G$117,0)))*conv_2026*S$7</f>
        <v>2545607.1884549456</v>
      </c>
      <c r="T42" s="31">
        <f>(INDEX(Option3!T$106:T$117, MATCH($D42, Option3!$G$106:$G$117,0)))*conv_2026*T$7</f>
        <v>3508515.6725957533</v>
      </c>
      <c r="U42" s="31">
        <f>(INDEX(Option3!U$106:U$117, MATCH($D42, Option3!$G$106:$G$117,0)))*conv_2026*U$7</f>
        <v>4668116.51595389</v>
      </c>
      <c r="V42" s="31">
        <f>(INDEX(Option3!V$106:V$117, MATCH($D42, Option3!$G$106:$G$117,0)))*conv_2026*V$7</f>
        <v>5968619.5021753041</v>
      </c>
      <c r="W42" s="31">
        <f>(INDEX(Option3!W$106:W$117, MATCH($D42, Option3!$G$106:$G$117,0)))*conv_2026*W$7</f>
        <v>7600676.788935666</v>
      </c>
      <c r="X42" s="31">
        <f>(INDEX(Option3!X$106:X$117, MATCH($D42, Option3!$G$106:$G$117,0)))*conv_2026*X$7</f>
        <v>9220408.563541621</v>
      </c>
      <c r="Y42" s="31">
        <f>(INDEX(Option3!Y$106:Y$117, MATCH($D42, Option3!$G$106:$G$117,0)))*conv_2026*Y$7</f>
        <v>9946375.9893831685</v>
      </c>
      <c r="Z42" s="31">
        <f>(INDEX(Option3!Z$106:Z$117, MATCH($D42, Option3!$G$106:$G$117,0)))*conv_2026*Z$7</f>
        <v>10422654.180497879</v>
      </c>
      <c r="AA42" s="31">
        <f>(INDEX(Option3!AA$106:AA$117, MATCH($D42, Option3!$G$106:$G$117,0)))*conv_2026*AA$7</f>
        <v>10744288.101902274</v>
      </c>
      <c r="AB42" s="31">
        <f>(INDEX(Option3!AB$106:AB$117, MATCH($D42, Option3!$G$106:$G$117,0)))*conv_2026*AB$7</f>
        <v>11023634.243879071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ht="13.8" x14ac:dyDescent="0.3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ht="13.8" x14ac:dyDescent="0.3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42286306.709834382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47595.049477923378</v>
      </c>
      <c r="J44" s="31">
        <f>(INDEX(Option3!J$106:J$117, MATCH($D44, Option3!$G$106:$G$117,0)))*conv_2026*J$7</f>
        <v>-142353.29401523308</v>
      </c>
      <c r="K44" s="31">
        <f>(INDEX(Option3!K$106:K$117, MATCH($D44, Option3!$G$106:$G$117,0)))*conv_2026*K$7</f>
        <v>-263185.08852386847</v>
      </c>
      <c r="L44" s="31">
        <f>(INDEX(Option3!L$106:L$117, MATCH($D44, Option3!$G$106:$G$117,0)))*conv_2026*L$7</f>
        <v>-563989.04553532344</v>
      </c>
      <c r="M44" s="31">
        <f>(INDEX(Option3!M$106:M$117, MATCH($D44, Option3!$G$106:$G$117,0)))*conv_2026*M$7</f>
        <v>-668972.98665490083</v>
      </c>
      <c r="N44" s="31">
        <f>(INDEX(Option3!N$106:N$117, MATCH($D44, Option3!$G$106:$G$117,0)))*conv_2026*N$7</f>
        <v>-351183.20467212563</v>
      </c>
      <c r="O44" s="31">
        <f>(INDEX(Option3!O$106:O$117, MATCH($D44, Option3!$G$106:$G$117,0)))*conv_2026*O$7</f>
        <v>-18676.432237819819</v>
      </c>
      <c r="P44" s="31">
        <f>(INDEX(Option3!P$106:P$117, MATCH($D44, Option3!$G$106:$G$117,0)))*conv_2026*P$7</f>
        <v>392397.37819683348</v>
      </c>
      <c r="Q44" s="31">
        <f>(INDEX(Option3!Q$106:Q$117, MATCH($D44, Option3!$G$106:$G$117,0)))*conv_2026*Q$7</f>
        <v>885805.00582632574</v>
      </c>
      <c r="R44" s="31">
        <f>(INDEX(Option3!R$106:R$117, MATCH($D44, Option3!$G$106:$G$117,0)))*conv_2026*R$7</f>
        <v>1500007.9447117436</v>
      </c>
      <c r="S44" s="31">
        <f>(INDEX(Option3!S$106:S$117, MATCH($D44, Option3!$G$106:$G$117,0)))*conv_2026*S$7</f>
        <v>2267323.2179652192</v>
      </c>
      <c r="T44" s="31">
        <f>(INDEX(Option3!T$106:T$117, MATCH($D44, Option3!$G$106:$G$117,0)))*conv_2026*T$7</f>
        <v>3230231.7021060274</v>
      </c>
      <c r="U44" s="31">
        <f>(INDEX(Option3!U$106:U$117, MATCH($D44, Option3!$G$106:$G$117,0)))*conv_2026*U$7</f>
        <v>4389832.5454641646</v>
      </c>
      <c r="V44" s="31">
        <f>(INDEX(Option3!V$106:V$117, MATCH($D44, Option3!$G$106:$G$117,0)))*conv_2026*V$7</f>
        <v>5690335.5316855786</v>
      </c>
      <c r="W44" s="31">
        <f>(INDEX(Option3!W$106:W$117, MATCH($D44, Option3!$G$106:$G$117,0)))*conv_2026*W$7</f>
        <v>7322392.8184459396</v>
      </c>
      <c r="X44" s="31">
        <f>(INDEX(Option3!X$106:X$117, MATCH($D44, Option3!$G$106:$G$117,0)))*conv_2026*X$7</f>
        <v>8942124.5930518955</v>
      </c>
      <c r="Y44" s="31">
        <f>(INDEX(Option3!Y$106:Y$117, MATCH($D44, Option3!$G$106:$G$117,0)))*conv_2026*Y$7</f>
        <v>9668092.018893443</v>
      </c>
      <c r="Z44" s="31">
        <f>(INDEX(Option3!Z$106:Z$117, MATCH($D44, Option3!$G$106:$G$117,0)))*conv_2026*Z$7</f>
        <v>10144370.210008154</v>
      </c>
      <c r="AA44" s="31">
        <f>(INDEX(Option3!AA$106:AA$117, MATCH($D44, Option3!$G$106:$G$117,0)))*conv_2026*AA$7</f>
        <v>10466004.131412549</v>
      </c>
      <c r="AB44" s="31">
        <f>(INDEX(Option3!AB$106:AB$117, MATCH($D44, Option3!$G$106:$G$117,0)))*conv_2026*AB$7</f>
        <v>10745350.273389345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ht="13.8" x14ac:dyDescent="0.3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48910221.774661884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47595.049477923378</v>
      </c>
      <c r="J45" s="31">
        <f>(INDEX(Option3!J$106:J$117, MATCH($D45, Option3!$G$106:$G$117,0)))*conv_2026*J$7</f>
        <v>-2724.6546259179004</v>
      </c>
      <c r="K45" s="31">
        <f>(INDEX(Option3!K$106:K$117, MATCH($D45, Option3!$G$106:$G$117,0)))*conv_2026*K$7</f>
        <v>-3033.0712404262399</v>
      </c>
      <c r="L45" s="31">
        <f>(INDEX(Option3!L$106:L$117, MATCH($D45, Option3!$G$106:$G$117,0)))*conv_2026*L$7</f>
        <v>-185270.65877347719</v>
      </c>
      <c r="M45" s="31">
        <f>(INDEX(Option3!M$106:M$117, MATCH($D45, Option3!$G$106:$G$117,0)))*conv_2026*M$7</f>
        <v>-171688.23041465066</v>
      </c>
      <c r="N45" s="31">
        <f>(INDEX(Option3!N$106:N$117, MATCH($D45, Option3!$G$106:$G$117,0)))*conv_2026*N$7</f>
        <v>205384.73630732636</v>
      </c>
      <c r="O45" s="31">
        <f>(INDEX(Option3!O$106:O$117, MATCH($D45, Option3!$G$106:$G$117,0)))*conv_2026*O$7</f>
        <v>537891.5087416321</v>
      </c>
      <c r="P45" s="31">
        <f>(INDEX(Option3!P$106:P$117, MATCH($D45, Option3!$G$106:$G$117,0)))*conv_2026*P$7</f>
        <v>948965.31917628541</v>
      </c>
      <c r="Q45" s="31">
        <f>(INDEX(Option3!Q$106:Q$117, MATCH($D45, Option3!$G$106:$G$117,0)))*conv_2026*Q$7</f>
        <v>1442372.9468057777</v>
      </c>
      <c r="R45" s="31">
        <f>(INDEX(Option3!R$106:R$117, MATCH($D45, Option3!$G$106:$G$117,0)))*conv_2026*R$7</f>
        <v>2056575.8856911955</v>
      </c>
      <c r="S45" s="31">
        <f>(INDEX(Option3!S$106:S$117, MATCH($D45, Option3!$G$106:$G$117,0)))*conv_2026*S$7</f>
        <v>2823891.1589446715</v>
      </c>
      <c r="T45" s="31">
        <f>(INDEX(Option3!T$106:T$117, MATCH($D45, Option3!$G$106:$G$117,0)))*conv_2026*T$7</f>
        <v>3786799.6430854793</v>
      </c>
      <c r="U45" s="31">
        <f>(INDEX(Option3!U$106:U$117, MATCH($D45, Option3!$G$106:$G$117,0)))*conv_2026*U$7</f>
        <v>4946400.4864436164</v>
      </c>
      <c r="V45" s="31">
        <f>(INDEX(Option3!V$106:V$117, MATCH($D45, Option3!$G$106:$G$117,0)))*conv_2026*V$7</f>
        <v>6246903.4726650296</v>
      </c>
      <c r="W45" s="31">
        <f>(INDEX(Option3!W$106:W$117, MATCH($D45, Option3!$G$106:$G$117,0)))*conv_2026*W$7</f>
        <v>7878960.7594253924</v>
      </c>
      <c r="X45" s="31">
        <f>(INDEX(Option3!X$106:X$117, MATCH($D45, Option3!$G$106:$G$117,0)))*conv_2026*X$7</f>
        <v>9498692.5340313483</v>
      </c>
      <c r="Y45" s="31">
        <f>(INDEX(Option3!Y$106:Y$117, MATCH($D45, Option3!$G$106:$G$117,0)))*conv_2026*Y$7</f>
        <v>10224659.959872894</v>
      </c>
      <c r="Z45" s="31">
        <f>(INDEX(Option3!Z$106:Z$117, MATCH($D45, Option3!$G$106:$G$117,0)))*conv_2026*Z$7</f>
        <v>10700938.150987605</v>
      </c>
      <c r="AA45" s="31">
        <f>(INDEX(Option3!AA$106:AA$117, MATCH($D45, Option3!$G$106:$G$117,0)))*conv_2026*AA$7</f>
        <v>11022572.072392</v>
      </c>
      <c r="AB45" s="31">
        <f>(INDEX(Option3!AB$106:AB$117, MATCH($D45, Option3!$G$106:$G$117,0)))*conv_2026*AB$7</f>
        <v>11301918.214368796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ht="13.8" x14ac:dyDescent="0.3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53470048.198886693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52354.554425715716</v>
      </c>
      <c r="J46" s="31">
        <f>(INDEX(Option3!J$106:J$117, MATCH($D46, Option3!$G$106:$G$117,0)))*conv_2026*J$7</f>
        <v>-9978.5520579754502</v>
      </c>
      <c r="K46" s="31">
        <f>(INDEX(Option3!K$106:K$117, MATCH($D46, Option3!$G$106:$G$117,0)))*conv_2026*K$7</f>
        <v>-16343.979228640977</v>
      </c>
      <c r="L46" s="31">
        <f>(INDEX(Option3!L$106:L$117, MATCH($D46, Option3!$G$106:$G$117,0)))*conv_2026*L$7</f>
        <v>-222733.64398891726</v>
      </c>
      <c r="M46" s="31">
        <f>(INDEX(Option3!M$106:M$117, MATCH($D46, Option3!$G$106:$G$117,0)))*conv_2026*M$7</f>
        <v>-213721.29126812826</v>
      </c>
      <c r="N46" s="31">
        <f>(INDEX(Option3!N$106:N$117, MATCH($D46, Option3!$G$106:$G$117,0)))*conv_2026*N$7</f>
        <v>198094.81288908643</v>
      </c>
      <c r="O46" s="31">
        <f>(INDEX(Option3!O$106:O$117, MATCH($D46, Option3!$G$106:$G$117,0)))*conv_2026*O$7</f>
        <v>563852.26256682281</v>
      </c>
      <c r="P46" s="31">
        <f>(INDEX(Option3!P$106:P$117, MATCH($D46, Option3!$G$106:$G$117,0)))*conv_2026*P$7</f>
        <v>1016033.4540449413</v>
      </c>
      <c r="Q46" s="31">
        <f>(INDEX(Option3!Q$106:Q$117, MATCH($D46, Option3!$G$106:$G$117,0)))*conv_2026*Q$7</f>
        <v>1558781.8444373829</v>
      </c>
      <c r="R46" s="31">
        <f>(INDEX(Option3!R$106:R$117, MATCH($D46, Option3!$G$106:$G$117,0)))*conv_2026*R$7</f>
        <v>2234405.0772113428</v>
      </c>
      <c r="S46" s="31">
        <f>(INDEX(Option3!S$106:S$117, MATCH($D46, Option3!$G$106:$G$117,0)))*conv_2026*S$7</f>
        <v>3078451.8777901656</v>
      </c>
      <c r="T46" s="31">
        <f>(INDEX(Option3!T$106:T$117, MATCH($D46, Option3!$G$106:$G$117,0)))*conv_2026*T$7</f>
        <v>4137651.2103450545</v>
      </c>
      <c r="U46" s="31">
        <f>(INDEX(Option3!U$106:U$117, MATCH($D46, Option3!$G$106:$G$117,0)))*conv_2026*U$7</f>
        <v>5413212.138039005</v>
      </c>
      <c r="V46" s="31">
        <f>(INDEX(Option3!V$106:V$117, MATCH($D46, Option3!$G$106:$G$117,0)))*conv_2026*V$7</f>
        <v>6843765.4228825606</v>
      </c>
      <c r="W46" s="31">
        <f>(INDEX(Option3!W$106:W$117, MATCH($D46, Option3!$G$106:$G$117,0)))*conv_2026*W$7</f>
        <v>8639028.4383189585</v>
      </c>
      <c r="X46" s="31">
        <f>(INDEX(Option3!X$106:X$117, MATCH($D46, Option3!$G$106:$G$117,0)))*conv_2026*X$7</f>
        <v>10420733.39038551</v>
      </c>
      <c r="Y46" s="31">
        <f>(INDEX(Option3!Y$106:Y$117, MATCH($D46, Option3!$G$106:$G$117,0)))*conv_2026*Y$7</f>
        <v>11219297.558811212</v>
      </c>
      <c r="Z46" s="31">
        <f>(INDEX(Option3!Z$106:Z$117, MATCH($D46, Option3!$G$106:$G$117,0)))*conv_2026*Z$7</f>
        <v>11743203.569037393</v>
      </c>
      <c r="AA46" s="31">
        <f>(INDEX(Option3!AA$106:AA$117, MATCH($D46, Option3!$G$106:$G$117,0)))*conv_2026*AA$7</f>
        <v>12097000.882582229</v>
      </c>
      <c r="AB46" s="31">
        <f>(INDEX(Option3!AB$106:AB$117, MATCH($D46, Option3!$G$106:$G$117,0)))*conv_2026*AB$7</f>
        <v>12404281.638756704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ht="13.8" x14ac:dyDescent="0.3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37726480.285609566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42835.544530131039</v>
      </c>
      <c r="J47" s="31">
        <f>(INDEX(Option3!J$106:J$117, MATCH($D47, Option3!$G$106:$G$117,0)))*conv_2026*J$7</f>
        <v>-135099.39658317555</v>
      </c>
      <c r="K47" s="31">
        <f>(INDEX(Option3!K$106:K$117, MATCH($D47, Option3!$G$106:$G$117,0)))*conv_2026*K$7</f>
        <v>-249874.18053565375</v>
      </c>
      <c r="L47" s="31">
        <f>(INDEX(Option3!L$106:L$117, MATCH($D47, Option3!$G$106:$G$117,0)))*conv_2026*L$7</f>
        <v>-526526.0603198834</v>
      </c>
      <c r="M47" s="31">
        <f>(INDEX(Option3!M$106:M$117, MATCH($D47, Option3!$G$106:$G$117,0)))*conv_2026*M$7</f>
        <v>-626939.92580142326</v>
      </c>
      <c r="N47" s="31">
        <f>(INDEX(Option3!N$106:N$117, MATCH($D47, Option3!$G$106:$G$117,0)))*conv_2026*N$7</f>
        <v>-343893.28125388571</v>
      </c>
      <c r="O47" s="31">
        <f>(INDEX(Option3!O$106:O$117, MATCH($D47, Option3!$G$106:$G$117,0)))*conv_2026*O$7</f>
        <v>-44637.186063010449</v>
      </c>
      <c r="P47" s="31">
        <f>(INDEX(Option3!P$106:P$117, MATCH($D47, Option3!$G$106:$G$117,0)))*conv_2026*P$7</f>
        <v>325329.24332817749</v>
      </c>
      <c r="Q47" s="31">
        <f>(INDEX(Option3!Q$106:Q$117, MATCH($D47, Option3!$G$106:$G$117,0)))*conv_2026*Q$7</f>
        <v>769396.10819472047</v>
      </c>
      <c r="R47" s="31">
        <f>(INDEX(Option3!R$106:R$117, MATCH($D47, Option3!$G$106:$G$117,0)))*conv_2026*R$7</f>
        <v>1322178.7531915966</v>
      </c>
      <c r="S47" s="31">
        <f>(INDEX(Option3!S$106:S$117, MATCH($D47, Option3!$G$106:$G$117,0)))*conv_2026*S$7</f>
        <v>2012762.4991197248</v>
      </c>
      <c r="T47" s="31">
        <f>(INDEX(Option3!T$106:T$117, MATCH($D47, Option3!$G$106:$G$117,0)))*conv_2026*T$7</f>
        <v>2879380.1348464517</v>
      </c>
      <c r="U47" s="31">
        <f>(INDEX(Option3!U$106:U$117, MATCH($D47, Option3!$G$106:$G$117,0)))*conv_2026*U$7</f>
        <v>3923020.8938687751</v>
      </c>
      <c r="V47" s="31">
        <f>(INDEX(Option3!V$106:V$117, MATCH($D47, Option3!$G$106:$G$117,0)))*conv_2026*V$7</f>
        <v>5093473.5814680485</v>
      </c>
      <c r="W47" s="31">
        <f>(INDEX(Option3!W$106:W$117, MATCH($D47, Option3!$G$106:$G$117,0)))*conv_2026*W$7</f>
        <v>6562325.1395523734</v>
      </c>
      <c r="X47" s="31">
        <f>(INDEX(Option3!X$106:X$117, MATCH($D47, Option3!$G$106:$G$117,0)))*conv_2026*X$7</f>
        <v>8020083.7366977325</v>
      </c>
      <c r="Y47" s="31">
        <f>(INDEX(Option3!Y$106:Y$117, MATCH($D47, Option3!$G$106:$G$117,0)))*conv_2026*Y$7</f>
        <v>8673454.4199551269</v>
      </c>
      <c r="Z47" s="31">
        <f>(INDEX(Option3!Z$106:Z$117, MATCH($D47, Option3!$G$106:$G$117,0)))*conv_2026*Z$7</f>
        <v>9102104.7919583637</v>
      </c>
      <c r="AA47" s="31">
        <f>(INDEX(Option3!AA$106:AA$117, MATCH($D47, Option3!$G$106:$G$117,0)))*conv_2026*AA$7</f>
        <v>9391575.3212223202</v>
      </c>
      <c r="AB47" s="31">
        <f>(INDEX(Option3!AB$106:AB$117, MATCH($D47, Option3!$G$106:$G$117,0)))*conv_2026*AB$7</f>
        <v>9642986.8490014374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ht="13.8" x14ac:dyDescent="0.3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34414522.753195822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42835.544530131039</v>
      </c>
      <c r="J48" s="31">
        <f>(INDEX(Option3!J$106:J$117, MATCH($D48, Option3!$G$106:$G$117,0)))*conv_2026*J$7</f>
        <v>-204913.71627783313</v>
      </c>
      <c r="K48" s="31">
        <f>(INDEX(Option3!K$106:K$117, MATCH($D48, Option3!$G$106:$G$117,0)))*conv_2026*K$7</f>
        <v>-379950.18917737488</v>
      </c>
      <c r="L48" s="31">
        <f>(INDEX(Option3!L$106:L$117, MATCH($D48, Option3!$G$106:$G$117,0)))*conv_2026*L$7</f>
        <v>-715885.25370080653</v>
      </c>
      <c r="M48" s="31">
        <f>(INDEX(Option3!M$106:M$117, MATCH($D48, Option3!$G$106:$G$117,0)))*conv_2026*M$7</f>
        <v>-875582.3039215483</v>
      </c>
      <c r="N48" s="31">
        <f>(INDEX(Option3!N$106:N$117, MATCH($D48, Option3!$G$106:$G$117,0)))*conv_2026*N$7</f>
        <v>-622177.25174361165</v>
      </c>
      <c r="O48" s="31">
        <f>(INDEX(Option3!O$106:O$117, MATCH($D48, Option3!$G$106:$G$117,0)))*conv_2026*O$7</f>
        <v>-322921.15655273641</v>
      </c>
      <c r="P48" s="31">
        <f>(INDEX(Option3!P$106:P$117, MATCH($D48, Option3!$G$106:$G$117,0)))*conv_2026*P$7</f>
        <v>47045.272838451587</v>
      </c>
      <c r="Q48" s="31">
        <f>(INDEX(Option3!Q$106:Q$117, MATCH($D48, Option3!$G$106:$G$117,0)))*conv_2026*Q$7</f>
        <v>491112.13770499453</v>
      </c>
      <c r="R48" s="31">
        <f>(INDEX(Option3!R$106:R$117, MATCH($D48, Option3!$G$106:$G$117,0)))*conv_2026*R$7</f>
        <v>1043894.7827018705</v>
      </c>
      <c r="S48" s="31">
        <f>(INDEX(Option3!S$106:S$117, MATCH($D48, Option3!$G$106:$G$117,0)))*conv_2026*S$7</f>
        <v>1734478.5286299989</v>
      </c>
      <c r="T48" s="31">
        <f>(INDEX(Option3!T$106:T$117, MATCH($D48, Option3!$G$106:$G$117,0)))*conv_2026*T$7</f>
        <v>2601096.1643567258</v>
      </c>
      <c r="U48" s="31">
        <f>(INDEX(Option3!U$106:U$117, MATCH($D48, Option3!$G$106:$G$117,0)))*conv_2026*U$7</f>
        <v>3644736.9233790492</v>
      </c>
      <c r="V48" s="31">
        <f>(INDEX(Option3!V$106:V$117, MATCH($D48, Option3!$G$106:$G$117,0)))*conv_2026*V$7</f>
        <v>4815189.6109783221</v>
      </c>
      <c r="W48" s="31">
        <f>(INDEX(Option3!W$106:W$117, MATCH($D48, Option3!$G$106:$G$117,0)))*conv_2026*W$7</f>
        <v>6284041.169062647</v>
      </c>
      <c r="X48" s="31">
        <f>(INDEX(Option3!X$106:X$117, MATCH($D48, Option3!$G$106:$G$117,0)))*conv_2026*X$7</f>
        <v>7741799.766208007</v>
      </c>
      <c r="Y48" s="31">
        <f>(INDEX(Option3!Y$106:Y$117, MATCH($D48, Option3!$G$106:$G$117,0)))*conv_2026*Y$7</f>
        <v>8395170.4494653996</v>
      </c>
      <c r="Z48" s="31">
        <f>(INDEX(Option3!Z$106:Z$117, MATCH($D48, Option3!$G$106:$G$117,0)))*conv_2026*Z$7</f>
        <v>8823820.8214686383</v>
      </c>
      <c r="AA48" s="31">
        <f>(INDEX(Option3!AA$106:AA$117, MATCH($D48, Option3!$G$106:$G$117,0)))*conv_2026*AA$7</f>
        <v>9113291.3507325947</v>
      </c>
      <c r="AB48" s="31">
        <f>(INDEX(Option3!AB$106:AB$117, MATCH($D48, Option3!$G$106:$G$117,0)))*conv_2026*AB$7</f>
        <v>9364702.878511712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ht="13.8" x14ac:dyDescent="0.3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45598264.242248133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47595.049477923378</v>
      </c>
      <c r="J49" s="31">
        <f>(INDEX(Option3!J$106:J$117, MATCH($D49, Option3!$G$106:$G$117,0)))*conv_2026*J$7</f>
        <v>-72538.974320575493</v>
      </c>
      <c r="K49" s="31">
        <f>(INDEX(Option3!K$106:K$117, MATCH($D49, Option3!$G$106:$G$117,0)))*conv_2026*K$7</f>
        <v>-133109.07988214737</v>
      </c>
      <c r="L49" s="31">
        <f>(INDEX(Option3!L$106:L$117, MATCH($D49, Option3!$G$106:$G$117,0)))*conv_2026*L$7</f>
        <v>-374629.85215440032</v>
      </c>
      <c r="M49" s="31">
        <f>(INDEX(Option3!M$106:M$117, MATCH($D49, Option3!$G$106:$G$117,0)))*conv_2026*M$7</f>
        <v>-420330.60853477573</v>
      </c>
      <c r="N49" s="31">
        <f>(INDEX(Option3!N$106:N$117, MATCH($D49, Option3!$G$106:$G$117,0)))*conv_2026*N$7</f>
        <v>-72899.234182399625</v>
      </c>
      <c r="O49" s="31">
        <f>(INDEX(Option3!O$106:O$117, MATCH($D49, Option3!$G$106:$G$117,0)))*conv_2026*O$7</f>
        <v>259607.53825190617</v>
      </c>
      <c r="P49" s="31">
        <f>(INDEX(Option3!P$106:P$117, MATCH($D49, Option3!$G$106:$G$117,0)))*conv_2026*P$7</f>
        <v>670681.34868655948</v>
      </c>
      <c r="Q49" s="31">
        <f>(INDEX(Option3!Q$106:Q$117, MATCH($D49, Option3!$G$106:$G$117,0)))*conv_2026*Q$7</f>
        <v>1164088.9763160518</v>
      </c>
      <c r="R49" s="31">
        <f>(INDEX(Option3!R$106:R$117, MATCH($D49, Option3!$G$106:$G$117,0)))*conv_2026*R$7</f>
        <v>1778291.9152014696</v>
      </c>
      <c r="S49" s="31">
        <f>(INDEX(Option3!S$106:S$117, MATCH($D49, Option3!$G$106:$G$117,0)))*conv_2026*S$7</f>
        <v>2545607.1884549456</v>
      </c>
      <c r="T49" s="31">
        <f>(INDEX(Option3!T$106:T$117, MATCH($D49, Option3!$G$106:$G$117,0)))*conv_2026*T$7</f>
        <v>3508515.6725957533</v>
      </c>
      <c r="U49" s="31">
        <f>(INDEX(Option3!U$106:U$117, MATCH($D49, Option3!$G$106:$G$117,0)))*conv_2026*U$7</f>
        <v>4668116.51595389</v>
      </c>
      <c r="V49" s="31">
        <f>(INDEX(Option3!V$106:V$117, MATCH($D49, Option3!$G$106:$G$117,0)))*conv_2026*V$7</f>
        <v>5968619.5021753041</v>
      </c>
      <c r="W49" s="31">
        <f>(INDEX(Option3!W$106:W$117, MATCH($D49, Option3!$G$106:$G$117,0)))*conv_2026*W$7</f>
        <v>7600676.788935666</v>
      </c>
      <c r="X49" s="31">
        <f>(INDEX(Option3!X$106:X$117, MATCH($D49, Option3!$G$106:$G$117,0)))*conv_2026*X$7</f>
        <v>9220408.563541621</v>
      </c>
      <c r="Y49" s="31">
        <f>(INDEX(Option3!Y$106:Y$117, MATCH($D49, Option3!$G$106:$G$117,0)))*conv_2026*Y$7</f>
        <v>9946375.9893831685</v>
      </c>
      <c r="Z49" s="31">
        <f>(INDEX(Option3!Z$106:Z$117, MATCH($D49, Option3!$G$106:$G$117,0)))*conv_2026*Z$7</f>
        <v>10422654.180497879</v>
      </c>
      <c r="AA49" s="31">
        <f>(INDEX(Option3!AA$106:AA$117, MATCH($D49, Option3!$G$106:$G$117,0)))*conv_2026*AA$7</f>
        <v>10744288.101902274</v>
      </c>
      <c r="AB49" s="31">
        <f>(INDEX(Option3!AB$106:AB$117, MATCH($D49, Option3!$G$106:$G$117,0)))*conv_2026*AB$7</f>
        <v>11023634.243879071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ht="13.8" x14ac:dyDescent="0.3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45598264.242248133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47595.049477923378</v>
      </c>
      <c r="J50" s="31">
        <f>(INDEX(Option3!J$106:J$117, MATCH($D50, Option3!$G$106:$G$117,0)))*conv_2026*J$7</f>
        <v>-72538.974320575493</v>
      </c>
      <c r="K50" s="31">
        <f>(INDEX(Option3!K$106:K$117, MATCH($D50, Option3!$G$106:$G$117,0)))*conv_2026*K$7</f>
        <v>-133109.07988214737</v>
      </c>
      <c r="L50" s="31">
        <f>(INDEX(Option3!L$106:L$117, MATCH($D50, Option3!$G$106:$G$117,0)))*conv_2026*L$7</f>
        <v>-374629.85215440032</v>
      </c>
      <c r="M50" s="31">
        <f>(INDEX(Option3!M$106:M$117, MATCH($D50, Option3!$G$106:$G$117,0)))*conv_2026*M$7</f>
        <v>-420330.60853477573</v>
      </c>
      <c r="N50" s="31">
        <f>(INDEX(Option3!N$106:N$117, MATCH($D50, Option3!$G$106:$G$117,0)))*conv_2026*N$7</f>
        <v>-72899.234182399625</v>
      </c>
      <c r="O50" s="31">
        <f>(INDEX(Option3!O$106:O$117, MATCH($D50, Option3!$G$106:$G$117,0)))*conv_2026*O$7</f>
        <v>259607.53825190617</v>
      </c>
      <c r="P50" s="31">
        <f>(INDEX(Option3!P$106:P$117, MATCH($D50, Option3!$G$106:$G$117,0)))*conv_2026*P$7</f>
        <v>670681.34868655948</v>
      </c>
      <c r="Q50" s="31">
        <f>(INDEX(Option3!Q$106:Q$117, MATCH($D50, Option3!$G$106:$G$117,0)))*conv_2026*Q$7</f>
        <v>1164088.9763160518</v>
      </c>
      <c r="R50" s="31">
        <f>(INDEX(Option3!R$106:R$117, MATCH($D50, Option3!$G$106:$G$117,0)))*conv_2026*R$7</f>
        <v>1778291.9152014696</v>
      </c>
      <c r="S50" s="31">
        <f>(INDEX(Option3!S$106:S$117, MATCH($D50, Option3!$G$106:$G$117,0)))*conv_2026*S$7</f>
        <v>2545607.1884549456</v>
      </c>
      <c r="T50" s="31">
        <f>(INDEX(Option3!T$106:T$117, MATCH($D50, Option3!$G$106:$G$117,0)))*conv_2026*T$7</f>
        <v>3508515.6725957533</v>
      </c>
      <c r="U50" s="31">
        <f>(INDEX(Option3!U$106:U$117, MATCH($D50, Option3!$G$106:$G$117,0)))*conv_2026*U$7</f>
        <v>4668116.51595389</v>
      </c>
      <c r="V50" s="31">
        <f>(INDEX(Option3!V$106:V$117, MATCH($D50, Option3!$G$106:$G$117,0)))*conv_2026*V$7</f>
        <v>5968619.5021753041</v>
      </c>
      <c r="W50" s="31">
        <f>(INDEX(Option3!W$106:W$117, MATCH($D50, Option3!$G$106:$G$117,0)))*conv_2026*W$7</f>
        <v>7600676.788935666</v>
      </c>
      <c r="X50" s="31">
        <f>(INDEX(Option3!X$106:X$117, MATCH($D50, Option3!$G$106:$G$117,0)))*conv_2026*X$7</f>
        <v>9220408.563541621</v>
      </c>
      <c r="Y50" s="31">
        <f>(INDEX(Option3!Y$106:Y$117, MATCH($D50, Option3!$G$106:$G$117,0)))*conv_2026*Y$7</f>
        <v>9946375.9893831685</v>
      </c>
      <c r="Z50" s="31">
        <f>(INDEX(Option3!Z$106:Z$117, MATCH($D50, Option3!$G$106:$G$117,0)))*conv_2026*Z$7</f>
        <v>10422654.180497879</v>
      </c>
      <c r="AA50" s="31">
        <f>(INDEX(Option3!AA$106:AA$117, MATCH($D50, Option3!$G$106:$G$117,0)))*conv_2026*AA$7</f>
        <v>10744288.101902274</v>
      </c>
      <c r="AB50" s="31">
        <f>(INDEX(Option3!AB$106:AB$117, MATCH($D50, Option3!$G$106:$G$117,0)))*conv_2026*AB$7</f>
        <v>11023634.243879071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ht="13.8" x14ac:dyDescent="0.3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45598264.242248133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47595.049477923378</v>
      </c>
      <c r="J51" s="31">
        <f>(INDEX(Option3!J$106:J$117, MATCH($D51, Option3!$G$106:$G$117,0)))*conv_2026*J$7</f>
        <v>-72538.974320575493</v>
      </c>
      <c r="K51" s="31">
        <f>(INDEX(Option3!K$106:K$117, MATCH($D51, Option3!$G$106:$G$117,0)))*conv_2026*K$7</f>
        <v>-133109.07988214737</v>
      </c>
      <c r="L51" s="31">
        <f>(INDEX(Option3!L$106:L$117, MATCH($D51, Option3!$G$106:$G$117,0)))*conv_2026*L$7</f>
        <v>-374629.85215440032</v>
      </c>
      <c r="M51" s="31">
        <f>(INDEX(Option3!M$106:M$117, MATCH($D51, Option3!$G$106:$G$117,0)))*conv_2026*M$7</f>
        <v>-420330.60853477573</v>
      </c>
      <c r="N51" s="31">
        <f>(INDEX(Option3!N$106:N$117, MATCH($D51, Option3!$G$106:$G$117,0)))*conv_2026*N$7</f>
        <v>-72899.234182399625</v>
      </c>
      <c r="O51" s="31">
        <f>(INDEX(Option3!O$106:O$117, MATCH($D51, Option3!$G$106:$G$117,0)))*conv_2026*O$7</f>
        <v>259607.53825190617</v>
      </c>
      <c r="P51" s="31">
        <f>(INDEX(Option3!P$106:P$117, MATCH($D51, Option3!$G$106:$G$117,0)))*conv_2026*P$7</f>
        <v>670681.34868655948</v>
      </c>
      <c r="Q51" s="31">
        <f>(INDEX(Option3!Q$106:Q$117, MATCH($D51, Option3!$G$106:$G$117,0)))*conv_2026*Q$7</f>
        <v>1164088.9763160518</v>
      </c>
      <c r="R51" s="31">
        <f>(INDEX(Option3!R$106:R$117, MATCH($D51, Option3!$G$106:$G$117,0)))*conv_2026*R$7</f>
        <v>1778291.9152014696</v>
      </c>
      <c r="S51" s="31">
        <f>(INDEX(Option3!S$106:S$117, MATCH($D51, Option3!$G$106:$G$117,0)))*conv_2026*S$7</f>
        <v>2545607.1884549456</v>
      </c>
      <c r="T51" s="31">
        <f>(INDEX(Option3!T$106:T$117, MATCH($D51, Option3!$G$106:$G$117,0)))*conv_2026*T$7</f>
        <v>3508515.6725957533</v>
      </c>
      <c r="U51" s="31">
        <f>(INDEX(Option3!U$106:U$117, MATCH($D51, Option3!$G$106:$G$117,0)))*conv_2026*U$7</f>
        <v>4668116.51595389</v>
      </c>
      <c r="V51" s="31">
        <f>(INDEX(Option3!V$106:V$117, MATCH($D51, Option3!$G$106:$G$117,0)))*conv_2026*V$7</f>
        <v>5968619.5021753041</v>
      </c>
      <c r="W51" s="31">
        <f>(INDEX(Option3!W$106:W$117, MATCH($D51, Option3!$G$106:$G$117,0)))*conv_2026*W$7</f>
        <v>7600676.788935666</v>
      </c>
      <c r="X51" s="31">
        <f>(INDEX(Option3!X$106:X$117, MATCH($D51, Option3!$G$106:$G$117,0)))*conv_2026*X$7</f>
        <v>9220408.563541621</v>
      </c>
      <c r="Y51" s="31">
        <f>(INDEX(Option3!Y$106:Y$117, MATCH($D51, Option3!$G$106:$G$117,0)))*conv_2026*Y$7</f>
        <v>9946375.9893831685</v>
      </c>
      <c r="Z51" s="31">
        <f>(INDEX(Option3!Z$106:Z$117, MATCH($D51, Option3!$G$106:$G$117,0)))*conv_2026*Z$7</f>
        <v>10422654.180497879</v>
      </c>
      <c r="AA51" s="31">
        <f>(INDEX(Option3!AA$106:AA$117, MATCH($D51, Option3!$G$106:$G$117,0)))*conv_2026*AA$7</f>
        <v>10744288.101902274</v>
      </c>
      <c r="AB51" s="31">
        <f>(INDEX(Option3!AB$106:AB$117, MATCH($D51, Option3!$G$106:$G$117,0)))*conv_2026*AB$7</f>
        <v>11023634.243879071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ht="13.8" x14ac:dyDescent="0.3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ht="13.8" x14ac:dyDescent="0.3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ht="13.8" x14ac:dyDescent="0.3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ht="13.8" x14ac:dyDescent="0.3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ht="13.8" x14ac:dyDescent="0.3">
      <c r="A56" s="253" t="s">
        <v>133</v>
      </c>
      <c r="B56" s="253" t="s">
        <v>119</v>
      </c>
      <c r="C56" s="253" t="s">
        <v>186</v>
      </c>
      <c r="D56" s="253" t="str">
        <f>A56&amp;B56</f>
        <v>Option 4NPV</v>
      </c>
      <c r="E56" s="254"/>
      <c r="F56" s="31">
        <f t="shared" ref="F56:F65" si="6">SUMPRODUCT($H56:$AG56, $H$5:$AG$5)</f>
        <v>-28767083.837853987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47595.049477923378</v>
      </c>
      <c r="J56" s="31">
        <f>(INDEX(Option4!J$106:J$117, MATCH($D56, Option4!$G$106:$G$117,0)))*conv_2026*J$7</f>
        <v>-461503.64011153503</v>
      </c>
      <c r="K56" s="31">
        <f>(INDEX(Option4!K$106:K$117, MATCH($D56, Option4!$G$106:$G$117,0)))*conv_2026*K$7</f>
        <v>-1008223.0204529727</v>
      </c>
      <c r="L56" s="31">
        <f>(INDEX(Option4!L$106:L$117, MATCH($D56, Option4!$G$106:$G$117,0)))*conv_2026*L$7</f>
        <v>-1575383.16937954</v>
      </c>
      <c r="M56" s="31">
        <f>(INDEX(Option4!M$106:M$117, MATCH($D56, Option4!$G$106:$G$117,0)))*conv_2026*M$7</f>
        <v>-2167743.3735275571</v>
      </c>
      <c r="N56" s="31">
        <f>(INDEX(Option4!N$106:N$117, MATCH($D56, Option4!$G$106:$G$117,0)))*conv_2026*N$7</f>
        <v>-2463136.0807851409</v>
      </c>
      <c r="O56" s="31">
        <f>(INDEX(Option4!O$106:O$117, MATCH($D56, Option4!$G$106:$G$117,0)))*conv_2026*O$7</f>
        <v>-2459637.543165063</v>
      </c>
      <c r="P56" s="31">
        <f>(INDEX(Option4!P$106:P$117, MATCH($D56, Option4!$G$106:$G$117,0)))*conv_2026*P$7</f>
        <v>-2455848.3625496547</v>
      </c>
      <c r="Q56" s="31">
        <f>(INDEX(Option4!Q$106:Q$117, MATCH($D56, Option4!$G$106:$G$117,0)))*conv_2026*Q$7</f>
        <v>-2454893.5842896323</v>
      </c>
      <c r="R56" s="31">
        <f>(INDEX(Option4!R$106:R$117, MATCH($D56, Option4!$G$106:$G$117,0)))*conv_2026*R$7</f>
        <v>-2454014.2739225337</v>
      </c>
      <c r="S56" s="31">
        <f>(INDEX(Option4!S$106:S$117, MATCH($D56, Option4!$G$106:$G$117,0)))*conv_2026*S$7</f>
        <v>-2453134.9635554347</v>
      </c>
      <c r="T56" s="31">
        <f>(INDEX(Option4!T$106:T$117, MATCH($D56, Option4!$G$106:$G$117,0)))*conv_2026*T$7</f>
        <v>-2452255.6531883362</v>
      </c>
      <c r="U56" s="31">
        <f>(INDEX(Option4!U$106:U$117, MATCH($D56, Option4!$G$106:$G$117,0)))*conv_2026*U$7</f>
        <v>-2451376.3428212376</v>
      </c>
      <c r="V56" s="31">
        <f>(INDEX(Option4!V$106:V$117, MATCH($D56, Option4!$G$106:$G$117,0)))*conv_2026*V$7</f>
        <v>-2450497.0324541391</v>
      </c>
      <c r="W56" s="31">
        <f>(INDEX(Option4!W$106:W$117, MATCH($D56, Option4!$G$106:$G$117,0)))*conv_2026*W$7</f>
        <v>-2449617.7220870387</v>
      </c>
      <c r="X56" s="31">
        <f>(INDEX(Option4!X$106:X$117, MATCH($D56, Option4!$G$106:$G$117,0)))*conv_2026*X$7</f>
        <v>-2448738.4117199411</v>
      </c>
      <c r="Y56" s="31">
        <f>(INDEX(Option4!Y$106:Y$117, MATCH($D56, Option4!$G$106:$G$117,0)))*conv_2026*Y$7</f>
        <v>-2447859.1013528439</v>
      </c>
      <c r="Z56" s="31">
        <f>(INDEX(Option4!Z$106:Z$117, MATCH($D56, Option4!$G$106:$G$117,0)))*conv_2026*Z$7</f>
        <v>-2446979.790985744</v>
      </c>
      <c r="AA56" s="31">
        <f>(INDEX(Option4!AA$106:AA$117, MATCH($D56, Option4!$G$106:$G$117,0)))*conv_2026*AA$7</f>
        <v>-2446100.4806186468</v>
      </c>
      <c r="AB56" s="31">
        <f>(INDEX(Option4!AB$106:AB$117, MATCH($D56, Option4!$G$106:$G$117,0)))*conv_2026*AB$7</f>
        <v>-2445221.1702515474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ht="13.8" x14ac:dyDescent="0.3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ht="13.8" x14ac:dyDescent="0.3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-31988486.146780629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47595.049477923378</v>
      </c>
      <c r="J58" s="31">
        <f>(INDEX(Option4!J$106:J$117, MATCH($D58, Option4!$G$106:$G$117,0)))*conv_2026*J$7</f>
        <v>-524598.2367123171</v>
      </c>
      <c r="K58" s="31">
        <f>(INDEX(Option4!K$106:K$117, MATCH($D58, Option4!$G$106:$G$117,0)))*conv_2026*K$7</f>
        <v>-1131579.3060008183</v>
      </c>
      <c r="L58" s="31">
        <f>(INDEX(Option4!L$106:L$117, MATCH($D58, Option4!$G$106:$G$117,0)))*conv_2026*L$7</f>
        <v>-1758022.6396665876</v>
      </c>
      <c r="M58" s="31">
        <f>(INDEX(Option4!M$106:M$117, MATCH($D58, Option4!$G$106:$G$117,0)))*conv_2026*M$7</f>
        <v>-2409666.0285538067</v>
      </c>
      <c r="N58" s="31">
        <f>(INDEX(Option4!N$106:N$117, MATCH($D58, Option4!$G$106:$G$117,0)))*conv_2026*N$7</f>
        <v>-2734700.3281809916</v>
      </c>
      <c r="O58" s="31">
        <f>(INDEX(Option4!O$106:O$117, MATCH($D58, Option4!$G$106:$G$117,0)))*conv_2026*O$7</f>
        <v>-2731201.7905609137</v>
      </c>
      <c r="P58" s="31">
        <f>(INDEX(Option4!P$106:P$117, MATCH($D58, Option4!$G$106:$G$117,0)))*conv_2026*P$7</f>
        <v>-2727412.6099455049</v>
      </c>
      <c r="Q58" s="31">
        <f>(INDEX(Option4!Q$106:Q$117, MATCH($D58, Option4!$G$106:$G$117,0)))*conv_2026*Q$7</f>
        <v>-2726457.831685483</v>
      </c>
      <c r="R58" s="31">
        <f>(INDEX(Option4!R$106:R$117, MATCH($D58, Option4!$G$106:$G$117,0)))*conv_2026*R$7</f>
        <v>-2725578.5213183844</v>
      </c>
      <c r="S58" s="31">
        <f>(INDEX(Option4!S$106:S$117, MATCH($D58, Option4!$G$106:$G$117,0)))*conv_2026*S$7</f>
        <v>-2724699.2109512854</v>
      </c>
      <c r="T58" s="31">
        <f>(INDEX(Option4!T$106:T$117, MATCH($D58, Option4!$G$106:$G$117,0)))*conv_2026*T$7</f>
        <v>-2723819.9005841869</v>
      </c>
      <c r="U58" s="31">
        <f>(INDEX(Option4!U$106:U$117, MATCH($D58, Option4!$G$106:$G$117,0)))*conv_2026*U$7</f>
        <v>-2722940.5902170883</v>
      </c>
      <c r="V58" s="31">
        <f>(INDEX(Option4!V$106:V$117, MATCH($D58, Option4!$G$106:$G$117,0)))*conv_2026*V$7</f>
        <v>-2722061.2798499898</v>
      </c>
      <c r="W58" s="31">
        <f>(INDEX(Option4!W$106:W$117, MATCH($D58, Option4!$G$106:$G$117,0)))*conv_2026*W$7</f>
        <v>-2721181.9694828894</v>
      </c>
      <c r="X58" s="31">
        <f>(INDEX(Option4!X$106:X$117, MATCH($D58, Option4!$G$106:$G$117,0)))*conv_2026*X$7</f>
        <v>-2720302.6591157918</v>
      </c>
      <c r="Y58" s="31">
        <f>(INDEX(Option4!Y$106:Y$117, MATCH($D58, Option4!$G$106:$G$117,0)))*conv_2026*Y$7</f>
        <v>-2719423.3487486942</v>
      </c>
      <c r="Z58" s="31">
        <f>(INDEX(Option4!Z$106:Z$117, MATCH($D58, Option4!$G$106:$G$117,0)))*conv_2026*Z$7</f>
        <v>-2718544.0383815947</v>
      </c>
      <c r="AA58" s="31">
        <f>(INDEX(Option4!AA$106:AA$117, MATCH($D58, Option4!$G$106:$G$117,0)))*conv_2026*AA$7</f>
        <v>-2717664.7280144971</v>
      </c>
      <c r="AB58" s="31">
        <f>(INDEX(Option4!AB$106:AB$117, MATCH($D58, Option4!$G$106:$G$117,0)))*conv_2026*AB$7</f>
        <v>-2716785.4176473976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ht="13.8" x14ac:dyDescent="0.3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-25545681.528927356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47595.049477923378</v>
      </c>
      <c r="J59" s="31">
        <f>(INDEX(Option4!J$106:J$117, MATCH($D59, Option4!$G$106:$G$117,0)))*conv_2026*J$7</f>
        <v>-398409.04351075302</v>
      </c>
      <c r="K59" s="31">
        <f>(INDEX(Option4!K$106:K$117, MATCH($D59, Option4!$G$106:$G$117,0)))*conv_2026*K$7</f>
        <v>-884866.7349051272</v>
      </c>
      <c r="L59" s="31">
        <f>(INDEX(Option4!L$106:L$117, MATCH($D59, Option4!$G$106:$G$117,0)))*conv_2026*L$7</f>
        <v>-1392743.6990924925</v>
      </c>
      <c r="M59" s="31">
        <f>(INDEX(Option4!M$106:M$117, MATCH($D59, Option4!$G$106:$G$117,0)))*conv_2026*M$7</f>
        <v>-1925820.7185013073</v>
      </c>
      <c r="N59" s="31">
        <f>(INDEX(Option4!N$106:N$117, MATCH($D59, Option4!$G$106:$G$117,0)))*conv_2026*N$7</f>
        <v>-2191571.8333892906</v>
      </c>
      <c r="O59" s="31">
        <f>(INDEX(Option4!O$106:O$117, MATCH($D59, Option4!$G$106:$G$117,0)))*conv_2026*O$7</f>
        <v>-2188073.2957692128</v>
      </c>
      <c r="P59" s="31">
        <f>(INDEX(Option4!P$106:P$117, MATCH($D59, Option4!$G$106:$G$117,0)))*conv_2026*P$7</f>
        <v>-2184284.115153804</v>
      </c>
      <c r="Q59" s="31">
        <f>(INDEX(Option4!Q$106:Q$117, MATCH($D59, Option4!$G$106:$G$117,0)))*conv_2026*Q$7</f>
        <v>-2183329.336893782</v>
      </c>
      <c r="R59" s="31">
        <f>(INDEX(Option4!R$106:R$117, MATCH($D59, Option4!$G$106:$G$117,0)))*conv_2026*R$7</f>
        <v>-2182450.0265266835</v>
      </c>
      <c r="S59" s="31">
        <f>(INDEX(Option4!S$106:S$117, MATCH($D59, Option4!$G$106:$G$117,0)))*conv_2026*S$7</f>
        <v>-2181570.7161595845</v>
      </c>
      <c r="T59" s="31">
        <f>(INDEX(Option4!T$106:T$117, MATCH($D59, Option4!$G$106:$G$117,0)))*conv_2026*T$7</f>
        <v>-2180691.4057924859</v>
      </c>
      <c r="U59" s="31">
        <f>(INDEX(Option4!U$106:U$117, MATCH($D59, Option4!$G$106:$G$117,0)))*conv_2026*U$7</f>
        <v>-2179812.0954253874</v>
      </c>
      <c r="V59" s="31">
        <f>(INDEX(Option4!V$106:V$117, MATCH($D59, Option4!$G$106:$G$117,0)))*conv_2026*V$7</f>
        <v>-2178932.7850582888</v>
      </c>
      <c r="W59" s="31">
        <f>(INDEX(Option4!W$106:W$117, MATCH($D59, Option4!$G$106:$G$117,0)))*conv_2026*W$7</f>
        <v>-2178053.474691188</v>
      </c>
      <c r="X59" s="31">
        <f>(INDEX(Option4!X$106:X$117, MATCH($D59, Option4!$G$106:$G$117,0)))*conv_2026*X$7</f>
        <v>-2177174.1643240908</v>
      </c>
      <c r="Y59" s="31">
        <f>(INDEX(Option4!Y$106:Y$117, MATCH($D59, Option4!$G$106:$G$117,0)))*conv_2026*Y$7</f>
        <v>-2176294.8539569932</v>
      </c>
      <c r="Z59" s="31">
        <f>(INDEX(Option4!Z$106:Z$117, MATCH($D59, Option4!$G$106:$G$117,0)))*conv_2026*Z$7</f>
        <v>-2175415.5435898937</v>
      </c>
      <c r="AA59" s="31">
        <f>(INDEX(Option4!AA$106:AA$117, MATCH($D59, Option4!$G$106:$G$117,0)))*conv_2026*AA$7</f>
        <v>-2174536.2332227961</v>
      </c>
      <c r="AB59" s="31">
        <f>(INDEX(Option4!AB$106:AB$117, MATCH($D59, Option4!$G$106:$G$117,0)))*conv_2026*AB$7</f>
        <v>-2173656.9228556966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ht="13.8" x14ac:dyDescent="0.3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-28422389.912712753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52354.554425715716</v>
      </c>
      <c r="J60" s="31">
        <f>(INDEX(Option4!J$106:J$117, MATCH($D60, Option4!$G$106:$G$117,0)))*conv_2026*J$7</f>
        <v>-444559.40752190654</v>
      </c>
      <c r="K60" s="31">
        <f>(INDEX(Option4!K$106:K$117, MATCH($D60, Option4!$G$106:$G$117,0)))*conv_2026*K$7</f>
        <v>-985689.03695042443</v>
      </c>
      <c r="L60" s="31">
        <f>(INDEX(Option4!L$106:L$117, MATCH($D60, Option4!$G$106:$G$117,0)))*conv_2026*L$7</f>
        <v>-1550282.0160304464</v>
      </c>
      <c r="M60" s="31">
        <f>(INDEX(Option4!M$106:M$117, MATCH($D60, Option4!$G$106:$G$117,0)))*conv_2026*M$7</f>
        <v>-2142595.055854063</v>
      </c>
      <c r="N60" s="31">
        <f>(INDEX(Option4!N$106:N$117, MATCH($D60, Option4!$G$106:$G$117,0)))*conv_2026*N$7</f>
        <v>-2437885.4414678048</v>
      </c>
      <c r="O60" s="31">
        <f>(INDEX(Option4!O$106:O$117, MATCH($D60, Option4!$G$106:$G$117,0)))*conv_2026*O$7</f>
        <v>-2434037.0500857192</v>
      </c>
      <c r="P60" s="31">
        <f>(INDEX(Option4!P$106:P$117, MATCH($D60, Option4!$G$106:$G$117,0)))*conv_2026*P$7</f>
        <v>-2429868.9514087695</v>
      </c>
      <c r="Q60" s="31">
        <f>(INDEX(Option4!Q$106:Q$117, MATCH($D60, Option4!$G$106:$G$117,0)))*conv_2026*Q$7</f>
        <v>-2428818.695322745</v>
      </c>
      <c r="R60" s="31">
        <f>(INDEX(Option4!R$106:R$117, MATCH($D60, Option4!$G$106:$G$117,0)))*conv_2026*R$7</f>
        <v>-2427851.4539189367</v>
      </c>
      <c r="S60" s="31">
        <f>(INDEX(Option4!S$106:S$117, MATCH($D60, Option4!$G$106:$G$117,0)))*conv_2026*S$7</f>
        <v>-2426884.2125151278</v>
      </c>
      <c r="T60" s="31">
        <f>(INDEX(Option4!T$106:T$117, MATCH($D60, Option4!$G$106:$G$117,0)))*conv_2026*T$7</f>
        <v>-2425916.9711113195</v>
      </c>
      <c r="U60" s="31">
        <f>(INDEX(Option4!U$106:U$117, MATCH($D60, Option4!$G$106:$G$117,0)))*conv_2026*U$7</f>
        <v>-2424949.7297075111</v>
      </c>
      <c r="V60" s="31">
        <f>(INDEX(Option4!V$106:V$117, MATCH($D60, Option4!$G$106:$G$117,0)))*conv_2026*V$7</f>
        <v>-2423982.4883037028</v>
      </c>
      <c r="W60" s="31">
        <f>(INDEX(Option4!W$106:W$117, MATCH($D60, Option4!$G$106:$G$117,0)))*conv_2026*W$7</f>
        <v>-2423015.2468998921</v>
      </c>
      <c r="X60" s="31">
        <f>(INDEX(Option4!X$106:X$117, MATCH($D60, Option4!$G$106:$G$117,0)))*conv_2026*X$7</f>
        <v>-2422048.0054960852</v>
      </c>
      <c r="Y60" s="31">
        <f>(INDEX(Option4!Y$106:Y$117, MATCH($D60, Option4!$G$106:$G$117,0)))*conv_2026*Y$7</f>
        <v>-2421080.7640922777</v>
      </c>
      <c r="Z60" s="31">
        <f>(INDEX(Option4!Z$106:Z$117, MATCH($D60, Option4!$G$106:$G$117,0)))*conv_2026*Z$7</f>
        <v>-2420113.522688468</v>
      </c>
      <c r="AA60" s="31">
        <f>(INDEX(Option4!AA$106:AA$117, MATCH($D60, Option4!$G$106:$G$117,0)))*conv_2026*AA$7</f>
        <v>-2419146.281284661</v>
      </c>
      <c r="AB60" s="31">
        <f>(INDEX(Option4!AB$106:AB$117, MATCH($D60, Option4!$G$106:$G$117,0)))*conv_2026*AB$7</f>
        <v>-2418179.0398808513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ht="13.8" x14ac:dyDescent="0.3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-29111777.762995224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42835.544530131039</v>
      </c>
      <c r="J61" s="31">
        <f>(INDEX(Option4!J$106:J$117, MATCH($D61, Option4!$G$106:$G$117,0)))*conv_2026*J$7</f>
        <v>-478447.87270116358</v>
      </c>
      <c r="K61" s="31">
        <f>(INDEX(Option4!K$106:K$117, MATCH($D61, Option4!$G$106:$G$117,0)))*conv_2026*K$7</f>
        <v>-1030757.003955521</v>
      </c>
      <c r="L61" s="31">
        <f>(INDEX(Option4!L$106:L$117, MATCH($D61, Option4!$G$106:$G$117,0)))*conv_2026*L$7</f>
        <v>-1600484.3227286336</v>
      </c>
      <c r="M61" s="31">
        <f>(INDEX(Option4!M$106:M$117, MATCH($D61, Option4!$G$106:$G$117,0)))*conv_2026*M$7</f>
        <v>-2192891.6912010508</v>
      </c>
      <c r="N61" s="31">
        <f>(INDEX(Option4!N$106:N$117, MATCH($D61, Option4!$G$106:$G$117,0)))*conv_2026*N$7</f>
        <v>-2488386.7201024774</v>
      </c>
      <c r="O61" s="31">
        <f>(INDEX(Option4!O$106:O$117, MATCH($D61, Option4!$G$106:$G$117,0)))*conv_2026*O$7</f>
        <v>-2485238.0362444073</v>
      </c>
      <c r="P61" s="31">
        <f>(INDEX(Option4!P$106:P$117, MATCH($D61, Option4!$G$106:$G$117,0)))*conv_2026*P$7</f>
        <v>-2481827.7736905394</v>
      </c>
      <c r="Q61" s="31">
        <f>(INDEX(Option4!Q$106:Q$117, MATCH($D61, Option4!$G$106:$G$117,0)))*conv_2026*Q$7</f>
        <v>-2480968.4732565195</v>
      </c>
      <c r="R61" s="31">
        <f>(INDEX(Option4!R$106:R$117, MATCH($D61, Option4!$G$106:$G$117,0)))*conv_2026*R$7</f>
        <v>-2480177.0939261313</v>
      </c>
      <c r="S61" s="31">
        <f>(INDEX(Option4!S$106:S$117, MATCH($D61, Option4!$G$106:$G$117,0)))*conv_2026*S$7</f>
        <v>-2479385.7145957416</v>
      </c>
      <c r="T61" s="31">
        <f>(INDEX(Option4!T$106:T$117, MATCH($D61, Option4!$G$106:$G$117,0)))*conv_2026*T$7</f>
        <v>-2478594.3352653533</v>
      </c>
      <c r="U61" s="31">
        <f>(INDEX(Option4!U$106:U$117, MATCH($D61, Option4!$G$106:$G$117,0)))*conv_2026*U$7</f>
        <v>-2477802.9559349641</v>
      </c>
      <c r="V61" s="31">
        <f>(INDEX(Option4!V$106:V$117, MATCH($D61, Option4!$G$106:$G$117,0)))*conv_2026*V$7</f>
        <v>-2477011.5766045759</v>
      </c>
      <c r="W61" s="31">
        <f>(INDEX(Option4!W$106:W$117, MATCH($D61, Option4!$G$106:$G$117,0)))*conv_2026*W$7</f>
        <v>-2476220.1972741853</v>
      </c>
      <c r="X61" s="31">
        <f>(INDEX(Option4!X$106:X$117, MATCH($D61, Option4!$G$106:$G$117,0)))*conv_2026*X$7</f>
        <v>-2475428.8179437974</v>
      </c>
      <c r="Y61" s="31">
        <f>(INDEX(Option4!Y$106:Y$117, MATCH($D61, Option4!$G$106:$G$117,0)))*conv_2026*Y$7</f>
        <v>-2474637.4386134101</v>
      </c>
      <c r="Z61" s="31">
        <f>(INDEX(Option4!Z$106:Z$117, MATCH($D61, Option4!$G$106:$G$117,0)))*conv_2026*Z$7</f>
        <v>-2473846.0592830204</v>
      </c>
      <c r="AA61" s="31">
        <f>(INDEX(Option4!AA$106:AA$117, MATCH($D61, Option4!$G$106:$G$117,0)))*conv_2026*AA$7</f>
        <v>-2473054.6799526326</v>
      </c>
      <c r="AB61" s="31">
        <f>(INDEX(Option4!AB$106:AB$117, MATCH($D61, Option4!$G$106:$G$117,0)))*conv_2026*AB$7</f>
        <v>-2472263.300622243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ht="13.8" x14ac:dyDescent="0.3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-32333180.071921859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42835.544530131039</v>
      </c>
      <c r="J62" s="31">
        <f>(INDEX(Option4!J$106:J$117, MATCH($D62, Option4!$G$106:$G$117,0)))*conv_2026*J$7</f>
        <v>-541542.46930194565</v>
      </c>
      <c r="K62" s="31">
        <f>(INDEX(Option4!K$106:K$117, MATCH($D62, Option4!$G$106:$G$117,0)))*conv_2026*K$7</f>
        <v>-1154113.2895033667</v>
      </c>
      <c r="L62" s="31">
        <f>(INDEX(Option4!L$106:L$117, MATCH($D62, Option4!$G$106:$G$117,0)))*conv_2026*L$7</f>
        <v>-1783123.793015681</v>
      </c>
      <c r="M62" s="31">
        <f>(INDEX(Option4!M$106:M$117, MATCH($D62, Option4!$G$106:$G$117,0)))*conv_2026*M$7</f>
        <v>-2434814.3462273004</v>
      </c>
      <c r="N62" s="31">
        <f>(INDEX(Option4!N$106:N$117, MATCH($D62, Option4!$G$106:$G$117,0)))*conv_2026*N$7</f>
        <v>-2759950.9674983276</v>
      </c>
      <c r="O62" s="31">
        <f>(INDEX(Option4!O$106:O$117, MATCH($D62, Option4!$G$106:$G$117,0)))*conv_2026*O$7</f>
        <v>-2756802.283640258</v>
      </c>
      <c r="P62" s="31">
        <f>(INDEX(Option4!P$106:P$117, MATCH($D62, Option4!$G$106:$G$117,0)))*conv_2026*P$7</f>
        <v>-2753392.0210863897</v>
      </c>
      <c r="Q62" s="31">
        <f>(INDEX(Option4!Q$106:Q$117, MATCH($D62, Option4!$G$106:$G$117,0)))*conv_2026*Q$7</f>
        <v>-2752532.7206523702</v>
      </c>
      <c r="R62" s="31">
        <f>(INDEX(Option4!R$106:R$117, MATCH($D62, Option4!$G$106:$G$117,0)))*conv_2026*R$7</f>
        <v>-2751741.3413219815</v>
      </c>
      <c r="S62" s="31">
        <f>(INDEX(Option4!S$106:S$117, MATCH($D62, Option4!$G$106:$G$117,0)))*conv_2026*S$7</f>
        <v>-2750949.9619915923</v>
      </c>
      <c r="T62" s="31">
        <f>(INDEX(Option4!T$106:T$117, MATCH($D62, Option4!$G$106:$G$117,0)))*conv_2026*T$7</f>
        <v>-2750158.582661204</v>
      </c>
      <c r="U62" s="31">
        <f>(INDEX(Option4!U$106:U$117, MATCH($D62, Option4!$G$106:$G$117,0)))*conv_2026*U$7</f>
        <v>-2749367.2033308148</v>
      </c>
      <c r="V62" s="31">
        <f>(INDEX(Option4!V$106:V$117, MATCH($D62, Option4!$G$106:$G$117,0)))*conv_2026*V$7</f>
        <v>-2748575.8240004266</v>
      </c>
      <c r="W62" s="31">
        <f>(INDEX(Option4!W$106:W$117, MATCH($D62, Option4!$G$106:$G$117,0)))*conv_2026*W$7</f>
        <v>-2747784.444670036</v>
      </c>
      <c r="X62" s="31">
        <f>(INDEX(Option4!X$106:X$117, MATCH($D62, Option4!$G$106:$G$117,0)))*conv_2026*X$7</f>
        <v>-2746993.0653396482</v>
      </c>
      <c r="Y62" s="31">
        <f>(INDEX(Option4!Y$106:Y$117, MATCH($D62, Option4!$G$106:$G$117,0)))*conv_2026*Y$7</f>
        <v>-2746201.6860092604</v>
      </c>
      <c r="Z62" s="31">
        <f>(INDEX(Option4!Z$106:Z$117, MATCH($D62, Option4!$G$106:$G$117,0)))*conv_2026*Z$7</f>
        <v>-2745410.3066788707</v>
      </c>
      <c r="AA62" s="31">
        <f>(INDEX(Option4!AA$106:AA$117, MATCH($D62, Option4!$G$106:$G$117,0)))*conv_2026*AA$7</f>
        <v>-2744618.9273484829</v>
      </c>
      <c r="AB62" s="31">
        <f>(INDEX(Option4!AB$106:AB$117, MATCH($D62, Option4!$G$106:$G$117,0)))*conv_2026*AB$7</f>
        <v>-2743827.5480180937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ht="13.8" x14ac:dyDescent="0.3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-28767083.837853987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47595.049477923378</v>
      </c>
      <c r="J63" s="31">
        <f>(INDEX(Option4!J$106:J$117, MATCH($D63, Option4!$G$106:$G$117,0)))*conv_2026*J$7</f>
        <v>-461503.64011153503</v>
      </c>
      <c r="K63" s="31">
        <f>(INDEX(Option4!K$106:K$117, MATCH($D63, Option4!$G$106:$G$117,0)))*conv_2026*K$7</f>
        <v>-1008223.0204529727</v>
      </c>
      <c r="L63" s="31">
        <f>(INDEX(Option4!L$106:L$117, MATCH($D63, Option4!$G$106:$G$117,0)))*conv_2026*L$7</f>
        <v>-1575383.16937954</v>
      </c>
      <c r="M63" s="31">
        <f>(INDEX(Option4!M$106:M$117, MATCH($D63, Option4!$G$106:$G$117,0)))*conv_2026*M$7</f>
        <v>-2167743.3735275571</v>
      </c>
      <c r="N63" s="31">
        <f>(INDEX(Option4!N$106:N$117, MATCH($D63, Option4!$G$106:$G$117,0)))*conv_2026*N$7</f>
        <v>-2463136.0807851409</v>
      </c>
      <c r="O63" s="31">
        <f>(INDEX(Option4!O$106:O$117, MATCH($D63, Option4!$G$106:$G$117,0)))*conv_2026*O$7</f>
        <v>-2459637.543165063</v>
      </c>
      <c r="P63" s="31">
        <f>(INDEX(Option4!P$106:P$117, MATCH($D63, Option4!$G$106:$G$117,0)))*conv_2026*P$7</f>
        <v>-2455848.3625496547</v>
      </c>
      <c r="Q63" s="31">
        <f>(INDEX(Option4!Q$106:Q$117, MATCH($D63, Option4!$G$106:$G$117,0)))*conv_2026*Q$7</f>
        <v>-2454893.5842896323</v>
      </c>
      <c r="R63" s="31">
        <f>(INDEX(Option4!R$106:R$117, MATCH($D63, Option4!$G$106:$G$117,0)))*conv_2026*R$7</f>
        <v>-2454014.2739225337</v>
      </c>
      <c r="S63" s="31">
        <f>(INDEX(Option4!S$106:S$117, MATCH($D63, Option4!$G$106:$G$117,0)))*conv_2026*S$7</f>
        <v>-2453134.9635554347</v>
      </c>
      <c r="T63" s="31">
        <f>(INDEX(Option4!T$106:T$117, MATCH($D63, Option4!$G$106:$G$117,0)))*conv_2026*T$7</f>
        <v>-2452255.6531883362</v>
      </c>
      <c r="U63" s="31">
        <f>(INDEX(Option4!U$106:U$117, MATCH($D63, Option4!$G$106:$G$117,0)))*conv_2026*U$7</f>
        <v>-2451376.3428212376</v>
      </c>
      <c r="V63" s="31">
        <f>(INDEX(Option4!V$106:V$117, MATCH($D63, Option4!$G$106:$G$117,0)))*conv_2026*V$7</f>
        <v>-2450497.0324541391</v>
      </c>
      <c r="W63" s="31">
        <f>(INDEX(Option4!W$106:W$117, MATCH($D63, Option4!$G$106:$G$117,0)))*conv_2026*W$7</f>
        <v>-2449617.7220870387</v>
      </c>
      <c r="X63" s="31">
        <f>(INDEX(Option4!X$106:X$117, MATCH($D63, Option4!$G$106:$G$117,0)))*conv_2026*X$7</f>
        <v>-2448738.4117199411</v>
      </c>
      <c r="Y63" s="31">
        <f>(INDEX(Option4!Y$106:Y$117, MATCH($D63, Option4!$G$106:$G$117,0)))*conv_2026*Y$7</f>
        <v>-2447859.1013528439</v>
      </c>
      <c r="Z63" s="31">
        <f>(INDEX(Option4!Z$106:Z$117, MATCH($D63, Option4!$G$106:$G$117,0)))*conv_2026*Z$7</f>
        <v>-2446979.790985744</v>
      </c>
      <c r="AA63" s="31">
        <f>(INDEX(Option4!AA$106:AA$117, MATCH($D63, Option4!$G$106:$G$117,0)))*conv_2026*AA$7</f>
        <v>-2446100.4806186468</v>
      </c>
      <c r="AB63" s="31">
        <f>(INDEX(Option4!AB$106:AB$117, MATCH($D63, Option4!$G$106:$G$117,0)))*conv_2026*AB$7</f>
        <v>-2445221.1702515474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ht="13.8" x14ac:dyDescent="0.3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-28767083.837853987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47595.049477923378</v>
      </c>
      <c r="J64" s="31">
        <f>(INDEX(Option4!J$106:J$117, MATCH($D64, Option4!$G$106:$G$117,0)))*conv_2026*J$7</f>
        <v>-461503.64011153503</v>
      </c>
      <c r="K64" s="31">
        <f>(INDEX(Option4!K$106:K$117, MATCH($D64, Option4!$G$106:$G$117,0)))*conv_2026*K$7</f>
        <v>-1008223.0204529727</v>
      </c>
      <c r="L64" s="31">
        <f>(INDEX(Option4!L$106:L$117, MATCH($D64, Option4!$G$106:$G$117,0)))*conv_2026*L$7</f>
        <v>-1575383.16937954</v>
      </c>
      <c r="M64" s="31">
        <f>(INDEX(Option4!M$106:M$117, MATCH($D64, Option4!$G$106:$G$117,0)))*conv_2026*M$7</f>
        <v>-2167743.3735275571</v>
      </c>
      <c r="N64" s="31">
        <f>(INDEX(Option4!N$106:N$117, MATCH($D64, Option4!$G$106:$G$117,0)))*conv_2026*N$7</f>
        <v>-2463136.0807851409</v>
      </c>
      <c r="O64" s="31">
        <f>(INDEX(Option4!O$106:O$117, MATCH($D64, Option4!$G$106:$G$117,0)))*conv_2026*O$7</f>
        <v>-2459637.543165063</v>
      </c>
      <c r="P64" s="31">
        <f>(INDEX(Option4!P$106:P$117, MATCH($D64, Option4!$G$106:$G$117,0)))*conv_2026*P$7</f>
        <v>-2455848.3625496547</v>
      </c>
      <c r="Q64" s="31">
        <f>(INDEX(Option4!Q$106:Q$117, MATCH($D64, Option4!$G$106:$G$117,0)))*conv_2026*Q$7</f>
        <v>-2454893.5842896323</v>
      </c>
      <c r="R64" s="31">
        <f>(INDEX(Option4!R$106:R$117, MATCH($D64, Option4!$G$106:$G$117,0)))*conv_2026*R$7</f>
        <v>-2454014.2739225337</v>
      </c>
      <c r="S64" s="31">
        <f>(INDEX(Option4!S$106:S$117, MATCH($D64, Option4!$G$106:$G$117,0)))*conv_2026*S$7</f>
        <v>-2453134.9635554347</v>
      </c>
      <c r="T64" s="31">
        <f>(INDEX(Option4!T$106:T$117, MATCH($D64, Option4!$G$106:$G$117,0)))*conv_2026*T$7</f>
        <v>-2452255.6531883362</v>
      </c>
      <c r="U64" s="31">
        <f>(INDEX(Option4!U$106:U$117, MATCH($D64, Option4!$G$106:$G$117,0)))*conv_2026*U$7</f>
        <v>-2451376.3428212376</v>
      </c>
      <c r="V64" s="31">
        <f>(INDEX(Option4!V$106:V$117, MATCH($D64, Option4!$G$106:$G$117,0)))*conv_2026*V$7</f>
        <v>-2450497.0324541391</v>
      </c>
      <c r="W64" s="31">
        <f>(INDEX(Option4!W$106:W$117, MATCH($D64, Option4!$G$106:$G$117,0)))*conv_2026*W$7</f>
        <v>-2449617.7220870387</v>
      </c>
      <c r="X64" s="31">
        <f>(INDEX(Option4!X$106:X$117, MATCH($D64, Option4!$G$106:$G$117,0)))*conv_2026*X$7</f>
        <v>-2448738.4117199411</v>
      </c>
      <c r="Y64" s="31">
        <f>(INDEX(Option4!Y$106:Y$117, MATCH($D64, Option4!$G$106:$G$117,0)))*conv_2026*Y$7</f>
        <v>-2447859.1013528439</v>
      </c>
      <c r="Z64" s="31">
        <f>(INDEX(Option4!Z$106:Z$117, MATCH($D64, Option4!$G$106:$G$117,0)))*conv_2026*Z$7</f>
        <v>-2446979.790985744</v>
      </c>
      <c r="AA64" s="31">
        <f>(INDEX(Option4!AA$106:AA$117, MATCH($D64, Option4!$G$106:$G$117,0)))*conv_2026*AA$7</f>
        <v>-2446100.4806186468</v>
      </c>
      <c r="AB64" s="31">
        <f>(INDEX(Option4!AB$106:AB$117, MATCH($D64, Option4!$G$106:$G$117,0)))*conv_2026*AB$7</f>
        <v>-2445221.1702515474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ht="13.8" x14ac:dyDescent="0.3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-28767083.837853987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47595.049477923378</v>
      </c>
      <c r="J65" s="31">
        <f>(INDEX(Option4!J$106:J$117, MATCH($D65, Option4!$G$106:$G$117,0)))*conv_2026*J$7</f>
        <v>-461503.64011153503</v>
      </c>
      <c r="K65" s="31">
        <f>(INDEX(Option4!K$106:K$117, MATCH($D65, Option4!$G$106:$G$117,0)))*conv_2026*K$7</f>
        <v>-1008223.0204529727</v>
      </c>
      <c r="L65" s="31">
        <f>(INDEX(Option4!L$106:L$117, MATCH($D65, Option4!$G$106:$G$117,0)))*conv_2026*L$7</f>
        <v>-1575383.16937954</v>
      </c>
      <c r="M65" s="31">
        <f>(INDEX(Option4!M$106:M$117, MATCH($D65, Option4!$G$106:$G$117,0)))*conv_2026*M$7</f>
        <v>-2167743.3735275571</v>
      </c>
      <c r="N65" s="31">
        <f>(INDEX(Option4!N$106:N$117, MATCH($D65, Option4!$G$106:$G$117,0)))*conv_2026*N$7</f>
        <v>-2463136.0807851409</v>
      </c>
      <c r="O65" s="31">
        <f>(INDEX(Option4!O$106:O$117, MATCH($D65, Option4!$G$106:$G$117,0)))*conv_2026*O$7</f>
        <v>-2459637.543165063</v>
      </c>
      <c r="P65" s="31">
        <f>(INDEX(Option4!P$106:P$117, MATCH($D65, Option4!$G$106:$G$117,0)))*conv_2026*P$7</f>
        <v>-2455848.3625496547</v>
      </c>
      <c r="Q65" s="31">
        <f>(INDEX(Option4!Q$106:Q$117, MATCH($D65, Option4!$G$106:$G$117,0)))*conv_2026*Q$7</f>
        <v>-2454893.5842896323</v>
      </c>
      <c r="R65" s="31">
        <f>(INDEX(Option4!R$106:R$117, MATCH($D65, Option4!$G$106:$G$117,0)))*conv_2026*R$7</f>
        <v>-2454014.2739225337</v>
      </c>
      <c r="S65" s="31">
        <f>(INDEX(Option4!S$106:S$117, MATCH($D65, Option4!$G$106:$G$117,0)))*conv_2026*S$7</f>
        <v>-2453134.9635554347</v>
      </c>
      <c r="T65" s="31">
        <f>(INDEX(Option4!T$106:T$117, MATCH($D65, Option4!$G$106:$G$117,0)))*conv_2026*T$7</f>
        <v>-2452255.6531883362</v>
      </c>
      <c r="U65" s="31">
        <f>(INDEX(Option4!U$106:U$117, MATCH($D65, Option4!$G$106:$G$117,0)))*conv_2026*U$7</f>
        <v>-2451376.3428212376</v>
      </c>
      <c r="V65" s="31">
        <f>(INDEX(Option4!V$106:V$117, MATCH($D65, Option4!$G$106:$G$117,0)))*conv_2026*V$7</f>
        <v>-2450497.0324541391</v>
      </c>
      <c r="W65" s="31">
        <f>(INDEX(Option4!W$106:W$117, MATCH($D65, Option4!$G$106:$G$117,0)))*conv_2026*W$7</f>
        <v>-2449617.7220870387</v>
      </c>
      <c r="X65" s="31">
        <f>(INDEX(Option4!X$106:X$117, MATCH($D65, Option4!$G$106:$G$117,0)))*conv_2026*X$7</f>
        <v>-2448738.4117199411</v>
      </c>
      <c r="Y65" s="31">
        <f>(INDEX(Option4!Y$106:Y$117, MATCH($D65, Option4!$G$106:$G$117,0)))*conv_2026*Y$7</f>
        <v>-2447859.1013528439</v>
      </c>
      <c r="Z65" s="31">
        <f>(INDEX(Option4!Z$106:Z$117, MATCH($D65, Option4!$G$106:$G$117,0)))*conv_2026*Z$7</f>
        <v>-2446979.790985744</v>
      </c>
      <c r="AA65" s="31">
        <f>(INDEX(Option4!AA$106:AA$117, MATCH($D65, Option4!$G$106:$G$117,0)))*conv_2026*AA$7</f>
        <v>-2446100.4806186468</v>
      </c>
      <c r="AB65" s="31">
        <f>(INDEX(Option4!AB$106:AB$117, MATCH($D65, Option4!$G$106:$G$117,0)))*conv_2026*AB$7</f>
        <v>-2445221.1702515474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ht="13.8" x14ac:dyDescent="0.3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ht="13.8" x14ac:dyDescent="0.3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ht="13.8" x14ac:dyDescent="0.3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ht="13.8" x14ac:dyDescent="0.3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ht="13.8" x14ac:dyDescent="0.3">
      <c r="A70" s="253" t="s">
        <v>153</v>
      </c>
      <c r="B70" s="253" t="s">
        <v>119</v>
      </c>
      <c r="C70" s="253" t="s">
        <v>186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ht="13.8" x14ac:dyDescent="0.3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ht="13.8" x14ac:dyDescent="0.3">
      <c r="A72" s="253" t="s">
        <v>153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ht="13.8" x14ac:dyDescent="0.3">
      <c r="A73" s="253" t="s">
        <v>153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ht="13.8" x14ac:dyDescent="0.3">
      <c r="A74" s="253" t="s">
        <v>153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ht="13.8" x14ac:dyDescent="0.3">
      <c r="A75" s="253" t="s">
        <v>153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ht="13.8" x14ac:dyDescent="0.3">
      <c r="A76" s="253" t="s">
        <v>153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ht="13.8" x14ac:dyDescent="0.3">
      <c r="A77" s="253" t="s">
        <v>153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ht="13.8" x14ac:dyDescent="0.3">
      <c r="A78" s="253" t="s">
        <v>153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ht="13.8" x14ac:dyDescent="0.3">
      <c r="A79" s="253" t="s">
        <v>153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ht="13.8" x14ac:dyDescent="0.3">
      <c r="F80" s="249"/>
    </row>
    <row r="81" spans="1:34" s="8" customFormat="1" ht="13.8" x14ac:dyDescent="0.3">
      <c r="F81" s="249"/>
    </row>
    <row r="82" spans="1:34" s="8" customFormat="1" ht="13.8" x14ac:dyDescent="0.3">
      <c r="F82" s="249"/>
    </row>
    <row r="83" spans="1:34" s="8" customFormat="1" ht="13.8" x14ac:dyDescent="0.3">
      <c r="F83" s="249"/>
    </row>
    <row r="84" spans="1:34" s="8" customFormat="1" ht="14.4" x14ac:dyDescent="0.3">
      <c r="A84" s="202" t="s">
        <v>157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ht="13.8" x14ac:dyDescent="0.3">
      <c r="F85" s="249"/>
    </row>
    <row r="86" spans="1:34" s="8" customFormat="1" ht="13.8" x14ac:dyDescent="0.3">
      <c r="F86" s="249"/>
    </row>
    <row r="87" spans="1:34" s="8" customFormat="1" ht="13.8" x14ac:dyDescent="0.3">
      <c r="E87" s="249"/>
    </row>
    <row r="88" spans="1:34" s="8" customFormat="1" ht="13.8" x14ac:dyDescent="0.3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0</v>
      </c>
      <c r="G88" s="275" t="b">
        <v>1</v>
      </c>
      <c r="K88" s="8" t="b">
        <f>AND(_xlfn.ANCHORARRAY(C88))</f>
        <v>0</v>
      </c>
    </row>
    <row r="89" spans="1:34" s="8" customFormat="1" ht="13.8" x14ac:dyDescent="0.3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228</v>
      </c>
      <c r="K89" s="283" t="s">
        <v>229</v>
      </c>
    </row>
    <row r="90" spans="1:34" s="8" customFormat="1" ht="13.8" x14ac:dyDescent="0.3">
      <c r="A90" s="261" t="s">
        <v>119</v>
      </c>
      <c r="B90" s="261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42.048994714168195</v>
      </c>
      <c r="E90" s="105">
        <f t="shared" si="10"/>
        <v>45.598264242248135</v>
      </c>
      <c r="F90" s="105">
        <f t="shared" si="10"/>
        <v>-28.767083837853988</v>
      </c>
      <c r="G90" s="105" t="str">
        <f t="shared" si="10"/>
        <v/>
      </c>
      <c r="H90" s="186"/>
      <c r="I90" s="105">
        <f t="shared" ref="I90:I98" si="11">_xlfn.MAXIFS(C90:G90,_xlfn.ANCHORARRAY( C$88),FALSE)</f>
        <v>45.598264242248135</v>
      </c>
      <c r="K90" s="8" t="str">
        <f t="shared" ref="K90:K98" si="12">IF(OR(B90=0,$K$88),"", INDEX(_xlfn.ANCHORARRAY($C$89), MATCH(I90, $C90:$G90,0)))</f>
        <v>Option 3</v>
      </c>
    </row>
    <row r="91" spans="1:34" s="8" customFormat="1" ht="13.8" x14ac:dyDescent="0.3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40.010052108180844</v>
      </c>
      <c r="E91" s="105">
        <f t="shared" si="10"/>
        <v>42.286306709834385</v>
      </c>
      <c r="F91" s="105">
        <f t="shared" si="10"/>
        <v>-31.98848614678063</v>
      </c>
      <c r="G91" s="105" t="str">
        <f t="shared" si="10"/>
        <v/>
      </c>
      <c r="H91" s="186"/>
      <c r="I91" s="105">
        <f t="shared" si="11"/>
        <v>42.286306709834385</v>
      </c>
      <c r="K91" s="8" t="str">
        <f t="shared" si="12"/>
        <v>Option 3</v>
      </c>
    </row>
    <row r="92" spans="1:34" s="8" customFormat="1" ht="13.8" x14ac:dyDescent="0.3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44.087937320155561</v>
      </c>
      <c r="E92" s="105">
        <f t="shared" si="10"/>
        <v>48.910221774661885</v>
      </c>
      <c r="F92" s="105">
        <f t="shared" si="10"/>
        <v>-25.545681528927357</v>
      </c>
      <c r="G92" s="105" t="str">
        <f t="shared" si="10"/>
        <v/>
      </c>
      <c r="H92" s="186"/>
      <c r="I92" s="105">
        <f t="shared" si="11"/>
        <v>48.910221774661885</v>
      </c>
      <c r="K92" s="8" t="str">
        <f t="shared" si="12"/>
        <v>Option 3</v>
      </c>
    </row>
    <row r="93" spans="1:34" s="8" customFormat="1" ht="13.8" x14ac:dyDescent="0.3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48.292836791572384</v>
      </c>
      <c r="E93" s="105">
        <f t="shared" si="10"/>
        <v>53.470048198886694</v>
      </c>
      <c r="F93" s="105">
        <f t="shared" si="10"/>
        <v>-28.422389912712752</v>
      </c>
      <c r="G93" s="105" t="str">
        <f t="shared" si="10"/>
        <v/>
      </c>
      <c r="H93" s="186"/>
      <c r="I93" s="105">
        <f t="shared" si="11"/>
        <v>53.470048198886694</v>
      </c>
      <c r="K93" s="8" t="str">
        <f t="shared" si="12"/>
        <v>Option 3</v>
      </c>
    </row>
    <row r="94" spans="1:34" s="8" customFormat="1" ht="13.8" x14ac:dyDescent="0.3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35.805152636764014</v>
      </c>
      <c r="E94" s="105">
        <f t="shared" si="10"/>
        <v>37.726480285609568</v>
      </c>
      <c r="F94" s="105">
        <f t="shared" si="10"/>
        <v>-29.111777762995224</v>
      </c>
      <c r="G94" s="105" t="str">
        <f t="shared" si="10"/>
        <v/>
      </c>
      <c r="H94" s="186"/>
      <c r="I94" s="105">
        <f t="shared" si="11"/>
        <v>37.726480285609568</v>
      </c>
      <c r="K94" s="8" t="str">
        <f t="shared" si="12"/>
        <v>Option 3</v>
      </c>
    </row>
    <row r="95" spans="1:34" s="8" customFormat="1" ht="13.8" x14ac:dyDescent="0.3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33.766210030776648</v>
      </c>
      <c r="E95" s="105">
        <f t="shared" si="10"/>
        <v>34.414522753195826</v>
      </c>
      <c r="F95" s="105">
        <f t="shared" si="10"/>
        <v>-32.333180071921859</v>
      </c>
      <c r="G95" s="105" t="str">
        <f t="shared" si="10"/>
        <v/>
      </c>
      <c r="H95" s="186"/>
      <c r="I95" s="105">
        <f t="shared" si="11"/>
        <v>34.414522753195826</v>
      </c>
      <c r="K95" s="8" t="str">
        <f t="shared" si="12"/>
        <v>Option 3</v>
      </c>
    </row>
    <row r="96" spans="1:34" s="8" customFormat="1" ht="13.8" x14ac:dyDescent="0.3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ht="13.8" x14ac:dyDescent="0.3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ht="13.8" x14ac:dyDescent="0.3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ht="13.8" x14ac:dyDescent="0.25">
      <c r="C99" s="31"/>
      <c r="E99"/>
      <c r="F99" s="10"/>
    </row>
    <row r="100" spans="1:11" x14ac:dyDescent="0.25">
      <c r="E100"/>
      <c r="F100" s="10"/>
    </row>
    <row r="101" spans="1:11" x14ac:dyDescent="0.25">
      <c r="E101"/>
      <c r="F101" s="10"/>
    </row>
    <row r="102" spans="1:11" x14ac:dyDescent="0.25">
      <c r="E102"/>
      <c r="F102" s="10"/>
    </row>
    <row r="103" spans="1:11" x14ac:dyDescent="0.25">
      <c r="E103"/>
      <c r="F103" s="10"/>
    </row>
    <row r="104" spans="1:11" x14ac:dyDescent="0.25">
      <c r="E104"/>
      <c r="F104" s="10"/>
    </row>
    <row r="105" spans="1:11" x14ac:dyDescent="0.25">
      <c r="E105"/>
      <c r="F105" s="10"/>
    </row>
    <row r="106" spans="1:11" x14ac:dyDescent="0.25"/>
    <row r="107" spans="1:11" x14ac:dyDescent="0.25"/>
    <row r="108" spans="1:11" x14ac:dyDescent="0.25"/>
    <row r="109" spans="1:11" x14ac:dyDescent="0.25"/>
    <row r="110" spans="1:11" x14ac:dyDescent="0.25"/>
    <row r="111" spans="1:11" x14ac:dyDescent="0.25"/>
    <row r="112" spans="1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A40" sqref="A40:D43"/>
    </sheetView>
  </sheetViews>
  <sheetFormatPr defaultRowHeight="12.6" x14ac:dyDescent="0.2"/>
  <cols>
    <col min="2" max="2" width="21.36328125" customWidth="1"/>
    <col min="3" max="3" width="20.453125" customWidth="1"/>
    <col min="4" max="4" width="14.453125" style="49" customWidth="1"/>
    <col min="5" max="5" width="14.453125" customWidth="1"/>
    <col min="8" max="11" width="14.36328125" customWidth="1"/>
    <col min="12" max="12" width="15.7265625" customWidth="1"/>
    <col min="13" max="18" width="14.36328125" customWidth="1"/>
  </cols>
  <sheetData>
    <row r="1" spans="1:23" ht="18" x14ac:dyDescent="0.35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" x14ac:dyDescent="0.35">
      <c r="A2" s="56" t="str">
        <f>proj</f>
        <v>Ttransformer rebuild - KYM, NKA, PLD, MNA &amp; WBL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6" x14ac:dyDescent="0.3">
      <c r="A3" s="5"/>
    </row>
    <row r="4" spans="1:23" s="1" customFormat="1" ht="14.4" x14ac:dyDescent="0.3">
      <c r="A4" s="18" t="s">
        <v>199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ht="13.8" x14ac:dyDescent="0.3"/>
    <row r="6" spans="1:23" s="1" customFormat="1" ht="13.8" x14ac:dyDescent="0.3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ht="13.8" x14ac:dyDescent="0.3">
      <c r="D7" s="51"/>
      <c r="N7" s="1"/>
      <c r="O7"/>
      <c r="P7"/>
      <c r="Q7"/>
      <c r="R7"/>
      <c r="S7"/>
      <c r="T7"/>
      <c r="U7"/>
      <c r="V7"/>
      <c r="W7"/>
    </row>
    <row r="8" spans="1:23" s="22" customFormat="1" ht="13.8" x14ac:dyDescent="0.3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ht="13.8" x14ac:dyDescent="0.3">
      <c r="D9" s="12"/>
      <c r="O9"/>
      <c r="P9"/>
      <c r="Q9"/>
      <c r="R9"/>
      <c r="S9"/>
      <c r="T9"/>
      <c r="U9"/>
      <c r="V9"/>
      <c r="W9"/>
    </row>
    <row r="10" spans="1:23" s="1" customFormat="1" ht="13.8" x14ac:dyDescent="0.3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ht="13.8" x14ac:dyDescent="0.3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ht="13.8" x14ac:dyDescent="0.3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ht="13.8" x14ac:dyDescent="0.3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ht="13.8" x14ac:dyDescent="0.3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ht="13.8" x14ac:dyDescent="0.3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ht="13.8" x14ac:dyDescent="0.3">
      <c r="A16"/>
      <c r="B16" s="80" t="s">
        <v>184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ht="13.8" x14ac:dyDescent="0.3">
      <c r="A17"/>
      <c r="B17" s="80" t="s">
        <v>185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ht="13.8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ht="13.8" x14ac:dyDescent="0.3">
      <c r="B19" s="81" t="s">
        <v>77</v>
      </c>
      <c r="D19" s="41">
        <f>D17/D16</f>
        <v>1.1129126464165968</v>
      </c>
      <c r="L19" s="292"/>
    </row>
    <row r="20" spans="1:34" ht="13.8" x14ac:dyDescent="0.3">
      <c r="B20" s="81"/>
      <c r="D20" s="41"/>
    </row>
    <row r="21" spans="1:34" ht="13.8" x14ac:dyDescent="0.3">
      <c r="B21" s="80" t="s">
        <v>210</v>
      </c>
      <c r="C21" s="67">
        <f>vcr_date</f>
        <v>45291</v>
      </c>
      <c r="D21" s="41">
        <f>INDEX(hy_escalation, MATCH(C21,hy_dates,0))</f>
        <v>1.0839971599793141</v>
      </c>
    </row>
    <row r="22" spans="1:34" ht="13.8" x14ac:dyDescent="0.3">
      <c r="B22" s="80" t="s">
        <v>211</v>
      </c>
      <c r="C22" s="67">
        <f>input_dollars</f>
        <v>45291</v>
      </c>
      <c r="D22" s="41">
        <f>INDEX(hy_escalation, MATCH(C22,hy_dates,0))</f>
        <v>1.0839971599793141</v>
      </c>
    </row>
    <row r="23" spans="1:34" ht="13.8" x14ac:dyDescent="0.3">
      <c r="B23" s="81" t="s">
        <v>212</v>
      </c>
      <c r="D23" s="41">
        <f>D22/D21</f>
        <v>1</v>
      </c>
    </row>
    <row r="25" spans="1:34" ht="13.8" x14ac:dyDescent="0.3">
      <c r="B25" s="81" t="s">
        <v>237</v>
      </c>
      <c r="C25" s="8" t="str">
        <f>start</f>
        <v>2026-27</v>
      </c>
    </row>
    <row r="28" spans="1:34" s="1" customFormat="1" ht="14.4" x14ac:dyDescent="0.3">
      <c r="A28" s="18" t="s">
        <v>208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ht="13.2" x14ac:dyDescent="0.25">
      <c r="B31" s="192" t="s">
        <v>1</v>
      </c>
      <c r="C31" s="193" t="s">
        <v>191</v>
      </c>
      <c r="D31" s="194" t="s">
        <v>198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3.8" x14ac:dyDescent="0.3">
      <c r="B32" s="135" t="s">
        <v>131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3.8" x14ac:dyDescent="0.3">
      <c r="B33" s="135" t="s">
        <v>132</v>
      </c>
      <c r="C33" s="191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3.8" x14ac:dyDescent="0.3">
      <c r="B34" s="135" t="s">
        <v>133</v>
      </c>
      <c r="C34" s="191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3.8" x14ac:dyDescent="0.3">
      <c r="B35" s="135" t="s">
        <v>153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3.2" x14ac:dyDescent="0.25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3.2" x14ac:dyDescent="0.25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3.2" x14ac:dyDescent="0.25">
      <c r="B38" s="195" t="s">
        <v>191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3.2" x14ac:dyDescent="0.25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3.2" x14ac:dyDescent="0.25">
      <c r="D4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4.4" x14ac:dyDescent="0.3">
      <c r="A46" s="18" t="s">
        <v>242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162</v>
      </c>
      <c r="B70" s="239" t="s">
        <v>209</v>
      </c>
    </row>
    <row r="74" spans="1:4" ht="13.8" x14ac:dyDescent="0.3">
      <c r="B74" s="238" t="str">
        <f>IF(AND(SUM(E73:AC73)&lt;&gt;0, A74=0), "!", "")</f>
        <v/>
      </c>
    </row>
    <row r="76" spans="1:4" x14ac:dyDescent="0.2">
      <c r="B76" t="s">
        <v>207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3.8" x14ac:dyDescent="0.3"/>
  <cols>
    <col min="1" max="1" width="5.36328125" style="8" customWidth="1"/>
    <col min="2" max="2" width="24.453125" style="8" customWidth="1"/>
    <col min="3" max="3" width="9" style="8"/>
    <col min="4" max="4" width="9.90625" style="8" bestFit="1" customWidth="1"/>
    <col min="5" max="5" width="10.90625" style="8" customWidth="1"/>
    <col min="6" max="14" width="9" style="8"/>
    <col min="15" max="15" width="30.08984375" style="8" customWidth="1"/>
    <col min="16" max="16" width="43.26953125" style="8" customWidth="1"/>
    <col min="17" max="20" width="9" style="8"/>
    <col min="21" max="21" width="11.36328125" style="8" bestFit="1" customWidth="1"/>
    <col min="22" max="26" width="9" style="8"/>
    <col min="27" max="27" width="19.08984375" style="8" customWidth="1"/>
    <col min="28" max="16384" width="9" style="8"/>
  </cols>
  <sheetData>
    <row r="1" spans="1:27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" x14ac:dyDescent="0.35">
      <c r="A2" s="56" t="str">
        <f>proj</f>
        <v>Ttransformer rebuild - KYM, NKA, PLD, MNA &amp; WBL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6" x14ac:dyDescent="0.3">
      <c r="A3" s="5"/>
      <c r="B3" s="5"/>
      <c r="C3" s="5"/>
      <c r="D3" s="5"/>
      <c r="E3" s="5"/>
      <c r="F3" s="5"/>
      <c r="T3"/>
      <c r="U3"/>
      <c r="V3"/>
      <c r="W3"/>
    </row>
    <row r="4" spans="1:27" x14ac:dyDescent="0.3">
      <c r="T4"/>
      <c r="U4"/>
      <c r="V4"/>
    </row>
    <row r="5" spans="1:27" ht="14.4" x14ac:dyDescent="0.3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3">
      <c r="T6"/>
      <c r="U6"/>
      <c r="V6"/>
    </row>
    <row r="7" spans="1:27" x14ac:dyDescent="0.3">
      <c r="A7" s="14" t="s">
        <v>80</v>
      </c>
      <c r="T7"/>
      <c r="U7"/>
      <c r="V7"/>
    </row>
    <row r="8" spans="1:27" x14ac:dyDescent="0.3">
      <c r="A8" s="59"/>
      <c r="B8" s="59"/>
      <c r="C8" s="53" t="s">
        <v>83</v>
      </c>
      <c r="D8" s="53" t="s">
        <v>197</v>
      </c>
      <c r="F8" s="8" t="s">
        <v>227</v>
      </c>
      <c r="T8"/>
      <c r="U8"/>
      <c r="V8"/>
    </row>
    <row r="9" spans="1:27" x14ac:dyDescent="0.3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3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3">
      <c r="A11" s="27" t="s">
        <v>145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3">
      <c r="A12" s="27" t="s">
        <v>146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3">
      <c r="A13" s="27" t="s">
        <v>154</v>
      </c>
      <c r="B13" s="86" t="s">
        <v>153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3">
      <c r="T14"/>
      <c r="U14"/>
      <c r="V14"/>
      <c r="W14"/>
      <c r="Z14"/>
      <c r="AA14"/>
    </row>
    <row r="15" spans="1:27" x14ac:dyDescent="0.3">
      <c r="T15"/>
      <c r="U15"/>
      <c r="V15"/>
      <c r="W15"/>
      <c r="Z15"/>
      <c r="AA15"/>
    </row>
    <row r="16" spans="1:27" x14ac:dyDescent="0.3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3">
      <c r="T17"/>
      <c r="U17"/>
      <c r="V17"/>
      <c r="W17"/>
      <c r="Z17"/>
      <c r="AA17"/>
    </row>
    <row r="18" spans="1:27" x14ac:dyDescent="0.3">
      <c r="T18"/>
      <c r="U18"/>
      <c r="V18"/>
      <c r="W18"/>
      <c r="Z18"/>
      <c r="AA18"/>
    </row>
    <row r="19" spans="1:27" x14ac:dyDescent="0.3">
      <c r="B19" s="86" t="s">
        <v>58</v>
      </c>
      <c r="C19" s="87"/>
      <c r="T19"/>
      <c r="U19"/>
      <c r="V19"/>
      <c r="W19"/>
      <c r="Z19"/>
      <c r="AA19"/>
    </row>
    <row r="20" spans="1:27" x14ac:dyDescent="0.3">
      <c r="B20" s="86" t="s">
        <v>95</v>
      </c>
      <c r="C20" s="87"/>
      <c r="T20"/>
      <c r="U20"/>
      <c r="V20"/>
      <c r="W20"/>
      <c r="Z20"/>
      <c r="AA20"/>
    </row>
    <row r="21" spans="1:27" x14ac:dyDescent="0.3">
      <c r="B21" s="86" t="s">
        <v>96</v>
      </c>
      <c r="T21"/>
      <c r="U21"/>
      <c r="V21"/>
      <c r="W21"/>
      <c r="Z21"/>
      <c r="AA21"/>
    </row>
    <row r="22" spans="1:27" x14ac:dyDescent="0.3">
      <c r="T22"/>
      <c r="U22"/>
      <c r="V22"/>
      <c r="W22"/>
      <c r="Z22"/>
      <c r="AA22"/>
    </row>
    <row r="23" spans="1:27" x14ac:dyDescent="0.3">
      <c r="T23"/>
      <c r="U23"/>
      <c r="V23"/>
      <c r="W23"/>
    </row>
    <row r="24" spans="1:27" x14ac:dyDescent="0.3">
      <c r="A24" s="8" t="s">
        <v>221</v>
      </c>
      <c r="B24" s="102"/>
      <c r="T24"/>
      <c r="U24"/>
      <c r="V24"/>
      <c r="W24"/>
    </row>
    <row r="25" spans="1:27" x14ac:dyDescent="0.3">
      <c r="B25" s="23" t="s">
        <v>57</v>
      </c>
      <c r="T25"/>
      <c r="U25"/>
      <c r="V25"/>
      <c r="W25"/>
    </row>
    <row r="26" spans="1:27" x14ac:dyDescent="0.3">
      <c r="T26"/>
      <c r="U26"/>
      <c r="V26"/>
      <c r="W26"/>
    </row>
    <row r="27" spans="1:27" x14ac:dyDescent="0.3">
      <c r="T27"/>
      <c r="U27"/>
      <c r="V27"/>
      <c r="W27"/>
    </row>
    <row r="28" spans="1:27" x14ac:dyDescent="0.3">
      <c r="A28" s="14" t="s">
        <v>85</v>
      </c>
      <c r="T28"/>
      <c r="U28"/>
      <c r="V28"/>
      <c r="W28"/>
    </row>
    <row r="29" spans="1:27" x14ac:dyDescent="0.3">
      <c r="A29" s="14"/>
      <c r="B29" s="53"/>
      <c r="C29" s="53" t="s">
        <v>87</v>
      </c>
      <c r="T29"/>
      <c r="U29"/>
      <c r="V29"/>
      <c r="W29"/>
    </row>
    <row r="30" spans="1:27" x14ac:dyDescent="0.3">
      <c r="B30" s="23" t="s">
        <v>30</v>
      </c>
      <c r="C30" s="23">
        <v>-1</v>
      </c>
      <c r="T30"/>
      <c r="U30"/>
      <c r="V30"/>
      <c r="W30"/>
    </row>
    <row r="31" spans="1:27" x14ac:dyDescent="0.3">
      <c r="B31" s="23" t="s">
        <v>91</v>
      </c>
      <c r="C31" s="23">
        <v>-1</v>
      </c>
      <c r="T31"/>
      <c r="U31"/>
      <c r="V31"/>
      <c r="W31"/>
      <c r="AA31" s="66"/>
    </row>
    <row r="32" spans="1:27" x14ac:dyDescent="0.3">
      <c r="B32" s="23" t="s">
        <v>31</v>
      </c>
      <c r="C32" s="23">
        <v>-1</v>
      </c>
      <c r="T32"/>
      <c r="U32"/>
      <c r="V32"/>
      <c r="W32"/>
      <c r="AA32" s="66"/>
    </row>
    <row r="33" spans="1:23" x14ac:dyDescent="0.3">
      <c r="B33" s="23" t="s">
        <v>139</v>
      </c>
      <c r="C33" s="23">
        <v>1</v>
      </c>
      <c r="T33"/>
      <c r="U33"/>
      <c r="V33"/>
      <c r="W33"/>
    </row>
    <row r="34" spans="1:23" x14ac:dyDescent="0.3">
      <c r="B34" s="23" t="s">
        <v>122</v>
      </c>
      <c r="C34" s="23">
        <v>1</v>
      </c>
      <c r="T34"/>
      <c r="U34"/>
      <c r="V34"/>
      <c r="W34"/>
    </row>
    <row r="35" spans="1:23" x14ac:dyDescent="0.3">
      <c r="B35" s="23" t="s">
        <v>186</v>
      </c>
      <c r="C35" s="23">
        <v>1</v>
      </c>
      <c r="T35"/>
      <c r="U35"/>
      <c r="V35"/>
      <c r="W35"/>
    </row>
    <row r="36" spans="1:23" x14ac:dyDescent="0.3">
      <c r="B36" s="23" t="s">
        <v>170</v>
      </c>
      <c r="C36" s="23">
        <v>1</v>
      </c>
      <c r="T36"/>
      <c r="U36"/>
      <c r="V36"/>
      <c r="W36"/>
    </row>
    <row r="37" spans="1:23" x14ac:dyDescent="0.3">
      <c r="T37"/>
      <c r="U37"/>
      <c r="V37"/>
      <c r="W37"/>
    </row>
    <row r="38" spans="1:23" x14ac:dyDescent="0.3">
      <c r="T38"/>
      <c r="U38"/>
      <c r="V38"/>
      <c r="W38"/>
    </row>
    <row r="39" spans="1:23" x14ac:dyDescent="0.3">
      <c r="T39"/>
      <c r="U39"/>
      <c r="V39"/>
      <c r="W39"/>
    </row>
    <row r="40" spans="1:23" x14ac:dyDescent="0.3">
      <c r="T40"/>
      <c r="U40"/>
      <c r="V40"/>
      <c r="W40"/>
    </row>
    <row r="41" spans="1:23" x14ac:dyDescent="0.3">
      <c r="A41" s="14" t="s">
        <v>54</v>
      </c>
      <c r="T41"/>
      <c r="U41"/>
      <c r="V41"/>
      <c r="W41"/>
    </row>
    <row r="42" spans="1:23" x14ac:dyDescent="0.3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3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3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3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3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x14ac:dyDescent="0.3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3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3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3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3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3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3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3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3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3">
      <c r="O56"/>
      <c r="P56"/>
      <c r="Q56"/>
      <c r="R56"/>
      <c r="S56"/>
      <c r="T56"/>
      <c r="U56"/>
      <c r="V56"/>
      <c r="W56"/>
    </row>
    <row r="57" spans="1:23" x14ac:dyDescent="0.3">
      <c r="O57"/>
      <c r="P57"/>
      <c r="Q57"/>
      <c r="R57"/>
      <c r="S57"/>
      <c r="T57"/>
      <c r="U57"/>
      <c r="V57"/>
      <c r="W57"/>
    </row>
    <row r="58" spans="1:23" x14ac:dyDescent="0.3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3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3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3">
      <c r="B61" s="27" t="s">
        <v>4</v>
      </c>
      <c r="C61" s="27" t="s">
        <v>53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3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3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3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3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3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3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3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3">
      <c r="A69" s="8" t="s">
        <v>158</v>
      </c>
      <c r="O69"/>
      <c r="P69"/>
      <c r="Q69"/>
      <c r="R69"/>
      <c r="S69"/>
      <c r="T69"/>
      <c r="U69"/>
      <c r="V69"/>
      <c r="W69"/>
    </row>
    <row r="70" spans="1:23" x14ac:dyDescent="0.3">
      <c r="B70" s="8" t="s">
        <v>159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3">
      <c r="B71" s="8" t="s">
        <v>160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3">
      <c r="O72"/>
      <c r="P72"/>
      <c r="Q72"/>
      <c r="R72"/>
      <c r="S72"/>
      <c r="T72"/>
      <c r="U72"/>
      <c r="V72"/>
      <c r="W72"/>
    </row>
    <row r="73" spans="1:23" x14ac:dyDescent="0.3">
      <c r="O73"/>
      <c r="P73"/>
      <c r="Q73"/>
      <c r="R73"/>
      <c r="S73"/>
      <c r="T73"/>
      <c r="U73"/>
      <c r="V73"/>
      <c r="W73"/>
    </row>
    <row r="74" spans="1:23" x14ac:dyDescent="0.3">
      <c r="A74" s="8" t="s">
        <v>162</v>
      </c>
      <c r="O74"/>
      <c r="P74"/>
      <c r="Q74"/>
      <c r="R74"/>
      <c r="S74"/>
      <c r="T74"/>
      <c r="U74"/>
      <c r="V74"/>
      <c r="W74"/>
    </row>
    <row r="75" spans="1:23" x14ac:dyDescent="0.3">
      <c r="B75" s="8" t="s">
        <v>162</v>
      </c>
      <c r="C75" s="153" t="s">
        <v>161</v>
      </c>
      <c r="O75"/>
      <c r="P75"/>
      <c r="Q75"/>
      <c r="R75"/>
      <c r="S75"/>
      <c r="T75"/>
      <c r="U75"/>
      <c r="V75"/>
      <c r="W75"/>
    </row>
    <row r="76" spans="1:23" x14ac:dyDescent="0.3">
      <c r="O76"/>
      <c r="P76"/>
      <c r="Q76"/>
      <c r="R76"/>
      <c r="S76"/>
      <c r="T76"/>
      <c r="U76"/>
      <c r="V76"/>
      <c r="W76"/>
    </row>
    <row r="77" spans="1:23" x14ac:dyDescent="0.3">
      <c r="O77"/>
      <c r="P77"/>
      <c r="Q77"/>
      <c r="R77"/>
      <c r="S77"/>
      <c r="T77"/>
      <c r="U77"/>
      <c r="V77"/>
      <c r="W77"/>
    </row>
    <row r="78" spans="1:23" x14ac:dyDescent="0.3">
      <c r="A78" s="8" t="s">
        <v>189</v>
      </c>
      <c r="C78" s="8" t="s">
        <v>190</v>
      </c>
      <c r="O78"/>
      <c r="P78"/>
      <c r="Q78"/>
      <c r="R78"/>
      <c r="S78"/>
      <c r="T78"/>
      <c r="U78"/>
      <c r="V78"/>
      <c r="W78"/>
    </row>
    <row r="79" spans="1:23" x14ac:dyDescent="0.3">
      <c r="O79"/>
      <c r="P79"/>
      <c r="Q79"/>
      <c r="R79"/>
      <c r="S79"/>
      <c r="T79"/>
      <c r="U79"/>
      <c r="V79"/>
      <c r="W79"/>
    </row>
    <row r="80" spans="1:23" x14ac:dyDescent="0.3">
      <c r="O80"/>
      <c r="P80"/>
      <c r="Q80"/>
      <c r="R80"/>
      <c r="S80"/>
      <c r="T80"/>
      <c r="U80"/>
      <c r="V80"/>
      <c r="W80"/>
    </row>
    <row r="81" spans="1:23" x14ac:dyDescent="0.3">
      <c r="O81"/>
      <c r="P81"/>
      <c r="Q81"/>
      <c r="R81"/>
      <c r="S81"/>
      <c r="T81"/>
      <c r="U81"/>
      <c r="V81"/>
      <c r="W81"/>
    </row>
    <row r="82" spans="1:23" x14ac:dyDescent="0.3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3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3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3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3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3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3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3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3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3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3">
      <c r="A92" s="1"/>
      <c r="B92" s="8" t="s">
        <v>176</v>
      </c>
      <c r="F92" s="155">
        <v>6</v>
      </c>
      <c r="K92" s="1"/>
      <c r="L92" s="1"/>
      <c r="M92" s="1"/>
      <c r="N92" s="1"/>
      <c r="O92" s="1"/>
    </row>
    <row r="93" spans="1:23" x14ac:dyDescent="0.3">
      <c r="A93" s="1"/>
      <c r="B93" s="8" t="s">
        <v>177</v>
      </c>
      <c r="F93" s="155">
        <v>10</v>
      </c>
      <c r="K93" s="1"/>
      <c r="L93" s="1"/>
      <c r="M93" s="1"/>
      <c r="N93" s="1"/>
      <c r="O93" s="1"/>
    </row>
    <row r="94" spans="1:23" x14ac:dyDescent="0.3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3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3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3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3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3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3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3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3">
      <c r="T102"/>
      <c r="U102"/>
      <c r="V102"/>
      <c r="W102"/>
    </row>
    <row r="103" spans="1:25" x14ac:dyDescent="0.3">
      <c r="T103"/>
      <c r="U103"/>
      <c r="V103"/>
      <c r="W103"/>
    </row>
    <row r="104" spans="1:25" ht="14.4" x14ac:dyDescent="0.3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3">
      <c r="U105"/>
      <c r="V105"/>
      <c r="W105"/>
      <c r="X105"/>
      <c r="Y105"/>
    </row>
    <row r="106" spans="1:25" x14ac:dyDescent="0.3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158</v>
      </c>
      <c r="R106" s="8" t="s">
        <v>27</v>
      </c>
      <c r="T106" s="8" t="s">
        <v>224</v>
      </c>
      <c r="U106"/>
      <c r="V106" s="8" t="s">
        <v>234</v>
      </c>
      <c r="W106"/>
      <c r="Y106"/>
    </row>
    <row r="107" spans="1:25" x14ac:dyDescent="0.3">
      <c r="B107" s="25" t="s">
        <v>42</v>
      </c>
      <c r="C107" s="130" t="s">
        <v>136</v>
      </c>
      <c r="D107" s="130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3">
      <c r="B108" s="25" t="s">
        <v>3</v>
      </c>
      <c r="C108" s="130" t="s">
        <v>137</v>
      </c>
      <c r="D108" s="130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3">
      <c r="B109" s="25" t="s">
        <v>43</v>
      </c>
      <c r="C109" s="130" t="s">
        <v>138</v>
      </c>
      <c r="D109" s="130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235</v>
      </c>
      <c r="W109"/>
      <c r="X109"/>
      <c r="Y109"/>
    </row>
    <row r="110" spans="1:25" x14ac:dyDescent="0.3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3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3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3">
      <c r="R113" s="23">
        <f t="shared" si="1"/>
        <v>2020</v>
      </c>
      <c r="U113"/>
      <c r="V113" s="250"/>
      <c r="W113"/>
      <c r="X113"/>
      <c r="Y113"/>
    </row>
    <row r="114" spans="18:25" x14ac:dyDescent="0.3">
      <c r="R114" s="23"/>
      <c r="U114"/>
      <c r="V114" s="250"/>
      <c r="W114"/>
      <c r="X114"/>
      <c r="Y114"/>
    </row>
    <row r="115" spans="18:25" x14ac:dyDescent="0.3">
      <c r="U115"/>
      <c r="V115" s="250"/>
      <c r="W115"/>
      <c r="X115"/>
      <c r="Y115"/>
    </row>
    <row r="116" spans="18:25" x14ac:dyDescent="0.3">
      <c r="U116"/>
      <c r="V116" s="251"/>
      <c r="W116"/>
      <c r="X116"/>
      <c r="Y116"/>
    </row>
    <row r="117" spans="18:25" x14ac:dyDescent="0.3">
      <c r="U117"/>
      <c r="V117"/>
      <c r="W117"/>
      <c r="X117"/>
      <c r="Y117"/>
    </row>
    <row r="118" spans="18:25" x14ac:dyDescent="0.3">
      <c r="U118"/>
      <c r="V118"/>
      <c r="W118"/>
      <c r="X118"/>
    </row>
    <row r="119" spans="18:25" x14ac:dyDescent="0.3">
      <c r="U119"/>
      <c r="V119"/>
      <c r="W119"/>
      <c r="X119"/>
    </row>
    <row r="120" spans="18:25" x14ac:dyDescent="0.3">
      <c r="V120"/>
      <c r="W120"/>
      <c r="X120"/>
    </row>
    <row r="121" spans="18:25" x14ac:dyDescent="0.3">
      <c r="U121"/>
      <c r="V121"/>
      <c r="W121"/>
      <c r="X121"/>
    </row>
    <row r="122" spans="18:25" x14ac:dyDescent="0.3">
      <c r="U122"/>
      <c r="V122"/>
      <c r="W122"/>
      <c r="X122"/>
    </row>
    <row r="123" spans="18:25" x14ac:dyDescent="0.3">
      <c r="U123"/>
      <c r="V123"/>
      <c r="W123"/>
      <c r="X123"/>
    </row>
    <row r="124" spans="18:25" x14ac:dyDescent="0.3">
      <c r="U124"/>
      <c r="V124"/>
      <c r="W124"/>
      <c r="X124"/>
    </row>
    <row r="125" spans="18:25" x14ac:dyDescent="0.3">
      <c r="U125"/>
      <c r="V125"/>
      <c r="W125"/>
      <c r="X125"/>
    </row>
    <row r="126" spans="18:25" x14ac:dyDescent="0.3">
      <c r="U126"/>
      <c r="V126"/>
      <c r="W126"/>
      <c r="X126"/>
    </row>
    <row r="127" spans="18:25" x14ac:dyDescent="0.3">
      <c r="T127"/>
      <c r="U127"/>
      <c r="V127"/>
      <c r="W127"/>
    </row>
    <row r="128" spans="18:25" x14ac:dyDescent="0.3">
      <c r="T128"/>
      <c r="U128"/>
      <c r="V128"/>
      <c r="W128"/>
    </row>
    <row r="129" spans="20:23" x14ac:dyDescent="0.3">
      <c r="T129"/>
      <c r="U129"/>
      <c r="V129"/>
      <c r="W129"/>
    </row>
    <row r="130" spans="20:23" x14ac:dyDescent="0.3">
      <c r="T130"/>
      <c r="U130"/>
      <c r="V130"/>
      <c r="W130"/>
    </row>
    <row r="131" spans="20:23" x14ac:dyDescent="0.3">
      <c r="T131"/>
      <c r="U131"/>
      <c r="V131"/>
      <c r="W131"/>
    </row>
    <row r="132" spans="20:23" x14ac:dyDescent="0.3">
      <c r="T132"/>
      <c r="U132"/>
      <c r="V132"/>
      <c r="W132"/>
    </row>
    <row r="133" spans="20:23" x14ac:dyDescent="0.3">
      <c r="T133"/>
      <c r="U133"/>
      <c r="V133"/>
      <c r="W133"/>
    </row>
    <row r="134" spans="20:23" x14ac:dyDescent="0.3">
      <c r="T134"/>
      <c r="U134"/>
      <c r="V134"/>
      <c r="W134"/>
    </row>
    <row r="135" spans="20:23" x14ac:dyDescent="0.3">
      <c r="T135"/>
      <c r="U135"/>
      <c r="V135"/>
      <c r="W135"/>
    </row>
    <row r="136" spans="20:23" x14ac:dyDescent="0.3">
      <c r="T136"/>
      <c r="U136"/>
      <c r="V136"/>
      <c r="W136"/>
    </row>
    <row r="137" spans="20:23" x14ac:dyDescent="0.3">
      <c r="T137"/>
      <c r="U137"/>
      <c r="V137"/>
      <c r="W137"/>
    </row>
    <row r="138" spans="20:23" x14ac:dyDescent="0.3">
      <c r="T138"/>
      <c r="U138"/>
      <c r="V138"/>
      <c r="W138"/>
    </row>
    <row r="139" spans="20:23" x14ac:dyDescent="0.3">
      <c r="T139"/>
      <c r="U139"/>
      <c r="V139"/>
      <c r="W139"/>
    </row>
    <row r="140" spans="20:23" x14ac:dyDescent="0.3">
      <c r="T140"/>
      <c r="U140"/>
      <c r="V140"/>
      <c r="W140"/>
    </row>
    <row r="141" spans="20:23" x14ac:dyDescent="0.3">
      <c r="T141"/>
      <c r="U141"/>
      <c r="V141"/>
      <c r="W141"/>
    </row>
    <row r="142" spans="20:23" x14ac:dyDescent="0.3">
      <c r="T142"/>
      <c r="U142"/>
      <c r="V142"/>
      <c r="W142"/>
    </row>
    <row r="143" spans="20:23" x14ac:dyDescent="0.3">
      <c r="T143"/>
      <c r="U143"/>
      <c r="V143"/>
      <c r="W143"/>
    </row>
    <row r="144" spans="20:23" x14ac:dyDescent="0.3">
      <c r="T144"/>
      <c r="U144"/>
      <c r="V144"/>
      <c r="W144"/>
    </row>
    <row r="145" spans="20:23" x14ac:dyDescent="0.3">
      <c r="T145"/>
      <c r="U145"/>
      <c r="V145"/>
      <c r="W145"/>
    </row>
    <row r="146" spans="20:23" x14ac:dyDescent="0.3">
      <c r="T146"/>
      <c r="U146"/>
      <c r="V146"/>
      <c r="W146"/>
    </row>
    <row r="147" spans="20:23" x14ac:dyDescent="0.3">
      <c r="T147"/>
      <c r="U147"/>
      <c r="V147"/>
      <c r="W147"/>
    </row>
    <row r="148" spans="20:23" x14ac:dyDescent="0.3">
      <c r="T148"/>
      <c r="U148"/>
      <c r="V148"/>
      <c r="W148"/>
    </row>
    <row r="149" spans="20:23" x14ac:dyDescent="0.3">
      <c r="T149"/>
      <c r="U149"/>
      <c r="V149"/>
      <c r="W149"/>
    </row>
    <row r="150" spans="20:23" x14ac:dyDescent="0.3">
      <c r="T150"/>
      <c r="U150"/>
      <c r="V150"/>
      <c r="W150"/>
    </row>
    <row r="151" spans="20:23" x14ac:dyDescent="0.3">
      <c r="T151"/>
      <c r="U151"/>
      <c r="V151"/>
      <c r="W151"/>
    </row>
    <row r="152" spans="20:23" x14ac:dyDescent="0.3">
      <c r="T152"/>
      <c r="U152"/>
      <c r="V152"/>
      <c r="W152"/>
    </row>
    <row r="153" spans="20:23" x14ac:dyDescent="0.3">
      <c r="T153"/>
      <c r="U153"/>
      <c r="V153"/>
      <c r="W153"/>
    </row>
    <row r="154" spans="20:23" x14ac:dyDescent="0.3">
      <c r="T154"/>
      <c r="U154"/>
      <c r="V154"/>
      <c r="W154"/>
    </row>
    <row r="155" spans="20:23" x14ac:dyDescent="0.3">
      <c r="T155"/>
      <c r="U155"/>
      <c r="V155"/>
      <c r="W155"/>
    </row>
    <row r="156" spans="20:23" x14ac:dyDescent="0.3">
      <c r="T156"/>
      <c r="U156"/>
      <c r="V156"/>
      <c r="W156"/>
    </row>
    <row r="157" spans="20:23" x14ac:dyDescent="0.3">
      <c r="T157"/>
      <c r="U157"/>
      <c r="V157"/>
      <c r="W157"/>
    </row>
    <row r="158" spans="20:23" x14ac:dyDescent="0.3">
      <c r="T158"/>
      <c r="U158"/>
      <c r="V158"/>
      <c r="W158"/>
    </row>
    <row r="159" spans="20:23" x14ac:dyDescent="0.3">
      <c r="T159"/>
      <c r="U159"/>
      <c r="V159"/>
      <c r="W159"/>
    </row>
    <row r="160" spans="20:23" x14ac:dyDescent="0.3">
      <c r="T160"/>
      <c r="U160"/>
      <c r="V160"/>
      <c r="W160"/>
    </row>
    <row r="161" spans="20:23" x14ac:dyDescent="0.3">
      <c r="T161"/>
      <c r="U161"/>
      <c r="V161"/>
      <c r="W161"/>
    </row>
    <row r="162" spans="20:23" x14ac:dyDescent="0.3">
      <c r="T162"/>
      <c r="U162"/>
      <c r="V162"/>
      <c r="W162"/>
    </row>
    <row r="163" spans="20:23" x14ac:dyDescent="0.3">
      <c r="T163"/>
      <c r="U163"/>
      <c r="V163"/>
      <c r="W163"/>
    </row>
    <row r="164" spans="20:23" x14ac:dyDescent="0.3">
      <c r="T164"/>
      <c r="U164"/>
      <c r="V164"/>
      <c r="W164"/>
    </row>
    <row r="165" spans="20:23" x14ac:dyDescent="0.3">
      <c r="T165"/>
      <c r="U165"/>
      <c r="V165"/>
      <c r="W165"/>
    </row>
    <row r="166" spans="20:23" x14ac:dyDescent="0.3">
      <c r="T166"/>
      <c r="U166"/>
      <c r="V166"/>
      <c r="W166"/>
    </row>
    <row r="167" spans="20:23" x14ac:dyDescent="0.3">
      <c r="T167"/>
      <c r="U167"/>
      <c r="V167"/>
      <c r="W167"/>
    </row>
    <row r="168" spans="20:23" x14ac:dyDescent="0.3">
      <c r="T168"/>
      <c r="U168"/>
      <c r="V168"/>
      <c r="W168"/>
    </row>
    <row r="169" spans="20:23" x14ac:dyDescent="0.3">
      <c r="T169"/>
      <c r="U169"/>
      <c r="V169"/>
      <c r="W169"/>
    </row>
    <row r="170" spans="20:23" x14ac:dyDescent="0.3">
      <c r="T170"/>
      <c r="U170"/>
      <c r="V170"/>
      <c r="W170"/>
    </row>
    <row r="171" spans="20:23" x14ac:dyDescent="0.3">
      <c r="T171"/>
      <c r="U171"/>
      <c r="V171"/>
      <c r="W171"/>
    </row>
    <row r="172" spans="20:23" x14ac:dyDescent="0.3">
      <c r="T172"/>
      <c r="U172"/>
      <c r="V172"/>
      <c r="W172"/>
    </row>
    <row r="173" spans="20:23" x14ac:dyDescent="0.3">
      <c r="T173"/>
      <c r="U173"/>
      <c r="V173"/>
      <c r="W173"/>
    </row>
    <row r="174" spans="20:23" x14ac:dyDescent="0.3">
      <c r="T174"/>
      <c r="U174"/>
      <c r="V174"/>
      <c r="W174"/>
    </row>
    <row r="175" spans="20:23" x14ac:dyDescent="0.3">
      <c r="T175"/>
      <c r="U175"/>
      <c r="V175"/>
      <c r="W175"/>
    </row>
    <row r="176" spans="20:23" x14ac:dyDescent="0.3">
      <c r="T176"/>
      <c r="U176"/>
      <c r="V176"/>
      <c r="W176"/>
    </row>
    <row r="177" spans="20:23" x14ac:dyDescent="0.3">
      <c r="T177"/>
      <c r="U177"/>
      <c r="V177"/>
      <c r="W177"/>
    </row>
    <row r="178" spans="20:23" x14ac:dyDescent="0.3">
      <c r="T178"/>
      <c r="U178"/>
      <c r="V178"/>
      <c r="W178"/>
    </row>
    <row r="179" spans="20:23" x14ac:dyDescent="0.3">
      <c r="T179"/>
      <c r="U179"/>
      <c r="V179"/>
      <c r="W179"/>
    </row>
    <row r="180" spans="20:23" x14ac:dyDescent="0.3">
      <c r="T180"/>
      <c r="U180"/>
      <c r="V180"/>
      <c r="W180"/>
    </row>
    <row r="181" spans="20:23" x14ac:dyDescent="0.3">
      <c r="T181"/>
      <c r="U181"/>
      <c r="V181"/>
      <c r="W181"/>
    </row>
    <row r="182" spans="20:23" x14ac:dyDescent="0.3">
      <c r="T182"/>
      <c r="U182"/>
      <c r="V182"/>
      <c r="W182"/>
    </row>
    <row r="183" spans="20:23" x14ac:dyDescent="0.3">
      <c r="T183"/>
      <c r="U183"/>
      <c r="V183"/>
      <c r="W183"/>
    </row>
    <row r="184" spans="20:23" x14ac:dyDescent="0.3">
      <c r="T184"/>
      <c r="U184"/>
      <c r="V184"/>
      <c r="W184"/>
    </row>
    <row r="185" spans="20:23" x14ac:dyDescent="0.3">
      <c r="T185"/>
      <c r="U185"/>
      <c r="V185"/>
      <c r="W185"/>
    </row>
    <row r="186" spans="20:23" x14ac:dyDescent="0.3">
      <c r="T186"/>
      <c r="U186"/>
      <c r="V186"/>
      <c r="W186"/>
    </row>
    <row r="187" spans="20:23" x14ac:dyDescent="0.3">
      <c r="T187"/>
      <c r="U187"/>
      <c r="V187"/>
      <c r="W187"/>
    </row>
    <row r="188" spans="20:23" x14ac:dyDescent="0.3">
      <c r="T188"/>
      <c r="U188"/>
      <c r="V188"/>
      <c r="W188"/>
    </row>
    <row r="189" spans="20:23" x14ac:dyDescent="0.3">
      <c r="T189"/>
      <c r="U189"/>
      <c r="V189"/>
      <c r="W189"/>
    </row>
    <row r="190" spans="20:23" x14ac:dyDescent="0.3">
      <c r="T190"/>
      <c r="U190"/>
      <c r="V190"/>
      <c r="W190"/>
    </row>
    <row r="191" spans="20:23" x14ac:dyDescent="0.3">
      <c r="T191"/>
      <c r="U191"/>
      <c r="V191"/>
      <c r="W191"/>
    </row>
    <row r="192" spans="20:23" x14ac:dyDescent="0.3">
      <c r="T192"/>
      <c r="U192"/>
      <c r="V192"/>
      <c r="W192"/>
    </row>
    <row r="193" spans="20:23" x14ac:dyDescent="0.3">
      <c r="T193"/>
      <c r="U193"/>
      <c r="V193"/>
      <c r="W193"/>
    </row>
    <row r="194" spans="20:23" x14ac:dyDescent="0.3">
      <c r="T194"/>
      <c r="U194"/>
      <c r="V194"/>
      <c r="W194"/>
    </row>
    <row r="195" spans="20:23" x14ac:dyDescent="0.3">
      <c r="T195"/>
      <c r="U195"/>
      <c r="V195"/>
      <c r="W195"/>
    </row>
    <row r="196" spans="20:23" x14ac:dyDescent="0.3">
      <c r="T196"/>
      <c r="U196"/>
      <c r="V196"/>
      <c r="W196"/>
    </row>
    <row r="197" spans="20:23" x14ac:dyDescent="0.3">
      <c r="T197"/>
      <c r="U197"/>
      <c r="V197"/>
      <c r="W197"/>
    </row>
    <row r="198" spans="20:23" x14ac:dyDescent="0.3">
      <c r="T198"/>
      <c r="U198"/>
      <c r="V198"/>
      <c r="W198"/>
    </row>
    <row r="199" spans="20:23" x14ac:dyDescent="0.3">
      <c r="T199"/>
      <c r="U199"/>
      <c r="V199"/>
      <c r="W199"/>
    </row>
    <row r="200" spans="20:23" x14ac:dyDescent="0.3">
      <c r="T200"/>
      <c r="U200"/>
      <c r="V200"/>
      <c r="W200"/>
    </row>
    <row r="201" spans="20:23" x14ac:dyDescent="0.3">
      <c r="T201"/>
      <c r="U201"/>
      <c r="V201"/>
      <c r="W201"/>
    </row>
    <row r="202" spans="20:23" x14ac:dyDescent="0.3">
      <c r="T202"/>
      <c r="U202"/>
      <c r="V202"/>
      <c r="W202"/>
    </row>
    <row r="203" spans="20:23" x14ac:dyDescent="0.3">
      <c r="T203"/>
      <c r="U203"/>
      <c r="V203"/>
      <c r="W203"/>
    </row>
    <row r="204" spans="20:23" x14ac:dyDescent="0.3">
      <c r="T204"/>
      <c r="U204"/>
      <c r="V204"/>
      <c r="W204"/>
    </row>
    <row r="205" spans="20:23" x14ac:dyDescent="0.3">
      <c r="T205"/>
      <c r="U205"/>
      <c r="V205"/>
      <c r="W205"/>
    </row>
    <row r="206" spans="20:23" x14ac:dyDescent="0.3">
      <c r="T206"/>
      <c r="U206"/>
      <c r="V206"/>
      <c r="W206"/>
    </row>
    <row r="207" spans="20:23" x14ac:dyDescent="0.3">
      <c r="T207"/>
      <c r="U207"/>
      <c r="V207"/>
      <c r="W207"/>
    </row>
    <row r="208" spans="20:23" x14ac:dyDescent="0.3">
      <c r="T208"/>
      <c r="U208"/>
      <c r="V208"/>
      <c r="W208"/>
    </row>
    <row r="209" spans="20:23" x14ac:dyDescent="0.3">
      <c r="T209"/>
      <c r="U209"/>
      <c r="V209"/>
      <c r="W209"/>
    </row>
    <row r="210" spans="20:23" x14ac:dyDescent="0.3">
      <c r="T210"/>
      <c r="U210"/>
      <c r="V210"/>
      <c r="W210"/>
    </row>
    <row r="211" spans="20:23" x14ac:dyDescent="0.3">
      <c r="T211"/>
      <c r="U211"/>
      <c r="V211"/>
      <c r="W211"/>
    </row>
    <row r="212" spans="20:23" x14ac:dyDescent="0.3">
      <c r="T212"/>
      <c r="U212"/>
      <c r="V212"/>
      <c r="W212"/>
    </row>
    <row r="213" spans="20:23" x14ac:dyDescent="0.3">
      <c r="T213"/>
      <c r="U213"/>
      <c r="V213"/>
      <c r="W213"/>
    </row>
    <row r="214" spans="20:23" x14ac:dyDescent="0.3">
      <c r="T214"/>
      <c r="U214"/>
      <c r="V214"/>
      <c r="W214"/>
    </row>
    <row r="215" spans="20:23" x14ac:dyDescent="0.3">
      <c r="T215"/>
      <c r="U215"/>
      <c r="V215"/>
      <c r="W215"/>
    </row>
    <row r="216" spans="20:23" x14ac:dyDescent="0.3">
      <c r="T216"/>
      <c r="U216"/>
      <c r="V216"/>
      <c r="W216"/>
    </row>
    <row r="217" spans="20:23" x14ac:dyDescent="0.3">
      <c r="T217"/>
      <c r="U217"/>
      <c r="V217"/>
      <c r="W217"/>
    </row>
    <row r="218" spans="20:23" x14ac:dyDescent="0.3">
      <c r="T218"/>
      <c r="U218"/>
      <c r="V218"/>
      <c r="W218"/>
    </row>
    <row r="219" spans="20:23" x14ac:dyDescent="0.3">
      <c r="T219"/>
      <c r="U219"/>
      <c r="V219"/>
      <c r="W219"/>
    </row>
    <row r="220" spans="20:23" x14ac:dyDescent="0.3">
      <c r="T220"/>
      <c r="U220"/>
      <c r="V220"/>
      <c r="W220"/>
    </row>
    <row r="221" spans="20:23" x14ac:dyDescent="0.3">
      <c r="T221"/>
      <c r="U221"/>
      <c r="V221"/>
      <c r="W221"/>
    </row>
    <row r="222" spans="20:23" x14ac:dyDescent="0.3">
      <c r="T222"/>
      <c r="U222"/>
      <c r="V222"/>
      <c r="W222"/>
    </row>
    <row r="223" spans="20:23" x14ac:dyDescent="0.3">
      <c r="T223"/>
      <c r="U223"/>
      <c r="V223"/>
      <c r="W223"/>
    </row>
    <row r="224" spans="20:23" x14ac:dyDescent="0.3">
      <c r="T224"/>
      <c r="U224"/>
      <c r="V224"/>
      <c r="W224"/>
    </row>
    <row r="225" spans="20:23" x14ac:dyDescent="0.3">
      <c r="T225"/>
      <c r="U225"/>
      <c r="V225"/>
      <c r="W225"/>
    </row>
    <row r="226" spans="20:23" x14ac:dyDescent="0.3">
      <c r="T226"/>
      <c r="U226"/>
      <c r="V226"/>
      <c r="W226"/>
    </row>
    <row r="227" spans="20:23" x14ac:dyDescent="0.3">
      <c r="T227"/>
      <c r="U227"/>
      <c r="V227"/>
      <c r="W227"/>
    </row>
    <row r="228" spans="20:23" x14ac:dyDescent="0.3">
      <c r="T228"/>
      <c r="U228"/>
      <c r="V228"/>
      <c r="W228"/>
    </row>
    <row r="229" spans="20:23" x14ac:dyDescent="0.3">
      <c r="T229"/>
      <c r="U229"/>
      <c r="V229"/>
      <c r="W229"/>
    </row>
    <row r="230" spans="20:23" x14ac:dyDescent="0.3">
      <c r="T230"/>
      <c r="U230"/>
      <c r="V230"/>
      <c r="W230"/>
    </row>
    <row r="231" spans="20:23" x14ac:dyDescent="0.3">
      <c r="T231"/>
      <c r="U231"/>
      <c r="V231"/>
      <c r="W231"/>
    </row>
    <row r="232" spans="20:23" x14ac:dyDescent="0.3">
      <c r="T232"/>
      <c r="U232"/>
      <c r="V232"/>
      <c r="W232"/>
    </row>
    <row r="233" spans="20:23" x14ac:dyDescent="0.3">
      <c r="T233"/>
      <c r="U233"/>
      <c r="V233"/>
      <c r="W233"/>
    </row>
    <row r="234" spans="20:23" x14ac:dyDescent="0.3">
      <c r="T234"/>
      <c r="U234"/>
      <c r="V234"/>
      <c r="W234"/>
    </row>
    <row r="235" spans="20:23" x14ac:dyDescent="0.3">
      <c r="T235"/>
      <c r="U235"/>
      <c r="V235"/>
      <c r="W235"/>
    </row>
    <row r="236" spans="20:23" x14ac:dyDescent="0.3">
      <c r="T236"/>
      <c r="U236"/>
      <c r="V236"/>
      <c r="W236"/>
    </row>
    <row r="237" spans="20:23" x14ac:dyDescent="0.3">
      <c r="T237"/>
      <c r="U237"/>
      <c r="V237"/>
      <c r="W237"/>
    </row>
    <row r="238" spans="20:23" x14ac:dyDescent="0.3">
      <c r="T238"/>
      <c r="U238"/>
      <c r="V238"/>
      <c r="W238"/>
    </row>
    <row r="239" spans="20:23" x14ac:dyDescent="0.3">
      <c r="T239"/>
      <c r="U239"/>
      <c r="V239"/>
      <c r="W239"/>
    </row>
    <row r="240" spans="20:23" x14ac:dyDescent="0.3">
      <c r="T240"/>
      <c r="U240"/>
      <c r="V240"/>
      <c r="W240"/>
    </row>
    <row r="241" spans="20:23" x14ac:dyDescent="0.3">
      <c r="T241"/>
      <c r="U241"/>
      <c r="V241"/>
      <c r="W241"/>
    </row>
    <row r="242" spans="20:23" x14ac:dyDescent="0.3">
      <c r="T242"/>
      <c r="U242"/>
      <c r="V242"/>
      <c r="W242"/>
    </row>
    <row r="243" spans="20:23" x14ac:dyDescent="0.3">
      <c r="T243"/>
      <c r="U243"/>
      <c r="V243"/>
      <c r="W243"/>
    </row>
    <row r="244" spans="20:23" x14ac:dyDescent="0.3">
      <c r="T244"/>
      <c r="U244"/>
      <c r="V244"/>
      <c r="W244"/>
    </row>
    <row r="245" spans="20:23" x14ac:dyDescent="0.3">
      <c r="T245"/>
      <c r="U245"/>
      <c r="V245"/>
      <c r="W245"/>
    </row>
    <row r="246" spans="20:23" x14ac:dyDescent="0.3">
      <c r="T246"/>
      <c r="U246"/>
      <c r="V246"/>
      <c r="W246"/>
    </row>
    <row r="247" spans="20:23" x14ac:dyDescent="0.3">
      <c r="T247"/>
      <c r="U247"/>
      <c r="V247"/>
      <c r="W247"/>
    </row>
    <row r="248" spans="20:23" x14ac:dyDescent="0.3">
      <c r="T248"/>
      <c r="U248"/>
      <c r="V248"/>
      <c r="W248"/>
    </row>
    <row r="249" spans="20:23" x14ac:dyDescent="0.3">
      <c r="T249"/>
      <c r="U249"/>
      <c r="V249"/>
      <c r="W249"/>
    </row>
    <row r="250" spans="20:23" x14ac:dyDescent="0.3">
      <c r="T250"/>
      <c r="U250"/>
      <c r="V250"/>
      <c r="W250"/>
    </row>
    <row r="251" spans="20:23" x14ac:dyDescent="0.3">
      <c r="T251"/>
      <c r="U251"/>
      <c r="V251"/>
      <c r="W251"/>
    </row>
    <row r="252" spans="20:23" x14ac:dyDescent="0.3">
      <c r="T252"/>
      <c r="U252"/>
      <c r="V252"/>
      <c r="W252"/>
    </row>
    <row r="253" spans="20:23" x14ac:dyDescent="0.3">
      <c r="T253"/>
      <c r="U253"/>
      <c r="V253"/>
      <c r="W253"/>
    </row>
    <row r="254" spans="20:23" x14ac:dyDescent="0.3">
      <c r="T254"/>
      <c r="U254"/>
      <c r="V254"/>
      <c r="W254"/>
    </row>
    <row r="255" spans="20:23" x14ac:dyDescent="0.3">
      <c r="T255"/>
      <c r="U255"/>
      <c r="V255"/>
      <c r="W255"/>
    </row>
    <row r="256" spans="20:23" x14ac:dyDescent="0.3">
      <c r="T256"/>
      <c r="U256"/>
      <c r="V256"/>
      <c r="W256"/>
    </row>
    <row r="257" spans="20:23" x14ac:dyDescent="0.3">
      <c r="T257"/>
      <c r="U257"/>
      <c r="V257"/>
      <c r="W257"/>
    </row>
    <row r="258" spans="20:23" x14ac:dyDescent="0.3">
      <c r="T258"/>
      <c r="U258"/>
      <c r="V258"/>
      <c r="W258"/>
    </row>
    <row r="259" spans="20:23" x14ac:dyDescent="0.3">
      <c r="T259"/>
      <c r="U259"/>
      <c r="V259"/>
      <c r="W259"/>
    </row>
    <row r="260" spans="20:23" x14ac:dyDescent="0.3">
      <c r="T260"/>
      <c r="U260"/>
      <c r="V260"/>
      <c r="W260"/>
    </row>
    <row r="261" spans="20:23" x14ac:dyDescent="0.3">
      <c r="T261"/>
      <c r="U261"/>
      <c r="V261"/>
      <c r="W261"/>
    </row>
    <row r="262" spans="20:23" x14ac:dyDescent="0.3">
      <c r="T262"/>
      <c r="U262"/>
      <c r="V262"/>
      <c r="W262"/>
    </row>
    <row r="263" spans="20:23" x14ac:dyDescent="0.3">
      <c r="T263"/>
      <c r="U263"/>
      <c r="V263"/>
    </row>
    <row r="264" spans="20:23" x14ac:dyDescent="0.3">
      <c r="T264"/>
      <c r="U264"/>
      <c r="V264"/>
    </row>
    <row r="265" spans="20:23" x14ac:dyDescent="0.3">
      <c r="T265"/>
      <c r="U265"/>
      <c r="V265"/>
    </row>
    <row r="266" spans="20:23" x14ac:dyDescent="0.3">
      <c r="T266"/>
      <c r="U266"/>
      <c r="V266"/>
    </row>
    <row r="267" spans="20:23" x14ac:dyDescent="0.3">
      <c r="T267"/>
      <c r="U267"/>
      <c r="V267"/>
    </row>
    <row r="268" spans="20:23" x14ac:dyDescent="0.3">
      <c r="T268"/>
      <c r="U268"/>
      <c r="V268"/>
    </row>
    <row r="269" spans="20:23" x14ac:dyDescent="0.3">
      <c r="T269"/>
      <c r="U269"/>
      <c r="V269"/>
    </row>
    <row r="270" spans="20:23" x14ac:dyDescent="0.3">
      <c r="T270"/>
      <c r="U270"/>
      <c r="V270"/>
    </row>
    <row r="271" spans="20:23" x14ac:dyDescent="0.3">
      <c r="T271"/>
      <c r="U271"/>
      <c r="V271"/>
    </row>
    <row r="272" spans="20:23" x14ac:dyDescent="0.3">
      <c r="T272"/>
      <c r="U272"/>
      <c r="V272"/>
    </row>
    <row r="273" spans="20:22" x14ac:dyDescent="0.3">
      <c r="T273"/>
      <c r="U273"/>
      <c r="V273"/>
    </row>
    <row r="274" spans="20:22" x14ac:dyDescent="0.3">
      <c r="T274"/>
      <c r="U274"/>
      <c r="V274"/>
    </row>
    <row r="275" spans="20:22" x14ac:dyDescent="0.3">
      <c r="T275"/>
      <c r="U275"/>
      <c r="V275"/>
    </row>
    <row r="276" spans="20:22" x14ac:dyDescent="0.3">
      <c r="T276"/>
      <c r="U276"/>
      <c r="V276"/>
    </row>
    <row r="277" spans="20:22" x14ac:dyDescent="0.3">
      <c r="T277"/>
      <c r="U277"/>
      <c r="V277"/>
    </row>
    <row r="278" spans="20:22" x14ac:dyDescent="0.3">
      <c r="T278"/>
      <c r="U278"/>
      <c r="V278"/>
    </row>
    <row r="279" spans="20:22" x14ac:dyDescent="0.3">
      <c r="T279"/>
      <c r="U279"/>
      <c r="V279"/>
    </row>
    <row r="280" spans="20:22" x14ac:dyDescent="0.3">
      <c r="T280"/>
      <c r="U280"/>
      <c r="V280"/>
    </row>
    <row r="281" spans="20:22" x14ac:dyDescent="0.3">
      <c r="T281"/>
      <c r="U281"/>
      <c r="V281"/>
    </row>
    <row r="282" spans="20:22" x14ac:dyDescent="0.3">
      <c r="T282"/>
      <c r="U282"/>
      <c r="V282"/>
    </row>
    <row r="283" spans="20:22" x14ac:dyDescent="0.3">
      <c r="T283"/>
      <c r="U283"/>
      <c r="V283"/>
    </row>
    <row r="284" spans="20:22" x14ac:dyDescent="0.3">
      <c r="T284"/>
      <c r="U284"/>
      <c r="V284"/>
    </row>
    <row r="285" spans="20:22" x14ac:dyDescent="0.3">
      <c r="T285"/>
      <c r="U285"/>
      <c r="V285"/>
    </row>
    <row r="286" spans="20:22" x14ac:dyDescent="0.3">
      <c r="T286"/>
      <c r="U286"/>
      <c r="V286"/>
    </row>
    <row r="287" spans="20:22" x14ac:dyDescent="0.3">
      <c r="T287"/>
      <c r="U287"/>
      <c r="V287"/>
    </row>
    <row r="288" spans="20:22" x14ac:dyDescent="0.3">
      <c r="T288"/>
      <c r="U288"/>
      <c r="V288"/>
    </row>
    <row r="289" spans="20:22" x14ac:dyDescent="0.3">
      <c r="T289"/>
      <c r="U289"/>
      <c r="V289"/>
    </row>
    <row r="290" spans="20:22" x14ac:dyDescent="0.3">
      <c r="T290"/>
      <c r="U290"/>
      <c r="V290"/>
    </row>
    <row r="291" spans="20:22" x14ac:dyDescent="0.3">
      <c r="T291"/>
      <c r="U291"/>
      <c r="V291"/>
    </row>
    <row r="292" spans="20:22" x14ac:dyDescent="0.3">
      <c r="T292"/>
      <c r="U292"/>
      <c r="V292"/>
    </row>
    <row r="293" spans="20:22" x14ac:dyDescent="0.3">
      <c r="T293"/>
      <c r="U293"/>
      <c r="V293"/>
    </row>
    <row r="294" spans="20:22" x14ac:dyDescent="0.3">
      <c r="T294"/>
      <c r="U294"/>
      <c r="V294"/>
    </row>
    <row r="295" spans="20:22" x14ac:dyDescent="0.3">
      <c r="T295"/>
      <c r="U295"/>
      <c r="V295"/>
    </row>
    <row r="296" spans="20:22" x14ac:dyDescent="0.3">
      <c r="T296"/>
      <c r="U296"/>
      <c r="V296"/>
    </row>
    <row r="297" spans="20:22" x14ac:dyDescent="0.3">
      <c r="T297"/>
      <c r="U297"/>
      <c r="V297"/>
    </row>
    <row r="298" spans="20:22" x14ac:dyDescent="0.3">
      <c r="T298"/>
      <c r="U298"/>
      <c r="V298"/>
    </row>
    <row r="299" spans="20:22" x14ac:dyDescent="0.3">
      <c r="T299"/>
      <c r="U299"/>
      <c r="V299"/>
    </row>
    <row r="300" spans="20:22" x14ac:dyDescent="0.3">
      <c r="T300"/>
      <c r="U300"/>
      <c r="V300"/>
    </row>
    <row r="301" spans="20:22" x14ac:dyDescent="0.3">
      <c r="T301"/>
      <c r="U301"/>
      <c r="V301"/>
    </row>
    <row r="302" spans="20:22" x14ac:dyDescent="0.3">
      <c r="T302"/>
      <c r="U302"/>
      <c r="V302"/>
    </row>
    <row r="303" spans="20:22" x14ac:dyDescent="0.3">
      <c r="T303"/>
      <c r="U303"/>
      <c r="V303"/>
    </row>
    <row r="304" spans="20:22" x14ac:dyDescent="0.3">
      <c r="T304"/>
      <c r="U304"/>
      <c r="V304"/>
    </row>
    <row r="305" spans="20:22" x14ac:dyDescent="0.3">
      <c r="T305"/>
      <c r="U305"/>
      <c r="V305"/>
    </row>
    <row r="306" spans="20:22" x14ac:dyDescent="0.3">
      <c r="T306"/>
      <c r="U306"/>
      <c r="V306"/>
    </row>
    <row r="307" spans="20:22" x14ac:dyDescent="0.3">
      <c r="T307"/>
      <c r="U307"/>
      <c r="V307"/>
    </row>
    <row r="308" spans="20:22" x14ac:dyDescent="0.3">
      <c r="T308"/>
      <c r="U308"/>
      <c r="V308"/>
    </row>
    <row r="309" spans="20:22" x14ac:dyDescent="0.3">
      <c r="T309"/>
      <c r="U309"/>
      <c r="V309"/>
    </row>
    <row r="310" spans="20:22" x14ac:dyDescent="0.3">
      <c r="T310"/>
      <c r="U310"/>
      <c r="V310"/>
    </row>
    <row r="311" spans="20:22" x14ac:dyDescent="0.3">
      <c r="T311"/>
      <c r="U311"/>
      <c r="V311"/>
    </row>
    <row r="312" spans="20:22" x14ac:dyDescent="0.3">
      <c r="T312"/>
      <c r="U312"/>
      <c r="V312"/>
    </row>
    <row r="313" spans="20:22" x14ac:dyDescent="0.3">
      <c r="T313"/>
      <c r="U313"/>
      <c r="V313"/>
    </row>
    <row r="314" spans="20:22" x14ac:dyDescent="0.3">
      <c r="T314"/>
      <c r="U314"/>
      <c r="V314"/>
    </row>
    <row r="315" spans="20:22" x14ac:dyDescent="0.3">
      <c r="T315"/>
      <c r="U315"/>
    </row>
    <row r="316" spans="20:22" x14ac:dyDescent="0.3">
      <c r="T316"/>
      <c r="U316"/>
    </row>
    <row r="317" spans="20:22" x14ac:dyDescent="0.3">
      <c r="T317"/>
      <c r="U317"/>
    </row>
    <row r="318" spans="20:22" x14ac:dyDescent="0.3">
      <c r="T318"/>
      <c r="U318"/>
    </row>
    <row r="319" spans="20:22" x14ac:dyDescent="0.3">
      <c r="T319"/>
      <c r="U319"/>
    </row>
    <row r="320" spans="20:22" x14ac:dyDescent="0.3">
      <c r="T320"/>
    </row>
    <row r="321" spans="20:20" x14ac:dyDescent="0.3">
      <c r="T321"/>
    </row>
    <row r="322" spans="20:20" x14ac:dyDescent="0.3">
      <c r="T322"/>
    </row>
    <row r="323" spans="20:20" x14ac:dyDescent="0.3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2025-01-31T03:03:02Z</dcterms:modified>
</cp:coreProperties>
</file>