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C6E9DCE2-3BA7-4A35-96A3-0A187DAABD01}" xr6:coauthVersionLast="47" xr6:coauthVersionMax="47" xr10:uidLastSave="{00000000-0000-0000-0000-000000000000}"/>
  <bookViews>
    <workbookView xWindow="-18570" yWindow="-163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8" r:id="rId11"/>
    <sheet name="Workings_risks" sheetId="87" r:id="rId12"/>
    <sheet name="Misc_calcs" sheetId="62" r:id="rId13"/>
    <sheet name="Data" sheetId="47" r:id="rId14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Assumptions!$A$1:$P$119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87" l="1"/>
  <c r="H73" i="88"/>
  <c r="H62" i="88"/>
  <c r="H51" i="88"/>
  <c r="H40" i="88"/>
  <c r="F13" i="87" l="1"/>
  <c r="F12" i="87"/>
  <c r="J86" i="87" l="1"/>
  <c r="K82" i="87"/>
  <c r="L82" i="87"/>
  <c r="M82" i="87"/>
  <c r="N82" i="87"/>
  <c r="O82" i="87"/>
  <c r="P86" i="87"/>
  <c r="Q86" i="87"/>
  <c r="R82" i="87"/>
  <c r="S86" i="87"/>
  <c r="W86" i="87"/>
  <c r="X86" i="87"/>
  <c r="Y82" i="87"/>
  <c r="Z86" i="87"/>
  <c r="AA82" i="87"/>
  <c r="AB82" i="87"/>
  <c r="AC82" i="87"/>
  <c r="AD82" i="87"/>
  <c r="AE82" i="87"/>
  <c r="AF82" i="87"/>
  <c r="W82" i="87"/>
  <c r="X82" i="87"/>
  <c r="AF99" i="87"/>
  <c r="AE99" i="87"/>
  <c r="AD99" i="87"/>
  <c r="AC99" i="87"/>
  <c r="I82" i="87"/>
  <c r="AC40" i="87"/>
  <c r="AD40" i="87"/>
  <c r="AE40" i="87"/>
  <c r="AF40" i="87"/>
  <c r="AC90" i="87"/>
  <c r="AD90" i="87"/>
  <c r="AE90" i="87"/>
  <c r="AF90" i="87"/>
  <c r="AC97" i="87"/>
  <c r="AD97" i="87"/>
  <c r="AE97" i="87"/>
  <c r="AF97" i="87"/>
  <c r="AC124" i="87"/>
  <c r="AC126" i="87" s="1"/>
  <c r="AD124" i="87"/>
  <c r="AD126" i="87" s="1"/>
  <c r="AE124" i="87"/>
  <c r="AE126" i="87" s="1"/>
  <c r="AF124" i="87"/>
  <c r="AF126" i="87" s="1"/>
  <c r="AC132" i="87"/>
  <c r="AD132" i="87"/>
  <c r="AE132" i="87"/>
  <c r="AF132" i="87"/>
  <c r="AC139" i="87"/>
  <c r="AD139" i="87"/>
  <c r="AE139" i="87"/>
  <c r="AF139" i="87"/>
  <c r="AC166" i="87"/>
  <c r="AC168" i="87" s="1"/>
  <c r="AD166" i="87"/>
  <c r="AD168" i="87" s="1"/>
  <c r="AE166" i="87"/>
  <c r="AE168" i="87" s="1"/>
  <c r="AF166" i="87"/>
  <c r="AF168" i="87" s="1"/>
  <c r="AC174" i="87"/>
  <c r="AD174" i="87"/>
  <c r="AE174" i="87"/>
  <c r="AF174" i="87"/>
  <c r="AC180" i="87"/>
  <c r="AD180" i="87"/>
  <c r="AE180" i="87"/>
  <c r="AF180" i="87"/>
  <c r="AC207" i="87"/>
  <c r="AC209" i="87" s="1"/>
  <c r="AD207" i="87"/>
  <c r="AD209" i="87" s="1"/>
  <c r="AE207" i="87"/>
  <c r="AE209" i="87" s="1"/>
  <c r="AF207" i="87"/>
  <c r="AF209" i="87" s="1"/>
  <c r="AC215" i="87"/>
  <c r="AD215" i="87"/>
  <c r="AE215" i="87"/>
  <c r="AF215" i="87"/>
  <c r="AC222" i="87"/>
  <c r="AD222" i="87"/>
  <c r="AE222" i="87"/>
  <c r="AF222" i="87"/>
  <c r="H23" i="87"/>
  <c r="H28" i="87" s="1"/>
  <c r="I32" i="87" s="1"/>
  <c r="H190" i="87"/>
  <c r="H195" i="87" s="1"/>
  <c r="H107" i="87"/>
  <c r="H112" i="87" s="1"/>
  <c r="H149" i="87"/>
  <c r="H154" i="87" s="1"/>
  <c r="I158" i="87" s="1"/>
  <c r="H65" i="87"/>
  <c r="H70" i="87" s="1"/>
  <c r="I71" i="87" s="1"/>
  <c r="K49" i="88"/>
  <c r="B70" i="88"/>
  <c r="B71" i="88" s="1"/>
  <c r="B72" i="88" s="1"/>
  <c r="B73" i="88" s="1"/>
  <c r="B59" i="88"/>
  <c r="B60" i="88" s="1"/>
  <c r="B61" i="88" s="1"/>
  <c r="B62" i="88" s="1"/>
  <c r="G62" i="88" s="1"/>
  <c r="B48" i="88"/>
  <c r="B49" i="88" s="1"/>
  <c r="B50" i="88" s="1"/>
  <c r="B51" i="88" s="1"/>
  <c r="G51" i="88" s="1"/>
  <c r="B37" i="88"/>
  <c r="B38" i="88" s="1"/>
  <c r="B39" i="88" s="1"/>
  <c r="B40" i="88" s="1"/>
  <c r="G40" i="88" s="1"/>
  <c r="B26" i="88"/>
  <c r="B27" i="88" s="1"/>
  <c r="B28" i="88" s="1"/>
  <c r="B29" i="88" s="1"/>
  <c r="G29" i="88" s="1"/>
  <c r="AC22" i="87" s="1"/>
  <c r="AC46" i="87" s="1"/>
  <c r="AC48" i="87" s="1"/>
  <c r="C17" i="88" a="1"/>
  <c r="C17" i="88" s="1"/>
  <c r="F98" i="87"/>
  <c r="G98" i="87" s="1"/>
  <c r="F99" i="87"/>
  <c r="G99" i="87" s="1"/>
  <c r="F100" i="87"/>
  <c r="G100" i="87" s="1"/>
  <c r="F97" i="87"/>
  <c r="G97" i="87" s="1"/>
  <c r="G56" i="87"/>
  <c r="G57" i="87"/>
  <c r="G58" i="87"/>
  <c r="G55" i="87"/>
  <c r="B98" i="87"/>
  <c r="B99" i="87"/>
  <c r="B100" i="87"/>
  <c r="B97" i="87"/>
  <c r="W40" i="87"/>
  <c r="W42" i="87" s="1"/>
  <c r="X40" i="87"/>
  <c r="X42" i="87" s="1"/>
  <c r="Y40" i="87"/>
  <c r="Y42" i="87" s="1"/>
  <c r="Z40" i="87"/>
  <c r="Z42" i="87" s="1"/>
  <c r="AA40" i="87"/>
  <c r="AA42" i="87" s="1"/>
  <c r="AB40" i="87"/>
  <c r="AB42" i="87" s="1"/>
  <c r="W90" i="87"/>
  <c r="X90" i="87"/>
  <c r="Y90" i="87"/>
  <c r="Z90" i="87"/>
  <c r="AA90" i="87"/>
  <c r="AB90" i="87"/>
  <c r="W97" i="87"/>
  <c r="X97" i="87"/>
  <c r="Y97" i="87"/>
  <c r="Z97" i="87"/>
  <c r="AA97" i="87"/>
  <c r="AB97" i="87"/>
  <c r="W124" i="87"/>
  <c r="W126" i="87" s="1"/>
  <c r="X124" i="87"/>
  <c r="X126" i="87" s="1"/>
  <c r="Y124" i="87"/>
  <c r="Y126" i="87" s="1"/>
  <c r="Z124" i="87"/>
  <c r="Z126" i="87" s="1"/>
  <c r="AA124" i="87"/>
  <c r="AA126" i="87" s="1"/>
  <c r="AB124" i="87"/>
  <c r="AB126" i="87" s="1"/>
  <c r="W132" i="87"/>
  <c r="X132" i="87"/>
  <c r="Y132" i="87"/>
  <c r="Z132" i="87"/>
  <c r="AA132" i="87"/>
  <c r="AB132" i="87"/>
  <c r="W139" i="87"/>
  <c r="X139" i="87"/>
  <c r="Y139" i="87"/>
  <c r="Z139" i="87"/>
  <c r="AA139" i="87"/>
  <c r="AB139" i="87"/>
  <c r="W166" i="87"/>
  <c r="W168" i="87" s="1"/>
  <c r="X166" i="87"/>
  <c r="X168" i="87" s="1"/>
  <c r="Y166" i="87"/>
  <c r="Y168" i="87" s="1"/>
  <c r="Z166" i="87"/>
  <c r="Z168" i="87" s="1"/>
  <c r="AA166" i="87"/>
  <c r="AA168" i="87" s="1"/>
  <c r="AB166" i="87"/>
  <c r="AB168" i="87" s="1"/>
  <c r="W174" i="87"/>
  <c r="X174" i="87"/>
  <c r="Y174" i="87"/>
  <c r="Z174" i="87"/>
  <c r="AA174" i="87"/>
  <c r="AB174" i="87"/>
  <c r="W180" i="87"/>
  <c r="X180" i="87"/>
  <c r="Y180" i="87"/>
  <c r="Z180" i="87"/>
  <c r="AA180" i="87"/>
  <c r="AB180" i="87"/>
  <c r="W207" i="87"/>
  <c r="W209" i="87" s="1"/>
  <c r="X207" i="87"/>
  <c r="X209" i="87" s="1"/>
  <c r="Y207" i="87"/>
  <c r="Y209" i="87" s="1"/>
  <c r="Z207" i="87"/>
  <c r="Z209" i="87" s="1"/>
  <c r="AA207" i="87"/>
  <c r="AA209" i="87" s="1"/>
  <c r="AB207" i="87"/>
  <c r="AB209" i="87" s="1"/>
  <c r="W215" i="87"/>
  <c r="X215" i="87"/>
  <c r="Y215" i="87"/>
  <c r="Z215" i="87"/>
  <c r="AA215" i="87"/>
  <c r="AB215" i="87"/>
  <c r="W222" i="87"/>
  <c r="X222" i="87"/>
  <c r="Y222" i="87"/>
  <c r="Z222" i="87"/>
  <c r="AA222" i="87"/>
  <c r="AB222" i="87"/>
  <c r="J74" i="88"/>
  <c r="K71" i="88"/>
  <c r="J63" i="88"/>
  <c r="K60" i="88"/>
  <c r="J52" i="88"/>
  <c r="K27" i="88"/>
  <c r="K38" i="88"/>
  <c r="L38" i="88" s="1"/>
  <c r="V222" i="87"/>
  <c r="U222" i="87"/>
  <c r="F218" i="87" a="1"/>
  <c r="F218" i="87" s="1"/>
  <c r="V215" i="87"/>
  <c r="V207" i="87"/>
  <c r="V209" i="87" s="1"/>
  <c r="U207" i="87"/>
  <c r="U209" i="87" s="1"/>
  <c r="T207" i="87"/>
  <c r="S207" i="87"/>
  <c r="S209" i="87" s="1"/>
  <c r="R207" i="87"/>
  <c r="Q207" i="87"/>
  <c r="P207" i="87"/>
  <c r="O207" i="87"/>
  <c r="O209" i="87" s="1"/>
  <c r="N207" i="87"/>
  <c r="N209" i="87" s="1"/>
  <c r="M207" i="87"/>
  <c r="M209" i="87" s="1"/>
  <c r="L207" i="87"/>
  <c r="L209" i="87" s="1"/>
  <c r="K207" i="87"/>
  <c r="K209" i="87" s="1"/>
  <c r="J207" i="87"/>
  <c r="I207" i="87"/>
  <c r="F200" i="87"/>
  <c r="V180" i="87"/>
  <c r="U180" i="87"/>
  <c r="F177" i="87" a="1"/>
  <c r="F177" i="87" s="1"/>
  <c r="V174" i="87"/>
  <c r="V166" i="87"/>
  <c r="V168" i="87" s="1"/>
  <c r="U166" i="87"/>
  <c r="U168" i="87" s="1"/>
  <c r="T166" i="87"/>
  <c r="S166" i="87"/>
  <c r="R166" i="87"/>
  <c r="Q166" i="87"/>
  <c r="P166" i="87"/>
  <c r="O166" i="87"/>
  <c r="N166" i="87"/>
  <c r="N168" i="87" s="1"/>
  <c r="M166" i="87"/>
  <c r="M168" i="87" s="1"/>
  <c r="L166" i="87"/>
  <c r="L168" i="87" s="1"/>
  <c r="K166" i="87"/>
  <c r="J166" i="87"/>
  <c r="I166" i="87"/>
  <c r="F159" i="87"/>
  <c r="V139" i="87"/>
  <c r="U139" i="87"/>
  <c r="F135" i="87" a="1"/>
  <c r="F135" i="87" s="1"/>
  <c r="V132" i="87"/>
  <c r="V124" i="87"/>
  <c r="V126" i="87" s="1"/>
  <c r="U124" i="87"/>
  <c r="U126" i="87" s="1"/>
  <c r="T124" i="87"/>
  <c r="T126" i="87" s="1"/>
  <c r="S124" i="87"/>
  <c r="S126" i="87" s="1"/>
  <c r="R124" i="87"/>
  <c r="R126" i="87" s="1"/>
  <c r="Q124" i="87"/>
  <c r="Q126" i="87" s="1"/>
  <c r="P124" i="87"/>
  <c r="P126" i="87" s="1"/>
  <c r="O124" i="87"/>
  <c r="O126" i="87" s="1"/>
  <c r="N124" i="87"/>
  <c r="N126" i="87" s="1"/>
  <c r="M124" i="87"/>
  <c r="M126" i="87" s="1"/>
  <c r="L124" i="87"/>
  <c r="K124" i="87"/>
  <c r="K126" i="87" s="1"/>
  <c r="J124" i="87"/>
  <c r="I124" i="87"/>
  <c r="F117" i="87"/>
  <c r="AG33" i="81" l="1"/>
  <c r="Z30" i="81"/>
  <c r="P82" i="87"/>
  <c r="Q82" i="87"/>
  <c r="B52" i="88"/>
  <c r="B53" i="88" s="1"/>
  <c r="B54" i="88" s="1"/>
  <c r="B55" i="88" s="1"/>
  <c r="G55" i="88" s="1"/>
  <c r="B63" i="88"/>
  <c r="B64" i="88" s="1"/>
  <c r="B65" i="88" s="1"/>
  <c r="B66" i="88" s="1"/>
  <c r="J82" i="87"/>
  <c r="AF22" i="87"/>
  <c r="AF46" i="87" s="1"/>
  <c r="AF48" i="87" s="1"/>
  <c r="AF58" i="87" s="1"/>
  <c r="AF33" i="68" s="1"/>
  <c r="AE22" i="87"/>
  <c r="AE46" i="87" s="1"/>
  <c r="AE48" i="87" s="1"/>
  <c r="AE58" i="87" s="1"/>
  <c r="AE33" i="68" s="1"/>
  <c r="AD22" i="87"/>
  <c r="AD46" i="87" s="1"/>
  <c r="AD48" i="87" s="1"/>
  <c r="AD58" i="87" s="1"/>
  <c r="AD33" i="68" s="1"/>
  <c r="B30" i="88"/>
  <c r="B31" i="88" s="1"/>
  <c r="B32" i="88" s="1"/>
  <c r="B33" i="88" s="1"/>
  <c r="G33" i="88" s="1"/>
  <c r="B41" i="88"/>
  <c r="B42" i="88" s="1"/>
  <c r="B43" i="88" s="1"/>
  <c r="B44" i="88" s="1"/>
  <c r="G44" i="88" s="1"/>
  <c r="AD86" i="87"/>
  <c r="I74" i="87"/>
  <c r="I155" i="87"/>
  <c r="V86" i="87"/>
  <c r="V82" i="87"/>
  <c r="I199" i="87"/>
  <c r="I196" i="87"/>
  <c r="I113" i="87"/>
  <c r="I116" i="87"/>
  <c r="U86" i="87"/>
  <c r="U82" i="87"/>
  <c r="T86" i="87"/>
  <c r="T82" i="87"/>
  <c r="AD32" i="81"/>
  <c r="AG31" i="81"/>
  <c r="I86" i="87"/>
  <c r="AB30" i="81"/>
  <c r="AA86" i="87"/>
  <c r="AC32" i="81"/>
  <c r="AG32" i="81"/>
  <c r="AE32" i="81"/>
  <c r="AG30" i="81"/>
  <c r="AF32" i="81"/>
  <c r="AC30" i="81"/>
  <c r="R86" i="87"/>
  <c r="AA30" i="81"/>
  <c r="AB86" i="87"/>
  <c r="Y30" i="81"/>
  <c r="W30" i="81"/>
  <c r="S82" i="87"/>
  <c r="X30" i="81"/>
  <c r="AC86" i="87"/>
  <c r="Y86" i="87"/>
  <c r="Z82" i="87"/>
  <c r="K86" i="87"/>
  <c r="AE86" i="87"/>
  <c r="L86" i="87"/>
  <c r="AF86" i="87"/>
  <c r="M86" i="87"/>
  <c r="N86" i="87"/>
  <c r="O86" i="87"/>
  <c r="AC58" i="87"/>
  <c r="AC33" i="68" s="1"/>
  <c r="AF30" i="81"/>
  <c r="AE30" i="81"/>
  <c r="AF42" i="87"/>
  <c r="AD30" i="81"/>
  <c r="AE42" i="87"/>
  <c r="AD42" i="87"/>
  <c r="AC42" i="87"/>
  <c r="W99" i="87"/>
  <c r="W32" i="81" s="1"/>
  <c r="F139" i="87"/>
  <c r="F141" i="87"/>
  <c r="F142" i="87"/>
  <c r="Y99" i="87"/>
  <c r="Y32" i="81" s="1"/>
  <c r="F140" i="87"/>
  <c r="AB99" i="87"/>
  <c r="AB32" i="81" s="1"/>
  <c r="AA99" i="87"/>
  <c r="AA32" i="81" s="1"/>
  <c r="Z99" i="87"/>
  <c r="Z32" i="81" s="1"/>
  <c r="X99" i="87"/>
  <c r="X32" i="81" s="1"/>
  <c r="H27" i="88"/>
  <c r="L27" i="88" s="1"/>
  <c r="M27" i="88" s="1"/>
  <c r="G66" i="88"/>
  <c r="G73" i="88"/>
  <c r="B74" i="88"/>
  <c r="B75" i="88" s="1"/>
  <c r="B76" i="88" s="1"/>
  <c r="B77" i="88" s="1"/>
  <c r="L49" i="88"/>
  <c r="M49" i="88" s="1"/>
  <c r="M38" i="88"/>
  <c r="N38" i="88" s="1"/>
  <c r="L71" i="88"/>
  <c r="L60" i="88"/>
  <c r="P209" i="87"/>
  <c r="Q209" i="87"/>
  <c r="R209" i="87"/>
  <c r="T209" i="87"/>
  <c r="I209" i="87"/>
  <c r="J209" i="87"/>
  <c r="K168" i="87"/>
  <c r="O168" i="87"/>
  <c r="P168" i="87"/>
  <c r="Q168" i="87"/>
  <c r="R168" i="87"/>
  <c r="S168" i="87"/>
  <c r="T168" i="87"/>
  <c r="I168" i="87"/>
  <c r="J168" i="87"/>
  <c r="L126" i="87"/>
  <c r="I126" i="87"/>
  <c r="J126" i="87"/>
  <c r="AG31" i="68"/>
  <c r="AG32" i="68"/>
  <c r="AG33" i="68"/>
  <c r="AG30" i="68"/>
  <c r="V90" i="87"/>
  <c r="V97" i="87"/>
  <c r="V30" i="81" s="1"/>
  <c r="U97" i="87"/>
  <c r="U30" i="81" s="1"/>
  <c r="F75" i="87"/>
  <c r="F93" i="87" a="1"/>
  <c r="F93" i="87" s="1"/>
  <c r="F51" i="87" a="1"/>
  <c r="F51" i="87" s="1"/>
  <c r="I135" i="87" s="1"/>
  <c r="I139" i="87" s="1"/>
  <c r="J40" i="87"/>
  <c r="K40" i="87"/>
  <c r="L40" i="87"/>
  <c r="M40" i="87"/>
  <c r="N40" i="87"/>
  <c r="O40" i="87"/>
  <c r="P40" i="87"/>
  <c r="Q40" i="87"/>
  <c r="R40" i="87"/>
  <c r="S40" i="87"/>
  <c r="T40" i="87"/>
  <c r="U40" i="87"/>
  <c r="V40" i="87"/>
  <c r="I40" i="87"/>
  <c r="J41" i="88"/>
  <c r="J30" i="88"/>
  <c r="K29" i="88" s="1"/>
  <c r="I22" i="87" s="1"/>
  <c r="I24" i="87" s="1"/>
  <c r="H12" i="88"/>
  <c r="A2" i="88"/>
  <c r="A1" i="88"/>
  <c r="A2" i="87"/>
  <c r="A1" i="87"/>
  <c r="A40" i="86"/>
  <c r="AF51" i="87" l="1"/>
  <c r="AF55" i="87" s="1"/>
  <c r="AF30" i="68" s="1"/>
  <c r="AE51" i="87"/>
  <c r="AE55" i="87" s="1"/>
  <c r="AE30" i="68" s="1"/>
  <c r="AC51" i="87"/>
  <c r="AC55" i="87" s="1"/>
  <c r="AC30" i="68" s="1"/>
  <c r="AD51" i="87"/>
  <c r="AD55" i="87" s="1"/>
  <c r="AD30" i="68" s="1"/>
  <c r="AE148" i="87"/>
  <c r="AC64" i="87"/>
  <c r="AD64" i="87"/>
  <c r="AE64" i="87"/>
  <c r="AE106" i="87"/>
  <c r="AD148" i="87"/>
  <c r="AE189" i="87"/>
  <c r="AD189" i="87"/>
  <c r="AC189" i="87"/>
  <c r="AF64" i="87"/>
  <c r="AF189" i="87"/>
  <c r="AC148" i="87"/>
  <c r="AC106" i="87"/>
  <c r="AF148" i="87"/>
  <c r="AF106" i="87"/>
  <c r="I23" i="87"/>
  <c r="I28" i="87" s="1"/>
  <c r="J32" i="87" s="1"/>
  <c r="AD106" i="87"/>
  <c r="I177" i="87"/>
  <c r="I180" i="87" s="1"/>
  <c r="J135" i="87"/>
  <c r="J139" i="87" s="1"/>
  <c r="G141" i="87"/>
  <c r="F182" i="87"/>
  <c r="G140" i="87"/>
  <c r="F181" i="87"/>
  <c r="J218" i="87"/>
  <c r="J222" i="87" s="1"/>
  <c r="T177" i="87"/>
  <c r="T180" i="87" s="1"/>
  <c r="L177" i="87"/>
  <c r="L180" i="87" s="1"/>
  <c r="G142" i="87"/>
  <c r="F183" i="87"/>
  <c r="G139" i="87"/>
  <c r="I30" i="72" s="1"/>
  <c r="F180" i="87"/>
  <c r="G77" i="88"/>
  <c r="AE14" i="68" s="1"/>
  <c r="K73" i="88"/>
  <c r="I189" i="87" s="1"/>
  <c r="K62" i="88"/>
  <c r="I148" i="87" s="1"/>
  <c r="K51" i="88"/>
  <c r="I106" i="87" s="1"/>
  <c r="K40" i="88"/>
  <c r="N49" i="88"/>
  <c r="M60" i="88"/>
  <c r="N60" i="88" s="1"/>
  <c r="N27" i="88"/>
  <c r="O27" i="88" s="1"/>
  <c r="I46" i="87"/>
  <c r="I48" i="87" s="1"/>
  <c r="W51" i="87"/>
  <c r="W55" i="87" s="1"/>
  <c r="X51" i="87"/>
  <c r="X55" i="87" s="1"/>
  <c r="X30" i="68" s="1"/>
  <c r="Y51" i="87"/>
  <c r="Y55" i="87" s="1"/>
  <c r="Z51" i="87"/>
  <c r="Z55" i="87" s="1"/>
  <c r="AA51" i="87"/>
  <c r="AA55" i="87" s="1"/>
  <c r="AB51" i="87"/>
  <c r="AB55" i="87" s="1"/>
  <c r="T135" i="87"/>
  <c r="T139" i="87" s="1"/>
  <c r="M135" i="87"/>
  <c r="M139" i="87" s="1"/>
  <c r="Q177" i="87"/>
  <c r="Q180" i="87" s="1"/>
  <c r="R135" i="87"/>
  <c r="R139" i="87" s="1"/>
  <c r="S218" i="87"/>
  <c r="S222" i="87" s="1"/>
  <c r="O177" i="87"/>
  <c r="O180" i="87" s="1"/>
  <c r="L135" i="87"/>
  <c r="L139" i="87" s="1"/>
  <c r="Q135" i="87"/>
  <c r="Q139" i="87" s="1"/>
  <c r="P135" i="87"/>
  <c r="P139" i="87" s="1"/>
  <c r="R218" i="87"/>
  <c r="R222" i="87" s="1"/>
  <c r="Q218" i="87"/>
  <c r="Q222" i="87" s="1"/>
  <c r="J177" i="87"/>
  <c r="J180" i="87" s="1"/>
  <c r="P177" i="87"/>
  <c r="P180" i="87" s="1"/>
  <c r="S177" i="87"/>
  <c r="S180" i="87" s="1"/>
  <c r="R177" i="87"/>
  <c r="R180" i="87" s="1"/>
  <c r="S135" i="87"/>
  <c r="S139" i="87" s="1"/>
  <c r="T218" i="87"/>
  <c r="T222" i="87" s="1"/>
  <c r="K177" i="87"/>
  <c r="K180" i="87" s="1"/>
  <c r="M177" i="87"/>
  <c r="M180" i="87" s="1"/>
  <c r="P218" i="87"/>
  <c r="P222" i="87" s="1"/>
  <c r="O135" i="87"/>
  <c r="O139" i="87" s="1"/>
  <c r="N218" i="87"/>
  <c r="N222" i="87" s="1"/>
  <c r="M218" i="87"/>
  <c r="M222" i="87" s="1"/>
  <c r="L218" i="87"/>
  <c r="L222" i="87" s="1"/>
  <c r="K218" i="87"/>
  <c r="K222" i="87" s="1"/>
  <c r="O218" i="87"/>
  <c r="O222" i="87" s="1"/>
  <c r="K135" i="87"/>
  <c r="K139" i="87" s="1"/>
  <c r="N135" i="87"/>
  <c r="N139" i="87" s="1"/>
  <c r="N177" i="87"/>
  <c r="N180" i="87" s="1"/>
  <c r="I218" i="87"/>
  <c r="I222" i="87" s="1"/>
  <c r="O38" i="88"/>
  <c r="P38" i="88" s="1"/>
  <c r="M71" i="88"/>
  <c r="N71" i="88" s="1"/>
  <c r="I51" i="87"/>
  <c r="I55" i="87" s="1"/>
  <c r="I30" i="68" s="1"/>
  <c r="M51" i="87"/>
  <c r="M55" i="87" s="1"/>
  <c r="M30" i="68" s="1"/>
  <c r="K51" i="87"/>
  <c r="K55" i="87" s="1"/>
  <c r="K30" i="68" s="1"/>
  <c r="L51" i="87"/>
  <c r="L55" i="87" s="1"/>
  <c r="L30" i="68" s="1"/>
  <c r="O51" i="87"/>
  <c r="O55" i="87" s="1"/>
  <c r="O30" i="68" s="1"/>
  <c r="N51" i="87"/>
  <c r="N55" i="87" s="1"/>
  <c r="N30" i="68" s="1"/>
  <c r="V99" i="87"/>
  <c r="V32" i="81" s="1"/>
  <c r="P51" i="87"/>
  <c r="P55" i="87" s="1"/>
  <c r="P30" i="68" s="1"/>
  <c r="V51" i="87"/>
  <c r="V55" i="87" s="1"/>
  <c r="V30" i="68" s="1"/>
  <c r="T51" i="87"/>
  <c r="T55" i="87" s="1"/>
  <c r="T30" i="68" s="1"/>
  <c r="Q51" i="87"/>
  <c r="Q55" i="87" s="1"/>
  <c r="Q30" i="68" s="1"/>
  <c r="J51" i="87"/>
  <c r="J55" i="87" s="1"/>
  <c r="J30" i="68" s="1"/>
  <c r="U51" i="87"/>
  <c r="U55" i="87" s="1"/>
  <c r="U30" i="68" s="1"/>
  <c r="S51" i="87"/>
  <c r="S55" i="87" s="1"/>
  <c r="S30" i="68" s="1"/>
  <c r="R51" i="87"/>
  <c r="R55" i="87" s="1"/>
  <c r="R30" i="68" s="1"/>
  <c r="I99" i="87"/>
  <c r="I32" i="81" s="1"/>
  <c r="J99" i="87"/>
  <c r="J32" i="81" s="1"/>
  <c r="K99" i="87"/>
  <c r="K32" i="81" s="1"/>
  <c r="L99" i="87"/>
  <c r="L32" i="81" s="1"/>
  <c r="M99" i="87"/>
  <c r="M32" i="81" s="1"/>
  <c r="N99" i="87"/>
  <c r="N32" i="81" s="1"/>
  <c r="O99" i="87"/>
  <c r="O32" i="81" s="1"/>
  <c r="P99" i="87"/>
  <c r="P32" i="81" s="1"/>
  <c r="Q99" i="87"/>
  <c r="Q32" i="81" s="1"/>
  <c r="R99" i="87"/>
  <c r="R32" i="81" s="1"/>
  <c r="S99" i="87"/>
  <c r="S32" i="81" s="1"/>
  <c r="T99" i="87"/>
  <c r="T32" i="81" s="1"/>
  <c r="U99" i="87"/>
  <c r="U32" i="81" s="1"/>
  <c r="J93" i="87"/>
  <c r="J97" i="87" s="1"/>
  <c r="J30" i="81" s="1"/>
  <c r="S93" i="87"/>
  <c r="S97" i="87" s="1"/>
  <c r="S30" i="81" s="1"/>
  <c r="R93" i="87"/>
  <c r="R97" i="87" s="1"/>
  <c r="R30" i="81" s="1"/>
  <c r="Q93" i="87"/>
  <c r="Q97" i="87" s="1"/>
  <c r="Q30" i="81" s="1"/>
  <c r="P93" i="87"/>
  <c r="P97" i="87" s="1"/>
  <c r="P30" i="81" s="1"/>
  <c r="O93" i="87"/>
  <c r="O97" i="87" s="1"/>
  <c r="O30" i="81" s="1"/>
  <c r="N93" i="87"/>
  <c r="N97" i="87" s="1"/>
  <c r="N30" i="81" s="1"/>
  <c r="M93" i="87"/>
  <c r="M97" i="87" s="1"/>
  <c r="M30" i="81" s="1"/>
  <c r="L93" i="87"/>
  <c r="L97" i="87" s="1"/>
  <c r="L30" i="81" s="1"/>
  <c r="K93" i="87"/>
  <c r="K97" i="87" s="1"/>
  <c r="K30" i="81" s="1"/>
  <c r="I93" i="87"/>
  <c r="T93" i="87"/>
  <c r="T97" i="87" s="1"/>
  <c r="T30" i="81" s="1"/>
  <c r="I29" i="87" l="1"/>
  <c r="I130" i="87"/>
  <c r="I132" i="87" s="1"/>
  <c r="I107" i="87"/>
  <c r="I108" i="87"/>
  <c r="I150" i="87"/>
  <c r="I172" i="87"/>
  <c r="I174" i="87" s="1"/>
  <c r="I149" i="87"/>
  <c r="K41" i="88"/>
  <c r="L40" i="88" s="1"/>
  <c r="J64" i="87" s="1"/>
  <c r="I64" i="87"/>
  <c r="I88" i="87" s="1"/>
  <c r="I90" i="87" s="1"/>
  <c r="I191" i="87"/>
  <c r="I190" i="87"/>
  <c r="I213" i="87"/>
  <c r="I215" i="87" s="1"/>
  <c r="AA30" i="72"/>
  <c r="AB30" i="72"/>
  <c r="AE30" i="73"/>
  <c r="AD30" i="73"/>
  <c r="Z30" i="72"/>
  <c r="AF30" i="73"/>
  <c r="AG32" i="82"/>
  <c r="W30" i="72"/>
  <c r="V30" i="72"/>
  <c r="Y30" i="72"/>
  <c r="X30" i="72"/>
  <c r="AC30" i="72"/>
  <c r="AF30" i="72"/>
  <c r="AG32" i="72"/>
  <c r="AG33" i="72"/>
  <c r="AG31" i="72"/>
  <c r="U30" i="72"/>
  <c r="AE30" i="72"/>
  <c r="AD30" i="72"/>
  <c r="AG30" i="72"/>
  <c r="K30" i="73"/>
  <c r="R30" i="73"/>
  <c r="P30" i="72"/>
  <c r="N30" i="72"/>
  <c r="Q30" i="72"/>
  <c r="K30" i="72"/>
  <c r="L30" i="72"/>
  <c r="R30" i="72"/>
  <c r="M30" i="72"/>
  <c r="O30" i="72"/>
  <c r="T30" i="72"/>
  <c r="S30" i="72"/>
  <c r="J30" i="72"/>
  <c r="G180" i="87"/>
  <c r="Y30" i="73" s="1"/>
  <c r="F222" i="87"/>
  <c r="G222" i="87" s="1"/>
  <c r="G181" i="87"/>
  <c r="F223" i="87"/>
  <c r="G223" i="87" s="1"/>
  <c r="G183" i="87"/>
  <c r="F225" i="87"/>
  <c r="G225" i="87" s="1"/>
  <c r="G182" i="87"/>
  <c r="F224" i="87"/>
  <c r="G224" i="87" s="1"/>
  <c r="AA14" i="72"/>
  <c r="Y14" i="73"/>
  <c r="AF14" i="72"/>
  <c r="AA14" i="73"/>
  <c r="AG14" i="73"/>
  <c r="AC14" i="73"/>
  <c r="AD14" i="73"/>
  <c r="AE14" i="73"/>
  <c r="Z14" i="73"/>
  <c r="AF14" i="73"/>
  <c r="AB14" i="73"/>
  <c r="Z14" i="72"/>
  <c r="AG14" i="72"/>
  <c r="AB14" i="81"/>
  <c r="Y14" i="81"/>
  <c r="Z14" i="81"/>
  <c r="Y14" i="72"/>
  <c r="AC14" i="72"/>
  <c r="AE14" i="72"/>
  <c r="AA14" i="81"/>
  <c r="AD14" i="72"/>
  <c r="AB14" i="72"/>
  <c r="AC14" i="68"/>
  <c r="AG14" i="81"/>
  <c r="AF14" i="81"/>
  <c r="AC14" i="81"/>
  <c r="AD14" i="81"/>
  <c r="AE14" i="81"/>
  <c r="AD14" i="68"/>
  <c r="AG14" i="68"/>
  <c r="AF14" i="68"/>
  <c r="AG14" i="82"/>
  <c r="AC14" i="82"/>
  <c r="AE14" i="82"/>
  <c r="AF14" i="82"/>
  <c r="Z14" i="82"/>
  <c r="AD14" i="82"/>
  <c r="Y14" i="82"/>
  <c r="AA14" i="82"/>
  <c r="AB14" i="82"/>
  <c r="Q38" i="88"/>
  <c r="R38" i="88" s="1"/>
  <c r="S38" i="88" s="1"/>
  <c r="T38" i="88" s="1"/>
  <c r="O49" i="88"/>
  <c r="K30" i="88"/>
  <c r="K32" i="88"/>
  <c r="K33" i="88"/>
  <c r="I14" i="68" s="1"/>
  <c r="O60" i="88"/>
  <c r="P60" i="88" s="1"/>
  <c r="P27" i="88"/>
  <c r="Q27" i="88" s="1"/>
  <c r="R27" i="88" s="1"/>
  <c r="K77" i="88"/>
  <c r="I14" i="82" s="1"/>
  <c r="K76" i="88"/>
  <c r="K74" i="88"/>
  <c r="L73" i="88" s="1"/>
  <c r="K65" i="88"/>
  <c r="K63" i="88"/>
  <c r="L62" i="88" s="1"/>
  <c r="J148" i="87" s="1"/>
  <c r="K66" i="88"/>
  <c r="I14" i="73" s="1"/>
  <c r="K55" i="88"/>
  <c r="I14" i="72" s="1"/>
  <c r="K52" i="88"/>
  <c r="L51" i="88" s="1"/>
  <c r="J106" i="87" s="1"/>
  <c r="J130" i="87" s="1"/>
  <c r="J132" i="87" s="1"/>
  <c r="K54" i="88"/>
  <c r="AB30" i="68"/>
  <c r="AA30" i="68"/>
  <c r="Z30" i="68"/>
  <c r="Y30" i="68"/>
  <c r="W30" i="68"/>
  <c r="I58" i="87"/>
  <c r="I33" i="68" s="1"/>
  <c r="O71" i="88"/>
  <c r="P71" i="88" s="1"/>
  <c r="Q71" i="88" s="1"/>
  <c r="K43" i="88"/>
  <c r="I97" i="87"/>
  <c r="I30" i="81" s="1"/>
  <c r="K44" i="88"/>
  <c r="I14" i="81" s="1"/>
  <c r="I9" i="68"/>
  <c r="J172" i="87" l="1"/>
  <c r="J174" i="87" s="1"/>
  <c r="X13" i="87"/>
  <c r="T30" i="73"/>
  <c r="N30" i="73"/>
  <c r="X30" i="73"/>
  <c r="V30" i="73"/>
  <c r="AG33" i="82"/>
  <c r="J30" i="82"/>
  <c r="P30" i="82"/>
  <c r="Z30" i="73"/>
  <c r="S30" i="82"/>
  <c r="Q30" i="82"/>
  <c r="W30" i="82"/>
  <c r="AA30" i="73"/>
  <c r="V30" i="82"/>
  <c r="AA30" i="82"/>
  <c r="AG31" i="73"/>
  <c r="X30" i="82"/>
  <c r="AG33" i="73"/>
  <c r="AB30" i="73"/>
  <c r="R30" i="82"/>
  <c r="T30" i="82"/>
  <c r="U30" i="73"/>
  <c r="U30" i="82"/>
  <c r="I30" i="82"/>
  <c r="N30" i="82"/>
  <c r="M30" i="82"/>
  <c r="AC30" i="82"/>
  <c r="J150" i="87"/>
  <c r="I195" i="87"/>
  <c r="I65" i="87"/>
  <c r="I66" i="87"/>
  <c r="J66" i="87" s="1"/>
  <c r="L77" i="88"/>
  <c r="J14" i="82" s="1"/>
  <c r="J189" i="87"/>
  <c r="J149" i="87"/>
  <c r="I154" i="87"/>
  <c r="J108" i="87"/>
  <c r="I112" i="87"/>
  <c r="J107" i="87"/>
  <c r="L30" i="82"/>
  <c r="AD30" i="82"/>
  <c r="J30" i="73"/>
  <c r="AE30" i="82"/>
  <c r="P30" i="73"/>
  <c r="O30" i="82"/>
  <c r="AG30" i="73"/>
  <c r="AG30" i="82"/>
  <c r="AB30" i="82"/>
  <c r="K30" i="82"/>
  <c r="I30" i="73"/>
  <c r="S30" i="73"/>
  <c r="Z30" i="82"/>
  <c r="M30" i="73"/>
  <c r="AC30" i="73"/>
  <c r="Q30" i="73"/>
  <c r="Y30" i="82"/>
  <c r="L30" i="73"/>
  <c r="AF30" i="82"/>
  <c r="AG32" i="73"/>
  <c r="O30" i="73"/>
  <c r="W30" i="73"/>
  <c r="AG31" i="82"/>
  <c r="P49" i="88"/>
  <c r="L29" i="88"/>
  <c r="U38" i="88"/>
  <c r="V38" i="88" s="1"/>
  <c r="S27" i="88"/>
  <c r="T27" i="88" s="1"/>
  <c r="Q60" i="88"/>
  <c r="R60" i="88" s="1"/>
  <c r="S60" i="88" s="1"/>
  <c r="R71" i="88"/>
  <c r="S71" i="88" s="1"/>
  <c r="L52" i="88"/>
  <c r="M51" i="88" s="1"/>
  <c r="K106" i="87" s="1"/>
  <c r="K130" i="87" s="1"/>
  <c r="K132" i="87" s="1"/>
  <c r="L63" i="88"/>
  <c r="M62" i="88" s="1"/>
  <c r="K148" i="87" s="1"/>
  <c r="L66" i="88"/>
  <c r="L65" i="88"/>
  <c r="L55" i="88"/>
  <c r="J14" i="72" s="1"/>
  <c r="L54" i="88"/>
  <c r="L74" i="88"/>
  <c r="M73" i="88" s="1"/>
  <c r="K189" i="87" s="1"/>
  <c r="K213" i="87" s="1"/>
  <c r="K215" i="87" s="1"/>
  <c r="L76" i="88"/>
  <c r="L43" i="88"/>
  <c r="J88" i="87"/>
  <c r="J90" i="87" s="1"/>
  <c r="L44" i="88"/>
  <c r="J14" i="81" s="1"/>
  <c r="L41" i="88"/>
  <c r="M40" i="88" s="1"/>
  <c r="K64" i="87" s="1"/>
  <c r="H9" i="68"/>
  <c r="H9" i="75" s="1"/>
  <c r="H5" i="75" s="1"/>
  <c r="C25" i="62"/>
  <c r="A2" i="43"/>
  <c r="J14" i="73" l="1"/>
  <c r="K108" i="87"/>
  <c r="L30" i="88"/>
  <c r="J22" i="87"/>
  <c r="J112" i="87"/>
  <c r="K107" i="87"/>
  <c r="J116" i="87"/>
  <c r="J113" i="87"/>
  <c r="J155" i="87"/>
  <c r="J158" i="87"/>
  <c r="J154" i="87"/>
  <c r="K149" i="87"/>
  <c r="K172" i="87"/>
  <c r="K174" i="87" s="1"/>
  <c r="K150" i="87"/>
  <c r="J196" i="87"/>
  <c r="J199" i="87"/>
  <c r="J213" i="87"/>
  <c r="J215" i="87" s="1"/>
  <c r="J191" i="87"/>
  <c r="K191" i="87" s="1"/>
  <c r="K66" i="87"/>
  <c r="I70" i="87"/>
  <c r="J65" i="87"/>
  <c r="J190" i="87"/>
  <c r="L33" i="88"/>
  <c r="J14" i="68" s="1"/>
  <c r="L32" i="88"/>
  <c r="U27" i="88"/>
  <c r="V27" i="88" s="1"/>
  <c r="W27" i="88" s="1"/>
  <c r="Q49" i="88"/>
  <c r="R49" i="88" s="1"/>
  <c r="M29" i="88"/>
  <c r="K22" i="87" s="1"/>
  <c r="M66" i="88"/>
  <c r="K14" i="73" s="1"/>
  <c r="M77" i="88"/>
  <c r="K14" i="82" s="1"/>
  <c r="M74" i="88"/>
  <c r="N73" i="88" s="1"/>
  <c r="L189" i="87" s="1"/>
  <c r="L213" i="87" s="1"/>
  <c r="L215" i="87" s="1"/>
  <c r="M76" i="88"/>
  <c r="T71" i="88"/>
  <c r="M63" i="88"/>
  <c r="N62" i="88" s="1"/>
  <c r="L148" i="87" s="1"/>
  <c r="L172" i="87" s="1"/>
  <c r="L174" i="87" s="1"/>
  <c r="W38" i="88"/>
  <c r="T60" i="88"/>
  <c r="C112" i="43"/>
  <c r="C113" i="43"/>
  <c r="C114" i="43"/>
  <c r="C115" i="43"/>
  <c r="C116" i="43"/>
  <c r="J24" i="87" l="1"/>
  <c r="K24" i="87" s="1"/>
  <c r="J23" i="87"/>
  <c r="L191" i="87"/>
  <c r="J46" i="87"/>
  <c r="J48" i="87" s="1"/>
  <c r="J58" i="87" s="1"/>
  <c r="J33" i="68" s="1"/>
  <c r="K190" i="87"/>
  <c r="J195" i="87"/>
  <c r="J70" i="87"/>
  <c r="K65" i="87"/>
  <c r="L150" i="87"/>
  <c r="L149" i="87"/>
  <c r="K154" i="87"/>
  <c r="K158" i="87"/>
  <c r="K155" i="87"/>
  <c r="J71" i="87"/>
  <c r="J74" i="87"/>
  <c r="K112" i="87"/>
  <c r="K113" i="87"/>
  <c r="K116" i="87"/>
  <c r="S49" i="88"/>
  <c r="M65" i="88"/>
  <c r="M55" i="88"/>
  <c r="K14" i="72" s="1"/>
  <c r="M54" i="88"/>
  <c r="M52" i="88"/>
  <c r="N51" i="88" s="1"/>
  <c r="L106" i="87" s="1"/>
  <c r="U71" i="88"/>
  <c r="X38" i="88"/>
  <c r="Y38" i="88" s="1"/>
  <c r="U60" i="88"/>
  <c r="V60" i="88" s="1"/>
  <c r="W60" i="88" s="1"/>
  <c r="X60" i="88" s="1"/>
  <c r="Y60" i="88" s="1"/>
  <c r="Z60" i="88" s="1"/>
  <c r="AA60" i="88" s="1"/>
  <c r="AB60" i="88" s="1"/>
  <c r="AC60" i="88" s="1"/>
  <c r="AD60" i="88" s="1"/>
  <c r="X27" i="88"/>
  <c r="Y27" i="88" s="1"/>
  <c r="Z27" i="88" s="1"/>
  <c r="AA27" i="88" s="1"/>
  <c r="AB27" i="88" s="1"/>
  <c r="AC27" i="88" s="1"/>
  <c r="AD27" i="88" s="1"/>
  <c r="M41" i="88"/>
  <c r="N40" i="88" s="1"/>
  <c r="L64" i="87" s="1"/>
  <c r="L66" i="87" s="1"/>
  <c r="M43" i="88"/>
  <c r="K88" i="87"/>
  <c r="K90" i="87" s="1"/>
  <c r="M44" i="88"/>
  <c r="K14" i="81" s="1"/>
  <c r="M33" i="88"/>
  <c r="K14" i="68" s="1"/>
  <c r="M32" i="88"/>
  <c r="M30" i="88"/>
  <c r="N29" i="88" s="1"/>
  <c r="L22" i="87" s="1"/>
  <c r="A92" i="85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Z38" i="88" l="1"/>
  <c r="K23" i="87"/>
  <c r="L23" i="87" s="1"/>
  <c r="J28" i="87"/>
  <c r="L24" i="87"/>
  <c r="L130" i="87"/>
  <c r="L132" i="87" s="1"/>
  <c r="L108" i="87"/>
  <c r="L113" i="87"/>
  <c r="L116" i="87"/>
  <c r="K70" i="87"/>
  <c r="L65" i="87"/>
  <c r="K71" i="87"/>
  <c r="K74" i="87"/>
  <c r="L107" i="87"/>
  <c r="L158" i="87"/>
  <c r="L155" i="87"/>
  <c r="L154" i="87"/>
  <c r="K196" i="87"/>
  <c r="K199" i="87"/>
  <c r="L190" i="87"/>
  <c r="K195" i="87"/>
  <c r="AA38" i="88"/>
  <c r="AB38" i="88" s="1"/>
  <c r="AC38" i="88" s="1"/>
  <c r="T49" i="88"/>
  <c r="N52" i="88"/>
  <c r="O51" i="88" s="1"/>
  <c r="M106" i="87" s="1"/>
  <c r="M130" i="87" s="1"/>
  <c r="M132" i="87" s="1"/>
  <c r="V71" i="88"/>
  <c r="K46" i="87"/>
  <c r="K48" i="87" s="1"/>
  <c r="N43" i="88"/>
  <c r="L88" i="87"/>
  <c r="L90" i="87" s="1"/>
  <c r="N30" i="88"/>
  <c r="O29" i="88" s="1"/>
  <c r="M22" i="87" s="1"/>
  <c r="N41" i="88"/>
  <c r="O40" i="88" s="1"/>
  <c r="M64" i="87" s="1"/>
  <c r="M66" i="87" s="1"/>
  <c r="N44" i="88"/>
  <c r="L14" i="81" s="1"/>
  <c r="N32" i="88"/>
  <c r="N33" i="88"/>
  <c r="L14" i="68" s="1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K28" i="87" l="1"/>
  <c r="L32" i="87" s="1"/>
  <c r="M24" i="87"/>
  <c r="K32" i="87"/>
  <c r="J29" i="87"/>
  <c r="M23" i="87"/>
  <c r="L199" i="87"/>
  <c r="L196" i="87"/>
  <c r="M107" i="87"/>
  <c r="L112" i="87"/>
  <c r="L70" i="87"/>
  <c r="M65" i="87"/>
  <c r="M158" i="87"/>
  <c r="M155" i="87"/>
  <c r="M108" i="87"/>
  <c r="L195" i="87"/>
  <c r="L71" i="87"/>
  <c r="L74" i="87"/>
  <c r="U49" i="88"/>
  <c r="V49" i="88" s="1"/>
  <c r="W49" i="88" s="1"/>
  <c r="X49" i="88" s="1"/>
  <c r="Y49" i="88" s="1"/>
  <c r="Z49" i="88" s="1"/>
  <c r="AA49" i="88" s="1"/>
  <c r="K58" i="87"/>
  <c r="K33" i="68" s="1"/>
  <c r="N55" i="88"/>
  <c r="L14" i="72" s="1"/>
  <c r="N54" i="88"/>
  <c r="W71" i="88"/>
  <c r="N77" i="88"/>
  <c r="L14" i="82" s="1"/>
  <c r="N76" i="88"/>
  <c r="N74" i="88"/>
  <c r="N66" i="88"/>
  <c r="L14" i="73" s="1"/>
  <c r="N65" i="88"/>
  <c r="N63" i="88"/>
  <c r="O62" i="88" s="1"/>
  <c r="L46" i="87"/>
  <c r="L48" i="87" s="1"/>
  <c r="AD38" i="88"/>
  <c r="L28" i="87"/>
  <c r="M32" i="87" s="1"/>
  <c r="O30" i="88"/>
  <c r="P29" i="88" s="1"/>
  <c r="N22" i="87" s="1"/>
  <c r="D38" i="33"/>
  <c r="E16" i="47"/>
  <c r="F9" i="47" s="1"/>
  <c r="K29" i="87" l="1"/>
  <c r="N23" i="87"/>
  <c r="N24" i="87"/>
  <c r="M71" i="87"/>
  <c r="M74" i="87"/>
  <c r="M112" i="87"/>
  <c r="M199" i="87"/>
  <c r="M196" i="87"/>
  <c r="M70" i="87"/>
  <c r="M113" i="87"/>
  <c r="M116" i="87"/>
  <c r="O66" i="88"/>
  <c r="M14" i="73" s="1"/>
  <c r="M148" i="87"/>
  <c r="L29" i="87"/>
  <c r="AB49" i="88"/>
  <c r="AC49" i="88" s="1"/>
  <c r="AD49" i="88" s="1"/>
  <c r="O65" i="88"/>
  <c r="O73" i="88"/>
  <c r="O76" i="88" s="1"/>
  <c r="L58" i="87"/>
  <c r="L33" i="68" s="1"/>
  <c r="O55" i="88"/>
  <c r="M14" i="72" s="1"/>
  <c r="O54" i="88"/>
  <c r="O52" i="88"/>
  <c r="P51" i="88" s="1"/>
  <c r="N106" i="87" s="1"/>
  <c r="N130" i="87" s="1"/>
  <c r="N132" i="87" s="1"/>
  <c r="O63" i="88"/>
  <c r="P62" i="88" s="1"/>
  <c r="N148" i="87" s="1"/>
  <c r="N172" i="87" s="1"/>
  <c r="N174" i="87" s="1"/>
  <c r="X71" i="88"/>
  <c r="Y71" i="88" s="1"/>
  <c r="Z71" i="88" s="1"/>
  <c r="AA71" i="88" s="1"/>
  <c r="O41" i="88"/>
  <c r="P40" i="88" s="1"/>
  <c r="N64" i="87" s="1"/>
  <c r="N66" i="87" s="1"/>
  <c r="O43" i="88"/>
  <c r="M88" i="87"/>
  <c r="M90" i="87" s="1"/>
  <c r="M28" i="87"/>
  <c r="N32" i="87" s="1"/>
  <c r="O44" i="88"/>
  <c r="M14" i="81" s="1"/>
  <c r="O33" i="88"/>
  <c r="M14" i="68" s="1"/>
  <c r="O32" i="88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N74" i="87" l="1"/>
  <c r="N71" i="87"/>
  <c r="N113" i="87"/>
  <c r="N116" i="87"/>
  <c r="N107" i="87"/>
  <c r="M172" i="87"/>
  <c r="M174" i="87" s="1"/>
  <c r="M149" i="87"/>
  <c r="M150" i="87"/>
  <c r="N150" i="87" s="1"/>
  <c r="N65" i="87"/>
  <c r="O77" i="88"/>
  <c r="M14" i="82" s="1"/>
  <c r="M189" i="87"/>
  <c r="N108" i="87"/>
  <c r="M29" i="87"/>
  <c r="O74" i="88"/>
  <c r="P73" i="88" s="1"/>
  <c r="N189" i="87" s="1"/>
  <c r="N213" i="87" s="1"/>
  <c r="N215" i="87" s="1"/>
  <c r="AB71" i="88"/>
  <c r="AC71" i="88" s="1"/>
  <c r="AD71" i="88" s="1"/>
  <c r="P52" i="88"/>
  <c r="Q51" i="88" s="1"/>
  <c r="O106" i="87" s="1"/>
  <c r="O130" i="87" s="1"/>
  <c r="O132" i="87" s="1"/>
  <c r="P63" i="88"/>
  <c r="Q62" i="88" s="1"/>
  <c r="O148" i="87" s="1"/>
  <c r="O172" i="87" s="1"/>
  <c r="O174" i="87" s="1"/>
  <c r="M46" i="87"/>
  <c r="M48" i="87" s="1"/>
  <c r="P33" i="88"/>
  <c r="N14" i="68" s="1"/>
  <c r="P41" i="88"/>
  <c r="Q40" i="88" s="1"/>
  <c r="O64" i="87" s="1"/>
  <c r="O66" i="87" s="1"/>
  <c r="P43" i="88"/>
  <c r="N88" i="87"/>
  <c r="N90" i="87" s="1"/>
  <c r="B65" i="85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M213" i="87" l="1"/>
  <c r="M215" i="87" s="1"/>
  <c r="M191" i="87"/>
  <c r="N191" i="87" s="1"/>
  <c r="M190" i="87"/>
  <c r="N70" i="87"/>
  <c r="O65" i="87"/>
  <c r="O150" i="87"/>
  <c r="M154" i="87"/>
  <c r="N149" i="87"/>
  <c r="O107" i="87"/>
  <c r="N112" i="87"/>
  <c r="O108" i="87"/>
  <c r="P30" i="88"/>
  <c r="Q29" i="88" s="1"/>
  <c r="O22" i="87" s="1"/>
  <c r="P32" i="88"/>
  <c r="M58" i="87"/>
  <c r="M33" i="68" s="1"/>
  <c r="P66" i="88"/>
  <c r="N14" i="73" s="1"/>
  <c r="P65" i="88"/>
  <c r="N46" i="87"/>
  <c r="N48" i="87" s="1"/>
  <c r="P44" i="88"/>
  <c r="N14" i="81" s="1"/>
  <c r="P77" i="88"/>
  <c r="N14" i="82" s="1"/>
  <c r="P76" i="88"/>
  <c r="P74" i="88"/>
  <c r="Q73" i="88" s="1"/>
  <c r="P55" i="88"/>
  <c r="N14" i="72" s="1"/>
  <c r="P54" i="88"/>
  <c r="Q66" i="88"/>
  <c r="O14" i="73" s="1"/>
  <c r="Q52" i="88"/>
  <c r="R51" i="88" s="1"/>
  <c r="P106" i="87" s="1"/>
  <c r="P130" i="87" s="1"/>
  <c r="P132" i="87" s="1"/>
  <c r="Q41" i="88"/>
  <c r="R40" i="88" s="1"/>
  <c r="P64" i="87" s="1"/>
  <c r="P66" i="87" s="1"/>
  <c r="C30" i="85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P108" i="87" l="1"/>
  <c r="O24" i="87"/>
  <c r="O23" i="87"/>
  <c r="Q77" i="88"/>
  <c r="O14" i="82" s="1"/>
  <c r="O189" i="87"/>
  <c r="O213" i="87" s="1"/>
  <c r="O215" i="87" s="1"/>
  <c r="P107" i="87"/>
  <c r="O112" i="87"/>
  <c r="O116" i="87"/>
  <c r="O113" i="87"/>
  <c r="N158" i="87"/>
  <c r="N155" i="87"/>
  <c r="O149" i="87"/>
  <c r="N154" i="87"/>
  <c r="O70" i="87"/>
  <c r="P65" i="87"/>
  <c r="O74" i="87"/>
  <c r="O71" i="87"/>
  <c r="N190" i="87"/>
  <c r="M195" i="87"/>
  <c r="O191" i="87"/>
  <c r="N28" i="87"/>
  <c r="O32" i="87" s="1"/>
  <c r="N58" i="87"/>
  <c r="N33" i="68" s="1"/>
  <c r="P88" i="87"/>
  <c r="P90" i="87" s="1"/>
  <c r="Q43" i="88"/>
  <c r="O88" i="87"/>
  <c r="O90" i="87" s="1"/>
  <c r="Q76" i="88"/>
  <c r="Q55" i="88"/>
  <c r="O14" i="72" s="1"/>
  <c r="Q54" i="88"/>
  <c r="Q44" i="88"/>
  <c r="O14" i="81" s="1"/>
  <c r="Q32" i="88"/>
  <c r="Q65" i="88"/>
  <c r="Q33" i="88"/>
  <c r="O14" i="68" s="1"/>
  <c r="Q30" i="88"/>
  <c r="R52" i="88"/>
  <c r="S51" i="88" s="1"/>
  <c r="Q106" i="87" s="1"/>
  <c r="Q130" i="87" s="1"/>
  <c r="Q132" i="87" s="1"/>
  <c r="Q74" i="88"/>
  <c r="Q63" i="88"/>
  <c r="O46" i="87"/>
  <c r="O48" i="87" s="1"/>
  <c r="R44" i="88"/>
  <c r="P14" i="81" s="1"/>
  <c r="C31" i="85"/>
  <c r="C33" i="85"/>
  <c r="C45" i="33"/>
  <c r="A6" i="85"/>
  <c r="A2" i="85"/>
  <c r="A1" i="85"/>
  <c r="N196" i="87" l="1"/>
  <c r="N199" i="87"/>
  <c r="P70" i="87"/>
  <c r="P71" i="87"/>
  <c r="P74" i="87"/>
  <c r="O158" i="87"/>
  <c r="O155" i="87"/>
  <c r="O154" i="87"/>
  <c r="Q108" i="87"/>
  <c r="P116" i="87"/>
  <c r="P113" i="87"/>
  <c r="N195" i="87"/>
  <c r="O190" i="87"/>
  <c r="P112" i="87"/>
  <c r="Q107" i="87"/>
  <c r="N29" i="87"/>
  <c r="R62" i="88"/>
  <c r="R73" i="88"/>
  <c r="O28" i="87"/>
  <c r="P32" i="87" s="1"/>
  <c r="R29" i="88"/>
  <c r="O58" i="87"/>
  <c r="O33" i="68" s="1"/>
  <c r="R43" i="88"/>
  <c r="R41" i="88"/>
  <c r="S40" i="88" s="1"/>
  <c r="Q64" i="87" s="1"/>
  <c r="Q66" i="87" s="1"/>
  <c r="R55" i="88"/>
  <c r="P14" i="72" s="1"/>
  <c r="R54" i="88"/>
  <c r="C43" i="33"/>
  <c r="C41" i="33"/>
  <c r="C21" i="62"/>
  <c r="B74" i="62"/>
  <c r="C67" i="62"/>
  <c r="C66" i="62"/>
  <c r="C62" i="62"/>
  <c r="C63" i="62"/>
  <c r="C58" i="62"/>
  <c r="C59" i="62"/>
  <c r="C55" i="62"/>
  <c r="C54" i="62"/>
  <c r="C51" i="62"/>
  <c r="C50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Q65" i="87" l="1"/>
  <c r="Q70" i="87" s="1"/>
  <c r="R30" i="88"/>
  <c r="P22" i="87"/>
  <c r="R66" i="88"/>
  <c r="P14" i="73" s="1"/>
  <c r="P148" i="87"/>
  <c r="O199" i="87"/>
  <c r="O196" i="87"/>
  <c r="P158" i="87"/>
  <c r="P155" i="87"/>
  <c r="Q112" i="87"/>
  <c r="R77" i="88"/>
  <c r="P14" i="82" s="1"/>
  <c r="P189" i="87"/>
  <c r="P190" i="87" s="1"/>
  <c r="Q116" i="87"/>
  <c r="Q113" i="87"/>
  <c r="O195" i="87"/>
  <c r="Q74" i="87"/>
  <c r="Q71" i="87"/>
  <c r="O29" i="87"/>
  <c r="R65" i="88"/>
  <c r="R76" i="88"/>
  <c r="R63" i="88"/>
  <c r="S62" i="88" s="1"/>
  <c r="Q148" i="87" s="1"/>
  <c r="Q172" i="87" s="1"/>
  <c r="Q174" i="87" s="1"/>
  <c r="R74" i="88"/>
  <c r="S73" i="88" s="1"/>
  <c r="Q189" i="87" s="1"/>
  <c r="Q213" i="87" s="1"/>
  <c r="Q215" i="87" s="1"/>
  <c r="S29" i="88"/>
  <c r="Q22" i="87" s="1"/>
  <c r="R32" i="88"/>
  <c r="R33" i="88"/>
  <c r="P14" i="68" s="1"/>
  <c r="S54" i="88"/>
  <c r="D92" i="75"/>
  <c r="P23" i="87" l="1"/>
  <c r="P24" i="87"/>
  <c r="Q24" i="87" s="1"/>
  <c r="P213" i="87"/>
  <c r="P215" i="87" s="1"/>
  <c r="P191" i="87"/>
  <c r="Q191" i="87" s="1"/>
  <c r="P199" i="87"/>
  <c r="P196" i="87"/>
  <c r="P195" i="87"/>
  <c r="Q190" i="87"/>
  <c r="R74" i="87"/>
  <c r="R71" i="87"/>
  <c r="P172" i="87"/>
  <c r="P174" i="87" s="1"/>
  <c r="P150" i="87"/>
  <c r="Q150" i="87" s="1"/>
  <c r="P149" i="87"/>
  <c r="R116" i="87"/>
  <c r="R113" i="87"/>
  <c r="P46" i="87"/>
  <c r="P48" i="87" s="1"/>
  <c r="S32" i="88"/>
  <c r="S30" i="88"/>
  <c r="S33" i="88"/>
  <c r="Q14" i="68" s="1"/>
  <c r="Q88" i="87"/>
  <c r="Q90" i="87" s="1"/>
  <c r="S41" i="88"/>
  <c r="T40" i="88" s="1"/>
  <c r="R64" i="87" s="1"/>
  <c r="S43" i="88"/>
  <c r="S44" i="88"/>
  <c r="Q14" i="81" s="1"/>
  <c r="S55" i="88"/>
  <c r="Q14" i="72" s="1"/>
  <c r="S52" i="88"/>
  <c r="T51" i="88" s="1"/>
  <c r="R106" i="87" s="1"/>
  <c r="S77" i="88"/>
  <c r="Q14" i="82" s="1"/>
  <c r="S74" i="88"/>
  <c r="T73" i="88" s="1"/>
  <c r="R189" i="87" s="1"/>
  <c r="R213" i="87" s="1"/>
  <c r="R215" i="87" s="1"/>
  <c r="S76" i="88"/>
  <c r="S66" i="88"/>
  <c r="Q14" i="73" s="1"/>
  <c r="S65" i="88"/>
  <c r="S63" i="88"/>
  <c r="T62" i="88" s="1"/>
  <c r="R148" i="87" s="1"/>
  <c r="R172" i="87" s="1"/>
  <c r="R174" i="87" s="1"/>
  <c r="D9" i="47"/>
  <c r="A6" i="75"/>
  <c r="Q23" i="87" l="1"/>
  <c r="P28" i="87"/>
  <c r="R130" i="87"/>
  <c r="R132" i="87" s="1"/>
  <c r="R108" i="87"/>
  <c r="R107" i="87"/>
  <c r="R65" i="87"/>
  <c r="R66" i="87"/>
  <c r="P154" i="87"/>
  <c r="Q149" i="87"/>
  <c r="R150" i="87"/>
  <c r="R190" i="87"/>
  <c r="Q195" i="87"/>
  <c r="R191" i="87"/>
  <c r="Q196" i="87"/>
  <c r="Q199" i="87"/>
  <c r="Q28" i="87"/>
  <c r="R32" i="87" s="1"/>
  <c r="T29" i="88"/>
  <c r="R22" i="87" s="1"/>
  <c r="R24" i="87" s="1"/>
  <c r="P58" i="87"/>
  <c r="P33" i="68" s="1"/>
  <c r="Q46" i="87"/>
  <c r="Q48" i="87" s="1"/>
  <c r="T66" i="88"/>
  <c r="R14" i="73" s="1"/>
  <c r="R17" i="73" s="1"/>
  <c r="T52" i="88"/>
  <c r="U51" i="88" s="1"/>
  <c r="S106" i="87" s="1"/>
  <c r="S130" i="87" s="1"/>
  <c r="S132" i="87" s="1"/>
  <c r="T77" i="88"/>
  <c r="R14" i="82" s="1"/>
  <c r="R17" i="82" s="1"/>
  <c r="T41" i="88"/>
  <c r="U40" i="88" s="1"/>
  <c r="S64" i="87" s="1"/>
  <c r="I6" i="75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Q17" i="81"/>
  <c r="P17" i="81"/>
  <c r="O17" i="81"/>
  <c r="N17" i="81"/>
  <c r="M17" i="81"/>
  <c r="L17" i="81"/>
  <c r="K17" i="81"/>
  <c r="J17" i="81"/>
  <c r="I17" i="81"/>
  <c r="AG17" i="82"/>
  <c r="AF17" i="82"/>
  <c r="AE17" i="82"/>
  <c r="AD17" i="82"/>
  <c r="AC17" i="82"/>
  <c r="AB17" i="82"/>
  <c r="AA17" i="82"/>
  <c r="Z17" i="82"/>
  <c r="Y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Q32" i="87" l="1"/>
  <c r="P29" i="87"/>
  <c r="R23" i="87"/>
  <c r="R196" i="87"/>
  <c r="R199" i="87"/>
  <c r="Q158" i="87"/>
  <c r="Q155" i="87"/>
  <c r="S66" i="87"/>
  <c r="R70" i="87"/>
  <c r="S65" i="87"/>
  <c r="R112" i="87"/>
  <c r="S107" i="87"/>
  <c r="S108" i="87"/>
  <c r="R195" i="87"/>
  <c r="Q154" i="87"/>
  <c r="R149" i="87"/>
  <c r="Q29" i="87"/>
  <c r="T76" i="88"/>
  <c r="T65" i="88"/>
  <c r="U55" i="88"/>
  <c r="S14" i="72" s="1"/>
  <c r="S17" i="72" s="1"/>
  <c r="U41" i="88"/>
  <c r="T55" i="88"/>
  <c r="R14" i="72" s="1"/>
  <c r="R17" i="72" s="1"/>
  <c r="T54" i="88"/>
  <c r="T63" i="88"/>
  <c r="U62" i="88" s="1"/>
  <c r="T32" i="88"/>
  <c r="T33" i="88"/>
  <c r="R14" i="68" s="1"/>
  <c r="T30" i="88"/>
  <c r="U29" i="88" s="1"/>
  <c r="S22" i="87" s="1"/>
  <c r="S24" i="87" s="1"/>
  <c r="Q58" i="87"/>
  <c r="Q33" i="68" s="1"/>
  <c r="T74" i="88"/>
  <c r="R88" i="87"/>
  <c r="R90" i="87" s="1"/>
  <c r="T43" i="88"/>
  <c r="T44" i="88"/>
  <c r="R14" i="81" s="1"/>
  <c r="R17" i="81" s="1"/>
  <c r="A30" i="75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B17" i="72"/>
  <c r="AA17" i="72"/>
  <c r="Z17" i="72"/>
  <c r="Y17" i="72"/>
  <c r="Q17" i="72"/>
  <c r="P17" i="72"/>
  <c r="O17" i="72"/>
  <c r="N17" i="72"/>
  <c r="M17" i="72"/>
  <c r="L17" i="72"/>
  <c r="K17" i="72"/>
  <c r="J17" i="72"/>
  <c r="I17" i="72"/>
  <c r="S23" i="87" l="1"/>
  <c r="R154" i="87"/>
  <c r="S196" i="87"/>
  <c r="S199" i="87"/>
  <c r="S112" i="87"/>
  <c r="R155" i="87"/>
  <c r="R158" i="87"/>
  <c r="S70" i="87"/>
  <c r="U66" i="88"/>
  <c r="S14" i="73" s="1"/>
  <c r="S17" i="73" s="1"/>
  <c r="S148" i="87"/>
  <c r="S116" i="87"/>
  <c r="S113" i="87"/>
  <c r="S74" i="87"/>
  <c r="S71" i="87"/>
  <c r="U65" i="88"/>
  <c r="U73" i="88"/>
  <c r="V40" i="88"/>
  <c r="T64" i="87" s="1"/>
  <c r="T65" i="87" s="1"/>
  <c r="U52" i="88"/>
  <c r="V51" i="88" s="1"/>
  <c r="U54" i="88"/>
  <c r="U30" i="88"/>
  <c r="R28" i="87"/>
  <c r="S32" i="87" s="1"/>
  <c r="R46" i="87"/>
  <c r="R48" i="87" s="1"/>
  <c r="U33" i="88"/>
  <c r="S14" i="68" s="1"/>
  <c r="U32" i="88"/>
  <c r="S88" i="87"/>
  <c r="S90" i="87" s="1"/>
  <c r="U43" i="88"/>
  <c r="U44" i="88"/>
  <c r="S14" i="81" s="1"/>
  <c r="S17" i="81" s="1"/>
  <c r="U63" i="88"/>
  <c r="V62" i="88" s="1"/>
  <c r="A17" i="75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T70" i="87" l="1"/>
  <c r="V55" i="88"/>
  <c r="T14" i="72" s="1"/>
  <c r="T17" i="72" s="1"/>
  <c r="T106" i="87"/>
  <c r="T66" i="87"/>
  <c r="U77" i="88"/>
  <c r="S14" i="82" s="1"/>
  <c r="S17" i="82" s="1"/>
  <c r="S189" i="87"/>
  <c r="T74" i="87"/>
  <c r="T71" i="87"/>
  <c r="V44" i="88"/>
  <c r="T14" i="81" s="1"/>
  <c r="T17" i="81" s="1"/>
  <c r="V66" i="88"/>
  <c r="T14" i="73" s="1"/>
  <c r="T17" i="73" s="1"/>
  <c r="T148" i="87"/>
  <c r="T172" i="87" s="1"/>
  <c r="T174" i="87" s="1"/>
  <c r="U76" i="88"/>
  <c r="S155" i="87"/>
  <c r="S158" i="87"/>
  <c r="S172" i="87"/>
  <c r="S174" i="87" s="1"/>
  <c r="S150" i="87"/>
  <c r="T116" i="87"/>
  <c r="T113" i="87"/>
  <c r="S149" i="87"/>
  <c r="R29" i="87"/>
  <c r="U74" i="88"/>
  <c r="S28" i="87"/>
  <c r="T32" i="87" s="1"/>
  <c r="V29" i="88"/>
  <c r="V43" i="88"/>
  <c r="V63" i="88"/>
  <c r="W62" i="88" s="1"/>
  <c r="U148" i="87" s="1"/>
  <c r="U172" i="87" s="1"/>
  <c r="U174" i="87" s="1"/>
  <c r="S46" i="87"/>
  <c r="S48" i="87" s="1"/>
  <c r="T88" i="87"/>
  <c r="T90" i="87" s="1"/>
  <c r="V41" i="88"/>
  <c r="W40" i="88" s="1"/>
  <c r="U64" i="87" s="1"/>
  <c r="U65" i="87" s="1"/>
  <c r="R58" i="87"/>
  <c r="R33" i="68" s="1"/>
  <c r="V52" i="88"/>
  <c r="W51" i="88" s="1"/>
  <c r="U106" i="87" s="1"/>
  <c r="U130" i="87" s="1"/>
  <c r="U132" i="87" s="1"/>
  <c r="V54" i="88"/>
  <c r="V65" i="88"/>
  <c r="A24" i="75"/>
  <c r="A25" i="75" s="1"/>
  <c r="A99" i="75"/>
  <c r="H99" i="75" s="1"/>
  <c r="D91" i="75"/>
  <c r="T150" i="87" l="1"/>
  <c r="U150" i="87" s="1"/>
  <c r="V30" i="88"/>
  <c r="W29" i="88" s="1"/>
  <c r="U22" i="87" s="1"/>
  <c r="T22" i="87"/>
  <c r="U66" i="87"/>
  <c r="U70" i="87"/>
  <c r="T149" i="87"/>
  <c r="S154" i="87"/>
  <c r="S213" i="87"/>
  <c r="S215" i="87" s="1"/>
  <c r="S191" i="87"/>
  <c r="S190" i="87"/>
  <c r="T130" i="87"/>
  <c r="T132" i="87" s="1"/>
  <c r="T108" i="87"/>
  <c r="U108" i="87" s="1"/>
  <c r="T107" i="87"/>
  <c r="U74" i="87"/>
  <c r="U71" i="87"/>
  <c r="S29" i="87"/>
  <c r="V73" i="88"/>
  <c r="T189" i="87" s="1"/>
  <c r="T213" i="87" s="1"/>
  <c r="T215" i="87" s="1"/>
  <c r="V33" i="88"/>
  <c r="T14" i="68" s="1"/>
  <c r="V32" i="88"/>
  <c r="W55" i="88"/>
  <c r="U14" i="72" s="1"/>
  <c r="S58" i="87"/>
  <c r="S33" i="68" s="1"/>
  <c r="N7" i="68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T191" i="87" l="1"/>
  <c r="T24" i="87"/>
  <c r="U24" i="87" s="1"/>
  <c r="T23" i="87"/>
  <c r="T46" i="87"/>
  <c r="T48" i="87" s="1"/>
  <c r="U107" i="87"/>
  <c r="T112" i="87"/>
  <c r="V74" i="88"/>
  <c r="W73" i="88" s="1"/>
  <c r="U189" i="87" s="1"/>
  <c r="U213" i="87" s="1"/>
  <c r="U215" i="87" s="1"/>
  <c r="S195" i="87"/>
  <c r="T190" i="87"/>
  <c r="U149" i="87"/>
  <c r="T154" i="87"/>
  <c r="T158" i="87"/>
  <c r="T155" i="87"/>
  <c r="V71" i="87"/>
  <c r="V74" i="87"/>
  <c r="T58" i="87"/>
  <c r="T33" i="68" s="1"/>
  <c r="V77" i="88"/>
  <c r="T14" i="82" s="1"/>
  <c r="T17" i="82" s="1"/>
  <c r="V76" i="88"/>
  <c r="W54" i="88"/>
  <c r="U17" i="72"/>
  <c r="U88" i="87"/>
  <c r="U90" i="87" s="1"/>
  <c r="W44" i="88"/>
  <c r="W43" i="88"/>
  <c r="W41" i="88"/>
  <c r="X40" i="88" s="1"/>
  <c r="V64" i="87" s="1"/>
  <c r="W32" i="88"/>
  <c r="W33" i="88"/>
  <c r="U14" i="68" s="1"/>
  <c r="W66" i="88"/>
  <c r="U14" i="73" s="1"/>
  <c r="U17" i="73" s="1"/>
  <c r="W63" i="88"/>
  <c r="X62" i="88" s="1"/>
  <c r="V148" i="87" s="1"/>
  <c r="V150" i="87" s="1"/>
  <c r="W30" i="88"/>
  <c r="X29" i="88" s="1"/>
  <c r="V22" i="87" s="1"/>
  <c r="W65" i="88"/>
  <c r="W52" i="88"/>
  <c r="X51" i="88" s="1"/>
  <c r="V106" i="87" s="1"/>
  <c r="V108" i="87" s="1"/>
  <c r="AC7" i="81"/>
  <c r="AC42" i="81" s="1"/>
  <c r="AC7" i="73"/>
  <c r="AC42" i="73" s="1"/>
  <c r="AD7" i="68"/>
  <c r="AC7" i="82"/>
  <c r="AC42" i="68"/>
  <c r="AC7" i="72"/>
  <c r="AC42" i="72" s="1"/>
  <c r="W76" i="88" l="1"/>
  <c r="W74" i="88"/>
  <c r="X73" i="88" s="1"/>
  <c r="V189" i="87" s="1"/>
  <c r="W77" i="88"/>
  <c r="U14" i="82" s="1"/>
  <c r="U17" i="82" s="1"/>
  <c r="U191" i="87"/>
  <c r="U23" i="87"/>
  <c r="V23" i="87" s="1"/>
  <c r="T28" i="87"/>
  <c r="V24" i="87"/>
  <c r="V149" i="87"/>
  <c r="U154" i="87"/>
  <c r="T196" i="87"/>
  <c r="T199" i="87"/>
  <c r="V65" i="87"/>
  <c r="V66" i="87"/>
  <c r="U155" i="87"/>
  <c r="U158" i="87"/>
  <c r="U113" i="87"/>
  <c r="U116" i="87"/>
  <c r="U190" i="87"/>
  <c r="T195" i="87"/>
  <c r="V107" i="87"/>
  <c r="U112" i="87"/>
  <c r="U14" i="81"/>
  <c r="U17" i="81" s="1"/>
  <c r="U46" i="87"/>
  <c r="U48" i="87" s="1"/>
  <c r="X66" i="88"/>
  <c r="V14" i="73" s="1"/>
  <c r="V17" i="73" s="1"/>
  <c r="X77" i="88"/>
  <c r="X52" i="88"/>
  <c r="Y51" i="88" s="1"/>
  <c r="W106" i="87" s="1"/>
  <c r="W108" i="87" s="1"/>
  <c r="X41" i="88"/>
  <c r="Y40" i="88" s="1"/>
  <c r="W64" i="87" s="1"/>
  <c r="AC42" i="82"/>
  <c r="AD7" i="81"/>
  <c r="AD42" i="81" s="1"/>
  <c r="AD7" i="73"/>
  <c r="AD42" i="73" s="1"/>
  <c r="AD42" i="68"/>
  <c r="AE7" i="68"/>
  <c r="AD7" i="82"/>
  <c r="AD7" i="72"/>
  <c r="AD42" i="72" s="1"/>
  <c r="V191" i="87" l="1"/>
  <c r="U28" i="87"/>
  <c r="V32" i="87" s="1"/>
  <c r="U32" i="87"/>
  <c r="T29" i="87"/>
  <c r="V112" i="87"/>
  <c r="W107" i="87"/>
  <c r="U196" i="87"/>
  <c r="U199" i="87"/>
  <c r="V190" i="87"/>
  <c r="U195" i="87"/>
  <c r="V155" i="87"/>
  <c r="V158" i="87"/>
  <c r="V113" i="87"/>
  <c r="V116" i="87"/>
  <c r="W66" i="87"/>
  <c r="V70" i="87"/>
  <c r="W65" i="87"/>
  <c r="V154" i="87"/>
  <c r="U29" i="87"/>
  <c r="V46" i="87"/>
  <c r="V48" i="87" s="1"/>
  <c r="X32" i="88"/>
  <c r="X33" i="88"/>
  <c r="V14" i="68" s="1"/>
  <c r="X55" i="88"/>
  <c r="V14" i="72" s="1"/>
  <c r="V17" i="72" s="1"/>
  <c r="X54" i="88"/>
  <c r="U58" i="87"/>
  <c r="U33" i="68" s="1"/>
  <c r="Y55" i="88"/>
  <c r="W14" i="72" s="1"/>
  <c r="W17" i="72" s="1"/>
  <c r="X44" i="88"/>
  <c r="X43" i="88"/>
  <c r="V14" i="82"/>
  <c r="V17" i="82" s="1"/>
  <c r="X63" i="88"/>
  <c r="Y62" i="88" s="1"/>
  <c r="W148" i="87" s="1"/>
  <c r="W150" i="87" s="1"/>
  <c r="X74" i="88"/>
  <c r="Y73" i="88" s="1"/>
  <c r="X30" i="88"/>
  <c r="Y29" i="88" s="1"/>
  <c r="W22" i="87" s="1"/>
  <c r="W24" i="87" s="1"/>
  <c r="X65" i="88"/>
  <c r="X76" i="88"/>
  <c r="AE7" i="8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W23" i="87" l="1"/>
  <c r="W71" i="87"/>
  <c r="W74" i="87"/>
  <c r="W155" i="87"/>
  <c r="W158" i="87"/>
  <c r="W149" i="87"/>
  <c r="W70" i="87"/>
  <c r="Y77" i="88"/>
  <c r="W14" i="82" s="1"/>
  <c r="W17" i="82" s="1"/>
  <c r="W189" i="87"/>
  <c r="W191" i="87" s="1"/>
  <c r="V199" i="87"/>
  <c r="V196" i="87"/>
  <c r="W112" i="87"/>
  <c r="W113" i="87"/>
  <c r="W116" i="87"/>
  <c r="V195" i="87"/>
  <c r="Y66" i="88"/>
  <c r="W14" i="73" s="1"/>
  <c r="W17" i="73" s="1"/>
  <c r="Y44" i="88"/>
  <c r="Y43" i="88"/>
  <c r="V58" i="87"/>
  <c r="V33" i="68" s="1"/>
  <c r="Y74" i="88"/>
  <c r="Z73" i="88" s="1"/>
  <c r="X189" i="87" s="1"/>
  <c r="Y63" i="88"/>
  <c r="Z62" i="88" s="1"/>
  <c r="X148" i="87" s="1"/>
  <c r="X150" i="87" s="1"/>
  <c r="V14" i="81"/>
  <c r="V17" i="81" s="1"/>
  <c r="Y76" i="88"/>
  <c r="Y54" i="88"/>
  <c r="Y65" i="88"/>
  <c r="Y41" i="88"/>
  <c r="Z40" i="88" s="1"/>
  <c r="X64" i="87" s="1"/>
  <c r="X65" i="87" s="1"/>
  <c r="Y52" i="88"/>
  <c r="Z51" i="88" s="1"/>
  <c r="X106" i="87" s="1"/>
  <c r="X108" i="87" s="1"/>
  <c r="V28" i="87"/>
  <c r="W32" i="87" s="1"/>
  <c r="Y30" i="88"/>
  <c r="Y33" i="88"/>
  <c r="W14" i="68" s="1"/>
  <c r="W46" i="87"/>
  <c r="W48" i="87" s="1"/>
  <c r="AE42" i="73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W190" i="87" l="1"/>
  <c r="X190" i="87" s="1"/>
  <c r="X107" i="87"/>
  <c r="X112" i="87" s="1"/>
  <c r="X70" i="87"/>
  <c r="X191" i="87"/>
  <c r="W199" i="87"/>
  <c r="W196" i="87"/>
  <c r="X113" i="87"/>
  <c r="X116" i="87"/>
  <c r="X71" i="87"/>
  <c r="X74" i="87"/>
  <c r="X66" i="87"/>
  <c r="X149" i="87"/>
  <c r="W154" i="87"/>
  <c r="V29" i="87"/>
  <c r="W28" i="87"/>
  <c r="X32" i="87" s="1"/>
  <c r="Z29" i="88"/>
  <c r="X22" i="87" s="1"/>
  <c r="X24" i="87" s="1"/>
  <c r="Z66" i="88"/>
  <c r="X14" i="73" s="1"/>
  <c r="Z55" i="88"/>
  <c r="X14" i="72" s="1"/>
  <c r="Z77" i="88"/>
  <c r="Z52" i="88"/>
  <c r="AA51" i="88" s="1"/>
  <c r="Y106" i="87" s="1"/>
  <c r="Y108" i="87" s="1"/>
  <c r="W58" i="87"/>
  <c r="W33" i="68" s="1"/>
  <c r="Z65" i="88"/>
  <c r="Z54" i="88"/>
  <c r="Z76" i="88"/>
  <c r="Z63" i="88"/>
  <c r="AA62" i="88" s="1"/>
  <c r="Y148" i="87" s="1"/>
  <c r="Y150" i="87" s="1"/>
  <c r="Z74" i="88"/>
  <c r="AA73" i="88" s="1"/>
  <c r="Y189" i="87" s="1"/>
  <c r="W14" i="81"/>
  <c r="W17" i="81" s="1"/>
  <c r="AG7" i="81"/>
  <c r="AG42" i="81" s="1"/>
  <c r="AG7" i="73"/>
  <c r="AG7" i="82"/>
  <c r="AG42" i="68"/>
  <c r="AG7" i="72"/>
  <c r="AG42" i="72" s="1"/>
  <c r="AF42" i="82"/>
  <c r="D17" i="75"/>
  <c r="H92" i="75"/>
  <c r="D16" i="75"/>
  <c r="W195" i="87" l="1"/>
  <c r="X196" i="87" s="1"/>
  <c r="X23" i="87"/>
  <c r="X28" i="87" s="1"/>
  <c r="Y32" i="87" s="1"/>
  <c r="Z30" i="88"/>
  <c r="AA29" i="88" s="1"/>
  <c r="Y22" i="87" s="1"/>
  <c r="Y24" i="87" s="1"/>
  <c r="Y113" i="87"/>
  <c r="Y116" i="87"/>
  <c r="X199" i="87"/>
  <c r="X155" i="87"/>
  <c r="X158" i="87"/>
  <c r="X154" i="87"/>
  <c r="Y149" i="87"/>
  <c r="Y107" i="87"/>
  <c r="Y190" i="87"/>
  <c r="X195" i="87"/>
  <c r="Y191" i="87"/>
  <c r="Y74" i="87"/>
  <c r="Y71" i="87"/>
  <c r="W29" i="87"/>
  <c r="Z44" i="88"/>
  <c r="X14" i="81" s="1"/>
  <c r="Z43" i="88"/>
  <c r="Z41" i="88"/>
  <c r="AA40" i="88" s="1"/>
  <c r="Y64" i="87" s="1"/>
  <c r="Y65" i="87" s="1"/>
  <c r="X14" i="82"/>
  <c r="Z33" i="88"/>
  <c r="X14" i="68" s="1"/>
  <c r="X17" i="72"/>
  <c r="C57" i="62"/>
  <c r="D57" i="62" s="1"/>
  <c r="C4" i="72" s="1"/>
  <c r="X17" i="73"/>
  <c r="G90" i="73" s="1" a="1"/>
  <c r="G90" i="73" s="1"/>
  <c r="C61" i="62"/>
  <c r="D61" i="62" s="1"/>
  <c r="C4" i="73" s="1"/>
  <c r="AG42" i="73"/>
  <c r="AG42" i="82"/>
  <c r="Y23" i="87" l="1"/>
  <c r="Y195" i="87"/>
  <c r="Y158" i="87"/>
  <c r="Y155" i="87"/>
  <c r="Y112" i="87"/>
  <c r="Y70" i="87"/>
  <c r="Y66" i="87"/>
  <c r="Y196" i="87"/>
  <c r="Y199" i="87"/>
  <c r="Y154" i="87"/>
  <c r="X29" i="87"/>
  <c r="X46" i="87"/>
  <c r="X48" i="87" s="1"/>
  <c r="X17" i="82"/>
  <c r="C65" i="62"/>
  <c r="D65" i="62" s="1"/>
  <c r="C4" i="82" s="1"/>
  <c r="AA41" i="88"/>
  <c r="AB40" i="88" s="1"/>
  <c r="Z64" i="87" s="1"/>
  <c r="Z65" i="87" s="1"/>
  <c r="X17" i="81"/>
  <c r="C53" i="62"/>
  <c r="D53" i="62" s="1"/>
  <c r="C4" i="81" s="1"/>
  <c r="AB84" i="68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Z70" i="87" l="1"/>
  <c r="Z158" i="87"/>
  <c r="Z155" i="87"/>
  <c r="Z66" i="87"/>
  <c r="Z74" i="87"/>
  <c r="Z71" i="87"/>
  <c r="Z199" i="87"/>
  <c r="Z196" i="87"/>
  <c r="Z116" i="87"/>
  <c r="Z113" i="87"/>
  <c r="AA43" i="88"/>
  <c r="AA33" i="88"/>
  <c r="Y14" i="68" s="1"/>
  <c r="Y67" i="68" s="1"/>
  <c r="Y15" i="75" s="1"/>
  <c r="Y46" i="87"/>
  <c r="Y48" i="87" s="1"/>
  <c r="AA30" i="88"/>
  <c r="AB29" i="88" s="1"/>
  <c r="Z22" i="87" s="1"/>
  <c r="Z24" i="87" s="1"/>
  <c r="AA76" i="88"/>
  <c r="AA74" i="88"/>
  <c r="AB73" i="88" s="1"/>
  <c r="Z189" i="87" s="1"/>
  <c r="AA63" i="88"/>
  <c r="AA65" i="88"/>
  <c r="AA54" i="88"/>
  <c r="AA52" i="88"/>
  <c r="X58" i="87"/>
  <c r="X33" i="68" s="1"/>
  <c r="I72" i="68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Q15" i="75"/>
  <c r="X15" i="75"/>
  <c r="P15" i="75"/>
  <c r="V15" i="75"/>
  <c r="N15" i="75"/>
  <c r="U15" i="75"/>
  <c r="M15" i="75"/>
  <c r="T15" i="75"/>
  <c r="L15" i="75"/>
  <c r="S15" i="75"/>
  <c r="K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Z23" i="87" l="1"/>
  <c r="Z190" i="87"/>
  <c r="Z191" i="87"/>
  <c r="AA74" i="87"/>
  <c r="AA71" i="87"/>
  <c r="AB62" i="88"/>
  <c r="AB51" i="88"/>
  <c r="AB74" i="88"/>
  <c r="AC73" i="88" s="1"/>
  <c r="AA189" i="87" s="1"/>
  <c r="AB76" i="88"/>
  <c r="AB30" i="88"/>
  <c r="AC29" i="88" s="1"/>
  <c r="AA22" i="87" s="1"/>
  <c r="AA24" i="87" s="1"/>
  <c r="Y28" i="87"/>
  <c r="Z32" i="87" s="1"/>
  <c r="Y58" i="87"/>
  <c r="Y33" i="68" s="1"/>
  <c r="AB41" i="88"/>
  <c r="AC40" i="88" s="1"/>
  <c r="AA64" i="87" s="1"/>
  <c r="AA65" i="87" s="1"/>
  <c r="AB43" i="88"/>
  <c r="AB33" i="88"/>
  <c r="Z14" i="68" s="1"/>
  <c r="Z67" i="68" s="1"/>
  <c r="Z15" i="75" s="1"/>
  <c r="Z46" i="87"/>
  <c r="Z48" i="87" s="1"/>
  <c r="I72" i="82" a="1"/>
  <c r="I72" i="82" s="1"/>
  <c r="J77" i="82" s="1"/>
  <c r="I74" i="82" a="1"/>
  <c r="I74" i="82" s="1"/>
  <c r="I73" i="82" a="1"/>
  <c r="I73" i="82" s="1"/>
  <c r="C13" i="47"/>
  <c r="D43" i="75"/>
  <c r="C64" i="72"/>
  <c r="AA23" i="87" l="1"/>
  <c r="AB52" i="88"/>
  <c r="AC51" i="88" s="1"/>
  <c r="AA106" i="87" s="1"/>
  <c r="Z106" i="87"/>
  <c r="AA70" i="87"/>
  <c r="AB63" i="88"/>
  <c r="AC62" i="88" s="1"/>
  <c r="AA148" i="87" s="1"/>
  <c r="Z148" i="87"/>
  <c r="AA66" i="87"/>
  <c r="AA191" i="87"/>
  <c r="AA190" i="87"/>
  <c r="Z195" i="87"/>
  <c r="Y29" i="87"/>
  <c r="AB54" i="88"/>
  <c r="AB65" i="88"/>
  <c r="Z58" i="87"/>
  <c r="Z33" i="68" s="1"/>
  <c r="AC43" i="88"/>
  <c r="Z28" i="87"/>
  <c r="AA32" i="87" s="1"/>
  <c r="F13" i="47"/>
  <c r="D35" i="62"/>
  <c r="D13" i="47"/>
  <c r="A4" i="82" s="1"/>
  <c r="I80" i="82"/>
  <c r="I82" i="82" s="1"/>
  <c r="I107" i="82" s="1"/>
  <c r="D44" i="75"/>
  <c r="AA199" i="87" l="1"/>
  <c r="AA196" i="87"/>
  <c r="Z150" i="87"/>
  <c r="AA150" i="87" s="1"/>
  <c r="Z149" i="87"/>
  <c r="Z108" i="87"/>
  <c r="AA108" i="87" s="1"/>
  <c r="Z107" i="87"/>
  <c r="AA195" i="87"/>
  <c r="AB74" i="87"/>
  <c r="AB71" i="87"/>
  <c r="Z29" i="87"/>
  <c r="AC41" i="88"/>
  <c r="AD40" i="88" s="1"/>
  <c r="AC33" i="88"/>
  <c r="AA14" i="68" s="1"/>
  <c r="AA67" i="68" s="1"/>
  <c r="AA15" i="75" s="1"/>
  <c r="AA46" i="87"/>
  <c r="AA48" i="87" s="1"/>
  <c r="AC30" i="88"/>
  <c r="AD29" i="88" s="1"/>
  <c r="AB22" i="87" s="1"/>
  <c r="AB24" i="87" s="1"/>
  <c r="AC24" i="87" s="1"/>
  <c r="AD24" i="87" s="1"/>
  <c r="AE24" i="87" s="1"/>
  <c r="AF24" i="87" s="1"/>
  <c r="AC54" i="88"/>
  <c r="AC52" i="88"/>
  <c r="AC76" i="88"/>
  <c r="AC74" i="88"/>
  <c r="AC63" i="88"/>
  <c r="AD62" i="88" s="1"/>
  <c r="AB148" i="87" s="1"/>
  <c r="AC65" i="88"/>
  <c r="C34" i="75"/>
  <c r="G29" i="33"/>
  <c r="H29" i="33"/>
  <c r="I29" i="33"/>
  <c r="J29" i="33"/>
  <c r="F29" i="33"/>
  <c r="A7" i="81"/>
  <c r="I6" i="81"/>
  <c r="A6" i="81"/>
  <c r="AB150" i="87" l="1"/>
  <c r="AC150" i="87" s="1"/>
  <c r="AD150" i="87" s="1"/>
  <c r="AE150" i="87" s="1"/>
  <c r="AF150" i="87" s="1"/>
  <c r="AB23" i="87"/>
  <c r="AC23" i="87" s="1"/>
  <c r="AD43" i="88"/>
  <c r="AB64" i="87"/>
  <c r="AA107" i="87"/>
  <c r="Z112" i="87"/>
  <c r="AA149" i="87"/>
  <c r="Z154" i="87"/>
  <c r="AB196" i="87"/>
  <c r="AB199" i="87"/>
  <c r="AD41" i="88"/>
  <c r="AD73" i="88"/>
  <c r="AD51" i="88"/>
  <c r="AD63" i="88"/>
  <c r="AD65" i="88"/>
  <c r="AD33" i="88"/>
  <c r="AB46" i="87"/>
  <c r="AB48" i="87" s="1"/>
  <c r="AD30" i="88"/>
  <c r="AA28" i="87"/>
  <c r="AB32" i="87" s="1"/>
  <c r="AA58" i="87"/>
  <c r="AA33" i="68" s="1"/>
  <c r="I72" i="8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AB28" i="87" l="1"/>
  <c r="AC32" i="87" s="1"/>
  <c r="AC28" i="87"/>
  <c r="AD23" i="87"/>
  <c r="AD74" i="88"/>
  <c r="AB189" i="87"/>
  <c r="AD52" i="88"/>
  <c r="AB106" i="87"/>
  <c r="AB108" i="87" s="1"/>
  <c r="AC108" i="87" s="1"/>
  <c r="AD108" i="87" s="1"/>
  <c r="AE108" i="87" s="1"/>
  <c r="AF108" i="87" s="1"/>
  <c r="AD76" i="88"/>
  <c r="AA154" i="87"/>
  <c r="AB149" i="87"/>
  <c r="AA112" i="87"/>
  <c r="AB65" i="87"/>
  <c r="AB66" i="87"/>
  <c r="AC66" i="87" s="1"/>
  <c r="AD66" i="87" s="1"/>
  <c r="AE66" i="87" s="1"/>
  <c r="AF66" i="87" s="1"/>
  <c r="AA158" i="87"/>
  <c r="AA155" i="87"/>
  <c r="AA116" i="87"/>
  <c r="AA113" i="87"/>
  <c r="AB29" i="87"/>
  <c r="AA29" i="87"/>
  <c r="AD54" i="88"/>
  <c r="AB58" i="87"/>
  <c r="AB33" i="68" s="1"/>
  <c r="AB14" i="68"/>
  <c r="AB67" i="68" s="1"/>
  <c r="AB15" i="75" s="1"/>
  <c r="D32" i="62"/>
  <c r="D10" i="47"/>
  <c r="A4" i="81" s="1"/>
  <c r="I80" i="81"/>
  <c r="D65" i="75"/>
  <c r="D79" i="75"/>
  <c r="D37" i="75"/>
  <c r="D47" i="75"/>
  <c r="AB107" i="87" l="1"/>
  <c r="AB112" i="87" s="1"/>
  <c r="AD28" i="87"/>
  <c r="AE23" i="87"/>
  <c r="AD32" i="87"/>
  <c r="AC29" i="87"/>
  <c r="AB116" i="87"/>
  <c r="AB113" i="87"/>
  <c r="AB190" i="87"/>
  <c r="AB191" i="87"/>
  <c r="AC191" i="87" s="1"/>
  <c r="AD191" i="87" s="1"/>
  <c r="AE191" i="87" s="1"/>
  <c r="AF191" i="87" s="1"/>
  <c r="AC65" i="87"/>
  <c r="AB70" i="87"/>
  <c r="AB154" i="87"/>
  <c r="AC149" i="87"/>
  <c r="AB155" i="87"/>
  <c r="AB158" i="87"/>
  <c r="C49" i="62"/>
  <c r="D49" i="62" s="1"/>
  <c r="C4" i="68" s="1"/>
  <c r="I82" i="8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AC107" i="87" l="1"/>
  <c r="AC112" i="87" s="1"/>
  <c r="AF23" i="87"/>
  <c r="AF28" i="87" s="1"/>
  <c r="AF29" i="87" s="1"/>
  <c r="AE28" i="87"/>
  <c r="AE32" i="87"/>
  <c r="AD29" i="87"/>
  <c r="AD65" i="87"/>
  <c r="AC70" i="87"/>
  <c r="AC154" i="87"/>
  <c r="AD149" i="87"/>
  <c r="AC158" i="87"/>
  <c r="AC155" i="87"/>
  <c r="AC74" i="87"/>
  <c r="AC71" i="87"/>
  <c r="AB195" i="87"/>
  <c r="AC190" i="87"/>
  <c r="AC116" i="87"/>
  <c r="AC113" i="87"/>
  <c r="I74" i="73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AD107" i="87" l="1"/>
  <c r="AD112" i="87" s="1"/>
  <c r="AF32" i="87"/>
  <c r="AE29" i="87"/>
  <c r="AE107" i="87"/>
  <c r="AD116" i="87"/>
  <c r="AD113" i="87"/>
  <c r="AC195" i="87"/>
  <c r="AD190" i="87"/>
  <c r="AC199" i="87"/>
  <c r="AC196" i="87"/>
  <c r="AD154" i="87"/>
  <c r="AE149" i="87"/>
  <c r="AD158" i="87"/>
  <c r="AD155" i="87"/>
  <c r="AD71" i="87"/>
  <c r="AD74" i="87"/>
  <c r="AE65" i="87"/>
  <c r="AD70" i="87"/>
  <c r="I80" i="73"/>
  <c r="D51" i="75"/>
  <c r="D50" i="75"/>
  <c r="AE71" i="87" l="1"/>
  <c r="AE74" i="87"/>
  <c r="AF65" i="87"/>
  <c r="AF70" i="87" s="1"/>
  <c r="AE70" i="87"/>
  <c r="AE154" i="87"/>
  <c r="AF149" i="87"/>
  <c r="AF154" i="87" s="1"/>
  <c r="AE155" i="87"/>
  <c r="AE158" i="87"/>
  <c r="AD196" i="87"/>
  <c r="AD199" i="87"/>
  <c r="AE112" i="87"/>
  <c r="AF107" i="87"/>
  <c r="AF112" i="87" s="1"/>
  <c r="AD195" i="87"/>
  <c r="AE190" i="87"/>
  <c r="AE116" i="87"/>
  <c r="AE113" i="87"/>
  <c r="I82" i="73"/>
  <c r="I107" i="73" s="1"/>
  <c r="D53" i="75"/>
  <c r="D52" i="75"/>
  <c r="AE196" i="87" l="1"/>
  <c r="AE199" i="87"/>
  <c r="AF116" i="87"/>
  <c r="AF113" i="87"/>
  <c r="AE195" i="87"/>
  <c r="AF190" i="87"/>
  <c r="AF195" i="87" s="1"/>
  <c r="AF158" i="87"/>
  <c r="AF155" i="87"/>
  <c r="AF71" i="87"/>
  <c r="AF74" i="87"/>
  <c r="AF199" i="87" l="1"/>
  <c r="AF196" i="87"/>
  <c r="D76" i="75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F15" i="87" l="1"/>
  <c r="F43" i="87"/>
  <c r="J98" i="75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F17" i="87" l="1"/>
  <c r="N83" i="87"/>
  <c r="U156" i="87"/>
  <c r="AD216" i="87"/>
  <c r="AD225" i="87" s="1"/>
  <c r="AD33" i="82" s="1"/>
  <c r="O30" i="87"/>
  <c r="O83" i="87"/>
  <c r="AC133" i="87"/>
  <c r="AC142" i="87" s="1"/>
  <c r="AC33" i="72" s="1"/>
  <c r="AE216" i="87"/>
  <c r="AE225" i="87" s="1"/>
  <c r="AE33" i="82" s="1"/>
  <c r="P30" i="87"/>
  <c r="P83" i="87"/>
  <c r="AD72" i="87"/>
  <c r="AD133" i="87"/>
  <c r="AD142" i="87" s="1"/>
  <c r="AD33" i="72" s="1"/>
  <c r="AF216" i="87"/>
  <c r="AF225" i="87" s="1"/>
  <c r="AF33" i="82" s="1"/>
  <c r="Q30" i="87"/>
  <c r="Q83" i="87"/>
  <c r="M83" i="87"/>
  <c r="R83" i="87"/>
  <c r="S83" i="87"/>
  <c r="AD169" i="87"/>
  <c r="AD182" i="87" s="1"/>
  <c r="AD32" i="73" s="1"/>
  <c r="T83" i="87"/>
  <c r="AE169" i="87"/>
  <c r="AE182" i="87" s="1"/>
  <c r="AE32" i="73" s="1"/>
  <c r="AD83" i="87"/>
  <c r="K83" i="87"/>
  <c r="L83" i="87"/>
  <c r="AE83" i="87"/>
  <c r="X197" i="87"/>
  <c r="AE175" i="87"/>
  <c r="AE183" i="87" s="1"/>
  <c r="AE33" i="73" s="1"/>
  <c r="AF83" i="87"/>
  <c r="W197" i="87"/>
  <c r="AF175" i="87"/>
  <c r="AF183" i="87" s="1"/>
  <c r="AF33" i="73" s="1"/>
  <c r="V197" i="87"/>
  <c r="AC216" i="87"/>
  <c r="AC225" i="87" s="1"/>
  <c r="AC33" i="82" s="1"/>
  <c r="J30" i="87"/>
  <c r="U197" i="87"/>
  <c r="AC127" i="87"/>
  <c r="AC141" i="87" s="1"/>
  <c r="AC32" i="72" s="1"/>
  <c r="AF127" i="87"/>
  <c r="AF141" i="87" s="1"/>
  <c r="AF32" i="72" s="1"/>
  <c r="T30" i="87"/>
  <c r="I83" i="87"/>
  <c r="U30" i="87"/>
  <c r="J83" i="87"/>
  <c r="V30" i="87"/>
  <c r="W30" i="87"/>
  <c r="X30" i="87"/>
  <c r="AE133" i="87"/>
  <c r="AE142" i="87" s="1"/>
  <c r="AE33" i="72" s="1"/>
  <c r="Y30" i="87"/>
  <c r="Y156" i="87"/>
  <c r="AF133" i="87"/>
  <c r="AF142" i="87" s="1"/>
  <c r="AF33" i="72" s="1"/>
  <c r="Z30" i="87"/>
  <c r="W156" i="87"/>
  <c r="AA30" i="87"/>
  <c r="V156" i="87"/>
  <c r="AF169" i="87"/>
  <c r="AF182" i="87" s="1"/>
  <c r="AF32" i="73" s="1"/>
  <c r="AB30" i="87"/>
  <c r="AE72" i="87"/>
  <c r="K30" i="87"/>
  <c r="L30" i="87"/>
  <c r="M30" i="87"/>
  <c r="N30" i="87"/>
  <c r="R30" i="87"/>
  <c r="AD127" i="87"/>
  <c r="AD141" i="87" s="1"/>
  <c r="AD32" i="72" s="1"/>
  <c r="S30" i="87"/>
  <c r="AE127" i="87"/>
  <c r="AE141" i="87" s="1"/>
  <c r="AE32" i="72" s="1"/>
  <c r="I156" i="87"/>
  <c r="U114" i="87"/>
  <c r="T156" i="87"/>
  <c r="AE49" i="87"/>
  <c r="R72" i="87"/>
  <c r="Z43" i="87"/>
  <c r="Z57" i="87" s="1"/>
  <c r="Z32" i="68" s="1"/>
  <c r="X127" i="87"/>
  <c r="X141" i="87" s="1"/>
  <c r="X32" i="72" s="1"/>
  <c r="X133" i="87"/>
  <c r="X142" i="87" s="1"/>
  <c r="X33" i="72" s="1"/>
  <c r="I133" i="87"/>
  <c r="I142" i="87" s="1"/>
  <c r="I33" i="72" s="1"/>
  <c r="Q197" i="87"/>
  <c r="Z114" i="87"/>
  <c r="Z72" i="87"/>
  <c r="AD49" i="87"/>
  <c r="S210" i="87"/>
  <c r="S224" i="87" s="1"/>
  <c r="S32" i="82" s="1"/>
  <c r="W127" i="87"/>
  <c r="W141" i="87" s="1"/>
  <c r="W32" i="72" s="1"/>
  <c r="AB91" i="87"/>
  <c r="AB100" i="87" s="1"/>
  <c r="AB33" i="81" s="1"/>
  <c r="P133" i="87"/>
  <c r="P142" i="87" s="1"/>
  <c r="P33" i="72" s="1"/>
  <c r="U169" i="87"/>
  <c r="U182" i="87" s="1"/>
  <c r="U32" i="73" s="1"/>
  <c r="AC175" i="87"/>
  <c r="AC183" i="87" s="1"/>
  <c r="AC33" i="73" s="1"/>
  <c r="AA197" i="87"/>
  <c r="R156" i="87"/>
  <c r="AB210" i="87"/>
  <c r="AB224" i="87" s="1"/>
  <c r="AB32" i="82" s="1"/>
  <c r="P175" i="87"/>
  <c r="P183" i="87" s="1"/>
  <c r="P33" i="73" s="1"/>
  <c r="N216" i="87"/>
  <c r="N225" i="87" s="1"/>
  <c r="N33" i="82" s="1"/>
  <c r="AC30" i="87"/>
  <c r="AE91" i="87"/>
  <c r="AE100" i="87" s="1"/>
  <c r="AE33" i="81" s="1"/>
  <c r="AB156" i="87"/>
  <c r="AA72" i="87"/>
  <c r="AC49" i="87"/>
  <c r="O175" i="87"/>
  <c r="O183" i="87" s="1"/>
  <c r="O33" i="73" s="1"/>
  <c r="P127" i="87"/>
  <c r="P141" i="87" s="1"/>
  <c r="P32" i="72" s="1"/>
  <c r="N169" i="87"/>
  <c r="N182" i="87" s="1"/>
  <c r="N32" i="73" s="1"/>
  <c r="Q133" i="87"/>
  <c r="Q142" i="87" s="1"/>
  <c r="Q33" i="72" s="1"/>
  <c r="X83" i="87"/>
  <c r="AF210" i="87"/>
  <c r="AF224" i="87" s="1"/>
  <c r="AF32" i="82" s="1"/>
  <c r="R114" i="87"/>
  <c r="K127" i="87"/>
  <c r="K141" i="87" s="1"/>
  <c r="K32" i="72" s="1"/>
  <c r="M169" i="87"/>
  <c r="M182" i="87" s="1"/>
  <c r="M32" i="73" s="1"/>
  <c r="V169" i="87"/>
  <c r="V182" i="87" s="1"/>
  <c r="V32" i="73" s="1"/>
  <c r="U210" i="87"/>
  <c r="U224" i="87" s="1"/>
  <c r="U32" i="82" s="1"/>
  <c r="O127" i="87"/>
  <c r="O141" i="87" s="1"/>
  <c r="O32" i="72" s="1"/>
  <c r="AB175" i="87"/>
  <c r="AB183" i="87" s="1"/>
  <c r="AB33" i="73" s="1"/>
  <c r="AC83" i="87"/>
  <c r="I114" i="87"/>
  <c r="AA43" i="87"/>
  <c r="AA57" i="87" s="1"/>
  <c r="AA32" i="68" s="1"/>
  <c r="AA210" i="87"/>
  <c r="AA224" i="87" s="1"/>
  <c r="AA32" i="82" s="1"/>
  <c r="Z216" i="87"/>
  <c r="Z225" i="87" s="1"/>
  <c r="Z33" i="82" s="1"/>
  <c r="Z210" i="87"/>
  <c r="Z224" i="87" s="1"/>
  <c r="J216" i="87"/>
  <c r="J225" i="87" s="1"/>
  <c r="J33" i="82" s="1"/>
  <c r="X216" i="87"/>
  <c r="X225" i="87" s="1"/>
  <c r="X33" i="82" s="1"/>
  <c r="W83" i="87"/>
  <c r="AE210" i="87"/>
  <c r="AE224" i="87" s="1"/>
  <c r="AE32" i="82" s="1"/>
  <c r="Y197" i="87"/>
  <c r="R197" i="87"/>
  <c r="Y175" i="87"/>
  <c r="Y183" i="87" s="1"/>
  <c r="Y33" i="73" s="1"/>
  <c r="W133" i="87"/>
  <c r="W142" i="87" s="1"/>
  <c r="W33" i="72" s="1"/>
  <c r="X169" i="87"/>
  <c r="X182" i="87" s="1"/>
  <c r="X32" i="73" s="1"/>
  <c r="Z91" i="87"/>
  <c r="Z100" i="87" s="1"/>
  <c r="Z33" i="81" s="1"/>
  <c r="AA216" i="87"/>
  <c r="AA225" i="87" s="1"/>
  <c r="AA33" i="82" s="1"/>
  <c r="AA175" i="87"/>
  <c r="AA183" i="87" s="1"/>
  <c r="AA33" i="73" s="1"/>
  <c r="AB83" i="87"/>
  <c r="AC169" i="87"/>
  <c r="AC182" i="87" s="1"/>
  <c r="AC32" i="73" s="1"/>
  <c r="AB197" i="87"/>
  <c r="AF72" i="87"/>
  <c r="AC72" i="87"/>
  <c r="X175" i="87"/>
  <c r="X183" i="87" s="1"/>
  <c r="X33" i="73" s="1"/>
  <c r="AA91" i="87"/>
  <c r="AA100" i="87" s="1"/>
  <c r="AA33" i="81" s="1"/>
  <c r="S133" i="87"/>
  <c r="S142" i="87" s="1"/>
  <c r="S33" i="72" s="1"/>
  <c r="Y169" i="87"/>
  <c r="Y182" i="87" s="1"/>
  <c r="Y32" i="73" s="1"/>
  <c r="V216" i="87"/>
  <c r="V225" i="87" s="1"/>
  <c r="V33" i="82" s="1"/>
  <c r="V83" i="87"/>
  <c r="AE30" i="87"/>
  <c r="O114" i="87"/>
  <c r="AD91" i="87"/>
  <c r="AD100" i="87" s="1"/>
  <c r="AD33" i="81" s="1"/>
  <c r="Q156" i="87"/>
  <c r="Y72" i="87"/>
  <c r="L72" i="87"/>
  <c r="X210" i="87"/>
  <c r="X224" i="87" s="1"/>
  <c r="X32" i="82" s="1"/>
  <c r="T216" i="87"/>
  <c r="T225" i="87" s="1"/>
  <c r="T33" i="82" s="1"/>
  <c r="U133" i="87"/>
  <c r="U142" i="87" s="1"/>
  <c r="U33" i="72" s="1"/>
  <c r="V175" i="87"/>
  <c r="V183" i="87" s="1"/>
  <c r="V33" i="73" s="1"/>
  <c r="AA83" i="87"/>
  <c r="I197" i="87"/>
  <c r="AA156" i="87"/>
  <c r="M72" i="87"/>
  <c r="W210" i="87"/>
  <c r="W224" i="87" s="1"/>
  <c r="W32" i="82" s="1"/>
  <c r="S127" i="87"/>
  <c r="S141" i="87" s="1"/>
  <c r="S32" i="72" s="1"/>
  <c r="R133" i="87"/>
  <c r="R142" i="87" s="1"/>
  <c r="R33" i="72" s="1"/>
  <c r="W216" i="87"/>
  <c r="W225" i="87" s="1"/>
  <c r="W33" i="82" s="1"/>
  <c r="U83" i="87"/>
  <c r="AF30" i="87"/>
  <c r="N72" i="87"/>
  <c r="V210" i="87"/>
  <c r="V224" i="87" s="1"/>
  <c r="V32" i="82" s="1"/>
  <c r="T127" i="87"/>
  <c r="T141" i="87" s="1"/>
  <c r="T32" i="72" s="1"/>
  <c r="K216" i="87"/>
  <c r="K225" i="87" s="1"/>
  <c r="K33" i="82" s="1"/>
  <c r="K133" i="87"/>
  <c r="K142" i="87" s="1"/>
  <c r="K33" i="72" s="1"/>
  <c r="T197" i="87"/>
  <c r="O72" i="87"/>
  <c r="Y91" i="87"/>
  <c r="Y100" i="87" s="1"/>
  <c r="Y33" i="81" s="1"/>
  <c r="U127" i="87"/>
  <c r="U141" i="87" s="1"/>
  <c r="U32" i="72" s="1"/>
  <c r="AB127" i="87"/>
  <c r="AB141" i="87" s="1"/>
  <c r="AB32" i="72" s="1"/>
  <c r="M133" i="87"/>
  <c r="M142" i="87" s="1"/>
  <c r="M33" i="72" s="1"/>
  <c r="Y83" i="87"/>
  <c r="P72" i="87"/>
  <c r="L169" i="87"/>
  <c r="L182" i="87" s="1"/>
  <c r="L32" i="73" s="1"/>
  <c r="Q127" i="87"/>
  <c r="Q141" i="87" s="1"/>
  <c r="Q32" i="72" s="1"/>
  <c r="N133" i="87"/>
  <c r="N142" i="87" s="1"/>
  <c r="N33" i="72" s="1"/>
  <c r="Q72" i="87"/>
  <c r="U216" i="87"/>
  <c r="U225" i="87" s="1"/>
  <c r="U33" i="82" s="1"/>
  <c r="Y127" i="87"/>
  <c r="Y141" i="87" s="1"/>
  <c r="Y32" i="72" s="1"/>
  <c r="V133" i="87"/>
  <c r="V142" i="87" s="1"/>
  <c r="V33" i="72" s="1"/>
  <c r="X156" i="87"/>
  <c r="W91" i="87"/>
  <c r="W100" i="87" s="1"/>
  <c r="W33" i="81" s="1"/>
  <c r="Q216" i="87"/>
  <c r="Q225" i="87" s="1"/>
  <c r="Q33" i="82" s="1"/>
  <c r="P216" i="87"/>
  <c r="P225" i="87" s="1"/>
  <c r="P33" i="82" s="1"/>
  <c r="AC91" i="87"/>
  <c r="AC100" i="87" s="1"/>
  <c r="AC33" i="81" s="1"/>
  <c r="AC210" i="87"/>
  <c r="AC224" i="87" s="1"/>
  <c r="AC32" i="82" s="1"/>
  <c r="T175" i="87"/>
  <c r="T183" i="87" s="1"/>
  <c r="T33" i="73" s="1"/>
  <c r="Q175" i="87"/>
  <c r="Q183" i="87" s="1"/>
  <c r="Q33" i="73" s="1"/>
  <c r="O210" i="87"/>
  <c r="O224" i="87" s="1"/>
  <c r="O32" i="82" s="1"/>
  <c r="L216" i="87"/>
  <c r="L225" i="87" s="1"/>
  <c r="L33" i="82" s="1"/>
  <c r="T114" i="87"/>
  <c r="O133" i="87"/>
  <c r="O142" i="87" s="1"/>
  <c r="O33" i="72" s="1"/>
  <c r="Y210" i="87"/>
  <c r="Y224" i="87" s="1"/>
  <c r="Y32" i="82" s="1"/>
  <c r="V127" i="87"/>
  <c r="V141" i="87" s="1"/>
  <c r="V32" i="72" s="1"/>
  <c r="Z197" i="87"/>
  <c r="P114" i="87"/>
  <c r="V114" i="87"/>
  <c r="AB133" i="87"/>
  <c r="AB142" i="87" s="1"/>
  <c r="AB33" i="72" s="1"/>
  <c r="AA169" i="87"/>
  <c r="AA182" i="87" s="1"/>
  <c r="AA32" i="73" s="1"/>
  <c r="K210" i="87"/>
  <c r="K224" i="87" s="1"/>
  <c r="K32" i="82" s="1"/>
  <c r="S72" i="87"/>
  <c r="AA114" i="87"/>
  <c r="T72" i="87"/>
  <c r="W43" i="87"/>
  <c r="W57" i="87" s="1"/>
  <c r="W32" i="68" s="1"/>
  <c r="N127" i="87"/>
  <c r="N141" i="87" s="1"/>
  <c r="N32" i="72" s="1"/>
  <c r="X91" i="87"/>
  <c r="X100" i="87" s="1"/>
  <c r="X33" i="81" s="1"/>
  <c r="AD175" i="87"/>
  <c r="AD183" i="87" s="1"/>
  <c r="AD33" i="73" s="1"/>
  <c r="AD30" i="87"/>
  <c r="S156" i="87"/>
  <c r="AF49" i="87"/>
  <c r="Y43" i="87"/>
  <c r="Y57" i="87" s="1"/>
  <c r="Y32" i="68" s="1"/>
  <c r="AB216" i="87"/>
  <c r="AB225" i="87" s="1"/>
  <c r="AB33" i="82" s="1"/>
  <c r="S175" i="87"/>
  <c r="S183" i="87" s="1"/>
  <c r="S33" i="73" s="1"/>
  <c r="X114" i="87"/>
  <c r="J72" i="87"/>
  <c r="AC156" i="87"/>
  <c r="U72" i="87"/>
  <c r="X43" i="87"/>
  <c r="X57" i="87" s="1"/>
  <c r="X32" i="68" s="1"/>
  <c r="Z169" i="87"/>
  <c r="Z182" i="87" s="1"/>
  <c r="Z32" i="73" s="1"/>
  <c r="L210" i="87"/>
  <c r="L224" i="87" s="1"/>
  <c r="L32" i="82" s="1"/>
  <c r="AC114" i="87"/>
  <c r="AF91" i="87"/>
  <c r="AF100" i="87" s="1"/>
  <c r="AF33" i="81" s="1"/>
  <c r="M210" i="87"/>
  <c r="M224" i="87" s="1"/>
  <c r="M32" i="82" s="1"/>
  <c r="V72" i="87"/>
  <c r="Z133" i="87"/>
  <c r="Z142" i="87" s="1"/>
  <c r="Z33" i="72" s="1"/>
  <c r="Y216" i="87"/>
  <c r="Y225" i="87" s="1"/>
  <c r="Y33" i="82" s="1"/>
  <c r="AB169" i="87"/>
  <c r="AB182" i="87" s="1"/>
  <c r="AB32" i="73" s="1"/>
  <c r="AD210" i="87"/>
  <c r="AD224" i="87" s="1"/>
  <c r="AD32" i="82" s="1"/>
  <c r="Q114" i="87"/>
  <c r="Y133" i="87"/>
  <c r="Y142" i="87" s="1"/>
  <c r="Y33" i="72" s="1"/>
  <c r="W169" i="87"/>
  <c r="W182" i="87" s="1"/>
  <c r="W32" i="73" s="1"/>
  <c r="S114" i="87"/>
  <c r="W72" i="87"/>
  <c r="R216" i="87"/>
  <c r="R225" i="87" s="1"/>
  <c r="R33" i="82" s="1"/>
  <c r="AA127" i="87"/>
  <c r="AA141" i="87" s="1"/>
  <c r="AA32" i="72" s="1"/>
  <c r="M127" i="87"/>
  <c r="M141" i="87" s="1"/>
  <c r="M32" i="72" s="1"/>
  <c r="S197" i="87"/>
  <c r="W114" i="87"/>
  <c r="AB72" i="87"/>
  <c r="Z175" i="87"/>
  <c r="Z183" i="87" s="1"/>
  <c r="Z33" i="73" s="1"/>
  <c r="T133" i="87"/>
  <c r="T142" i="87" s="1"/>
  <c r="T33" i="72" s="1"/>
  <c r="U175" i="87"/>
  <c r="U183" i="87" s="1"/>
  <c r="U33" i="73" s="1"/>
  <c r="L133" i="87"/>
  <c r="L142" i="87" s="1"/>
  <c r="L33" i="72" s="1"/>
  <c r="AC197" i="87"/>
  <c r="Z156" i="87"/>
  <c r="AB114" i="87"/>
  <c r="X72" i="87"/>
  <c r="I72" i="87"/>
  <c r="AB43" i="87"/>
  <c r="AB57" i="87" s="1"/>
  <c r="AB32" i="68" s="1"/>
  <c r="R127" i="87"/>
  <c r="R141" i="87" s="1"/>
  <c r="R32" i="72" s="1"/>
  <c r="N210" i="87"/>
  <c r="N224" i="87" s="1"/>
  <c r="N32" i="82" s="1"/>
  <c r="K175" i="87"/>
  <c r="K183" i="87" s="1"/>
  <c r="K33" i="73" s="1"/>
  <c r="Y114" i="87"/>
  <c r="K72" i="87"/>
  <c r="W175" i="87"/>
  <c r="W183" i="87" s="1"/>
  <c r="W33" i="73" s="1"/>
  <c r="AA133" i="87"/>
  <c r="AA142" i="87" s="1"/>
  <c r="AA33" i="72" s="1"/>
  <c r="Z127" i="87"/>
  <c r="Z141" i="87" s="1"/>
  <c r="Z32" i="72" s="1"/>
  <c r="J133" i="87"/>
  <c r="J142" i="87" s="1"/>
  <c r="J33" i="72" s="1"/>
  <c r="I169" i="87"/>
  <c r="I182" i="87" s="1"/>
  <c r="I32" i="73" s="1"/>
  <c r="P169" i="87"/>
  <c r="P182" i="87" s="1"/>
  <c r="P32" i="73" s="1"/>
  <c r="M216" i="87"/>
  <c r="M225" i="87" s="1"/>
  <c r="M33" i="82" s="1"/>
  <c r="I175" i="87"/>
  <c r="I183" i="87" s="1"/>
  <c r="I33" i="73" s="1"/>
  <c r="Q210" i="87"/>
  <c r="Q224" i="87" s="1"/>
  <c r="Q32" i="82" s="1"/>
  <c r="I127" i="87"/>
  <c r="I141" i="87" s="1"/>
  <c r="I32" i="72" s="1"/>
  <c r="L175" i="87"/>
  <c r="L183" i="87" s="1"/>
  <c r="L33" i="73" s="1"/>
  <c r="P197" i="87"/>
  <c r="AF197" i="87"/>
  <c r="AD43" i="87"/>
  <c r="AD57" i="87" s="1"/>
  <c r="AD32" i="68" s="1"/>
  <c r="O169" i="87"/>
  <c r="O182" i="87" s="1"/>
  <c r="O32" i="73" s="1"/>
  <c r="AD114" i="87"/>
  <c r="T169" i="87"/>
  <c r="T182" i="87" s="1"/>
  <c r="T32" i="73" s="1"/>
  <c r="Z83" i="87"/>
  <c r="I216" i="87"/>
  <c r="I225" i="87" s="1"/>
  <c r="I33" i="82" s="1"/>
  <c r="AF43" i="87"/>
  <c r="AF57" i="87" s="1"/>
  <c r="AF32" i="68" s="1"/>
  <c r="P210" i="87"/>
  <c r="P224" i="87" s="1"/>
  <c r="P32" i="82" s="1"/>
  <c r="L156" i="87"/>
  <c r="AF114" i="87"/>
  <c r="J114" i="87"/>
  <c r="AD156" i="87"/>
  <c r="L127" i="87"/>
  <c r="L141" i="87" s="1"/>
  <c r="L32" i="72" s="1"/>
  <c r="O197" i="87"/>
  <c r="L197" i="87"/>
  <c r="J197" i="87"/>
  <c r="M156" i="87"/>
  <c r="J175" i="87"/>
  <c r="J183" i="87" s="1"/>
  <c r="J33" i="73" s="1"/>
  <c r="K169" i="87"/>
  <c r="K182" i="87" s="1"/>
  <c r="K32" i="73" s="1"/>
  <c r="S169" i="87"/>
  <c r="S182" i="87" s="1"/>
  <c r="S32" i="73" s="1"/>
  <c r="R175" i="87"/>
  <c r="R183" i="87" s="1"/>
  <c r="R33" i="73" s="1"/>
  <c r="AE197" i="87"/>
  <c r="P156" i="87"/>
  <c r="L114" i="87"/>
  <c r="N197" i="87"/>
  <c r="O156" i="87"/>
  <c r="R169" i="87"/>
  <c r="R182" i="87" s="1"/>
  <c r="R32" i="73" s="1"/>
  <c r="M197" i="87"/>
  <c r="J210" i="87"/>
  <c r="J224" i="87" s="1"/>
  <c r="J32" i="82" s="1"/>
  <c r="AE156" i="87"/>
  <c r="N114" i="87"/>
  <c r="N175" i="87"/>
  <c r="N183" i="87" s="1"/>
  <c r="N33" i="73" s="1"/>
  <c r="K197" i="87"/>
  <c r="J156" i="87"/>
  <c r="AC43" i="87"/>
  <c r="AC57" i="87" s="1"/>
  <c r="AC32" i="68" s="1"/>
  <c r="I210" i="87"/>
  <c r="I224" i="87" s="1"/>
  <c r="I32" i="82" s="1"/>
  <c r="AE43" i="87"/>
  <c r="AE57" i="87" s="1"/>
  <c r="AE32" i="68" s="1"/>
  <c r="Q169" i="87"/>
  <c r="Q182" i="87" s="1"/>
  <c r="Q32" i="73" s="1"/>
  <c r="S216" i="87"/>
  <c r="S225" i="87" s="1"/>
  <c r="S33" i="82" s="1"/>
  <c r="M114" i="87"/>
  <c r="AF156" i="87"/>
  <c r="AE114" i="87"/>
  <c r="V91" i="87"/>
  <c r="V100" i="87" s="1"/>
  <c r="V33" i="81" s="1"/>
  <c r="T210" i="87"/>
  <c r="T224" i="87" s="1"/>
  <c r="T32" i="82" s="1"/>
  <c r="J169" i="87"/>
  <c r="J182" i="87" s="1"/>
  <c r="J32" i="73" s="1"/>
  <c r="R210" i="87"/>
  <c r="R224" i="87" s="1"/>
  <c r="R32" i="82" s="1"/>
  <c r="J127" i="87"/>
  <c r="J141" i="87" s="1"/>
  <c r="J32" i="72" s="1"/>
  <c r="O216" i="87"/>
  <c r="O225" i="87" s="1"/>
  <c r="O33" i="82" s="1"/>
  <c r="K156" i="87"/>
  <c r="M175" i="87"/>
  <c r="M183" i="87" s="1"/>
  <c r="M33" i="73" s="1"/>
  <c r="K114" i="87"/>
  <c r="AD197" i="87"/>
  <c r="N156" i="87"/>
  <c r="I49" i="87"/>
  <c r="I30" i="87"/>
  <c r="I91" i="87"/>
  <c r="I100" i="87" s="1"/>
  <c r="I33" i="81" s="1"/>
  <c r="J91" i="87"/>
  <c r="J100" i="87" s="1"/>
  <c r="J33" i="81" s="1"/>
  <c r="J49" i="87"/>
  <c r="K91" i="87"/>
  <c r="K100" i="87" s="1"/>
  <c r="K33" i="81" s="1"/>
  <c r="L91" i="87"/>
  <c r="L100" i="87" s="1"/>
  <c r="L33" i="81" s="1"/>
  <c r="K49" i="87"/>
  <c r="L49" i="87"/>
  <c r="M91" i="87"/>
  <c r="M100" i="87" s="1"/>
  <c r="M33" i="81" s="1"/>
  <c r="N91" i="87"/>
  <c r="N100" i="87" s="1"/>
  <c r="N33" i="81" s="1"/>
  <c r="M49" i="87"/>
  <c r="N49" i="87"/>
  <c r="O49" i="87"/>
  <c r="O91" i="87"/>
  <c r="O100" i="87" s="1"/>
  <c r="O33" i="81" s="1"/>
  <c r="P91" i="87"/>
  <c r="P100" i="87" s="1"/>
  <c r="P33" i="81" s="1"/>
  <c r="Q91" i="87"/>
  <c r="Q100" i="87" s="1"/>
  <c r="Q33" i="81" s="1"/>
  <c r="P49" i="87"/>
  <c r="Q49" i="87"/>
  <c r="R91" i="87"/>
  <c r="R100" i="87" s="1"/>
  <c r="R33" i="81" s="1"/>
  <c r="S91" i="87"/>
  <c r="S100" i="87" s="1"/>
  <c r="S33" i="81" s="1"/>
  <c r="R49" i="87"/>
  <c r="T91" i="87"/>
  <c r="T100" i="87" s="1"/>
  <c r="T33" i="81" s="1"/>
  <c r="S49" i="87"/>
  <c r="T49" i="87"/>
  <c r="U91" i="87"/>
  <c r="U100" i="87" s="1"/>
  <c r="U33" i="81" s="1"/>
  <c r="U49" i="87"/>
  <c r="V49" i="87"/>
  <c r="W49" i="87"/>
  <c r="X49" i="87"/>
  <c r="Y49" i="87"/>
  <c r="Z49" i="87"/>
  <c r="AA49" i="87"/>
  <c r="AB49" i="87"/>
  <c r="C11" i="47"/>
  <c r="C12" i="47"/>
  <c r="I98" i="75"/>
  <c r="Z32" i="82" l="1"/>
  <c r="M75" i="87"/>
  <c r="M76" i="87" s="1"/>
  <c r="M98" i="87" s="1"/>
  <c r="K75" i="87"/>
  <c r="K76" i="87" s="1"/>
  <c r="K98" i="87" s="1"/>
  <c r="J75" i="87"/>
  <c r="J76" i="87" s="1"/>
  <c r="J98" i="87" s="1"/>
  <c r="I75" i="87"/>
  <c r="I76" i="87" s="1"/>
  <c r="I98" i="87" s="1"/>
  <c r="Q75" i="87"/>
  <c r="Q76" i="87" s="1"/>
  <c r="Q98" i="87" s="1"/>
  <c r="P75" i="87"/>
  <c r="P76" i="87" s="1"/>
  <c r="P98" i="87" s="1"/>
  <c r="O75" i="87"/>
  <c r="O76" i="87" s="1"/>
  <c r="O98" i="87" s="1"/>
  <c r="N75" i="87"/>
  <c r="N76" i="87" s="1"/>
  <c r="N98" i="87" s="1"/>
  <c r="U75" i="87"/>
  <c r="U76" i="87" s="1"/>
  <c r="U98" i="87" s="1"/>
  <c r="T75" i="87"/>
  <c r="T76" i="87" s="1"/>
  <c r="T98" i="87" s="1"/>
  <c r="S75" i="87"/>
  <c r="S76" i="87" s="1"/>
  <c r="S98" i="87" s="1"/>
  <c r="R75" i="87"/>
  <c r="R76" i="87" s="1"/>
  <c r="R98" i="87" s="1"/>
  <c r="Z200" i="87"/>
  <c r="Z201" i="87" s="1"/>
  <c r="Z223" i="87" s="1"/>
  <c r="Z31" i="82" s="1"/>
  <c r="W75" i="87"/>
  <c r="W76" i="87" s="1"/>
  <c r="W98" i="87" s="1"/>
  <c r="R159" i="87"/>
  <c r="R160" i="87" s="1"/>
  <c r="R181" i="87" s="1"/>
  <c r="AF117" i="87"/>
  <c r="AF118" i="87" s="1"/>
  <c r="AF140" i="87" s="1"/>
  <c r="V159" i="87"/>
  <c r="V160" i="87" s="1"/>
  <c r="V181" i="87" s="1"/>
  <c r="AA159" i="87"/>
  <c r="AA160" i="87" s="1"/>
  <c r="AA181" i="87" s="1"/>
  <c r="W200" i="87"/>
  <c r="W201" i="87" s="1"/>
  <c r="W223" i="87" s="1"/>
  <c r="Z117" i="87"/>
  <c r="Z118" i="87" s="1"/>
  <c r="Z140" i="87" s="1"/>
  <c r="M117" i="87"/>
  <c r="M118" i="87" s="1"/>
  <c r="M140" i="87" s="1"/>
  <c r="R200" i="87"/>
  <c r="R201" i="87" s="1"/>
  <c r="R223" i="87" s="1"/>
  <c r="AA200" i="87"/>
  <c r="AA201" i="87" s="1"/>
  <c r="AA223" i="87" s="1"/>
  <c r="Q117" i="87"/>
  <c r="Q118" i="87" s="1"/>
  <c r="Q140" i="87" s="1"/>
  <c r="W159" i="87"/>
  <c r="W160" i="87" s="1"/>
  <c r="W181" i="87" s="1"/>
  <c r="I159" i="87"/>
  <c r="I160" i="87" s="1"/>
  <c r="I181" i="87" s="1"/>
  <c r="AA117" i="87"/>
  <c r="AA118" i="87" s="1"/>
  <c r="AA140" i="87" s="1"/>
  <c r="N117" i="87"/>
  <c r="N118" i="87" s="1"/>
  <c r="N140" i="87" s="1"/>
  <c r="U200" i="87"/>
  <c r="U201" i="87" s="1"/>
  <c r="U223" i="87" s="1"/>
  <c r="AB200" i="87"/>
  <c r="AB201" i="87" s="1"/>
  <c r="AB223" i="87" s="1"/>
  <c r="O200" i="87"/>
  <c r="O201" i="87" s="1"/>
  <c r="O223" i="87" s="1"/>
  <c r="S159" i="87"/>
  <c r="S160" i="87" s="1"/>
  <c r="S181" i="87" s="1"/>
  <c r="O159" i="87"/>
  <c r="O160" i="87" s="1"/>
  <c r="O181" i="87" s="1"/>
  <c r="X159" i="87"/>
  <c r="X160" i="87" s="1"/>
  <c r="X181" i="87" s="1"/>
  <c r="AB159" i="87"/>
  <c r="AB160" i="87" s="1"/>
  <c r="AB181" i="87" s="1"/>
  <c r="Y75" i="87"/>
  <c r="Y76" i="87" s="1"/>
  <c r="Y98" i="87" s="1"/>
  <c r="O117" i="87"/>
  <c r="O118" i="87" s="1"/>
  <c r="O140" i="87" s="1"/>
  <c r="S200" i="87"/>
  <c r="S201" i="87" s="1"/>
  <c r="S223" i="87" s="1"/>
  <c r="AF33" i="87"/>
  <c r="AF34" i="87" s="1"/>
  <c r="AF56" i="87" s="1"/>
  <c r="AF75" i="87"/>
  <c r="AF76" i="87" s="1"/>
  <c r="AF98" i="87" s="1"/>
  <c r="J117" i="87"/>
  <c r="J118" i="87" s="1"/>
  <c r="J140" i="87" s="1"/>
  <c r="N200" i="87"/>
  <c r="N201" i="87" s="1"/>
  <c r="N223" i="87" s="1"/>
  <c r="AE117" i="87"/>
  <c r="AE118" i="87" s="1"/>
  <c r="AE140" i="87" s="1"/>
  <c r="AC117" i="87"/>
  <c r="AC118" i="87" s="1"/>
  <c r="AC140" i="87" s="1"/>
  <c r="AE33" i="87"/>
  <c r="AE34" i="87" s="1"/>
  <c r="AE56" i="87" s="1"/>
  <c r="U159" i="87"/>
  <c r="U160" i="87" s="1"/>
  <c r="U181" i="87" s="1"/>
  <c r="AC159" i="87"/>
  <c r="AC160" i="87" s="1"/>
  <c r="AC181" i="87" s="1"/>
  <c r="AD33" i="87"/>
  <c r="AD34" i="87" s="1"/>
  <c r="AD56" i="87" s="1"/>
  <c r="V75" i="87"/>
  <c r="V76" i="87" s="1"/>
  <c r="V98" i="87" s="1"/>
  <c r="T200" i="87"/>
  <c r="T201" i="87" s="1"/>
  <c r="T223" i="87" s="1"/>
  <c r="AC33" i="87"/>
  <c r="AC34" i="87" s="1"/>
  <c r="AC56" i="87" s="1"/>
  <c r="L117" i="87"/>
  <c r="L118" i="87" s="1"/>
  <c r="L140" i="87" s="1"/>
  <c r="X200" i="87"/>
  <c r="X201" i="87" s="1"/>
  <c r="X223" i="87" s="1"/>
  <c r="R117" i="87"/>
  <c r="R118" i="87" s="1"/>
  <c r="R140" i="87" s="1"/>
  <c r="Y159" i="87"/>
  <c r="Y160" i="87" s="1"/>
  <c r="Y181" i="87" s="1"/>
  <c r="AB75" i="87"/>
  <c r="AB76" i="87" s="1"/>
  <c r="AB98" i="87" s="1"/>
  <c r="I200" i="87"/>
  <c r="I201" i="87" s="1"/>
  <c r="I223" i="87" s="1"/>
  <c r="Q159" i="87"/>
  <c r="Q160" i="87" s="1"/>
  <c r="Q181" i="87" s="1"/>
  <c r="AA75" i="87"/>
  <c r="AA76" i="87" s="1"/>
  <c r="AA98" i="87" s="1"/>
  <c r="P200" i="87"/>
  <c r="P201" i="87" s="1"/>
  <c r="P223" i="87" s="1"/>
  <c r="P117" i="87"/>
  <c r="P118" i="87" s="1"/>
  <c r="P140" i="87" s="1"/>
  <c r="Y200" i="87"/>
  <c r="Y201" i="87" s="1"/>
  <c r="Y223" i="87" s="1"/>
  <c r="Z159" i="87"/>
  <c r="Z160" i="87" s="1"/>
  <c r="Z181" i="87" s="1"/>
  <c r="Q200" i="87"/>
  <c r="Q201" i="87" s="1"/>
  <c r="Q223" i="87" s="1"/>
  <c r="S117" i="87"/>
  <c r="S118" i="87" s="1"/>
  <c r="S140" i="87" s="1"/>
  <c r="V200" i="87"/>
  <c r="V201" i="87" s="1"/>
  <c r="V223" i="87" s="1"/>
  <c r="AC200" i="87"/>
  <c r="AC201" i="87" s="1"/>
  <c r="AC223" i="87" s="1"/>
  <c r="AD117" i="87"/>
  <c r="AD118" i="87" s="1"/>
  <c r="AD140" i="87" s="1"/>
  <c r="L75" i="87"/>
  <c r="L76" i="87" s="1"/>
  <c r="L98" i="87" s="1"/>
  <c r="AE75" i="87"/>
  <c r="AE76" i="87" s="1"/>
  <c r="AE98" i="87" s="1"/>
  <c r="AB117" i="87"/>
  <c r="AB118" i="87" s="1"/>
  <c r="AB140" i="87" s="1"/>
  <c r="Z75" i="87"/>
  <c r="Z76" i="87" s="1"/>
  <c r="Z98" i="87" s="1"/>
  <c r="AD75" i="87"/>
  <c r="AD76" i="87" s="1"/>
  <c r="AD98" i="87" s="1"/>
  <c r="X75" i="87"/>
  <c r="X76" i="87" s="1"/>
  <c r="X98" i="87" s="1"/>
  <c r="T159" i="87"/>
  <c r="T160" i="87" s="1"/>
  <c r="T181" i="87" s="1"/>
  <c r="AC75" i="87"/>
  <c r="AC76" i="87" s="1"/>
  <c r="AC98" i="87" s="1"/>
  <c r="P159" i="87"/>
  <c r="P160" i="87" s="1"/>
  <c r="P181" i="87" s="1"/>
  <c r="Y117" i="87"/>
  <c r="Y118" i="87" s="1"/>
  <c r="Y140" i="87" s="1"/>
  <c r="I117" i="87"/>
  <c r="I118" i="87" s="1"/>
  <c r="I140" i="87" s="1"/>
  <c r="K117" i="87"/>
  <c r="K118" i="87" s="1"/>
  <c r="K140" i="87" s="1"/>
  <c r="M200" i="87"/>
  <c r="M201" i="87" s="1"/>
  <c r="M223" i="87" s="1"/>
  <c r="J200" i="87"/>
  <c r="J201" i="87" s="1"/>
  <c r="J223" i="87" s="1"/>
  <c r="AF159" i="87"/>
  <c r="AF160" i="87" s="1"/>
  <c r="AF181" i="87" s="1"/>
  <c r="X117" i="87"/>
  <c r="X118" i="87" s="1"/>
  <c r="X140" i="87" s="1"/>
  <c r="V117" i="87"/>
  <c r="V118" i="87" s="1"/>
  <c r="V140" i="87" s="1"/>
  <c r="K159" i="87"/>
  <c r="K160" i="87" s="1"/>
  <c r="K181" i="87" s="1"/>
  <c r="T117" i="87"/>
  <c r="T118" i="87" s="1"/>
  <c r="T140" i="87" s="1"/>
  <c r="AD200" i="87"/>
  <c r="AD201" i="87" s="1"/>
  <c r="AD223" i="87" s="1"/>
  <c r="N159" i="87"/>
  <c r="N160" i="87" s="1"/>
  <c r="N181" i="87" s="1"/>
  <c r="AF200" i="87"/>
  <c r="AF201" i="87" s="1"/>
  <c r="AF223" i="87" s="1"/>
  <c r="L200" i="87"/>
  <c r="L201" i="87" s="1"/>
  <c r="L223" i="87" s="1"/>
  <c r="AE200" i="87"/>
  <c r="AE201" i="87" s="1"/>
  <c r="AE223" i="87" s="1"/>
  <c r="AD159" i="87"/>
  <c r="AD160" i="87" s="1"/>
  <c r="AD181" i="87" s="1"/>
  <c r="M159" i="87"/>
  <c r="M160" i="87" s="1"/>
  <c r="M181" i="87" s="1"/>
  <c r="L159" i="87"/>
  <c r="L160" i="87" s="1"/>
  <c r="L181" i="87" s="1"/>
  <c r="I33" i="87"/>
  <c r="I34" i="87" s="1"/>
  <c r="I56" i="87" s="1"/>
  <c r="I31" i="68" s="1"/>
  <c r="W117" i="87"/>
  <c r="W118" i="87" s="1"/>
  <c r="W140" i="87" s="1"/>
  <c r="AE159" i="87"/>
  <c r="AE160" i="87" s="1"/>
  <c r="AE181" i="87" s="1"/>
  <c r="K200" i="87"/>
  <c r="K201" i="87" s="1"/>
  <c r="K223" i="87" s="1"/>
  <c r="J159" i="87"/>
  <c r="J160" i="87" s="1"/>
  <c r="J181" i="87" s="1"/>
  <c r="U117" i="87"/>
  <c r="U118" i="87" s="1"/>
  <c r="U140" i="87" s="1"/>
  <c r="J33" i="87"/>
  <c r="J34" i="87" s="1"/>
  <c r="J56" i="87" s="1"/>
  <c r="J31" i="68" s="1"/>
  <c r="K33" i="87"/>
  <c r="K34" i="87" s="1"/>
  <c r="K56" i="87" s="1"/>
  <c r="K31" i="68" s="1"/>
  <c r="L33" i="87"/>
  <c r="L34" i="87" s="1"/>
  <c r="L56" i="87" s="1"/>
  <c r="L31" i="68" s="1"/>
  <c r="M33" i="87"/>
  <c r="M34" i="87" s="1"/>
  <c r="M56" i="87" s="1"/>
  <c r="M31" i="68" s="1"/>
  <c r="N33" i="87"/>
  <c r="N34" i="87" s="1"/>
  <c r="N56" i="87" s="1"/>
  <c r="N31" i="68" s="1"/>
  <c r="O33" i="87"/>
  <c r="O34" i="87" s="1"/>
  <c r="O56" i="87" s="1"/>
  <c r="O31" i="68" s="1"/>
  <c r="P33" i="87"/>
  <c r="P34" i="87" s="1"/>
  <c r="P56" i="87" s="1"/>
  <c r="P31" i="68" s="1"/>
  <c r="Q33" i="87"/>
  <c r="Q34" i="87" s="1"/>
  <c r="Q56" i="87" s="1"/>
  <c r="Q31" i="68" s="1"/>
  <c r="R33" i="87"/>
  <c r="R34" i="87" s="1"/>
  <c r="R56" i="87" s="1"/>
  <c r="R31" i="68" s="1"/>
  <c r="S33" i="87"/>
  <c r="S34" i="87" s="1"/>
  <c r="S56" i="87" s="1"/>
  <c r="S31" i="68" s="1"/>
  <c r="T33" i="87"/>
  <c r="T34" i="87" s="1"/>
  <c r="T56" i="87" s="1"/>
  <c r="T31" i="68" s="1"/>
  <c r="U33" i="87"/>
  <c r="U34" i="87" s="1"/>
  <c r="U56" i="87" s="1"/>
  <c r="U31" i="68" s="1"/>
  <c r="V33" i="87"/>
  <c r="V34" i="87" s="1"/>
  <c r="V56" i="87" s="1"/>
  <c r="V31" i="68" s="1"/>
  <c r="W33" i="87"/>
  <c r="W34" i="87" s="1"/>
  <c r="W56" i="87" s="1"/>
  <c r="X33" i="87"/>
  <c r="X34" i="87" s="1"/>
  <c r="X56" i="87" s="1"/>
  <c r="Y33" i="87"/>
  <c r="Y34" i="87" s="1"/>
  <c r="Y56" i="87" s="1"/>
  <c r="Z33" i="87"/>
  <c r="Z34" i="87" s="1"/>
  <c r="Z56" i="87" s="1"/>
  <c r="AB33" i="87"/>
  <c r="AB34" i="87" s="1"/>
  <c r="AB56" i="87" s="1"/>
  <c r="AA33" i="87"/>
  <c r="AA34" i="87" s="1"/>
  <c r="AA56" i="87" s="1"/>
  <c r="D98" i="75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Z226" i="87" l="1"/>
  <c r="Z31" i="81"/>
  <c r="Z101" i="87"/>
  <c r="I226" i="87"/>
  <c r="I31" i="82"/>
  <c r="J31" i="72"/>
  <c r="J143" i="87"/>
  <c r="AA31" i="82"/>
  <c r="AA226" i="87"/>
  <c r="AA31" i="68"/>
  <c r="AA59" i="87"/>
  <c r="AB31" i="72"/>
  <c r="AB143" i="87"/>
  <c r="I31" i="81"/>
  <c r="I101" i="87"/>
  <c r="AB31" i="68"/>
  <c r="AB59" i="87"/>
  <c r="J31" i="73"/>
  <c r="J184" i="87"/>
  <c r="AD226" i="87"/>
  <c r="AD31" i="82"/>
  <c r="AB31" i="81"/>
  <c r="AB101" i="87"/>
  <c r="J31" i="81"/>
  <c r="J101" i="87"/>
  <c r="Y31" i="73"/>
  <c r="Y184" i="87"/>
  <c r="K31" i="73"/>
  <c r="K184" i="87"/>
  <c r="L31" i="81"/>
  <c r="L101" i="87"/>
  <c r="R31" i="72"/>
  <c r="R143" i="87"/>
  <c r="W31" i="82"/>
  <c r="W226" i="87"/>
  <c r="X31" i="82"/>
  <c r="X226" i="87"/>
  <c r="O31" i="72"/>
  <c r="O143" i="87"/>
  <c r="AA31" i="73"/>
  <c r="AA184" i="87"/>
  <c r="W31" i="68"/>
  <c r="W59" i="87"/>
  <c r="W31" i="72"/>
  <c r="W143" i="87"/>
  <c r="Y31" i="81"/>
  <c r="Y101" i="87"/>
  <c r="AF31" i="73"/>
  <c r="AF184" i="87"/>
  <c r="AB31" i="73"/>
  <c r="AB184" i="87"/>
  <c r="L31" i="73"/>
  <c r="L184" i="87"/>
  <c r="Q31" i="82"/>
  <c r="Q226" i="87"/>
  <c r="T31" i="82"/>
  <c r="T226" i="87"/>
  <c r="AD31" i="73"/>
  <c r="AD184" i="87"/>
  <c r="I143" i="87"/>
  <c r="I31" i="72"/>
  <c r="S31" i="73"/>
  <c r="S184" i="87"/>
  <c r="W31" i="81"/>
  <c r="W101" i="87"/>
  <c r="AE31" i="82"/>
  <c r="AE226" i="87"/>
  <c r="Y31" i="72"/>
  <c r="Y143" i="87"/>
  <c r="U31" i="73"/>
  <c r="U184" i="87"/>
  <c r="P31" i="82"/>
  <c r="P226" i="87"/>
  <c r="AA31" i="72"/>
  <c r="AA143" i="87"/>
  <c r="U31" i="81"/>
  <c r="U101" i="87"/>
  <c r="L31" i="82"/>
  <c r="L226" i="87"/>
  <c r="T31" i="73"/>
  <c r="T184" i="87"/>
  <c r="AA31" i="81"/>
  <c r="AA101" i="87"/>
  <c r="AC31" i="72"/>
  <c r="AC143" i="87"/>
  <c r="I184" i="87"/>
  <c r="I31" i="73"/>
  <c r="N31" i="81"/>
  <c r="N101" i="87"/>
  <c r="AE31" i="72"/>
  <c r="AE143" i="87"/>
  <c r="W31" i="73"/>
  <c r="W184" i="87"/>
  <c r="N31" i="82"/>
  <c r="N226" i="87"/>
  <c r="Q31" i="72"/>
  <c r="Q143" i="87"/>
  <c r="P31" i="81"/>
  <c r="P101" i="87"/>
  <c r="AE31" i="68"/>
  <c r="AE59" i="87"/>
  <c r="X31" i="68"/>
  <c r="X59" i="87"/>
  <c r="O31" i="73"/>
  <c r="O184" i="87"/>
  <c r="Z31" i="72"/>
  <c r="Z143" i="87"/>
  <c r="R31" i="82"/>
  <c r="R226" i="87"/>
  <c r="O31" i="81"/>
  <c r="O101" i="87"/>
  <c r="R31" i="81"/>
  <c r="R101" i="87"/>
  <c r="AF31" i="68"/>
  <c r="AF59" i="87"/>
  <c r="T31" i="81"/>
  <c r="T101" i="87"/>
  <c r="X31" i="81"/>
  <c r="X101" i="87"/>
  <c r="Q31" i="73"/>
  <c r="Q184" i="87"/>
  <c r="R31" i="73"/>
  <c r="R184" i="87"/>
  <c r="AC31" i="81"/>
  <c r="AC101" i="87"/>
  <c r="Q31" i="81"/>
  <c r="Q101" i="87"/>
  <c r="K31" i="82"/>
  <c r="K226" i="87"/>
  <c r="J31" i="82"/>
  <c r="J226" i="87"/>
  <c r="AF31" i="82"/>
  <c r="AF226" i="87"/>
  <c r="AD31" i="81"/>
  <c r="AD101" i="87"/>
  <c r="AD31" i="72"/>
  <c r="AD143" i="87"/>
  <c r="M31" i="81"/>
  <c r="M101" i="87"/>
  <c r="V31" i="72"/>
  <c r="V143" i="87"/>
  <c r="N31" i="73"/>
  <c r="N184" i="87"/>
  <c r="M31" i="72"/>
  <c r="M143" i="87"/>
  <c r="P31" i="73"/>
  <c r="P184" i="87"/>
  <c r="X31" i="72"/>
  <c r="X143" i="87"/>
  <c r="U31" i="72"/>
  <c r="U143" i="87"/>
  <c r="L31" i="72"/>
  <c r="L143" i="87"/>
  <c r="K31" i="81"/>
  <c r="K101" i="87"/>
  <c r="S31" i="82"/>
  <c r="S226" i="87"/>
  <c r="U31" i="82"/>
  <c r="U226" i="87"/>
  <c r="V31" i="81"/>
  <c r="V101" i="87"/>
  <c r="AE31" i="81"/>
  <c r="AE101" i="87"/>
  <c r="AF31" i="81"/>
  <c r="AF101" i="87"/>
  <c r="Z31" i="68"/>
  <c r="Z59" i="87"/>
  <c r="AF31" i="72"/>
  <c r="AF143" i="87"/>
  <c r="AC31" i="82"/>
  <c r="AC226" i="87"/>
  <c r="T31" i="72"/>
  <c r="T143" i="87"/>
  <c r="Y31" i="68"/>
  <c r="Y59" i="87"/>
  <c r="AE31" i="73"/>
  <c r="AE184" i="87"/>
  <c r="M31" i="73"/>
  <c r="M184" i="87"/>
  <c r="V31" i="82"/>
  <c r="V226" i="87"/>
  <c r="X31" i="73"/>
  <c r="X184" i="87"/>
  <c r="AB31" i="82"/>
  <c r="AB226" i="87"/>
  <c r="M31" i="82"/>
  <c r="M226" i="87"/>
  <c r="V31" i="73"/>
  <c r="V184" i="87"/>
  <c r="S31" i="81"/>
  <c r="S101" i="87"/>
  <c r="S31" i="72"/>
  <c r="S143" i="87"/>
  <c r="O31" i="82"/>
  <c r="O226" i="87"/>
  <c r="Z31" i="73"/>
  <c r="Z184" i="87"/>
  <c r="N31" i="72"/>
  <c r="N143" i="87"/>
  <c r="AC31" i="68"/>
  <c r="AC59" i="87"/>
  <c r="K31" i="72"/>
  <c r="K143" i="87"/>
  <c r="P31" i="72"/>
  <c r="P143" i="87"/>
  <c r="Y31" i="82"/>
  <c r="Y226" i="87"/>
  <c r="AC31" i="73"/>
  <c r="AC184" i="87"/>
  <c r="AD31" i="68"/>
  <c r="AD59" i="87"/>
  <c r="C88" i="85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C82" i="73" s="1"/>
  <c r="AC107" i="73" s="1"/>
  <c r="AD77" i="73"/>
  <c r="AC7" i="75"/>
  <c r="AC7" i="85" s="1"/>
  <c r="AC6" i="85"/>
  <c r="AA82" i="73"/>
  <c r="AA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D82" i="73" s="1"/>
  <c r="AD107" i="73" s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E82" i="73" s="1"/>
  <c r="AE107" i="73" s="1"/>
  <c r="AF77" i="73"/>
  <c r="K9" i="85"/>
  <c r="AG7" i="75"/>
  <c r="AG7" i="85" s="1"/>
  <c r="AG6" i="85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F82" i="73" s="1"/>
  <c r="AF107" i="73" s="1"/>
  <c r="AG77" i="73"/>
  <c r="L9" i="85"/>
  <c r="K5" i="85"/>
  <c r="AD82" i="81"/>
  <c r="AD107" i="81" s="1"/>
  <c r="AE82" i="81"/>
  <c r="AE107" i="81" s="1"/>
  <c r="AG74" i="82" a="1"/>
  <c r="AG74" i="82" s="1"/>
  <c r="AG72" i="82" a="1"/>
  <c r="AG72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82" l="1"/>
  <c r="AG82" i="82" s="1"/>
  <c r="AG107" i="82" s="1"/>
  <c r="AG80" i="73"/>
  <c r="AG82" i="73" s="1"/>
  <c r="AG107" i="73" s="1"/>
  <c r="M9" i="85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5" i="43"/>
  <c r="C96" i="43"/>
  <c r="C97" i="43"/>
  <c r="C98" i="43"/>
  <c r="C99" i="43"/>
  <c r="C100" i="43"/>
  <c r="C101" i="43"/>
  <c r="C102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1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9" i="43"/>
  <c r="H80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6" i="43"/>
  <c r="H97" i="43"/>
  <c r="H98" i="43"/>
  <c r="H99" i="43"/>
  <c r="H100" i="43"/>
  <c r="H101" i="43"/>
  <c r="H102" i="43"/>
  <c r="H95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0" i="43"/>
  <c r="D16" i="62"/>
  <c r="R15" i="62"/>
  <c r="D17" i="62" s="1"/>
  <c r="D19" i="62" l="1"/>
  <c r="AC14" i="85" s="1"/>
  <c r="E28" i="73"/>
  <c r="F28" i="73" s="1"/>
  <c r="E28" i="81"/>
  <c r="F28" i="81" s="1"/>
  <c r="E28" i="72"/>
  <c r="F28" i="72" s="1"/>
  <c r="E28" i="68"/>
  <c r="E28" i="82"/>
  <c r="F28" i="82" s="1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A2" i="33"/>
  <c r="J20" i="75" l="1"/>
  <c r="Z63" i="75"/>
  <c r="AE57" i="75"/>
  <c r="L60" i="75"/>
  <c r="AG29" i="75"/>
  <c r="AB71" i="75"/>
  <c r="AE29" i="75"/>
  <c r="AF49" i="75"/>
  <c r="W75" i="75"/>
  <c r="N57" i="75"/>
  <c r="AE14" i="85"/>
  <c r="S20" i="75"/>
  <c r="S77" i="75"/>
  <c r="L63" i="75"/>
  <c r="AG49" i="75"/>
  <c r="AE32" i="75"/>
  <c r="AB60" i="75"/>
  <c r="X74" i="75"/>
  <c r="P47" i="75"/>
  <c r="R61" i="75"/>
  <c r="O47" i="75"/>
  <c r="O33" i="75"/>
  <c r="AG14" i="85"/>
  <c r="Z21" i="75"/>
  <c r="I60" i="75"/>
  <c r="AC77" i="75"/>
  <c r="M75" i="75"/>
  <c r="N14" i="85"/>
  <c r="Z20" i="75"/>
  <c r="Z46" i="75"/>
  <c r="AG35" i="75"/>
  <c r="AF61" i="75"/>
  <c r="J75" i="75"/>
  <c r="V20" i="75"/>
  <c r="V22" i="75" s="1"/>
  <c r="O35" i="75"/>
  <c r="AD71" i="75"/>
  <c r="J61" i="75"/>
  <c r="K18" i="75"/>
  <c r="K22" i="75" s="1"/>
  <c r="N21" i="75"/>
  <c r="I77" i="75"/>
  <c r="J18" i="75"/>
  <c r="O21" i="75"/>
  <c r="X20" i="75"/>
  <c r="I21" i="75"/>
  <c r="W29" i="75"/>
  <c r="Q77" i="75"/>
  <c r="N77" i="75"/>
  <c r="AC35" i="75"/>
  <c r="AG61" i="75"/>
  <c r="AE43" i="75"/>
  <c r="Z43" i="75"/>
  <c r="Q74" i="75"/>
  <c r="V71" i="75"/>
  <c r="S32" i="75"/>
  <c r="V61" i="75"/>
  <c r="AF19" i="75"/>
  <c r="AA46" i="75"/>
  <c r="AF63" i="75"/>
  <c r="AB43" i="75"/>
  <c r="U74" i="75"/>
  <c r="T71" i="75"/>
  <c r="P21" i="75"/>
  <c r="AC20" i="75"/>
  <c r="M35" i="75"/>
  <c r="AF32" i="75"/>
  <c r="W43" i="75"/>
  <c r="V43" i="75"/>
  <c r="N32" i="75"/>
  <c r="AB14" i="85"/>
  <c r="M21" i="75"/>
  <c r="I35" i="75"/>
  <c r="AB77" i="75"/>
  <c r="AF60" i="75"/>
  <c r="Y60" i="75"/>
  <c r="N75" i="75"/>
  <c r="L29" i="75"/>
  <c r="M18" i="75"/>
  <c r="Y21" i="75"/>
  <c r="O20" i="75"/>
  <c r="I49" i="75"/>
  <c r="I43" i="75"/>
  <c r="J77" i="75"/>
  <c r="Z35" i="75"/>
  <c r="AD35" i="75"/>
  <c r="AG43" i="75"/>
  <c r="AF43" i="75"/>
  <c r="W32" i="75"/>
  <c r="S60" i="75"/>
  <c r="U57" i="75"/>
  <c r="W61" i="75"/>
  <c r="P43" i="75"/>
  <c r="AF14" i="85"/>
  <c r="AD14" i="85"/>
  <c r="AA75" i="75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I22" i="75" s="1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D22" i="75" s="1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68"/>
  <c r="J22" i="75"/>
  <c r="M22" i="75" l="1"/>
  <c r="N22" i="75"/>
  <c r="AA22" i="75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14" i="75"/>
  <c r="R36" i="82"/>
  <c r="R72" i="75" s="1"/>
  <c r="R70" i="75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K36" i="81"/>
  <c r="K30" i="75" s="1"/>
  <c r="K28" i="75"/>
  <c r="AE36" i="72"/>
  <c r="AE44" i="75" s="1"/>
  <c r="AE42" i="75"/>
  <c r="K36" i="72"/>
  <c r="K44" i="75" s="1"/>
  <c r="K42" i="75"/>
  <c r="N14" i="75"/>
  <c r="AA36" i="82"/>
  <c r="AA72" i="75" s="1"/>
  <c r="AA70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14" i="75"/>
  <c r="P36" i="82"/>
  <c r="P72" i="75" s="1"/>
  <c r="P70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J36" i="81"/>
  <c r="J30" i="75" s="1"/>
  <c r="J28" i="75"/>
  <c r="AB36" i="72"/>
  <c r="AB44" i="75" s="1"/>
  <c r="AB42" i="75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P36" i="81"/>
  <c r="P30" i="75" s="1"/>
  <c r="P28" i="75"/>
  <c r="O36" i="72"/>
  <c r="O44" i="75" s="1"/>
  <c r="O42" i="75"/>
  <c r="W14" i="75"/>
  <c r="T14" i="75"/>
  <c r="M36" i="82"/>
  <c r="M72" i="75" s="1"/>
  <c r="M70" i="75"/>
  <c r="M36" i="81"/>
  <c r="M30" i="75" s="1"/>
  <c r="M28" i="75"/>
  <c r="P36" i="72"/>
  <c r="P44" i="75" s="1"/>
  <c r="P42" i="75"/>
  <c r="V14" i="75"/>
  <c r="Q14" i="75"/>
  <c r="L36" i="82"/>
  <c r="L72" i="75" s="1"/>
  <c r="L70" i="75"/>
  <c r="I36" i="81"/>
  <c r="I30" i="75" s="1"/>
  <c r="I28" i="75"/>
  <c r="AA36" i="72"/>
  <c r="AA44" i="75" s="1"/>
  <c r="AA42" i="75"/>
  <c r="U14" i="75"/>
  <c r="K14" i="75"/>
  <c r="O36" i="82"/>
  <c r="O72" i="75" s="1"/>
  <c r="O70" i="75"/>
  <c r="O36" i="81"/>
  <c r="O30" i="75" s="1"/>
  <c r="O28" i="75"/>
  <c r="X36" i="72"/>
  <c r="X44" i="75" s="1"/>
  <c r="X42" i="75"/>
  <c r="P14" i="75"/>
  <c r="AG36" i="82"/>
  <c r="AG72" i="75" s="1"/>
  <c r="AG70" i="75"/>
  <c r="AD36" i="73"/>
  <c r="AD58" i="75" s="1"/>
  <c r="AD56" i="75"/>
  <c r="Y36" i="81"/>
  <c r="Y30" i="75" s="1"/>
  <c r="Y28" i="75"/>
  <c r="U36" i="72"/>
  <c r="U44" i="75" s="1"/>
  <c r="U42" i="75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W36" i="81"/>
  <c r="W30" i="75" s="1"/>
  <c r="W28" i="75"/>
  <c r="S36" i="81"/>
  <c r="S30" i="75" s="1"/>
  <c r="S28" i="75"/>
  <c r="W36" i="72"/>
  <c r="W44" i="75" s="1"/>
  <c r="W42" i="75"/>
  <c r="J14" i="75"/>
  <c r="X36" i="82"/>
  <c r="X72" i="75" s="1"/>
  <c r="X70" i="75"/>
  <c r="Y36" i="82"/>
  <c r="Y72" i="75" s="1"/>
  <c r="Y70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L36" i="81"/>
  <c r="L30" i="75" s="1"/>
  <c r="L28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F42" i="75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16" i="75"/>
  <c r="Y64" i="82"/>
  <c r="Y84" i="82" s="1"/>
  <c r="Y108" i="82" s="1"/>
  <c r="Y64" i="81"/>
  <c r="Y84" i="81" s="1"/>
  <c r="Y108" i="81" s="1"/>
  <c r="Y64" i="72"/>
  <c r="Y84" i="72" s="1"/>
  <c r="Y108" i="72" s="1"/>
  <c r="Y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AB92" i="75" l="1"/>
  <c r="AD92" i="75"/>
  <c r="Z92" i="75"/>
  <c r="AF92" i="75"/>
  <c r="Y92" i="75"/>
  <c r="AA92" i="75"/>
  <c r="AC92" i="75"/>
  <c r="X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AB87" i="81"/>
  <c r="AB106" i="81" s="1"/>
  <c r="AB34" i="75"/>
  <c r="AB36" i="75" s="1"/>
  <c r="AA12" i="85" s="1"/>
  <c r="AB87" i="82"/>
  <c r="AB106" i="82" s="1"/>
  <c r="AB76" i="75"/>
  <c r="AB78" i="75" s="1"/>
  <c r="AB87" i="72"/>
  <c r="AB106" i="72" s="1"/>
  <c r="AB48" i="75"/>
  <c r="AB50" i="75" s="1"/>
  <c r="AB40" i="85" s="1"/>
  <c r="AD87" i="82"/>
  <c r="AD106" i="82" s="1"/>
  <c r="AD76" i="75"/>
  <c r="AD78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Z87" i="81"/>
  <c r="Z106" i="81" s="1"/>
  <c r="Z34" i="75"/>
  <c r="Z36" i="75" s="1"/>
  <c r="AF87" i="82"/>
  <c r="AF106" i="82" s="1"/>
  <c r="AF76" i="75"/>
  <c r="AF78" i="75" s="1"/>
  <c r="AF87" i="73"/>
  <c r="AF106" i="73" s="1"/>
  <c r="AF62" i="75"/>
  <c r="AF64" i="75" s="1"/>
  <c r="AF87" i="81"/>
  <c r="AF106" i="81" s="1"/>
  <c r="AF34" i="75"/>
  <c r="AF36" i="75" s="1"/>
  <c r="AE12" i="85" s="1"/>
  <c r="AA87" i="72"/>
  <c r="AA106" i="72" s="1"/>
  <c r="AA48" i="75"/>
  <c r="AA50" i="75" s="1"/>
  <c r="AA40" i="85" s="1"/>
  <c r="Y87" i="81"/>
  <c r="Y106" i="81" s="1"/>
  <c r="Y34" i="75"/>
  <c r="Y36" i="75" s="1"/>
  <c r="AA87" i="82"/>
  <c r="AA106" i="82" s="1"/>
  <c r="AA76" i="75"/>
  <c r="AA78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AA87" i="81"/>
  <c r="AA106" i="81" s="1"/>
  <c r="AA34" i="75"/>
  <c r="AA36" i="75" s="1"/>
  <c r="Z12" i="85" s="1"/>
  <c r="X87" i="81"/>
  <c r="X106" i="81" s="1"/>
  <c r="X34" i="75"/>
  <c r="X36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Y87" i="82"/>
  <c r="Y106" i="82" s="1"/>
  <c r="Y76" i="75"/>
  <c r="Y78" i="75" s="1"/>
  <c r="X87" i="82"/>
  <c r="X106" i="82" s="1"/>
  <c r="X76" i="75"/>
  <c r="X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AA87" i="73"/>
  <c r="AA106" i="73" s="1"/>
  <c r="AA62" i="75"/>
  <c r="AA64" i="75" s="1"/>
  <c r="X87" i="72"/>
  <c r="X106" i="72" s="1"/>
  <c r="X48" i="75"/>
  <c r="X50" i="75" s="1"/>
  <c r="X40" i="8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AB111" i="82" l="1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F52" i="75"/>
  <c r="G11" i="33" s="1"/>
  <c r="AC65" i="85" l="1"/>
  <c r="AC64" i="85"/>
  <c r="AC63" i="85"/>
  <c r="AE65" i="85"/>
  <c r="AE63" i="85"/>
  <c r="AE64" i="85"/>
  <c r="AC79" i="85"/>
  <c r="AC77" i="85"/>
  <c r="AC78" i="85"/>
  <c r="AF64" i="85"/>
  <c r="AF65" i="85"/>
  <c r="AF63" i="85"/>
  <c r="AA64" i="85"/>
  <c r="AA63" i="85"/>
  <c r="AA65" i="85"/>
  <c r="AG79" i="85"/>
  <c r="AG78" i="85"/>
  <c r="AG77" i="85"/>
  <c r="AA77" i="85"/>
  <c r="AA79" i="85"/>
  <c r="AA78" i="85"/>
  <c r="AD77" i="85"/>
  <c r="AD79" i="85"/>
  <c r="AD78" i="85"/>
  <c r="AE77" i="85"/>
  <c r="AE79" i="85"/>
  <c r="AE78" i="85"/>
  <c r="Z65" i="85"/>
  <c r="Z64" i="85"/>
  <c r="Z63" i="85"/>
  <c r="Y78" i="85"/>
  <c r="Y79" i="85"/>
  <c r="Y77" i="85"/>
  <c r="AB78" i="85"/>
  <c r="AB79" i="85"/>
  <c r="AB77" i="85"/>
  <c r="X79" i="85"/>
  <c r="X77" i="85"/>
  <c r="X78" i="85"/>
  <c r="AF78" i="85"/>
  <c r="AF77" i="85"/>
  <c r="AF79" i="85"/>
  <c r="AB63" i="85"/>
  <c r="AB64" i="85"/>
  <c r="AB65" i="85"/>
  <c r="AG65" i="85"/>
  <c r="AG63" i="85"/>
  <c r="AG64" i="85"/>
  <c r="AD64" i="85"/>
  <c r="AD63" i="85"/>
  <c r="AD65" i="85"/>
  <c r="Z79" i="85"/>
  <c r="Z77" i="85"/>
  <c r="Z78" i="85"/>
  <c r="F66" i="75"/>
  <c r="G12" i="33" s="1"/>
  <c r="F38" i="75"/>
  <c r="G10" i="33" s="1"/>
  <c r="F25" i="75" l="1"/>
  <c r="H9" i="33" s="1"/>
  <c r="F24" i="75"/>
  <c r="G9" i="33" s="1"/>
  <c r="F23" i="75" a="1"/>
  <c r="F23" i="75" s="1"/>
  <c r="I9" i="33" s="1"/>
  <c r="F80" i="75" l="1"/>
  <c r="G13" i="33" s="1"/>
  <c r="D28" i="85" l="1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Y47" i="85"/>
  <c r="AA47" i="85"/>
  <c r="AE47" i="85"/>
  <c r="Z47" i="85"/>
  <c r="AG47" i="85"/>
  <c r="AC47" i="85"/>
  <c r="AB47" i="85"/>
  <c r="AD47" i="85"/>
  <c r="H46" i="85"/>
  <c r="AG46" i="85"/>
  <c r="AE46" i="85"/>
  <c r="Z46" i="85"/>
  <c r="AB46" i="85"/>
  <c r="AA46" i="85"/>
  <c r="AD46" i="85"/>
  <c r="Y46" i="85"/>
  <c r="X46" i="85"/>
  <c r="AC46" i="85"/>
  <c r="AF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AD49" i="85"/>
  <c r="AA49" i="85"/>
  <c r="AF49" i="85"/>
  <c r="AE49" i="85"/>
  <c r="AC49" i="85"/>
  <c r="AG49" i="85"/>
  <c r="Y49" i="85"/>
  <c r="AB49" i="85"/>
  <c r="X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Z51" i="85"/>
  <c r="X51" i="85"/>
  <c r="AA51" i="85"/>
  <c r="AD51" i="85"/>
  <c r="Y51" i="85"/>
  <c r="AE51" i="85"/>
  <c r="AG51" i="85"/>
  <c r="AC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B30" i="85"/>
  <c r="AE37" i="85"/>
  <c r="AA35" i="85"/>
  <c r="B48" i="85"/>
  <c r="D48" i="85" s="1"/>
  <c r="B44" i="85"/>
  <c r="D44" i="85" s="1"/>
  <c r="D31" i="85"/>
  <c r="D32" i="85"/>
  <c r="D34" i="85"/>
  <c r="D36" i="85"/>
  <c r="AA36" i="85" l="1"/>
  <c r="AF35" i="85"/>
  <c r="AG37" i="85"/>
  <c r="H35" i="85"/>
  <c r="AB35" i="85"/>
  <c r="H37" i="85"/>
  <c r="AC35" i="85"/>
  <c r="AE35" i="85"/>
  <c r="Z36" i="85"/>
  <c r="AB36" i="85"/>
  <c r="X35" i="85"/>
  <c r="Y35" i="85"/>
  <c r="F20" i="85"/>
  <c r="C95" i="85" s="1"/>
  <c r="F44" i="33" s="1"/>
  <c r="F22" i="85"/>
  <c r="F16" i="85"/>
  <c r="C91" i="85" s="1"/>
  <c r="F40" i="33" s="1"/>
  <c r="F17" i="85"/>
  <c r="C92" i="85" s="1"/>
  <c r="F41" i="33" s="1"/>
  <c r="H50" i="85"/>
  <c r="X50" i="85"/>
  <c r="AC50" i="85"/>
  <c r="AD50" i="85"/>
  <c r="AG50" i="85"/>
  <c r="Z50" i="85"/>
  <c r="AE50" i="85"/>
  <c r="AF50" i="85"/>
  <c r="AA50" i="85"/>
  <c r="Y50" i="85"/>
  <c r="AB50" i="85"/>
  <c r="H48" i="85"/>
  <c r="AF48" i="85"/>
  <c r="AA48" i="85"/>
  <c r="AC48" i="85"/>
  <c r="AE48" i="85"/>
  <c r="Z48" i="85"/>
  <c r="AB48" i="85"/>
  <c r="AD48" i="85"/>
  <c r="AG48" i="85"/>
  <c r="X48" i="85"/>
  <c r="Y48" i="85"/>
  <c r="H44" i="85"/>
  <c r="AD44" i="85"/>
  <c r="AA44" i="85"/>
  <c r="AE44" i="85"/>
  <c r="Z44" i="85"/>
  <c r="AB44" i="85"/>
  <c r="AF44" i="85"/>
  <c r="AC44" i="85"/>
  <c r="AG44" i="85"/>
  <c r="X44" i="85"/>
  <c r="Y44" i="85"/>
  <c r="AE34" i="85"/>
  <c r="H45" i="85"/>
  <c r="AC45" i="85"/>
  <c r="AE45" i="85"/>
  <c r="AG45" i="85"/>
  <c r="Y45" i="85"/>
  <c r="AB45" i="85"/>
  <c r="Z45" i="85"/>
  <c r="AA45" i="85"/>
  <c r="X45" i="85"/>
  <c r="AD45" i="85"/>
  <c r="AF45" i="85"/>
  <c r="X36" i="85"/>
  <c r="AB32" i="85"/>
  <c r="AF36" i="85"/>
  <c r="AC34" i="85"/>
  <c r="AF34" i="85"/>
  <c r="H32" i="85"/>
  <c r="H46" i="33"/>
  <c r="H45" i="33"/>
  <c r="H47" i="33"/>
  <c r="AF32" i="85"/>
  <c r="Y34" i="85"/>
  <c r="X32" i="85"/>
  <c r="AD34" i="85"/>
  <c r="AG35" i="85"/>
  <c r="H31" i="85"/>
  <c r="Y33" i="85"/>
  <c r="X31" i="85"/>
  <c r="AB33" i="85"/>
  <c r="AA33" i="85"/>
  <c r="AE31" i="85"/>
  <c r="Z33" i="85"/>
  <c r="AG33" i="85"/>
  <c r="F23" i="85"/>
  <c r="AD31" i="85"/>
  <c r="Z31" i="85"/>
  <c r="Y31" i="85"/>
  <c r="H34" i="85"/>
  <c r="AC31" i="85"/>
  <c r="AE32" i="85"/>
  <c r="Z32" i="85"/>
  <c r="AD32" i="85"/>
  <c r="AA32" i="85"/>
  <c r="Y32" i="85"/>
  <c r="X33" i="85"/>
  <c r="AC36" i="85"/>
  <c r="AG36" i="85"/>
  <c r="H36" i="85"/>
  <c r="AD36" i="85"/>
  <c r="Y36" i="85"/>
  <c r="F19" i="85"/>
  <c r="AA31" i="85"/>
  <c r="AA37" i="85"/>
  <c r="AF37" i="85"/>
  <c r="AE33" i="85"/>
  <c r="F18" i="85"/>
  <c r="AD33" i="85"/>
  <c r="AC33" i="85"/>
  <c r="X34" i="85"/>
  <c r="AC32" i="85"/>
  <c r="AA34" i="85"/>
  <c r="AF33" i="85"/>
  <c r="Z34" i="85"/>
  <c r="AG34" i="85"/>
  <c r="D30" i="85"/>
  <c r="AG31" i="85"/>
  <c r="AE36" i="85"/>
  <c r="H33" i="85"/>
  <c r="Z37" i="85"/>
  <c r="AF28" i="85"/>
  <c r="Z28" i="85"/>
  <c r="AC37" i="85"/>
  <c r="AD28" i="85"/>
  <c r="H28" i="85"/>
  <c r="AC28" i="85"/>
  <c r="AB28" i="85"/>
  <c r="AA28" i="85"/>
  <c r="Y37" i="85"/>
  <c r="AG28" i="85"/>
  <c r="AE28" i="85"/>
  <c r="AD37" i="85"/>
  <c r="AD35" i="85"/>
  <c r="X37" i="85"/>
  <c r="AB37" i="85"/>
  <c r="Y28" i="85"/>
  <c r="X28" i="85"/>
  <c r="AB31" i="85"/>
  <c r="AB34" i="85"/>
  <c r="AF31" i="85"/>
  <c r="AG32" i="85"/>
  <c r="F21" i="85"/>
  <c r="Z35" i="85"/>
  <c r="C94" i="85" l="1"/>
  <c r="F43" i="33" s="1"/>
  <c r="C93" i="85"/>
  <c r="F42" i="33" s="1"/>
  <c r="AD30" i="85"/>
  <c r="AF30" i="85"/>
  <c r="AA30" i="85"/>
  <c r="AC30" i="85"/>
  <c r="X30" i="85"/>
  <c r="AG30" i="85"/>
  <c r="Z30" i="85"/>
  <c r="H30" i="85"/>
  <c r="Y30" i="85"/>
  <c r="AB30" i="85"/>
  <c r="AE30" i="85"/>
  <c r="G47" i="33" l="1"/>
  <c r="I98" i="85"/>
  <c r="K98" i="85" s="1"/>
  <c r="L47" i="33" s="1"/>
  <c r="G45" i="33"/>
  <c r="I96" i="85"/>
  <c r="K96" i="85" s="1"/>
  <c r="L45" i="33" s="1"/>
  <c r="G46" i="33"/>
  <c r="I97" i="85"/>
  <c r="K42" i="87" l="1"/>
  <c r="I42" i="87"/>
  <c r="I43" i="87" s="1"/>
  <c r="N42" i="87"/>
  <c r="M42" i="87"/>
  <c r="P42" i="87"/>
  <c r="O42" i="87"/>
  <c r="V42" i="87"/>
  <c r="Q42" i="87"/>
  <c r="T42" i="87"/>
  <c r="R42" i="87"/>
  <c r="L42" i="87"/>
  <c r="S42" i="87"/>
  <c r="J42" i="87"/>
  <c r="W56" i="75"/>
  <c r="W36" i="68"/>
  <c r="U42" i="87"/>
  <c r="X56" i="75"/>
  <c r="X36" i="73"/>
  <c r="Y56" i="75"/>
  <c r="Y36" i="73"/>
  <c r="K36" i="73"/>
  <c r="K56" i="75"/>
  <c r="U43" i="87" l="1"/>
  <c r="U57" i="87" s="1"/>
  <c r="J43" i="87"/>
  <c r="J57" i="87" s="1"/>
  <c r="L43" i="87"/>
  <c r="L57" i="87" s="1"/>
  <c r="T43" i="87"/>
  <c r="T57" i="87" s="1"/>
  <c r="Q43" i="87"/>
  <c r="Q57" i="87" s="1"/>
  <c r="P43" i="87"/>
  <c r="P57" i="87" s="1"/>
  <c r="S43" i="87"/>
  <c r="S57" i="87" s="1"/>
  <c r="R43" i="87"/>
  <c r="R57" i="87" s="1"/>
  <c r="V43" i="87"/>
  <c r="V57" i="87" s="1"/>
  <c r="O43" i="87"/>
  <c r="O57" i="87" s="1"/>
  <c r="M43" i="87"/>
  <c r="M57" i="87" s="1"/>
  <c r="N43" i="87"/>
  <c r="N57" i="87" s="1"/>
  <c r="K43" i="87"/>
  <c r="K57" i="87" s="1"/>
  <c r="I57" i="87"/>
  <c r="R56" i="75"/>
  <c r="Q36" i="73"/>
  <c r="Q58" i="75" s="1"/>
  <c r="V36" i="73"/>
  <c r="V58" i="75" s="1"/>
  <c r="M56" i="75"/>
  <c r="J36" i="73"/>
  <c r="J58" i="75" s="1"/>
  <c r="U56" i="75"/>
  <c r="P56" i="75"/>
  <c r="T56" i="75"/>
  <c r="O56" i="75"/>
  <c r="N36" i="73"/>
  <c r="N58" i="75" s="1"/>
  <c r="S36" i="73"/>
  <c r="S58" i="75" s="1"/>
  <c r="L36" i="73"/>
  <c r="L58" i="75" s="1"/>
  <c r="V56" i="75"/>
  <c r="N56" i="75"/>
  <c r="S56" i="75"/>
  <c r="L56" i="75"/>
  <c r="J56" i="75"/>
  <c r="U36" i="73"/>
  <c r="P36" i="73"/>
  <c r="P58" i="75" s="1"/>
  <c r="T36" i="73"/>
  <c r="T58" i="75" s="1"/>
  <c r="R36" i="73"/>
  <c r="W36" i="73"/>
  <c r="W58" i="75" s="1"/>
  <c r="M36" i="73"/>
  <c r="Q56" i="75"/>
  <c r="O36" i="73"/>
  <c r="O58" i="75" s="1"/>
  <c r="W64" i="72"/>
  <c r="W84" i="72" s="1"/>
  <c r="W64" i="82"/>
  <c r="W84" i="82" s="1"/>
  <c r="W64" i="81"/>
  <c r="W84" i="81" s="1"/>
  <c r="W16" i="75"/>
  <c r="W92" i="75" s="1"/>
  <c r="K58" i="75"/>
  <c r="Y58" i="75"/>
  <c r="Y64" i="73"/>
  <c r="Y84" i="73" s="1"/>
  <c r="X58" i="75"/>
  <c r="X64" i="73"/>
  <c r="X84" i="73" s="1"/>
  <c r="I36" i="73"/>
  <c r="I56" i="75"/>
  <c r="N32" i="68" l="1"/>
  <c r="N36" i="68" s="1"/>
  <c r="N16" i="75" s="1"/>
  <c r="N92" i="75" s="1"/>
  <c r="N59" i="87"/>
  <c r="O59" i="87"/>
  <c r="O32" i="68"/>
  <c r="O36" i="68" s="1"/>
  <c r="O64" i="73" s="1"/>
  <c r="O84" i="73" s="1"/>
  <c r="O62" i="75" s="1"/>
  <c r="O64" i="75" s="1"/>
  <c r="R59" i="87"/>
  <c r="R32" i="68"/>
  <c r="R36" i="68" s="1"/>
  <c r="R64" i="82" s="1"/>
  <c r="R84" i="82" s="1"/>
  <c r="R108" i="82" s="1"/>
  <c r="M59" i="87"/>
  <c r="M32" i="68"/>
  <c r="M36" i="68" s="1"/>
  <c r="M64" i="81" s="1"/>
  <c r="M84" i="81" s="1"/>
  <c r="M108" i="81" s="1"/>
  <c r="S59" i="87"/>
  <c r="S32" i="68"/>
  <c r="S36" i="68" s="1"/>
  <c r="S64" i="82" s="1"/>
  <c r="S84" i="82" s="1"/>
  <c r="S108" i="82" s="1"/>
  <c r="J59" i="87"/>
  <c r="J32" i="68"/>
  <c r="J36" i="68" s="1"/>
  <c r="J64" i="82" s="1"/>
  <c r="J84" i="82" s="1"/>
  <c r="J87" i="82" s="1"/>
  <c r="J106" i="82" s="1"/>
  <c r="K32" i="68"/>
  <c r="K36" i="68" s="1"/>
  <c r="K64" i="73" s="1"/>
  <c r="K84" i="73" s="1"/>
  <c r="K108" i="73" s="1"/>
  <c r="K59" i="87"/>
  <c r="V32" i="68"/>
  <c r="V36" i="68" s="1"/>
  <c r="V64" i="73" s="1"/>
  <c r="V84" i="73" s="1"/>
  <c r="V87" i="73" s="1"/>
  <c r="V106" i="73" s="1"/>
  <c r="V59" i="87"/>
  <c r="P59" i="87"/>
  <c r="P32" i="68"/>
  <c r="P36" i="68" s="1"/>
  <c r="P64" i="82" s="1"/>
  <c r="P84" i="82" s="1"/>
  <c r="P108" i="82" s="1"/>
  <c r="Q59" i="87"/>
  <c r="Q32" i="68"/>
  <c r="Q36" i="68" s="1"/>
  <c r="Q64" i="73" s="1"/>
  <c r="Q84" i="73" s="1"/>
  <c r="Q108" i="73" s="1"/>
  <c r="T59" i="87"/>
  <c r="T32" i="68"/>
  <c r="T36" i="68" s="1"/>
  <c r="T64" i="73" s="1"/>
  <c r="T84" i="73" s="1"/>
  <c r="T87" i="73" s="1"/>
  <c r="T106" i="73" s="1"/>
  <c r="L59" i="87"/>
  <c r="L32" i="68"/>
  <c r="L36" i="68" s="1"/>
  <c r="L64" i="81" s="1"/>
  <c r="L84" i="81" s="1"/>
  <c r="L87" i="81" s="1"/>
  <c r="L106" i="81" s="1"/>
  <c r="U59" i="87"/>
  <c r="U32" i="68"/>
  <c r="U36" i="68" s="1"/>
  <c r="U16" i="75" s="1"/>
  <c r="U92" i="75" s="1"/>
  <c r="I59" i="87"/>
  <c r="I32" i="68"/>
  <c r="I36" i="68" s="1"/>
  <c r="I64" i="73" s="1"/>
  <c r="I84" i="73" s="1"/>
  <c r="R58" i="75"/>
  <c r="U58" i="75"/>
  <c r="W64" i="73"/>
  <c r="W84" i="73" s="1"/>
  <c r="W108" i="73" s="1"/>
  <c r="M58" i="75"/>
  <c r="W108" i="72"/>
  <c r="W48" i="75"/>
  <c r="W50" i="75" s="1"/>
  <c r="W40" i="85" s="1"/>
  <c r="W87" i="72"/>
  <c r="W106" i="72" s="1"/>
  <c r="F56" i="75"/>
  <c r="W108" i="81"/>
  <c r="W87" i="81"/>
  <c r="W106" i="81" s="1"/>
  <c r="W34" i="75"/>
  <c r="W36" i="75" s="1"/>
  <c r="W108" i="82"/>
  <c r="W76" i="75"/>
  <c r="W78" i="75" s="1"/>
  <c r="W87" i="82"/>
  <c r="W106" i="82" s="1"/>
  <c r="I58" i="75"/>
  <c r="X108" i="73"/>
  <c r="X62" i="75"/>
  <c r="X64" i="75" s="1"/>
  <c r="X87" i="73"/>
  <c r="X106" i="73" s="1"/>
  <c r="Y108" i="73"/>
  <c r="Y62" i="75"/>
  <c r="Y64" i="75" s="1"/>
  <c r="Y87" i="73"/>
  <c r="Y106" i="73" s="1"/>
  <c r="L64" i="73" l="1"/>
  <c r="L84" i="73" s="1"/>
  <c r="L62" i="75" s="1"/>
  <c r="L64" i="75" s="1"/>
  <c r="L64" i="82"/>
  <c r="L84" i="82" s="1"/>
  <c r="L108" i="82" s="1"/>
  <c r="M64" i="82"/>
  <c r="M84" i="82" s="1"/>
  <c r="M108" i="82" s="1"/>
  <c r="L16" i="75"/>
  <c r="L92" i="75" s="1"/>
  <c r="U64" i="72"/>
  <c r="U84" i="72" s="1"/>
  <c r="U87" i="72" s="1"/>
  <c r="U106" i="72" s="1"/>
  <c r="U115" i="72" s="1" a="1"/>
  <c r="U115" i="72" s="1"/>
  <c r="R76" i="75"/>
  <c r="R78" i="75" s="1"/>
  <c r="L108" i="81"/>
  <c r="L114" i="81" s="1" a="1"/>
  <c r="L114" i="81" s="1"/>
  <c r="L34" i="85" s="1"/>
  <c r="L34" i="75"/>
  <c r="L36" i="75" s="1"/>
  <c r="U64" i="82"/>
  <c r="U84" i="82" s="1"/>
  <c r="U76" i="75" s="1"/>
  <c r="U78" i="75" s="1"/>
  <c r="O64" i="81"/>
  <c r="O84" i="81" s="1"/>
  <c r="O34" i="75" s="1"/>
  <c r="O36" i="75" s="1"/>
  <c r="R87" i="82"/>
  <c r="R106" i="82" s="1"/>
  <c r="R113" i="82" s="1" a="1"/>
  <c r="R113" i="82" s="1"/>
  <c r="R75" i="85" s="1"/>
  <c r="L64" i="72"/>
  <c r="L84" i="72" s="1"/>
  <c r="L108" i="72" s="1"/>
  <c r="N64" i="72"/>
  <c r="N84" i="72" s="1"/>
  <c r="N48" i="75" s="1"/>
  <c r="N50" i="75" s="1"/>
  <c r="N40" i="85" s="1"/>
  <c r="N64" i="81"/>
  <c r="N84" i="81" s="1"/>
  <c r="N108" i="81" s="1"/>
  <c r="K64" i="81"/>
  <c r="K84" i="81" s="1"/>
  <c r="K108" i="81" s="1"/>
  <c r="K16" i="75"/>
  <c r="K92" i="75" s="1"/>
  <c r="U64" i="81"/>
  <c r="U84" i="81" s="1"/>
  <c r="U108" i="81" s="1"/>
  <c r="K64" i="72"/>
  <c r="K84" i="72" s="1"/>
  <c r="K108" i="72" s="1"/>
  <c r="J76" i="75"/>
  <c r="J78" i="75" s="1"/>
  <c r="J108" i="82"/>
  <c r="J113" i="82" s="1" a="1"/>
  <c r="J113" i="82" s="1"/>
  <c r="J75" i="85" s="1"/>
  <c r="R64" i="73"/>
  <c r="R84" i="73" s="1"/>
  <c r="R108" i="73" s="1"/>
  <c r="J64" i="73"/>
  <c r="J84" i="73" s="1"/>
  <c r="J108" i="73" s="1"/>
  <c r="S16" i="75"/>
  <c r="S92" i="75" s="1"/>
  <c r="J64" i="81"/>
  <c r="J84" i="81" s="1"/>
  <c r="J87" i="81" s="1"/>
  <c r="J106" i="81" s="1"/>
  <c r="J115" i="81" s="1" a="1"/>
  <c r="J115" i="81" s="1"/>
  <c r="S64" i="81"/>
  <c r="S84" i="81" s="1"/>
  <c r="S108" i="81" s="1"/>
  <c r="V64" i="82"/>
  <c r="V84" i="82" s="1"/>
  <c r="V87" i="82" s="1"/>
  <c r="V106" i="82" s="1"/>
  <c r="V116" i="82" s="1" a="1"/>
  <c r="V116" i="82" s="1"/>
  <c r="V62" i="75"/>
  <c r="V64" i="75" s="1"/>
  <c r="V64" i="72"/>
  <c r="V84" i="72" s="1"/>
  <c r="V108" i="72" s="1"/>
  <c r="V108" i="73"/>
  <c r="V111" i="73" s="1" a="1"/>
  <c r="V111" i="73" s="1"/>
  <c r="V59" i="85" s="1"/>
  <c r="R64" i="81"/>
  <c r="R84" i="81" s="1"/>
  <c r="R34" i="75" s="1"/>
  <c r="R36" i="75" s="1"/>
  <c r="J64" i="72"/>
  <c r="J84" i="72" s="1"/>
  <c r="J48" i="75" s="1"/>
  <c r="J50" i="75" s="1"/>
  <c r="J40" i="85" s="1"/>
  <c r="R64" i="72"/>
  <c r="R84" i="72" s="1"/>
  <c r="R87" i="72" s="1"/>
  <c r="R106" i="72" s="1"/>
  <c r="R117" i="72" s="1" a="1"/>
  <c r="R117" i="72" s="1"/>
  <c r="M64" i="72"/>
  <c r="M84" i="72" s="1"/>
  <c r="M16" i="75"/>
  <c r="M92" i="75" s="1"/>
  <c r="Q64" i="81"/>
  <c r="Q84" i="81" s="1"/>
  <c r="Q34" i="75" s="1"/>
  <c r="Q36" i="75" s="1"/>
  <c r="P64" i="73"/>
  <c r="P84" i="73" s="1"/>
  <c r="P108" i="73" s="1"/>
  <c r="K64" i="82"/>
  <c r="K84" i="82" s="1"/>
  <c r="O64" i="72"/>
  <c r="O84" i="72" s="1"/>
  <c r="O64" i="82"/>
  <c r="O84" i="82" s="1"/>
  <c r="O16" i="75"/>
  <c r="O92" i="75" s="1"/>
  <c r="P76" i="75"/>
  <c r="P78" i="75" s="1"/>
  <c r="P87" i="82"/>
  <c r="P106" i="82" s="1"/>
  <c r="P70" i="85" s="1"/>
  <c r="K62" i="75"/>
  <c r="K64" i="75" s="1"/>
  <c r="Q64" i="82"/>
  <c r="Q84" i="82" s="1"/>
  <c r="Q87" i="82" s="1"/>
  <c r="Q106" i="82" s="1"/>
  <c r="Q70" i="85" s="1"/>
  <c r="S64" i="73"/>
  <c r="S84" i="73" s="1"/>
  <c r="S64" i="72"/>
  <c r="S84" i="72" s="1"/>
  <c r="K87" i="73"/>
  <c r="K106" i="73" s="1"/>
  <c r="K114" i="73" s="1" a="1"/>
  <c r="K114" i="73" s="1"/>
  <c r="K62" i="85" s="1"/>
  <c r="Q87" i="73"/>
  <c r="Q106" i="73" s="1"/>
  <c r="Q116" i="73" s="1" a="1"/>
  <c r="Q116" i="73" s="1"/>
  <c r="V16" i="75"/>
  <c r="V92" i="75" s="1"/>
  <c r="Q62" i="75"/>
  <c r="Q64" i="75" s="1"/>
  <c r="P64" i="81"/>
  <c r="P84" i="81" s="1"/>
  <c r="P87" i="81" s="1"/>
  <c r="P106" i="81" s="1"/>
  <c r="P28" i="85" s="1"/>
  <c r="R16" i="75"/>
  <c r="R92" i="75" s="1"/>
  <c r="J16" i="75"/>
  <c r="J92" i="75" s="1"/>
  <c r="U64" i="73"/>
  <c r="U84" i="73" s="1"/>
  <c r="U87" i="73" s="1"/>
  <c r="U106" i="73" s="1"/>
  <c r="U116" i="73" s="1" a="1"/>
  <c r="U116" i="73" s="1"/>
  <c r="Q64" i="72"/>
  <c r="Q84" i="72" s="1"/>
  <c r="Q108" i="72" s="1"/>
  <c r="T64" i="72"/>
  <c r="T84" i="72" s="1"/>
  <c r="T64" i="81"/>
  <c r="T84" i="81" s="1"/>
  <c r="T16" i="75"/>
  <c r="T92" i="75" s="1"/>
  <c r="T64" i="82"/>
  <c r="T84" i="82" s="1"/>
  <c r="P16" i="75"/>
  <c r="P92" i="75" s="1"/>
  <c r="M64" i="73"/>
  <c r="M84" i="73" s="1"/>
  <c r="V64" i="81"/>
  <c r="V84" i="81" s="1"/>
  <c r="V108" i="81" s="1"/>
  <c r="P64" i="72"/>
  <c r="P84" i="72" s="1"/>
  <c r="P48" i="75" s="1"/>
  <c r="P50" i="75" s="1"/>
  <c r="P40" i="85" s="1"/>
  <c r="Q16" i="75"/>
  <c r="Q92" i="75" s="1"/>
  <c r="N64" i="82"/>
  <c r="N84" i="82" s="1"/>
  <c r="N64" i="73"/>
  <c r="N84" i="73" s="1"/>
  <c r="M87" i="81"/>
  <c r="M106" i="81" s="1"/>
  <c r="M117" i="81" s="1" a="1"/>
  <c r="M117" i="81" s="1"/>
  <c r="M34" i="75"/>
  <c r="M36" i="75" s="1"/>
  <c r="S87" i="82"/>
  <c r="S106" i="82" s="1"/>
  <c r="S117" i="82" s="1" a="1"/>
  <c r="S117" i="82" s="1"/>
  <c r="S76" i="75"/>
  <c r="S78" i="75" s="1"/>
  <c r="I64" i="82"/>
  <c r="I84" i="82" s="1"/>
  <c r="I64" i="72"/>
  <c r="I84" i="72" s="1"/>
  <c r="I16" i="75"/>
  <c r="I64" i="81"/>
  <c r="I84" i="81" s="1"/>
  <c r="F58" i="75"/>
  <c r="T108" i="73"/>
  <c r="T111" i="73" s="1" a="1"/>
  <c r="T111" i="73" s="1"/>
  <c r="T59" i="85" s="1"/>
  <c r="O108" i="73"/>
  <c r="W62" i="75"/>
  <c r="W64" i="75" s="1"/>
  <c r="T62" i="75"/>
  <c r="T64" i="75" s="1"/>
  <c r="O87" i="73"/>
  <c r="O106" i="73" s="1"/>
  <c r="W87" i="73"/>
  <c r="W106" i="73" s="1"/>
  <c r="W112" i="73" s="1" a="1"/>
  <c r="W112" i="73" s="1"/>
  <c r="W60" i="85" s="1"/>
  <c r="L117" i="81" a="1"/>
  <c r="L117" i="81" s="1"/>
  <c r="L116" i="81" a="1"/>
  <c r="L116" i="81" s="1"/>
  <c r="L115" i="81" a="1"/>
  <c r="L115" i="81" s="1"/>
  <c r="L28" i="85"/>
  <c r="W113" i="72" a="1"/>
  <c r="W113" i="72" s="1"/>
  <c r="W47" i="85" s="1"/>
  <c r="W110" i="72" a="1"/>
  <c r="W110" i="72" s="1"/>
  <c r="W44" i="85" s="1"/>
  <c r="W116" i="72" a="1"/>
  <c r="W116" i="72" s="1"/>
  <c r="W42" i="85"/>
  <c r="W112" i="72" a="1"/>
  <c r="W112" i="72" s="1"/>
  <c r="W46" i="85" s="1"/>
  <c r="W115" i="72" a="1"/>
  <c r="W115" i="72" s="1"/>
  <c r="W117" i="72" a="1"/>
  <c r="W117" i="72" s="1"/>
  <c r="W111" i="72" a="1"/>
  <c r="W111" i="72" s="1"/>
  <c r="W45" i="85" s="1"/>
  <c r="W114" i="72" a="1"/>
  <c r="W114" i="72" s="1"/>
  <c r="W48" i="85" s="1"/>
  <c r="W113" i="81" a="1"/>
  <c r="W113" i="81" s="1"/>
  <c r="W33" i="85" s="1"/>
  <c r="W116" i="81" a="1"/>
  <c r="W116" i="81" s="1"/>
  <c r="W112" i="81" a="1"/>
  <c r="W112" i="81" s="1"/>
  <c r="W32" i="85" s="1"/>
  <c r="W114" i="81" a="1"/>
  <c r="W114" i="81" s="1"/>
  <c r="W34" i="85" s="1"/>
  <c r="W117" i="81" a="1"/>
  <c r="W117" i="81" s="1"/>
  <c r="W111" i="81" a="1"/>
  <c r="W111" i="81" s="1"/>
  <c r="W31" i="85" s="1"/>
  <c r="W110" i="81" a="1"/>
  <c r="W110" i="81" s="1"/>
  <c r="W30" i="85" s="1"/>
  <c r="W115" i="81" a="1"/>
  <c r="W115" i="81" s="1"/>
  <c r="W28" i="85"/>
  <c r="J115" i="82" a="1"/>
  <c r="J115" i="82" s="1"/>
  <c r="J116" i="82" a="1"/>
  <c r="J116" i="82" s="1"/>
  <c r="J117" i="82" a="1"/>
  <c r="J117" i="82" s="1"/>
  <c r="J70" i="85"/>
  <c r="W116" i="82" a="1"/>
  <c r="W116" i="82" s="1"/>
  <c r="W110" i="82" a="1"/>
  <c r="W110" i="82" s="1"/>
  <c r="W72" i="85" s="1"/>
  <c r="W115" i="82" a="1"/>
  <c r="W115" i="82" s="1"/>
  <c r="W114" i="82" a="1"/>
  <c r="W114" i="82" s="1"/>
  <c r="W76" i="85" s="1"/>
  <c r="W112" i="82" a="1"/>
  <c r="W112" i="82" s="1"/>
  <c r="W74" i="85" s="1"/>
  <c r="W111" i="82" a="1"/>
  <c r="W111" i="82" s="1"/>
  <c r="W73" i="85" s="1"/>
  <c r="W117" i="82" a="1"/>
  <c r="W117" i="82" s="1"/>
  <c r="W70" i="85"/>
  <c r="W113" i="82" a="1"/>
  <c r="W113" i="82" s="1"/>
  <c r="W75" i="85" s="1"/>
  <c r="X114" i="73" a="1"/>
  <c r="X114" i="73" s="1"/>
  <c r="X62" i="85" s="1"/>
  <c r="X110" i="73" a="1"/>
  <c r="X110" i="73" s="1"/>
  <c r="X58" i="85" s="1"/>
  <c r="X115" i="73" a="1"/>
  <c r="X115" i="73" s="1"/>
  <c r="X116" i="73" a="1"/>
  <c r="X116" i="73" s="1"/>
  <c r="X111" i="73" a="1"/>
  <c r="X111" i="73" s="1"/>
  <c r="X59" i="85" s="1"/>
  <c r="X112" i="73" a="1"/>
  <c r="X112" i="73" s="1"/>
  <c r="X60" i="85" s="1"/>
  <c r="X113" i="73" a="1"/>
  <c r="X113" i="73" s="1"/>
  <c r="X61" i="85" s="1"/>
  <c r="X117" i="73" a="1"/>
  <c r="X117" i="73" s="1"/>
  <c r="X56" i="85"/>
  <c r="Y112" i="73" a="1"/>
  <c r="Y112" i="73" s="1"/>
  <c r="Y60" i="85" s="1"/>
  <c r="Y117" i="73" a="1"/>
  <c r="Y117" i="73" s="1"/>
  <c r="Y110" i="73" a="1"/>
  <c r="Y110" i="73" s="1"/>
  <c r="Y58" i="85" s="1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56" i="85"/>
  <c r="I108" i="73"/>
  <c r="I87" i="73"/>
  <c r="I106" i="73" s="1"/>
  <c r="I62" i="75"/>
  <c r="T115" i="73" a="1"/>
  <c r="T115" i="73" s="1"/>
  <c r="T117" i="73" a="1"/>
  <c r="T117" i="73" s="1"/>
  <c r="T116" i="73" a="1"/>
  <c r="T116" i="73" s="1"/>
  <c r="T56" i="85"/>
  <c r="V115" i="73" a="1"/>
  <c r="V115" i="73" s="1"/>
  <c r="V116" i="73" a="1"/>
  <c r="V116" i="73" s="1"/>
  <c r="V56" i="85"/>
  <c r="V117" i="73" a="1"/>
  <c r="V117" i="73" s="1"/>
  <c r="L108" i="73" l="1"/>
  <c r="L87" i="82"/>
  <c r="L106" i="82" s="1"/>
  <c r="L113" i="82" s="1" a="1"/>
  <c r="L113" i="82" s="1"/>
  <c r="L75" i="85" s="1"/>
  <c r="L87" i="73"/>
  <c r="L106" i="73" s="1"/>
  <c r="L56" i="85" s="1"/>
  <c r="L76" i="75"/>
  <c r="L78" i="75" s="1"/>
  <c r="M76" i="75"/>
  <c r="M78" i="75" s="1"/>
  <c r="M87" i="82"/>
  <c r="M106" i="82" s="1"/>
  <c r="M114" i="82" s="1" a="1"/>
  <c r="M114" i="82" s="1"/>
  <c r="M76" i="85" s="1"/>
  <c r="S34" i="75"/>
  <c r="S36" i="75" s="1"/>
  <c r="U48" i="75"/>
  <c r="U50" i="75" s="1"/>
  <c r="U40" i="85" s="1"/>
  <c r="L111" i="81" a="1"/>
  <c r="L111" i="81" s="1"/>
  <c r="L31" i="85" s="1"/>
  <c r="U117" i="72" a="1"/>
  <c r="U117" i="72" s="1"/>
  <c r="U116" i="72" a="1"/>
  <c r="U116" i="72" s="1"/>
  <c r="L110" i="81" a="1"/>
  <c r="L110" i="81" s="1"/>
  <c r="L30" i="85" s="1"/>
  <c r="L113" i="81" a="1"/>
  <c r="L113" i="81" s="1"/>
  <c r="L33" i="85" s="1"/>
  <c r="U42" i="85"/>
  <c r="U108" i="72"/>
  <c r="U110" i="72" s="1" a="1"/>
  <c r="U110" i="72" s="1"/>
  <c r="U44" i="85" s="1"/>
  <c r="O87" i="81"/>
  <c r="O106" i="81" s="1"/>
  <c r="O117" i="81" s="1" a="1"/>
  <c r="O117" i="81" s="1"/>
  <c r="U108" i="82"/>
  <c r="U87" i="82"/>
  <c r="U106" i="82" s="1"/>
  <c r="U117" i="82" s="1" a="1"/>
  <c r="U117" i="82" s="1"/>
  <c r="K34" i="75"/>
  <c r="K36" i="75" s="1"/>
  <c r="K87" i="81"/>
  <c r="K106" i="81" s="1"/>
  <c r="K114" i="81" s="1" a="1"/>
  <c r="K114" i="81" s="1"/>
  <c r="K34" i="85" s="1"/>
  <c r="L112" i="81" a="1"/>
  <c r="L112" i="81" s="1"/>
  <c r="L32" i="85" s="1"/>
  <c r="P110" i="82" a="1"/>
  <c r="P110" i="82" s="1"/>
  <c r="P72" i="85" s="1"/>
  <c r="L48" i="75"/>
  <c r="L50" i="75" s="1"/>
  <c r="L40" i="85" s="1"/>
  <c r="O108" i="81"/>
  <c r="P116" i="82" a="1"/>
  <c r="P116" i="82" s="1"/>
  <c r="R117" i="82" a="1"/>
  <c r="R117" i="82" s="1"/>
  <c r="R115" i="82" a="1"/>
  <c r="R115" i="82" s="1"/>
  <c r="R77" i="85" s="1"/>
  <c r="R110" i="82" a="1"/>
  <c r="R110" i="82" s="1"/>
  <c r="R72" i="85" s="1"/>
  <c r="R111" i="82" a="1"/>
  <c r="R111" i="82" s="1"/>
  <c r="R73" i="85" s="1"/>
  <c r="R112" i="82" a="1"/>
  <c r="R112" i="82" s="1"/>
  <c r="R74" i="85" s="1"/>
  <c r="P114" i="82" a="1"/>
  <c r="P114" i="82" s="1"/>
  <c r="P76" i="85" s="1"/>
  <c r="L87" i="72"/>
  <c r="L106" i="72" s="1"/>
  <c r="L112" i="72" s="1" a="1"/>
  <c r="L112" i="72" s="1"/>
  <c r="L46" i="85" s="1"/>
  <c r="R70" i="85"/>
  <c r="R116" i="82" a="1"/>
  <c r="R116" i="82" s="1"/>
  <c r="U87" i="81"/>
  <c r="U106" i="81" s="1"/>
  <c r="U116" i="81" s="1" a="1"/>
  <c r="U116" i="81" s="1"/>
  <c r="V108" i="82"/>
  <c r="V112" i="82" s="1" a="1"/>
  <c r="V112" i="82" s="1"/>
  <c r="V74" i="85" s="1"/>
  <c r="N87" i="81"/>
  <c r="N106" i="81" s="1"/>
  <c r="N115" i="81" s="1" a="1"/>
  <c r="N115" i="81" s="1"/>
  <c r="N36" i="85" s="1"/>
  <c r="K87" i="72"/>
  <c r="K106" i="72" s="1"/>
  <c r="K117" i="72" s="1" a="1"/>
  <c r="K117" i="72" s="1"/>
  <c r="R114" i="82" a="1"/>
  <c r="R114" i="82" s="1"/>
  <c r="R76" i="85" s="1"/>
  <c r="U34" i="75"/>
  <c r="U36" i="75" s="1"/>
  <c r="R87" i="73"/>
  <c r="R106" i="73" s="1"/>
  <c r="R116" i="73" s="1" a="1"/>
  <c r="R116" i="73" s="1"/>
  <c r="N34" i="75"/>
  <c r="N36" i="75" s="1"/>
  <c r="J108" i="81"/>
  <c r="J114" i="81" s="1" a="1"/>
  <c r="J114" i="81" s="1"/>
  <c r="J34" i="85" s="1"/>
  <c r="K48" i="75"/>
  <c r="K50" i="75" s="1"/>
  <c r="K40" i="85" s="1"/>
  <c r="N108" i="72"/>
  <c r="N87" i="72"/>
  <c r="N106" i="72" s="1"/>
  <c r="N115" i="72" s="1" a="1"/>
  <c r="N115" i="72" s="1"/>
  <c r="N50" i="85" s="1"/>
  <c r="P111" i="82" a="1"/>
  <c r="P111" i="82" s="1"/>
  <c r="P73" i="85" s="1"/>
  <c r="J112" i="82" a="1"/>
  <c r="J112" i="82" s="1"/>
  <c r="J74" i="85" s="1"/>
  <c r="R62" i="75"/>
  <c r="R64" i="75" s="1"/>
  <c r="J111" i="82" a="1"/>
  <c r="J111" i="82" s="1"/>
  <c r="J73" i="85" s="1"/>
  <c r="P117" i="82" a="1"/>
  <c r="P117" i="82" s="1"/>
  <c r="J114" i="82" a="1"/>
  <c r="J114" i="82" s="1"/>
  <c r="J76" i="85" s="1"/>
  <c r="P113" i="82" a="1"/>
  <c r="P113" i="82" s="1"/>
  <c r="P75" i="85" s="1"/>
  <c r="R115" i="72" a="1"/>
  <c r="R115" i="72" s="1"/>
  <c r="R50" i="85" s="1"/>
  <c r="R116" i="72" a="1"/>
  <c r="R116" i="72" s="1"/>
  <c r="Q108" i="82"/>
  <c r="Q113" i="82" s="1" a="1"/>
  <c r="Q113" i="82" s="1"/>
  <c r="Q75" i="85" s="1"/>
  <c r="K113" i="73" a="1"/>
  <c r="K113" i="73" s="1"/>
  <c r="K61" i="85" s="1"/>
  <c r="R42" i="85"/>
  <c r="V115" i="82" a="1"/>
  <c r="V115" i="82" s="1"/>
  <c r="V79" i="85" s="1"/>
  <c r="J110" i="82" a="1"/>
  <c r="J110" i="82" s="1"/>
  <c r="J72" i="85" s="1"/>
  <c r="J116" i="81" a="1"/>
  <c r="J116" i="81" s="1"/>
  <c r="K110" i="73" a="1"/>
  <c r="K110" i="73" s="1"/>
  <c r="K58" i="85" s="1"/>
  <c r="J34" i="75"/>
  <c r="J36" i="75" s="1"/>
  <c r="J117" i="81" a="1"/>
  <c r="J117" i="81" s="1"/>
  <c r="V48" i="75"/>
  <c r="V50" i="75" s="1"/>
  <c r="V40" i="85" s="1"/>
  <c r="V70" i="85"/>
  <c r="V117" i="82" a="1"/>
  <c r="V117" i="82" s="1"/>
  <c r="J87" i="73"/>
  <c r="J106" i="73" s="1"/>
  <c r="J110" i="73" s="1" a="1"/>
  <c r="J110" i="73" s="1"/>
  <c r="J58" i="85" s="1"/>
  <c r="J62" i="75"/>
  <c r="J64" i="75" s="1"/>
  <c r="J28" i="85"/>
  <c r="V87" i="72"/>
  <c r="V106" i="72" s="1"/>
  <c r="V42" i="85" s="1"/>
  <c r="P116" i="81" a="1"/>
  <c r="P116" i="81" s="1"/>
  <c r="Q76" i="75"/>
  <c r="Q78" i="75" s="1"/>
  <c r="V76" i="75"/>
  <c r="V78" i="75" s="1"/>
  <c r="S87" i="81"/>
  <c r="S106" i="81" s="1"/>
  <c r="S116" i="81" s="1" a="1"/>
  <c r="S116" i="81" s="1"/>
  <c r="Q87" i="72"/>
  <c r="Q106" i="72" s="1"/>
  <c r="Q42" i="85" s="1"/>
  <c r="U56" i="85"/>
  <c r="U117" i="73" a="1"/>
  <c r="U117" i="73" s="1"/>
  <c r="U115" i="73" a="1"/>
  <c r="U115" i="73" s="1"/>
  <c r="U65" i="85" s="1"/>
  <c r="V112" i="73" a="1"/>
  <c r="V112" i="73" s="1"/>
  <c r="V60" i="85" s="1"/>
  <c r="Q117" i="82" a="1"/>
  <c r="Q117" i="82" s="1"/>
  <c r="P112" i="82" a="1"/>
  <c r="P112" i="82" s="1"/>
  <c r="P74" i="85" s="1"/>
  <c r="Q108" i="81"/>
  <c r="J108" i="72"/>
  <c r="Q116" i="82" a="1"/>
  <c r="Q116" i="82" s="1"/>
  <c r="M110" i="81" a="1"/>
  <c r="M110" i="81" s="1"/>
  <c r="M30" i="85" s="1"/>
  <c r="Q115" i="82" a="1"/>
  <c r="Q115" i="82" s="1"/>
  <c r="Q77" i="85" s="1"/>
  <c r="P115" i="82" a="1"/>
  <c r="P115" i="82" s="1"/>
  <c r="P78" i="85" s="1"/>
  <c r="Q48" i="75"/>
  <c r="Q50" i="75" s="1"/>
  <c r="Q40" i="85" s="1"/>
  <c r="P62" i="75"/>
  <c r="P64" i="75" s="1"/>
  <c r="V110" i="73" a="1"/>
  <c r="V110" i="73" s="1"/>
  <c r="V58" i="85" s="1"/>
  <c r="V113" i="73" a="1"/>
  <c r="V113" i="73" s="1"/>
  <c r="V61" i="85" s="1"/>
  <c r="R48" i="75"/>
  <c r="R50" i="75" s="1"/>
  <c r="R40" i="85" s="1"/>
  <c r="P87" i="73"/>
  <c r="P106" i="73" s="1"/>
  <c r="P117" i="73" s="1" a="1"/>
  <c r="P117" i="73" s="1"/>
  <c r="J87" i="72"/>
  <c r="J106" i="72" s="1"/>
  <c r="J42" i="85" s="1"/>
  <c r="R108" i="72"/>
  <c r="R113" i="72" s="1" a="1"/>
  <c r="R113" i="72" s="1"/>
  <c r="R47" i="85" s="1"/>
  <c r="Q87" i="81"/>
  <c r="Q106" i="81" s="1"/>
  <c r="Q116" i="81" s="1" a="1"/>
  <c r="Q116" i="81" s="1"/>
  <c r="U62" i="75"/>
  <c r="U64" i="75" s="1"/>
  <c r="R87" i="81"/>
  <c r="R106" i="81" s="1"/>
  <c r="V114" i="73" a="1"/>
  <c r="V114" i="73" s="1"/>
  <c r="V62" i="85" s="1"/>
  <c r="R108" i="81"/>
  <c r="U108" i="73"/>
  <c r="U114" i="73" s="1" a="1"/>
  <c r="U114" i="73" s="1"/>
  <c r="U62" i="85" s="1"/>
  <c r="V34" i="75"/>
  <c r="V36" i="75" s="1"/>
  <c r="V87" i="81"/>
  <c r="V106" i="81" s="1"/>
  <c r="V111" i="81" s="1" a="1"/>
  <c r="V111" i="81" s="1"/>
  <c r="V31" i="85" s="1"/>
  <c r="P117" i="81" a="1"/>
  <c r="P117" i="81" s="1"/>
  <c r="P115" i="81" a="1"/>
  <c r="P115" i="81" s="1"/>
  <c r="P35" i="85" s="1"/>
  <c r="S108" i="73"/>
  <c r="S62" i="75"/>
  <c r="S64" i="75" s="1"/>
  <c r="S87" i="73"/>
  <c r="S106" i="73" s="1"/>
  <c r="K112" i="73" a="1"/>
  <c r="K112" i="73" s="1"/>
  <c r="K60" i="85" s="1"/>
  <c r="P108" i="72"/>
  <c r="K117" i="73" a="1"/>
  <c r="K117" i="73" s="1"/>
  <c r="Q115" i="73" a="1"/>
  <c r="Q115" i="73" s="1"/>
  <c r="Q64" i="85" s="1"/>
  <c r="K111" i="73" a="1"/>
  <c r="K111" i="73" s="1"/>
  <c r="K59" i="85" s="1"/>
  <c r="Q110" i="73" a="1"/>
  <c r="Q110" i="73" s="1"/>
  <c r="Q58" i="85" s="1"/>
  <c r="P87" i="72"/>
  <c r="P106" i="72" s="1"/>
  <c r="M108" i="73"/>
  <c r="M87" i="73"/>
  <c r="M106" i="73" s="1"/>
  <c r="M62" i="75"/>
  <c r="M64" i="75" s="1"/>
  <c r="T108" i="82"/>
  <c r="T87" i="82"/>
  <c r="T106" i="82" s="1"/>
  <c r="T76" i="75"/>
  <c r="T78" i="75" s="1"/>
  <c r="T108" i="72"/>
  <c r="T87" i="72"/>
  <c r="T106" i="72" s="1"/>
  <c r="T48" i="75"/>
  <c r="T50" i="75" s="1"/>
  <c r="T40" i="85" s="1"/>
  <c r="N87" i="73"/>
  <c r="N106" i="73" s="1"/>
  <c r="N108" i="73"/>
  <c r="N62" i="75"/>
  <c r="N64" i="75" s="1"/>
  <c r="S108" i="72"/>
  <c r="S87" i="72"/>
  <c r="S106" i="72" s="1"/>
  <c r="S48" i="75"/>
  <c r="S50" i="75" s="1"/>
  <c r="S40" i="85" s="1"/>
  <c r="P108" i="81"/>
  <c r="P113" i="81" s="1" a="1"/>
  <c r="P113" i="81" s="1"/>
  <c r="P33" i="85" s="1"/>
  <c r="P34" i="75"/>
  <c r="P36" i="75" s="1"/>
  <c r="K115" i="73" a="1"/>
  <c r="K115" i="73" s="1"/>
  <c r="K65" i="85" s="1"/>
  <c r="K116" i="73" a="1"/>
  <c r="K116" i="73" s="1"/>
  <c r="Q111" i="73" a="1"/>
  <c r="Q111" i="73" s="1"/>
  <c r="Q59" i="85" s="1"/>
  <c r="Q56" i="85"/>
  <c r="O108" i="82"/>
  <c r="O76" i="75"/>
  <c r="O78" i="75" s="1"/>
  <c r="O87" i="82"/>
  <c r="O106" i="82" s="1"/>
  <c r="Q113" i="73" a="1"/>
  <c r="Q113" i="73" s="1"/>
  <c r="Q61" i="85" s="1"/>
  <c r="M112" i="81" a="1"/>
  <c r="M112" i="81" s="1"/>
  <c r="M32" i="85" s="1"/>
  <c r="M114" i="81" a="1"/>
  <c r="M114" i="81" s="1"/>
  <c r="M34" i="85" s="1"/>
  <c r="N87" i="82"/>
  <c r="N106" i="82" s="1"/>
  <c r="N108" i="82"/>
  <c r="N76" i="75"/>
  <c r="N78" i="75" s="1"/>
  <c r="Q117" i="73" a="1"/>
  <c r="Q117" i="73" s="1"/>
  <c r="O108" i="72"/>
  <c r="O48" i="75"/>
  <c r="O50" i="75" s="1"/>
  <c r="O40" i="85" s="1"/>
  <c r="O87" i="72"/>
  <c r="O106" i="72" s="1"/>
  <c r="K76" i="75"/>
  <c r="K78" i="75" s="1"/>
  <c r="K87" i="82"/>
  <c r="K106" i="82" s="1"/>
  <c r="K108" i="82"/>
  <c r="M113" i="81" a="1"/>
  <c r="M113" i="81" s="1"/>
  <c r="M33" i="85" s="1"/>
  <c r="M108" i="72"/>
  <c r="M48" i="75"/>
  <c r="M50" i="75" s="1"/>
  <c r="M40" i="85" s="1"/>
  <c r="M87" i="72"/>
  <c r="M106" i="72" s="1"/>
  <c r="K56" i="85"/>
  <c r="Q114" i="73" a="1"/>
  <c r="Q114" i="73" s="1"/>
  <c r="Q62" i="85" s="1"/>
  <c r="T108" i="81"/>
  <c r="T87" i="81"/>
  <c r="T106" i="81" s="1"/>
  <c r="T34" i="75"/>
  <c r="T36" i="75" s="1"/>
  <c r="Q112" i="73" a="1"/>
  <c r="Q112" i="73" s="1"/>
  <c r="Q60" i="85" s="1"/>
  <c r="M111" i="81" a="1"/>
  <c r="M111" i="81" s="1"/>
  <c r="M31" i="85" s="1"/>
  <c r="M115" i="81" a="1"/>
  <c r="M115" i="81" s="1"/>
  <c r="M35" i="85" s="1"/>
  <c r="M116" i="81" a="1"/>
  <c r="M116" i="81" s="1"/>
  <c r="M28" i="85"/>
  <c r="O113" i="73" a="1"/>
  <c r="O113" i="73" s="1"/>
  <c r="O61" i="85" s="1"/>
  <c r="S113" i="82" a="1"/>
  <c r="S113" i="82" s="1"/>
  <c r="S75" i="85" s="1"/>
  <c r="T112" i="73" a="1"/>
  <c r="T112" i="73" s="1"/>
  <c r="T60" i="85" s="1"/>
  <c r="T114" i="73" a="1"/>
  <c r="T114" i="73" s="1"/>
  <c r="T62" i="85" s="1"/>
  <c r="S116" i="82" a="1"/>
  <c r="S116" i="82" s="1"/>
  <c r="S70" i="85"/>
  <c r="T110" i="73" a="1"/>
  <c r="T110" i="73" s="1"/>
  <c r="T58" i="85" s="1"/>
  <c r="S111" i="82" a="1"/>
  <c r="S111" i="82" s="1"/>
  <c r="S73" i="85" s="1"/>
  <c r="S112" i="82" a="1"/>
  <c r="S112" i="82" s="1"/>
  <c r="S74" i="85" s="1"/>
  <c r="S110" i="82" a="1"/>
  <c r="S110" i="82" s="1"/>
  <c r="S72" i="85" s="1"/>
  <c r="S114" i="82" a="1"/>
  <c r="S114" i="82" s="1"/>
  <c r="S76" i="85" s="1"/>
  <c r="S115" i="82" a="1"/>
  <c r="S115" i="82" s="1"/>
  <c r="S79" i="85" s="1"/>
  <c r="T113" i="73" a="1"/>
  <c r="T113" i="73" s="1"/>
  <c r="T61" i="85" s="1"/>
  <c r="I48" i="75"/>
  <c r="I87" i="72"/>
  <c r="I106" i="72" s="1"/>
  <c r="I108" i="72"/>
  <c r="I108" i="81"/>
  <c r="I87" i="81"/>
  <c r="I106" i="81" s="1"/>
  <c r="I34" i="75"/>
  <c r="O115" i="73" a="1"/>
  <c r="O115" i="73" s="1"/>
  <c r="O65" i="85" s="1"/>
  <c r="I92" i="75"/>
  <c r="F16" i="75" a="1"/>
  <c r="F16" i="75" s="1"/>
  <c r="O110" i="73" a="1"/>
  <c r="O110" i="73" s="1"/>
  <c r="O58" i="85" s="1"/>
  <c r="I108" i="82"/>
  <c r="I87" i="82"/>
  <c r="I106" i="82" s="1"/>
  <c r="I76" i="75"/>
  <c r="W56" i="85"/>
  <c r="W110" i="73" a="1"/>
  <c r="W110" i="73" s="1"/>
  <c r="W58" i="85" s="1"/>
  <c r="W115" i="73" a="1"/>
  <c r="W115" i="73" s="1"/>
  <c r="W65" i="85" s="1"/>
  <c r="W111" i="73" a="1"/>
  <c r="W111" i="73" s="1"/>
  <c r="W59" i="85" s="1"/>
  <c r="W113" i="73" a="1"/>
  <c r="W113" i="73" s="1"/>
  <c r="W61" i="85" s="1"/>
  <c r="W114" i="73" a="1"/>
  <c r="W114" i="73" s="1"/>
  <c r="W62" i="85" s="1"/>
  <c r="W116" i="73" a="1"/>
  <c r="W116" i="73" s="1"/>
  <c r="W117" i="73" a="1"/>
  <c r="W117" i="73" s="1"/>
  <c r="O117" i="73" a="1"/>
  <c r="O117" i="73" s="1"/>
  <c r="O56" i="85"/>
  <c r="O116" i="73" a="1"/>
  <c r="O116" i="73" s="1"/>
  <c r="O111" i="73" a="1"/>
  <c r="O111" i="73" s="1"/>
  <c r="O59" i="85" s="1"/>
  <c r="O114" i="73" a="1"/>
  <c r="O114" i="73" s="1"/>
  <c r="O62" i="85" s="1"/>
  <c r="O112" i="73" a="1"/>
  <c r="O112" i="73" s="1"/>
  <c r="O60" i="85" s="1"/>
  <c r="W36" i="85"/>
  <c r="W37" i="85"/>
  <c r="W35" i="85"/>
  <c r="U51" i="85"/>
  <c r="U49" i="85"/>
  <c r="U50" i="85"/>
  <c r="W51" i="85"/>
  <c r="W49" i="85"/>
  <c r="W50" i="85"/>
  <c r="W78" i="85"/>
  <c r="W79" i="85"/>
  <c r="W77" i="85"/>
  <c r="J78" i="85"/>
  <c r="J77" i="85"/>
  <c r="J79" i="85"/>
  <c r="J36" i="85"/>
  <c r="J35" i="85"/>
  <c r="J37" i="85"/>
  <c r="L36" i="85"/>
  <c r="L37" i="85"/>
  <c r="L35" i="85"/>
  <c r="V65" i="85"/>
  <c r="V64" i="85"/>
  <c r="V63" i="85"/>
  <c r="I64" i="75"/>
  <c r="T64" i="85"/>
  <c r="T65" i="85"/>
  <c r="T63" i="85"/>
  <c r="I111" i="73" a="1"/>
  <c r="I111" i="73" s="1"/>
  <c r="I59" i="85" s="1"/>
  <c r="I114" i="73" a="1"/>
  <c r="I114" i="73" s="1"/>
  <c r="I62" i="85" s="1"/>
  <c r="I115" i="73" a="1"/>
  <c r="I115" i="73" s="1"/>
  <c r="I56" i="85"/>
  <c r="I113" i="73" a="1"/>
  <c r="I113" i="73" s="1"/>
  <c r="I61" i="85" s="1"/>
  <c r="I116" i="73" a="1"/>
  <c r="I116" i="73" s="1"/>
  <c r="I112" i="73" a="1"/>
  <c r="I112" i="73" s="1"/>
  <c r="I60" i="85" s="1"/>
  <c r="I110" i="73" a="1"/>
  <c r="I110" i="73" s="1"/>
  <c r="I58" i="85" s="1"/>
  <c r="I117" i="73" a="1"/>
  <c r="I117" i="73" s="1"/>
  <c r="Y64" i="85"/>
  <c r="Y63" i="85"/>
  <c r="Y65" i="85"/>
  <c r="X65" i="85"/>
  <c r="X64" i="85"/>
  <c r="X63" i="85"/>
  <c r="L117" i="82" l="1" a="1"/>
  <c r="L117" i="82" s="1"/>
  <c r="L117" i="73" a="1"/>
  <c r="L117" i="73" s="1"/>
  <c r="L114" i="82" a="1"/>
  <c r="L114" i="82" s="1"/>
  <c r="L76" i="85" s="1"/>
  <c r="L112" i="82" a="1"/>
  <c r="L112" i="82" s="1"/>
  <c r="L74" i="85" s="1"/>
  <c r="L116" i="82" a="1"/>
  <c r="L116" i="82" s="1"/>
  <c r="L116" i="73" a="1"/>
  <c r="L116" i="73" s="1"/>
  <c r="L112" i="73" a="1"/>
  <c r="L112" i="73" s="1"/>
  <c r="L60" i="85" s="1"/>
  <c r="L111" i="82" a="1"/>
  <c r="L111" i="82" s="1"/>
  <c r="L73" i="85" s="1"/>
  <c r="L113" i="73" a="1"/>
  <c r="L113" i="73" s="1"/>
  <c r="L61" i="85" s="1"/>
  <c r="L110" i="82" a="1"/>
  <c r="L110" i="82" s="1"/>
  <c r="L72" i="85" s="1"/>
  <c r="M117" i="82" a="1"/>
  <c r="M117" i="82" s="1"/>
  <c r="M110" i="82" a="1"/>
  <c r="M110" i="82" s="1"/>
  <c r="M72" i="85" s="1"/>
  <c r="M116" i="82" a="1"/>
  <c r="M116" i="82" s="1"/>
  <c r="L70" i="85"/>
  <c r="L110" i="73" a="1"/>
  <c r="L110" i="73" s="1"/>
  <c r="L58" i="85" s="1"/>
  <c r="L115" i="82" a="1"/>
  <c r="L115" i="82" s="1"/>
  <c r="L77" i="85" s="1"/>
  <c r="L114" i="73" a="1"/>
  <c r="L114" i="73" s="1"/>
  <c r="L62" i="85" s="1"/>
  <c r="L111" i="73" a="1"/>
  <c r="L111" i="73" s="1"/>
  <c r="L59" i="85" s="1"/>
  <c r="L115" i="73" a="1"/>
  <c r="L115" i="73" s="1"/>
  <c r="L64" i="85" s="1"/>
  <c r="M111" i="82" a="1"/>
  <c r="M111" i="82" s="1"/>
  <c r="M73" i="85" s="1"/>
  <c r="M115" i="82" a="1"/>
  <c r="M115" i="82" s="1"/>
  <c r="M77" i="85" s="1"/>
  <c r="M70" i="85"/>
  <c r="M112" i="82" a="1"/>
  <c r="M112" i="82" s="1"/>
  <c r="M74" i="85" s="1"/>
  <c r="M113" i="82" a="1"/>
  <c r="M113" i="82" s="1"/>
  <c r="M75" i="85" s="1"/>
  <c r="U114" i="72" a="1"/>
  <c r="U114" i="72" s="1"/>
  <c r="U48" i="85" s="1"/>
  <c r="U116" i="82" a="1"/>
  <c r="U116" i="82" s="1"/>
  <c r="K113" i="81" a="1"/>
  <c r="K113" i="81" s="1"/>
  <c r="K33" i="85" s="1"/>
  <c r="K116" i="81" a="1"/>
  <c r="K116" i="81" s="1"/>
  <c r="U111" i="82" a="1"/>
  <c r="U111" i="82" s="1"/>
  <c r="U73" i="85" s="1"/>
  <c r="U70" i="85"/>
  <c r="U112" i="72" a="1"/>
  <c r="U112" i="72" s="1"/>
  <c r="U46" i="85" s="1"/>
  <c r="U111" i="72" a="1"/>
  <c r="U111" i="72" s="1"/>
  <c r="U45" i="85" s="1"/>
  <c r="O116" i="81" a="1"/>
  <c r="O116" i="81" s="1"/>
  <c r="K115" i="81" a="1"/>
  <c r="K115" i="81" s="1"/>
  <c r="K37" i="85" s="1"/>
  <c r="U113" i="72" a="1"/>
  <c r="U113" i="72" s="1"/>
  <c r="U47" i="85" s="1"/>
  <c r="K111" i="81" a="1"/>
  <c r="K111" i="81" s="1"/>
  <c r="K31" i="85" s="1"/>
  <c r="O112" i="81" a="1"/>
  <c r="O112" i="81" s="1"/>
  <c r="O32" i="85" s="1"/>
  <c r="O115" i="81" a="1"/>
  <c r="O115" i="81" s="1"/>
  <c r="O36" i="85" s="1"/>
  <c r="O28" i="85"/>
  <c r="U115" i="82" a="1"/>
  <c r="U115" i="82" s="1"/>
  <c r="U78" i="85" s="1"/>
  <c r="K112" i="81" a="1"/>
  <c r="K112" i="81" s="1"/>
  <c r="K32" i="85" s="1"/>
  <c r="J113" i="81" a="1"/>
  <c r="J113" i="81" s="1"/>
  <c r="J33" i="85" s="1"/>
  <c r="K28" i="85"/>
  <c r="U114" i="82" a="1"/>
  <c r="U114" i="82" s="1"/>
  <c r="U76" i="85" s="1"/>
  <c r="U113" i="82" a="1"/>
  <c r="U113" i="82" s="1"/>
  <c r="U75" i="85" s="1"/>
  <c r="U112" i="82" a="1"/>
  <c r="U112" i="82" s="1"/>
  <c r="U74" i="85" s="1"/>
  <c r="K110" i="81" a="1"/>
  <c r="K110" i="81" s="1"/>
  <c r="K30" i="85" s="1"/>
  <c r="L114" i="72" a="1"/>
  <c r="L114" i="72" s="1"/>
  <c r="L48" i="85" s="1"/>
  <c r="N114" i="72" a="1"/>
  <c r="N114" i="72" s="1"/>
  <c r="N48" i="85" s="1"/>
  <c r="U110" i="82" a="1"/>
  <c r="U110" i="82" s="1"/>
  <c r="U72" i="85" s="1"/>
  <c r="O110" i="81" a="1"/>
  <c r="O110" i="81" s="1"/>
  <c r="O30" i="85" s="1"/>
  <c r="K117" i="81" a="1"/>
  <c r="K117" i="81" s="1"/>
  <c r="Q113" i="81" a="1"/>
  <c r="Q113" i="81" s="1"/>
  <c r="Q33" i="85" s="1"/>
  <c r="O113" i="81" a="1"/>
  <c r="O113" i="81" s="1"/>
  <c r="O33" i="85" s="1"/>
  <c r="V113" i="82" a="1"/>
  <c r="V113" i="82" s="1"/>
  <c r="V75" i="85" s="1"/>
  <c r="V114" i="82" a="1"/>
  <c r="V114" i="82" s="1"/>
  <c r="V76" i="85" s="1"/>
  <c r="V110" i="82" a="1"/>
  <c r="V110" i="82" s="1"/>
  <c r="V72" i="85" s="1"/>
  <c r="O111" i="81" a="1"/>
  <c r="O111" i="81" s="1"/>
  <c r="O31" i="85" s="1"/>
  <c r="O114" i="81" a="1"/>
  <c r="O114" i="81" s="1"/>
  <c r="O34" i="85" s="1"/>
  <c r="L113" i="72" a="1"/>
  <c r="L113" i="72" s="1"/>
  <c r="L47" i="85" s="1"/>
  <c r="N113" i="72" a="1"/>
  <c r="N113" i="72" s="1"/>
  <c r="N47" i="85" s="1"/>
  <c r="K116" i="72" a="1"/>
  <c r="K116" i="72" s="1"/>
  <c r="U114" i="81" a="1"/>
  <c r="U114" i="81" s="1"/>
  <c r="U34" i="85" s="1"/>
  <c r="J110" i="81" a="1"/>
  <c r="J110" i="81" s="1"/>
  <c r="J30" i="85" s="1"/>
  <c r="L117" i="72" a="1"/>
  <c r="L117" i="72" s="1"/>
  <c r="U110" i="81" a="1"/>
  <c r="U110" i="81" s="1"/>
  <c r="U30" i="85" s="1"/>
  <c r="R78" i="85"/>
  <c r="K114" i="72" a="1"/>
  <c r="K114" i="72" s="1"/>
  <c r="K48" i="85" s="1"/>
  <c r="L116" i="72" a="1"/>
  <c r="L116" i="72" s="1"/>
  <c r="L110" i="72" a="1"/>
  <c r="L110" i="72" s="1"/>
  <c r="L44" i="85" s="1"/>
  <c r="L115" i="72" a="1"/>
  <c r="L115" i="72" s="1"/>
  <c r="L49" i="85" s="1"/>
  <c r="L42" i="85"/>
  <c r="N28" i="85"/>
  <c r="U28" i="85"/>
  <c r="N111" i="81" a="1"/>
  <c r="N111" i="81" s="1"/>
  <c r="N31" i="85" s="1"/>
  <c r="N113" i="81" a="1"/>
  <c r="N113" i="81" s="1"/>
  <c r="N33" i="85" s="1"/>
  <c r="N114" i="81" a="1"/>
  <c r="N114" i="81" s="1"/>
  <c r="N34" i="85" s="1"/>
  <c r="R117" i="73" a="1"/>
  <c r="R117" i="73" s="1"/>
  <c r="N37" i="85"/>
  <c r="K112" i="72" a="1"/>
  <c r="K112" i="72" s="1"/>
  <c r="K46" i="85" s="1"/>
  <c r="V111" i="82" a="1"/>
  <c r="V111" i="82" s="1"/>
  <c r="V73" i="85" s="1"/>
  <c r="R112" i="73" a="1"/>
  <c r="R112" i="73" s="1"/>
  <c r="R60" i="85" s="1"/>
  <c r="K113" i="72" a="1"/>
  <c r="K113" i="72" s="1"/>
  <c r="K47" i="85" s="1"/>
  <c r="U113" i="81" a="1"/>
  <c r="U113" i="81" s="1"/>
  <c r="U33" i="85" s="1"/>
  <c r="N117" i="81" a="1"/>
  <c r="N117" i="81" s="1"/>
  <c r="K42" i="85"/>
  <c r="U117" i="81" a="1"/>
  <c r="U117" i="81" s="1"/>
  <c r="N35" i="85"/>
  <c r="N112" i="72" a="1"/>
  <c r="N112" i="72" s="1"/>
  <c r="N46" i="85" s="1"/>
  <c r="U115" i="81" a="1"/>
  <c r="U115" i="81" s="1"/>
  <c r="U35" i="85" s="1"/>
  <c r="R79" i="85"/>
  <c r="N116" i="81" a="1"/>
  <c r="N116" i="81" s="1"/>
  <c r="N112" i="81" a="1"/>
  <c r="N112" i="81" s="1"/>
  <c r="N32" i="85" s="1"/>
  <c r="L111" i="72" a="1"/>
  <c r="L111" i="72" s="1"/>
  <c r="L45" i="85" s="1"/>
  <c r="R110" i="73" a="1"/>
  <c r="R110" i="73" s="1"/>
  <c r="R58" i="85" s="1"/>
  <c r="U111" i="81" a="1"/>
  <c r="U111" i="81" s="1"/>
  <c r="U31" i="85" s="1"/>
  <c r="U112" i="81" a="1"/>
  <c r="U112" i="81" s="1"/>
  <c r="U32" i="85" s="1"/>
  <c r="K115" i="72" a="1"/>
  <c r="K115" i="72" s="1"/>
  <c r="K50" i="85" s="1"/>
  <c r="R115" i="73" a="1"/>
  <c r="R115" i="73" s="1"/>
  <c r="R65" i="85" s="1"/>
  <c r="R113" i="73" a="1"/>
  <c r="R113" i="73" s="1"/>
  <c r="R61" i="85" s="1"/>
  <c r="K111" i="72" a="1"/>
  <c r="K111" i="72" s="1"/>
  <c r="K45" i="85" s="1"/>
  <c r="R56" i="85"/>
  <c r="N110" i="81" a="1"/>
  <c r="N110" i="81" s="1"/>
  <c r="N30" i="85" s="1"/>
  <c r="K110" i="72" a="1"/>
  <c r="K110" i="72" s="1"/>
  <c r="K44" i="85" s="1"/>
  <c r="R111" i="73" a="1"/>
  <c r="R111" i="73" s="1"/>
  <c r="R59" i="85" s="1"/>
  <c r="R114" i="73" a="1"/>
  <c r="R114" i="73" s="1"/>
  <c r="R62" i="85" s="1"/>
  <c r="J56" i="85"/>
  <c r="N116" i="72" a="1"/>
  <c r="N116" i="72" s="1"/>
  <c r="N117" i="72" a="1"/>
  <c r="N117" i="72" s="1"/>
  <c r="N111" i="72" a="1"/>
  <c r="N111" i="72" s="1"/>
  <c r="N45" i="85" s="1"/>
  <c r="N110" i="72" a="1"/>
  <c r="N110" i="72" s="1"/>
  <c r="N44" i="85" s="1"/>
  <c r="N42" i="85"/>
  <c r="J112" i="81" a="1"/>
  <c r="J112" i="81" s="1"/>
  <c r="J32" i="85" s="1"/>
  <c r="J111" i="81" a="1"/>
  <c r="J111" i="81" s="1"/>
  <c r="J31" i="85" s="1"/>
  <c r="Q114" i="72" a="1"/>
  <c r="Q114" i="72" s="1"/>
  <c r="Q48" i="85" s="1"/>
  <c r="U113" i="73" a="1"/>
  <c r="U113" i="73" s="1"/>
  <c r="U61" i="85" s="1"/>
  <c r="Q112" i="72" a="1"/>
  <c r="Q112" i="72" s="1"/>
  <c r="Q46" i="85" s="1"/>
  <c r="P110" i="72" a="1"/>
  <c r="P110" i="72" s="1"/>
  <c r="P44" i="85" s="1"/>
  <c r="Q116" i="72" a="1"/>
  <c r="Q116" i="72" s="1"/>
  <c r="V115" i="72" a="1"/>
  <c r="V115" i="72" s="1"/>
  <c r="V49" i="85" s="1"/>
  <c r="S117" i="81" a="1"/>
  <c r="S117" i="81" s="1"/>
  <c r="S28" i="85"/>
  <c r="S115" i="81" a="1"/>
  <c r="S115" i="81" s="1"/>
  <c r="S35" i="85" s="1"/>
  <c r="S112" i="81" a="1"/>
  <c r="S112" i="81" s="1"/>
  <c r="S32" i="85" s="1"/>
  <c r="Q114" i="82" a="1"/>
  <c r="Q114" i="82" s="1"/>
  <c r="Q76" i="85" s="1"/>
  <c r="Q113" i="72" a="1"/>
  <c r="Q113" i="72" s="1"/>
  <c r="Q47" i="85" s="1"/>
  <c r="V115" i="81" a="1"/>
  <c r="V115" i="81" s="1"/>
  <c r="V36" i="85" s="1"/>
  <c r="Q112" i="82" a="1"/>
  <c r="Q112" i="82" s="1"/>
  <c r="Q74" i="85" s="1"/>
  <c r="Q115" i="72" a="1"/>
  <c r="Q115" i="72" s="1"/>
  <c r="Q49" i="85" s="1"/>
  <c r="Q110" i="82" a="1"/>
  <c r="Q110" i="82" s="1"/>
  <c r="Q72" i="85" s="1"/>
  <c r="U63" i="85"/>
  <c r="U111" i="73" a="1"/>
  <c r="U111" i="73" s="1"/>
  <c r="U59" i="85" s="1"/>
  <c r="J111" i="73" a="1"/>
  <c r="J111" i="73" s="1"/>
  <c r="J59" i="85" s="1"/>
  <c r="K64" i="85"/>
  <c r="Q111" i="82" a="1"/>
  <c r="Q111" i="82" s="1"/>
  <c r="Q73" i="85" s="1"/>
  <c r="V78" i="85"/>
  <c r="R49" i="85"/>
  <c r="S111" i="81" a="1"/>
  <c r="S111" i="81" s="1"/>
  <c r="S31" i="85" s="1"/>
  <c r="R51" i="85"/>
  <c r="U110" i="73" a="1"/>
  <c r="U110" i="73" s="1"/>
  <c r="U58" i="85" s="1"/>
  <c r="R111" i="81" a="1"/>
  <c r="R111" i="81" s="1"/>
  <c r="R31" i="85" s="1"/>
  <c r="S113" i="81" a="1"/>
  <c r="S113" i="81" s="1"/>
  <c r="S33" i="85" s="1"/>
  <c r="U112" i="73" a="1"/>
  <c r="U112" i="73" s="1"/>
  <c r="U60" i="85" s="1"/>
  <c r="V117" i="81" a="1"/>
  <c r="V117" i="81" s="1"/>
  <c r="J116" i="73" a="1"/>
  <c r="J116" i="73" s="1"/>
  <c r="V110" i="72" a="1"/>
  <c r="V110" i="72" s="1"/>
  <c r="V44" i="85" s="1"/>
  <c r="J113" i="73" a="1"/>
  <c r="J113" i="73" s="1"/>
  <c r="J61" i="85" s="1"/>
  <c r="Q111" i="72" a="1"/>
  <c r="Q111" i="72" s="1"/>
  <c r="Q45" i="85" s="1"/>
  <c r="J114" i="73" a="1"/>
  <c r="J114" i="73" s="1"/>
  <c r="J62" i="85" s="1"/>
  <c r="V113" i="72" a="1"/>
  <c r="V113" i="72" s="1"/>
  <c r="V47" i="85" s="1"/>
  <c r="J115" i="73" a="1"/>
  <c r="J115" i="73" s="1"/>
  <c r="J65" i="85" s="1"/>
  <c r="V112" i="72" a="1"/>
  <c r="V112" i="72" s="1"/>
  <c r="V46" i="85" s="1"/>
  <c r="U64" i="85"/>
  <c r="V77" i="85"/>
  <c r="P112" i="73" a="1"/>
  <c r="P112" i="73" s="1"/>
  <c r="P60" i="85" s="1"/>
  <c r="P77" i="85"/>
  <c r="Q110" i="72" a="1"/>
  <c r="Q110" i="72" s="1"/>
  <c r="Q44" i="85" s="1"/>
  <c r="P79" i="85"/>
  <c r="J112" i="72" a="1"/>
  <c r="J112" i="72" s="1"/>
  <c r="J46" i="85" s="1"/>
  <c r="J112" i="73" a="1"/>
  <c r="J112" i="73" s="1"/>
  <c r="J60" i="85" s="1"/>
  <c r="V117" i="72" a="1"/>
  <c r="V117" i="72" s="1"/>
  <c r="S114" i="81" a="1"/>
  <c r="S114" i="81" s="1"/>
  <c r="S34" i="85" s="1"/>
  <c r="V116" i="72" a="1"/>
  <c r="V116" i="72" s="1"/>
  <c r="J117" i="73" a="1"/>
  <c r="J117" i="73" s="1"/>
  <c r="V114" i="72" a="1"/>
  <c r="V114" i="72" s="1"/>
  <c r="V48" i="85" s="1"/>
  <c r="V111" i="72" a="1"/>
  <c r="V111" i="72" s="1"/>
  <c r="V45" i="85" s="1"/>
  <c r="P116" i="73" a="1"/>
  <c r="P116" i="73" s="1"/>
  <c r="J115" i="72" a="1"/>
  <c r="J115" i="72" s="1"/>
  <c r="J51" i="85" s="1"/>
  <c r="P56" i="85"/>
  <c r="S110" i="81" a="1"/>
  <c r="S110" i="81" s="1"/>
  <c r="S30" i="85" s="1"/>
  <c r="Q78" i="85"/>
  <c r="R113" i="81" a="1"/>
  <c r="R113" i="81" s="1"/>
  <c r="R33" i="85" s="1"/>
  <c r="Q114" i="81" a="1"/>
  <c r="Q114" i="81" s="1"/>
  <c r="Q34" i="85" s="1"/>
  <c r="Q115" i="81" a="1"/>
  <c r="Q115" i="81" s="1"/>
  <c r="Q35" i="85" s="1"/>
  <c r="Q79" i="85"/>
  <c r="Q111" i="81" a="1"/>
  <c r="Q111" i="81" s="1"/>
  <c r="Q31" i="85" s="1"/>
  <c r="Q112" i="81" a="1"/>
  <c r="Q112" i="81" s="1"/>
  <c r="Q32" i="85" s="1"/>
  <c r="R110" i="72" a="1"/>
  <c r="R110" i="72" s="1"/>
  <c r="R44" i="85" s="1"/>
  <c r="V114" i="81" a="1"/>
  <c r="V114" i="81" s="1"/>
  <c r="V34" i="85" s="1"/>
  <c r="V28" i="85"/>
  <c r="Q28" i="85"/>
  <c r="J111" i="72" a="1"/>
  <c r="J111" i="72" s="1"/>
  <c r="J45" i="85" s="1"/>
  <c r="Q117" i="72" a="1"/>
  <c r="Q117" i="72" s="1"/>
  <c r="V112" i="81" a="1"/>
  <c r="V112" i="81" s="1"/>
  <c r="V32" i="85" s="1"/>
  <c r="Q110" i="81" a="1"/>
  <c r="Q110" i="81" s="1"/>
  <c r="Q30" i="85" s="1"/>
  <c r="R116" i="81" a="1"/>
  <c r="R116" i="81" s="1"/>
  <c r="J117" i="72" a="1"/>
  <c r="J117" i="72" s="1"/>
  <c r="R114" i="81" a="1"/>
  <c r="R114" i="81" s="1"/>
  <c r="R34" i="85" s="1"/>
  <c r="P115" i="73" a="1"/>
  <c r="P115" i="73" s="1"/>
  <c r="P65" i="85" s="1"/>
  <c r="J114" i="72" a="1"/>
  <c r="J114" i="72" s="1"/>
  <c r="J48" i="85" s="1"/>
  <c r="J116" i="72" a="1"/>
  <c r="J116" i="72" s="1"/>
  <c r="R111" i="72" a="1"/>
  <c r="R111" i="72" s="1"/>
  <c r="R45" i="85" s="1"/>
  <c r="R28" i="85"/>
  <c r="P111" i="73" a="1"/>
  <c r="P111" i="73" s="1"/>
  <c r="P59" i="85" s="1"/>
  <c r="R112" i="81" a="1"/>
  <c r="R112" i="81" s="1"/>
  <c r="R32" i="85" s="1"/>
  <c r="J113" i="72" a="1"/>
  <c r="J113" i="72" s="1"/>
  <c r="J47" i="85" s="1"/>
  <c r="R114" i="72" a="1"/>
  <c r="R114" i="72" s="1"/>
  <c r="R48" i="85" s="1"/>
  <c r="V113" i="81" a="1"/>
  <c r="V113" i="81" s="1"/>
  <c r="V33" i="85" s="1"/>
  <c r="R110" i="81" a="1"/>
  <c r="R110" i="81" s="1"/>
  <c r="R30" i="85" s="1"/>
  <c r="P116" i="72" a="1"/>
  <c r="P116" i="72" s="1"/>
  <c r="P113" i="73" a="1"/>
  <c r="P113" i="73" s="1"/>
  <c r="P61" i="85" s="1"/>
  <c r="P113" i="72" a="1"/>
  <c r="P113" i="72" s="1"/>
  <c r="P47" i="85" s="1"/>
  <c r="V110" i="81" a="1"/>
  <c r="V110" i="81" s="1"/>
  <c r="V30" i="85" s="1"/>
  <c r="R115" i="81" a="1"/>
  <c r="R115" i="81" s="1"/>
  <c r="R35" i="85" s="1"/>
  <c r="R117" i="81" a="1"/>
  <c r="R117" i="81" s="1"/>
  <c r="J110" i="72" a="1"/>
  <c r="J110" i="72" s="1"/>
  <c r="J44" i="85" s="1"/>
  <c r="R112" i="72" a="1"/>
  <c r="R112" i="72" s="1"/>
  <c r="R46" i="85" s="1"/>
  <c r="P114" i="73" a="1"/>
  <c r="P114" i="73" s="1"/>
  <c r="P62" i="85" s="1"/>
  <c r="P110" i="73" a="1"/>
  <c r="P110" i="73" s="1"/>
  <c r="P58" i="85" s="1"/>
  <c r="V116" i="81" a="1"/>
  <c r="V116" i="81" s="1"/>
  <c r="Q117" i="81" a="1"/>
  <c r="Q117" i="81" s="1"/>
  <c r="P37" i="85"/>
  <c r="P36" i="85"/>
  <c r="Q63" i="85"/>
  <c r="P115" i="72" a="1"/>
  <c r="P115" i="72" s="1"/>
  <c r="P49" i="85" s="1"/>
  <c r="S42" i="85"/>
  <c r="S116" i="72" a="1"/>
  <c r="S116" i="72" s="1"/>
  <c r="S110" i="72" a="1"/>
  <c r="S110" i="72" s="1"/>
  <c r="S44" i="85" s="1"/>
  <c r="S113" i="72" a="1"/>
  <c r="S113" i="72" s="1"/>
  <c r="S47" i="85" s="1"/>
  <c r="S114" i="72" a="1"/>
  <c r="S114" i="72" s="1"/>
  <c r="S48" i="85" s="1"/>
  <c r="S111" i="72" a="1"/>
  <c r="S111" i="72" s="1"/>
  <c r="S45" i="85" s="1"/>
  <c r="S112" i="72" a="1"/>
  <c r="S112" i="72" s="1"/>
  <c r="S46" i="85" s="1"/>
  <c r="S115" i="72" a="1"/>
  <c r="S115" i="72" s="1"/>
  <c r="S117" i="72" a="1"/>
  <c r="S117" i="72" s="1"/>
  <c r="Q65" i="85"/>
  <c r="F65" i="75" a="1"/>
  <c r="F65" i="75" s="1"/>
  <c r="I12" i="33" s="1"/>
  <c r="P117" i="72" a="1"/>
  <c r="P117" i="72" s="1"/>
  <c r="N113" i="82" a="1"/>
  <c r="N113" i="82" s="1"/>
  <c r="N75" i="85" s="1"/>
  <c r="N114" i="82" a="1"/>
  <c r="N114" i="82" s="1"/>
  <c r="N76" i="85" s="1"/>
  <c r="N112" i="82" a="1"/>
  <c r="N112" i="82" s="1"/>
  <c r="N74" i="85" s="1"/>
  <c r="N111" i="82" a="1"/>
  <c r="N111" i="82" s="1"/>
  <c r="N73" i="85" s="1"/>
  <c r="N110" i="82" a="1"/>
  <c r="N110" i="82" s="1"/>
  <c r="N72" i="85" s="1"/>
  <c r="N115" i="82" a="1"/>
  <c r="N115" i="82" s="1"/>
  <c r="N70" i="85"/>
  <c r="N116" i="82" a="1"/>
  <c r="N116" i="82" s="1"/>
  <c r="N117" i="82" a="1"/>
  <c r="N117" i="82" s="1"/>
  <c r="T112" i="81" a="1"/>
  <c r="T112" i="81" s="1"/>
  <c r="T32" i="85" s="1"/>
  <c r="T113" i="81" a="1"/>
  <c r="T113" i="81" s="1"/>
  <c r="T33" i="85" s="1"/>
  <c r="T117" i="81" a="1"/>
  <c r="T117" i="81" s="1"/>
  <c r="T111" i="81" a="1"/>
  <c r="T111" i="81" s="1"/>
  <c r="T31" i="85" s="1"/>
  <c r="T28" i="85"/>
  <c r="T114" i="81" a="1"/>
  <c r="T114" i="81" s="1"/>
  <c r="T34" i="85" s="1"/>
  <c r="T110" i="81" a="1"/>
  <c r="T110" i="81" s="1"/>
  <c r="T30" i="85" s="1"/>
  <c r="T116" i="81" a="1"/>
  <c r="T116" i="81" s="1"/>
  <c r="T115" i="81" a="1"/>
  <c r="T115" i="81" s="1"/>
  <c r="T111" i="72" a="1"/>
  <c r="T111" i="72" s="1"/>
  <c r="T45" i="85" s="1"/>
  <c r="T110" i="72" a="1"/>
  <c r="T110" i="72" s="1"/>
  <c r="T44" i="85" s="1"/>
  <c r="T115" i="72" a="1"/>
  <c r="T115" i="72" s="1"/>
  <c r="T116" i="72" a="1"/>
  <c r="T116" i="72" s="1"/>
  <c r="T42" i="85"/>
  <c r="T117" i="72" a="1"/>
  <c r="T117" i="72" s="1"/>
  <c r="T112" i="72" a="1"/>
  <c r="T112" i="72" s="1"/>
  <c r="T46" i="85" s="1"/>
  <c r="T113" i="72" a="1"/>
  <c r="T113" i="72" s="1"/>
  <c r="T47" i="85" s="1"/>
  <c r="T114" i="72" a="1"/>
  <c r="T114" i="72" s="1"/>
  <c r="T48" i="85" s="1"/>
  <c r="F62" i="75"/>
  <c r="F67" i="75" s="1"/>
  <c r="H12" i="33" s="1"/>
  <c r="S110" i="73" a="1"/>
  <c r="S110" i="73" s="1"/>
  <c r="S58" i="85" s="1"/>
  <c r="S111" i="73" a="1"/>
  <c r="S111" i="73" s="1"/>
  <c r="S59" i="85" s="1"/>
  <c r="S113" i="73" a="1"/>
  <c r="S113" i="73" s="1"/>
  <c r="S61" i="85" s="1"/>
  <c r="S56" i="85"/>
  <c r="S115" i="73" a="1"/>
  <c r="S115" i="73" s="1"/>
  <c r="S112" i="73" a="1"/>
  <c r="S112" i="73" s="1"/>
  <c r="S60" i="85" s="1"/>
  <c r="S117" i="73" a="1"/>
  <c r="S117" i="73" s="1"/>
  <c r="S116" i="73" a="1"/>
  <c r="S116" i="73" s="1"/>
  <c r="S114" i="73" a="1"/>
  <c r="S114" i="73" s="1"/>
  <c r="S62" i="85" s="1"/>
  <c r="P42" i="85"/>
  <c r="P111" i="81" a="1"/>
  <c r="P111" i="81" s="1"/>
  <c r="P31" i="85" s="1"/>
  <c r="P111" i="72" a="1"/>
  <c r="P111" i="72" s="1"/>
  <c r="P45" i="85" s="1"/>
  <c r="P112" i="81" a="1"/>
  <c r="P112" i="81" s="1"/>
  <c r="P32" i="85" s="1"/>
  <c r="O114" i="82" a="1"/>
  <c r="O114" i="82" s="1"/>
  <c r="O76" i="85" s="1"/>
  <c r="O110" i="82" a="1"/>
  <c r="O110" i="82" s="1"/>
  <c r="O72" i="85" s="1"/>
  <c r="O116" i="82" a="1"/>
  <c r="O116" i="82" s="1"/>
  <c r="O115" i="82" a="1"/>
  <c r="O115" i="82" s="1"/>
  <c r="O112" i="82" a="1"/>
  <c r="O112" i="82" s="1"/>
  <c r="O74" i="85" s="1"/>
  <c r="O113" i="82" a="1"/>
  <c r="O113" i="82" s="1"/>
  <c r="O75" i="85" s="1"/>
  <c r="O111" i="82" a="1"/>
  <c r="O111" i="82" s="1"/>
  <c r="O73" i="85" s="1"/>
  <c r="O117" i="82" a="1"/>
  <c r="O117" i="82" s="1"/>
  <c r="O70" i="85"/>
  <c r="T115" i="82" a="1"/>
  <c r="T115" i="82" s="1"/>
  <c r="T111" i="82" a="1"/>
  <c r="T111" i="82" s="1"/>
  <c r="T73" i="85" s="1"/>
  <c r="T114" i="82" a="1"/>
  <c r="T114" i="82" s="1"/>
  <c r="T76" i="85" s="1"/>
  <c r="T112" i="82" a="1"/>
  <c r="T112" i="82" s="1"/>
  <c r="T74" i="85" s="1"/>
  <c r="T110" i="82" a="1"/>
  <c r="T110" i="82" s="1"/>
  <c r="T72" i="85" s="1"/>
  <c r="T116" i="82" a="1"/>
  <c r="T116" i="82" s="1"/>
  <c r="T113" i="82" a="1"/>
  <c r="T113" i="82" s="1"/>
  <c r="T75" i="85" s="1"/>
  <c r="T117" i="82" a="1"/>
  <c r="T117" i="82" s="1"/>
  <c r="T70" i="85"/>
  <c r="O115" i="72" a="1"/>
  <c r="O115" i="72" s="1"/>
  <c r="O116" i="72" a="1"/>
  <c r="O116" i="72" s="1"/>
  <c r="O110" i="72" a="1"/>
  <c r="O110" i="72" s="1"/>
  <c r="O44" i="85" s="1"/>
  <c r="O42" i="85"/>
  <c r="O112" i="72" a="1"/>
  <c r="O112" i="72" s="1"/>
  <c r="O46" i="85" s="1"/>
  <c r="O111" i="72" a="1"/>
  <c r="O111" i="72" s="1"/>
  <c r="O45" i="85" s="1"/>
  <c r="O114" i="72" a="1"/>
  <c r="O114" i="72" s="1"/>
  <c r="O48" i="85" s="1"/>
  <c r="O117" i="72" a="1"/>
  <c r="O117" i="72" s="1"/>
  <c r="O113" i="72" a="1"/>
  <c r="O113" i="72" s="1"/>
  <c r="O47" i="85" s="1"/>
  <c r="M36" i="85"/>
  <c r="K114" i="82" a="1"/>
  <c r="K114" i="82" s="1"/>
  <c r="K76" i="85" s="1"/>
  <c r="K111" i="82" a="1"/>
  <c r="K111" i="82" s="1"/>
  <c r="K73" i="85" s="1"/>
  <c r="K117" i="82" a="1"/>
  <c r="K117" i="82" s="1"/>
  <c r="K113" i="82" a="1"/>
  <c r="K113" i="82" s="1"/>
  <c r="K75" i="85" s="1"/>
  <c r="K110" i="82" a="1"/>
  <c r="K110" i="82" s="1"/>
  <c r="K72" i="85" s="1"/>
  <c r="K115" i="82" a="1"/>
  <c r="K115" i="82" s="1"/>
  <c r="K116" i="82" a="1"/>
  <c r="K116" i="82" s="1"/>
  <c r="K70" i="85"/>
  <c r="K112" i="82" a="1"/>
  <c r="K112" i="82" s="1"/>
  <c r="K74" i="85" s="1"/>
  <c r="P114" i="72" a="1"/>
  <c r="P114" i="72" s="1"/>
  <c r="P48" i="85" s="1"/>
  <c r="P112" i="72" a="1"/>
  <c r="P112" i="72" s="1"/>
  <c r="P46" i="85" s="1"/>
  <c r="N114" i="73" a="1"/>
  <c r="N114" i="73" s="1"/>
  <c r="N62" i="85" s="1"/>
  <c r="N117" i="73" a="1"/>
  <c r="N117" i="73" s="1"/>
  <c r="N111" i="73" a="1"/>
  <c r="N111" i="73" s="1"/>
  <c r="N59" i="85" s="1"/>
  <c r="N115" i="73" a="1"/>
  <c r="N115" i="73" s="1"/>
  <c r="N112" i="73" a="1"/>
  <c r="N112" i="73" s="1"/>
  <c r="N60" i="85" s="1"/>
  <c r="N56" i="85"/>
  <c r="N113" i="73" a="1"/>
  <c r="N113" i="73" s="1"/>
  <c r="N61" i="85" s="1"/>
  <c r="N110" i="73" a="1"/>
  <c r="N110" i="73" s="1"/>
  <c r="N58" i="85" s="1"/>
  <c r="N116" i="73" a="1"/>
  <c r="N116" i="73" s="1"/>
  <c r="P114" i="81" a="1"/>
  <c r="P114" i="81" s="1"/>
  <c r="P34" i="85" s="1"/>
  <c r="M42" i="85"/>
  <c r="M116" i="72" a="1"/>
  <c r="M116" i="72" s="1"/>
  <c r="M112" i="72" a="1"/>
  <c r="M112" i="72" s="1"/>
  <c r="M46" i="85" s="1"/>
  <c r="M114" i="72" a="1"/>
  <c r="M114" i="72" s="1"/>
  <c r="M48" i="85" s="1"/>
  <c r="M113" i="72" a="1"/>
  <c r="M113" i="72" s="1"/>
  <c r="M47" i="85" s="1"/>
  <c r="M111" i="72" a="1"/>
  <c r="M111" i="72" s="1"/>
  <c r="M45" i="85" s="1"/>
  <c r="M115" i="72" a="1"/>
  <c r="M115" i="72" s="1"/>
  <c r="M117" i="72" a="1"/>
  <c r="M117" i="72" s="1"/>
  <c r="M110" i="72" a="1"/>
  <c r="M110" i="72" s="1"/>
  <c r="M44" i="85" s="1"/>
  <c r="P110" i="81" a="1"/>
  <c r="P110" i="81" s="1"/>
  <c r="P30" i="85" s="1"/>
  <c r="K63" i="85"/>
  <c r="M37" i="85"/>
  <c r="M56" i="85"/>
  <c r="M112" i="73" a="1"/>
  <c r="M112" i="73" s="1"/>
  <c r="M60" i="85" s="1"/>
  <c r="M110" i="73" a="1"/>
  <c r="M110" i="73" s="1"/>
  <c r="M58" i="85" s="1"/>
  <c r="M114" i="73" a="1"/>
  <c r="M114" i="73" s="1"/>
  <c r="M62" i="85" s="1"/>
  <c r="M111" i="73" a="1"/>
  <c r="M111" i="73" s="1"/>
  <c r="M59" i="85" s="1"/>
  <c r="M115" i="73" a="1"/>
  <c r="M115" i="73" s="1"/>
  <c r="M116" i="73" a="1"/>
  <c r="M116" i="73" s="1"/>
  <c r="M113" i="73" a="1"/>
  <c r="M113" i="73" s="1"/>
  <c r="M61" i="85" s="1"/>
  <c r="M117" i="73" a="1"/>
  <c r="M117" i="73" s="1"/>
  <c r="S77" i="85"/>
  <c r="S78" i="85"/>
  <c r="N51" i="85"/>
  <c r="N49" i="85"/>
  <c r="O63" i="85"/>
  <c r="I114" i="82" a="1"/>
  <c r="I114" i="82" s="1"/>
  <c r="I76" i="85" s="1"/>
  <c r="I113" i="82" a="1"/>
  <c r="I113" i="82" s="1"/>
  <c r="I75" i="85" s="1"/>
  <c r="I70" i="85"/>
  <c r="I111" i="82" a="1"/>
  <c r="I111" i="82" s="1"/>
  <c r="I73" i="85" s="1"/>
  <c r="I110" i="82" a="1"/>
  <c r="I110" i="82" s="1"/>
  <c r="I72" i="85" s="1"/>
  <c r="I112" i="82" a="1"/>
  <c r="I112" i="82" s="1"/>
  <c r="I74" i="85" s="1"/>
  <c r="I116" i="82" a="1"/>
  <c r="I116" i="82" s="1"/>
  <c r="I117" i="82" a="1"/>
  <c r="I117" i="82" s="1"/>
  <c r="I115" i="82" a="1"/>
  <c r="I115" i="82" s="1"/>
  <c r="I50" i="75"/>
  <c r="F48" i="75"/>
  <c r="F53" i="75" s="1"/>
  <c r="H11" i="33" s="1"/>
  <c r="I110" i="81" a="1"/>
  <c r="I110" i="81" s="1"/>
  <c r="I30" i="85" s="1"/>
  <c r="I114" i="81" a="1"/>
  <c r="I114" i="81" s="1"/>
  <c r="I34" i="85" s="1"/>
  <c r="I116" i="81" a="1"/>
  <c r="I116" i="81" s="1"/>
  <c r="I112" i="81" a="1"/>
  <c r="I112" i="81" s="1"/>
  <c r="I32" i="85" s="1"/>
  <c r="I28" i="85"/>
  <c r="I113" i="81" a="1"/>
  <c r="I113" i="81" s="1"/>
  <c r="I33" i="85" s="1"/>
  <c r="I117" i="81" a="1"/>
  <c r="I117" i="81" s="1"/>
  <c r="I115" i="81" a="1"/>
  <c r="I115" i="81" s="1"/>
  <c r="I111" i="81" a="1"/>
  <c r="I111" i="81" s="1"/>
  <c r="I31" i="85" s="1"/>
  <c r="I42" i="85"/>
  <c r="I117" i="72" a="1"/>
  <c r="I117" i="72" s="1"/>
  <c r="I116" i="72" a="1"/>
  <c r="I116" i="72" s="1"/>
  <c r="I114" i="72" a="1"/>
  <c r="I114" i="72" s="1"/>
  <c r="I48" i="85" s="1"/>
  <c r="I110" i="72" a="1"/>
  <c r="I110" i="72" s="1"/>
  <c r="I44" i="85" s="1"/>
  <c r="I115" i="72" a="1"/>
  <c r="I115" i="72" s="1"/>
  <c r="I112" i="72" a="1"/>
  <c r="I112" i="72" s="1"/>
  <c r="I46" i="85" s="1"/>
  <c r="I111" i="72" a="1"/>
  <c r="I111" i="72" s="1"/>
  <c r="I45" i="85" s="1"/>
  <c r="I113" i="72" a="1"/>
  <c r="I113" i="72" s="1"/>
  <c r="I47" i="85" s="1"/>
  <c r="O64" i="85"/>
  <c r="I78" i="75"/>
  <c r="F79" i="75" s="1" a="1"/>
  <c r="F79" i="75" s="1"/>
  <c r="I13" i="33" s="1"/>
  <c r="F76" i="75"/>
  <c r="F81" i="75" s="1"/>
  <c r="H13" i="33" s="1"/>
  <c r="I36" i="75"/>
  <c r="F37" i="75" s="1" a="1"/>
  <c r="F37" i="75" s="1"/>
  <c r="I10" i="33" s="1"/>
  <c r="F34" i="75" a="1"/>
  <c r="F34" i="75" s="1"/>
  <c r="F39" i="75" s="1"/>
  <c r="H10" i="33" s="1"/>
  <c r="W64" i="85"/>
  <c r="W63" i="85"/>
  <c r="I64" i="85"/>
  <c r="I63" i="85"/>
  <c r="I65" i="85"/>
  <c r="L79" i="85" l="1"/>
  <c r="L78" i="85"/>
  <c r="L65" i="85"/>
  <c r="L63" i="85"/>
  <c r="M78" i="85"/>
  <c r="M79" i="85"/>
  <c r="O35" i="85"/>
  <c r="O37" i="85"/>
  <c r="U77" i="85"/>
  <c r="K36" i="85"/>
  <c r="K35" i="85"/>
  <c r="U79" i="85"/>
  <c r="L50" i="85"/>
  <c r="Q51" i="85"/>
  <c r="R63" i="85"/>
  <c r="K49" i="85"/>
  <c r="L51" i="85"/>
  <c r="R64" i="85"/>
  <c r="K51" i="85"/>
  <c r="U37" i="85"/>
  <c r="U36" i="85"/>
  <c r="V51" i="85"/>
  <c r="S37" i="85"/>
  <c r="S36" i="85"/>
  <c r="V50" i="85"/>
  <c r="Q37" i="85"/>
  <c r="Q36" i="85"/>
  <c r="J63" i="85"/>
  <c r="Q50" i="85"/>
  <c r="J64" i="85"/>
  <c r="V37" i="85"/>
  <c r="V35" i="85"/>
  <c r="J50" i="85"/>
  <c r="J49" i="85"/>
  <c r="F58" i="85"/>
  <c r="F91" i="85" s="1"/>
  <c r="I40" i="33" s="1"/>
  <c r="F62" i="85"/>
  <c r="F60" i="85"/>
  <c r="F93" i="85" s="1"/>
  <c r="I42" i="33" s="1"/>
  <c r="F61" i="85"/>
  <c r="F94" i="85" s="1"/>
  <c r="I43" i="33" s="1"/>
  <c r="R36" i="85"/>
  <c r="R37" i="85"/>
  <c r="P63" i="85"/>
  <c r="P64" i="85"/>
  <c r="F28" i="85"/>
  <c r="D90" i="85" s="1"/>
  <c r="G39" i="33" s="1"/>
  <c r="F56" i="85"/>
  <c r="F90" i="85" s="1"/>
  <c r="I39" i="33" s="1"/>
  <c r="F34" i="85"/>
  <c r="D95" i="85" s="1"/>
  <c r="G44" i="33" s="1"/>
  <c r="P51" i="85"/>
  <c r="F59" i="85"/>
  <c r="F92" i="85" s="1"/>
  <c r="I41" i="33" s="1"/>
  <c r="P50" i="85"/>
  <c r="F47" i="85"/>
  <c r="E94" i="85" s="1"/>
  <c r="H43" i="33" s="1"/>
  <c r="F33" i="85"/>
  <c r="D94" i="85" s="1"/>
  <c r="F31" i="85"/>
  <c r="D92" i="85" s="1"/>
  <c r="G41" i="33" s="1"/>
  <c r="N65" i="85"/>
  <c r="N63" i="85"/>
  <c r="N64" i="85"/>
  <c r="T49" i="85"/>
  <c r="T51" i="85"/>
  <c r="T50" i="85"/>
  <c r="K77" i="85"/>
  <c r="K79" i="85"/>
  <c r="K78" i="85"/>
  <c r="F32" i="85"/>
  <c r="D93" i="85" s="1"/>
  <c r="G42" i="33" s="1"/>
  <c r="F30" i="85"/>
  <c r="D91" i="85" s="1"/>
  <c r="S50" i="85"/>
  <c r="S49" i="85"/>
  <c r="S51" i="85"/>
  <c r="S64" i="85"/>
  <c r="S63" i="85"/>
  <c r="S65" i="85"/>
  <c r="F46" i="85"/>
  <c r="E93" i="85" s="1"/>
  <c r="H42" i="33" s="1"/>
  <c r="T78" i="85"/>
  <c r="T77" i="85"/>
  <c r="T79" i="85"/>
  <c r="F74" i="85"/>
  <c r="G93" i="85" s="1"/>
  <c r="J42" i="33" s="1"/>
  <c r="M51" i="85"/>
  <c r="M49" i="85"/>
  <c r="M50" i="85"/>
  <c r="F45" i="85"/>
  <c r="E92" i="85" s="1"/>
  <c r="H41" i="33" s="1"/>
  <c r="F44" i="85"/>
  <c r="E91" i="85" s="1"/>
  <c r="H40" i="33" s="1"/>
  <c r="F72" i="85"/>
  <c r="G91" i="85" s="1"/>
  <c r="J40" i="33" s="1"/>
  <c r="T36" i="85"/>
  <c r="T35" i="85"/>
  <c r="T37" i="85"/>
  <c r="F73" i="85"/>
  <c r="G92" i="85" s="1"/>
  <c r="J41" i="33" s="1"/>
  <c r="F70" i="85"/>
  <c r="G90" i="85" s="1"/>
  <c r="J39" i="33" s="1"/>
  <c r="F75" i="85"/>
  <c r="G94" i="85" s="1"/>
  <c r="J43" i="33" s="1"/>
  <c r="O49" i="85"/>
  <c r="O51" i="85"/>
  <c r="O50" i="85"/>
  <c r="F48" i="85"/>
  <c r="E95" i="85" s="1"/>
  <c r="H44" i="33" s="1"/>
  <c r="M64" i="85"/>
  <c r="M65" i="85"/>
  <c r="M63" i="85"/>
  <c r="F42" i="85"/>
  <c r="E90" i="85" s="1"/>
  <c r="H39" i="33" s="1"/>
  <c r="F76" i="85"/>
  <c r="O79" i="85"/>
  <c r="O78" i="85"/>
  <c r="O77" i="85"/>
  <c r="N79" i="85"/>
  <c r="N78" i="85"/>
  <c r="N77" i="85"/>
  <c r="F51" i="75" a="1"/>
  <c r="F51" i="75" s="1"/>
  <c r="I11" i="33" s="1"/>
  <c r="G18" i="33" s="1"/>
  <c r="I40" i="85"/>
  <c r="I51" i="85"/>
  <c r="I50" i="85"/>
  <c r="I49" i="85"/>
  <c r="I79" i="85"/>
  <c r="I77" i="85"/>
  <c r="I78" i="85"/>
  <c r="I36" i="85"/>
  <c r="I37" i="85"/>
  <c r="I35" i="85"/>
  <c r="I94" i="85" l="1"/>
  <c r="K94" i="85" s="1"/>
  <c r="L43" i="33" s="1"/>
  <c r="D18" i="33"/>
  <c r="C18" i="33"/>
  <c r="C26" i="33" s="1"/>
  <c r="H31" i="33" s="1"/>
  <c r="I91" i="85"/>
  <c r="K91" i="85" s="1"/>
  <c r="L40" i="33" s="1"/>
  <c r="G95" i="85"/>
  <c r="J44" i="33" s="1"/>
  <c r="F95" i="85"/>
  <c r="I44" i="33" s="1"/>
  <c r="G43" i="33"/>
  <c r="I90" i="85"/>
  <c r="K90" i="85" s="1"/>
  <c r="L39" i="33" s="1"/>
  <c r="F63" i="85"/>
  <c r="I45" i="33" s="1"/>
  <c r="F64" i="85"/>
  <c r="F65" i="85"/>
  <c r="F49" i="85"/>
  <c r="F51" i="85"/>
  <c r="I92" i="85"/>
  <c r="K92" i="85" s="1"/>
  <c r="L41" i="33" s="1"/>
  <c r="G40" i="33"/>
  <c r="F37" i="85"/>
  <c r="I93" i="85"/>
  <c r="K93" i="85" s="1"/>
  <c r="L42" i="33" s="1"/>
  <c r="F50" i="85"/>
  <c r="F77" i="85"/>
  <c r="J45" i="33" s="1"/>
  <c r="F35" i="85"/>
  <c r="F36" i="85"/>
  <c r="F78" i="85"/>
  <c r="F79" i="85"/>
  <c r="J30" i="33" l="1"/>
  <c r="F30" i="33"/>
  <c r="H30" i="33"/>
  <c r="I30" i="33"/>
  <c r="G30" i="33"/>
  <c r="A91" i="75"/>
  <c r="I91" i="75" s="1" a="1"/>
  <c r="I91" i="75" s="1"/>
  <c r="F31" i="33"/>
  <c r="J31" i="33"/>
  <c r="I31" i="33"/>
  <c r="G31" i="33"/>
  <c r="I95" i="85"/>
  <c r="K95" i="85" s="1"/>
  <c r="L44" i="33" s="1"/>
  <c r="L30" i="33" l="1"/>
  <c r="AE91" i="75" a="1"/>
  <c r="AE91" i="75" s="1"/>
  <c r="T91" i="75" a="1"/>
  <c r="T91" i="75" s="1"/>
  <c r="H91" i="75"/>
  <c r="AA91" i="75" a="1"/>
  <c r="AA91" i="75" s="1"/>
  <c r="L91" i="75" a="1"/>
  <c r="L91" i="75" s="1"/>
  <c r="P91" i="75" a="1"/>
  <c r="P91" i="75" s="1"/>
  <c r="S91" i="75" a="1"/>
  <c r="S91" i="75" s="1"/>
  <c r="Y91" i="75" a="1"/>
  <c r="Y91" i="75" s="1"/>
  <c r="Z91" i="75" a="1"/>
  <c r="Z91" i="75" s="1"/>
  <c r="W91" i="75" a="1"/>
  <c r="W91" i="75" s="1"/>
  <c r="AD91" i="75" a="1"/>
  <c r="AD91" i="75" s="1"/>
  <c r="AF91" i="75" a="1"/>
  <c r="AF91" i="75" s="1"/>
  <c r="L31" i="33"/>
  <c r="Q91" i="75" a="1"/>
  <c r="Q91" i="75" s="1"/>
  <c r="J91" i="75" a="1"/>
  <c r="J91" i="75" s="1"/>
  <c r="R91" i="75" a="1"/>
  <c r="R91" i="75" s="1"/>
  <c r="AC91" i="75" a="1"/>
  <c r="AC91" i="75" s="1"/>
  <c r="V91" i="75" a="1"/>
  <c r="V91" i="75" s="1"/>
  <c r="K91" i="75" a="1"/>
  <c r="K91" i="75" s="1"/>
  <c r="AG91" i="75" a="1"/>
  <c r="AG91" i="75" s="1"/>
  <c r="U91" i="75" a="1"/>
  <c r="U91" i="75" s="1"/>
  <c r="X91" i="75" a="1"/>
  <c r="X91" i="75" s="1"/>
  <c r="M91" i="75" a="1"/>
  <c r="M91" i="75" s="1"/>
  <c r="AB91" i="75" a="1"/>
  <c r="AB91" i="75" s="1"/>
  <c r="N91" i="75" a="1"/>
  <c r="N91" i="75" s="1"/>
  <c r="O91" i="75" a="1"/>
  <c r="O91" i="7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<sst xmlns="http://schemas.openxmlformats.org/spreadsheetml/2006/main" count="1274" uniqueCount="313">
  <si>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</si>
  <si>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</si>
  <si>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</si>
  <si>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</si>
  <si>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</si>
  <si>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</si>
  <si>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</si>
  <si>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</si>
  <si>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</si>
  <si>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</si>
  <si>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</si>
  <si>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</si>
  <si>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</si>
  <si>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</si>
  <si>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</si>
  <si>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</si>
  <si>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</si>
  <si>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</si>
  <si>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</si>
  <si>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</si>
  <si>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</si>
  <si>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</si>
  <si>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</si>
  <si>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</si>
  <si>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</si>
  <si>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</si>
  <si>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</si>
  <si>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</si>
  <si>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</si>
  <si>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</si>
  <si>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</si>
  <si>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</si>
  <si>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</si>
  <si>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</si>
  <si>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</si>
  <si>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</si>
  <si>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</si>
  <si>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</si>
  <si>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</si>
  <si>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</si>
  <si>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</si>
  <si>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</si>
  <si>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</si>
  <si>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</si>
  <si>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</si>
  <si>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</si>
  <si>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</si>
  <si>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</si>
  <si>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</si>
  <si>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</si>
  <si>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</si>
  <si>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</si>
  <si>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</si>
  <si>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</si>
  <si>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</si>
  <si>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</si>
  <si>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</si>
  <si>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</si>
  <si>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</si>
  <si>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</si>
  <si>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</si>
  <si>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</si>
  <si>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</si>
  <si>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</si>
  <si>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</si>
  <si>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</si>
  <si>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</si>
  <si>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</si>
  <si>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</si>
  <si>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</si>
  <si>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</si>
  <si>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</si>
  <si>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</si>
  <si>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</si>
  <si>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</si>
  <si>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</si>
  <si>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</si>
  <si>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</si>
  <si>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</si>
  <si>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</si>
  <si>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</si>
  <si>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</si>
  <si>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</si>
  <si>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</si>
  <si>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</si>
  <si>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</si>
  <si>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</si>
  <si>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</si>
  <si>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</si>
  <si>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</si>
  <si>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</si>
  <si>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</si>
  <si>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</si>
  <si>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</si>
  <si>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</si>
  <si>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</si>
  <si>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</si>
  <si>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</si>
  <si>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</si>
  <si>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</si>
  <si>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</si>
  <si>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</si>
  <si>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</si>
  <si>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</si>
  <si>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</si>
  <si>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</si>
  <si>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</si>
  <si>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</si>
  <si>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</si>
  <si>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</si>
  <si>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</si>
  <si>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</si>
  <si>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</si>
  <si>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</si>
  <si>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</si>
  <si>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</si>
  <si>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</si>
  <si>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</si>
  <si>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</si>
  <si>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</si>
  <si>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</si>
  <si>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</si>
  <si>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</si>
  <si>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</si>
  <si>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</si>
  <si>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</si>
  <si>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</si>
  <si>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</si>
  <si>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</si>
  <si>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</si>
  <si>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</si>
  <si>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</si>
  <si>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</si>
  <si>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</si>
  <si>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</si>
  <si>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</si>
  <si>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</si>
  <si>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</si>
  <si>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</si>
  <si>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</si>
  <si>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</si>
  <si>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</si>
  <si>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</si>
  <si>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</si>
  <si>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</si>
  <si>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</si>
  <si>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</si>
  <si>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</si>
  <si>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</si>
  <si>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</si>
  <si>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</si>
  <si>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</si>
  <si>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</si>
  <si>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</si>
  <si>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</si>
  <si>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</si>
  <si>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</si>
  <si>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</si>
  <si>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</si>
  <si>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</si>
  <si>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</si>
  <si>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</si>
  <si>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</si>
  <si>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</si>
  <si>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Major failure (replace)</t>
  </si>
  <si>
    <t>Minor failure (repair)</t>
  </si>
  <si>
    <t>Premium for failure</t>
  </si>
  <si>
    <t>Total risk cost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</si>
  <si>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</si>
  <si>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</si>
  <si>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</si>
  <si>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</si>
  <si>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</si>
  <si>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</si>
  <si>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</si>
  <si>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</si>
  <si>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</si>
  <si>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</si>
  <si>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</si>
  <si>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</si>
  <si>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</si>
  <si>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</si>
  <si>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</si>
  <si>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</si>
  <si>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</si>
  <si>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</si>
  <si>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</si>
  <si>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</si>
  <si>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</si>
  <si>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</si>
  <si>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</si>
  <si>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</si>
  <si>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</si>
  <si>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</si>
  <si>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</si>
  <si>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</si>
  <si>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</si>
  <si>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</si>
  <si>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</si>
  <si>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</si>
  <si>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</si>
  <si>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</si>
  <si>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</si>
  <si>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</si>
  <si>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</si>
  <si>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</si>
  <si>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</si>
  <si>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</si>
  <si>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</si>
  <si>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</si>
  <si>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</si>
  <si>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</si>
  <si>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</si>
  <si>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</si>
  <si>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</si>
  <si>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</si>
  <si>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</si>
  <si>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</si>
  <si>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</si>
  <si>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</si>
  <si>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</si>
  <si>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</si>
  <si>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</si>
  <si>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</si>
  <si>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</si>
  <si>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</si>
  <si>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</si>
  <si>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</si>
  <si>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</si>
  <si>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</si>
  <si>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</si>
  <si>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</si>
  <si>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</si>
  <si>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</si>
  <si>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</si>
  <si>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</si>
  <si>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</si>
  <si>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</si>
  <si>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</si>
  <si>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</si>
  <si>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</si>
  <si>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RISKS</t>
  </si>
  <si>
    <t>Number of switches</t>
  </si>
  <si>
    <t>Outages</t>
  </si>
  <si>
    <t>Average historical energy not served</t>
  </si>
  <si>
    <t>Planned</t>
  </si>
  <si>
    <t>MWh/year</t>
  </si>
  <si>
    <t>Unplanned</t>
  </si>
  <si>
    <t>Numvber of switch zones</t>
  </si>
  <si>
    <t>VCR discount for planned outage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</si>
  <si>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</si>
  <si>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</si>
  <si>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</si>
  <si>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</si>
  <si>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</si>
  <si>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</si>
  <si>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</si>
  <si>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</si>
  <si>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</si>
  <si>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</si>
  <si>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</si>
  <si>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</si>
  <si>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</si>
  <si>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</si>
  <si>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</si>
  <si>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</si>
  <si>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</si>
  <si>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</si>
  <si>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</si>
  <si>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Unplanned outages</t>
  </si>
  <si>
    <t>Value of lost load</t>
  </si>
  <si>
    <t>Planned outages</t>
  </si>
  <si>
    <t>Value of lost load - asset failure</t>
  </si>
  <si>
    <t>Assumes failures are returned to service, not replaced</t>
  </si>
  <si>
    <t>Energy per hour per switching zone</t>
  </si>
  <si>
    <t>Forecast asset failures</t>
  </si>
  <si>
    <t>Replacement duration</t>
  </si>
  <si>
    <t>Safety risk</t>
  </si>
  <si>
    <t>Value of lost load - replacing CROed switches</t>
  </si>
  <si>
    <t>Number</t>
  </si>
  <si>
    <t>Bunding</t>
  </si>
  <si>
    <t>Number of switches replaced pa</t>
  </si>
  <si>
    <t>Remaining switches</t>
  </si>
  <si>
    <t>CROd switches in service</t>
  </si>
  <si>
    <t>Weighted average PoF</t>
  </si>
  <si>
    <t>WORKINGS - COSTS</t>
  </si>
  <si>
    <t>Weighted average unit rate</t>
  </si>
  <si>
    <t>Program duration</t>
  </si>
  <si>
    <t>Asset failure</t>
  </si>
  <si>
    <t>Outage for planned program</t>
  </si>
  <si>
    <t>Safety (moderate)</t>
  </si>
  <si>
    <t>Safety (minor)</t>
  </si>
  <si>
    <t>Weighted average per failure</t>
  </si>
  <si>
    <t>% of total switch zones</t>
  </si>
  <si>
    <t>Option 1</t>
  </si>
  <si>
    <t>Risk summary</t>
  </si>
  <si>
    <t>Value of lost load - unable to switch</t>
  </si>
  <si>
    <t>Value of unserved energy</t>
  </si>
  <si>
    <t>Value of unserved energy (discounted VCR)</t>
  </si>
  <si>
    <t>VCR for planned outage</t>
  </si>
  <si>
    <t>Total value of unserved energy</t>
  </si>
  <si>
    <t>Replacement of CRO inoperable RMUs</t>
  </si>
  <si>
    <t>Failures</t>
  </si>
  <si>
    <t>Program duration (years)</t>
  </si>
  <si>
    <t>Program duration flag</t>
  </si>
  <si>
    <t>Total CROd switches replaced</t>
  </si>
  <si>
    <t>Number of CRO switches at 30 June 2026</t>
  </si>
  <si>
    <t>Recplacement of CRO inoperable RMUs</t>
  </si>
  <si>
    <t>Replace all CRO inoperatble RMUs over 1 year</t>
  </si>
  <si>
    <t>Replace all CRO inoperatble RMUs over 5 years</t>
  </si>
  <si>
    <t>Replace all CRO inoperatble RMUs over 10 years</t>
  </si>
  <si>
    <t>Replace all CRO inoperatble RMUs over 15 years</t>
  </si>
  <si>
    <t>RMUs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</si>
</sst>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0.0%"/>
    <numFmt numFmtId="197" formatCode="&quot;$&quot;\ 0000"/>
  </numFmts>
  <fonts count="100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0"/>
      <color rgb="FFFFFFFF"/>
      <name val="Calibri"/>
      <family val="2"/>
      <scheme val="minor"/>
    </font>
    <font>
      <i/>
      <sz val="10"/>
      <color theme="1"/>
      <name val="Verdana"/>
      <family val="2"/>
    </font>
    <font>
      <sz val="8"/>
      <color theme="1" tint="0.499984740745262"/>
      <name val="Calibri"/>
      <family val="2"/>
      <scheme val="minor"/>
    </font>
    <font>
      <i/>
      <sz val="10"/>
      <color theme="1" tint="0.499984740745262"/>
      <name val="Verdana"/>
      <family val="2"/>
    </font>
    <font>
      <i/>
      <sz val="8"/>
      <color theme="1" tint="0.499984740745262"/>
      <name val="Verdana"/>
      <family val="2"/>
    </font>
    <font>
      <i/>
      <sz val="10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2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9" fillId="9" borderId="0" applyNumberFormat="0">
      <alignment horizontal="center"/>
    </xf>
    <xf numFmtId="170" fontId="22" fillId="0" borderId="8" applyNumberFormat="0" applyProtection="0">
      <alignment horizontal="right"/>
    </xf>
    <xf numFmtId="10" fontId="28" fillId="2" borderId="0" applyNumberFormat="0" applyAlignment="0" applyProtection="0"/>
    <xf numFmtId="10" fontId="48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4" applyNumberFormat="0" applyProtection="0">
      <alignment horizontal="left" vertical="center" indent="1"/>
    </xf>
    <xf numFmtId="4" fontId="93" fillId="17" borderId="14" applyNumberFormat="0" applyProtection="0">
      <alignment horizontal="left" vertical="center" indent="1"/>
    </xf>
    <xf numFmtId="4" fontId="93" fillId="0" borderId="14" applyNumberFormat="0" applyProtection="0">
      <alignment horizontal="right" vertical="center"/>
    </xf>
  </cellStyleXfs>
  <cellXfs count="376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1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3" fillId="0" borderId="0" xfId="8" applyFont="1" applyFill="1" applyBorder="1"/>
    <xf numFmtId="0" fontId="24" fillId="0" borderId="0" xfId="0" applyFont="1"/>
    <xf numFmtId="166" fontId="26" fillId="8" borderId="0" xfId="16" applyFont="1" applyFill="1"/>
    <xf numFmtId="0" fontId="15" fillId="0" borderId="0" xfId="18" applyAlignment="1">
      <alignment horizontal="left"/>
    </xf>
    <xf numFmtId="0" fontId="28" fillId="2" borderId="0" xfId="0" applyFont="1" applyFill="1"/>
    <xf numFmtId="0" fontId="17" fillId="0" borderId="0" xfId="0" applyFont="1"/>
    <xf numFmtId="166" fontId="26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5" fillId="11" borderId="0" xfId="18" applyFont="1" applyFill="1" applyAlignment="1">
      <alignment vertical="center"/>
    </xf>
    <xf numFmtId="166" fontId="32" fillId="10" borderId="0" xfId="16" applyFont="1" applyFill="1"/>
    <xf numFmtId="166" fontId="33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2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8" fillId="2" borderId="8" xfId="18" applyNumberFormat="1" applyFont="1" applyFill="1" applyBorder="1" applyAlignment="1">
      <alignment horizontal="right" vertical="center"/>
    </xf>
    <xf numFmtId="0" fontId="35" fillId="0" borderId="0" xfId="8" applyFont="1" applyFill="1"/>
    <xf numFmtId="0" fontId="36" fillId="0" borderId="0" xfId="18" applyFont="1"/>
    <xf numFmtId="0" fontId="35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8" fillId="2" borderId="0" xfId="18" quotePrefix="1" applyNumberFormat="1" applyFont="1" applyFill="1" applyAlignment="1">
      <alignment horizontal="center"/>
    </xf>
    <xf numFmtId="166" fontId="39" fillId="0" borderId="0" xfId="18" applyNumberFormat="1" applyFont="1" applyAlignment="1">
      <alignment horizontal="left"/>
    </xf>
    <xf numFmtId="0" fontId="17" fillId="0" borderId="0" xfId="18" applyFont="1" applyBorder="1"/>
    <xf numFmtId="10" fontId="28" fillId="2" borderId="0" xfId="23" applyNumberFormat="1"/>
    <xf numFmtId="0" fontId="22" fillId="0" borderId="0" xfId="18" applyFont="1" applyBorder="1"/>
    <xf numFmtId="171" fontId="34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1" fillId="0" borderId="7" xfId="18" quotePrefix="1" applyFont="1" applyBorder="1" applyAlignment="1">
      <alignment horizontal="left"/>
    </xf>
    <xf numFmtId="14" fontId="38" fillId="2" borderId="7" xfId="23" applyNumberFormat="1" applyFont="1" applyBorder="1"/>
    <xf numFmtId="166" fontId="26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1" fillId="0" borderId="7" xfId="18" applyNumberFormat="1" applyFont="1" applyBorder="1" applyAlignment="1">
      <alignment horizontal="left" vertical="center"/>
    </xf>
    <xf numFmtId="0" fontId="22" fillId="0" borderId="0" xfId="18" applyFont="1" applyAlignment="1">
      <alignment horizontal="left"/>
    </xf>
    <xf numFmtId="167" fontId="31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2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3" fillId="10" borderId="0" xfId="16" applyFont="1" applyFill="1"/>
    <xf numFmtId="0" fontId="28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8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6" fillId="0" borderId="0" xfId="0" applyFont="1" applyAlignment="1">
      <alignment horizontal="right"/>
    </xf>
    <xf numFmtId="0" fontId="44" fillId="0" borderId="0" xfId="0" applyFont="1" applyAlignment="1">
      <alignment horizontal="left" indent="1"/>
    </xf>
    <xf numFmtId="168" fontId="22" fillId="0" borderId="8" xfId="22" applyNumberFormat="1" applyAlignment="1">
      <alignment horizontal="right"/>
    </xf>
    <xf numFmtId="0" fontId="47" fillId="0" borderId="0" xfId="18" quotePrefix="1" applyFont="1" applyAlignment="1">
      <alignment horizontal="left"/>
    </xf>
    <xf numFmtId="168" fontId="45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5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8" fillId="2" borderId="0" xfId="18" applyNumberFormat="1" applyFont="1" applyFill="1" applyBorder="1"/>
    <xf numFmtId="10" fontId="35" fillId="0" borderId="0" xfId="23" applyNumberFormat="1" applyFont="1" applyFill="1"/>
    <xf numFmtId="0" fontId="22" fillId="0" borderId="0" xfId="18" applyFont="1" applyFill="1"/>
    <xf numFmtId="0" fontId="22" fillId="0" borderId="0" xfId="18" applyFont="1" applyFill="1" applyBorder="1"/>
    <xf numFmtId="0" fontId="27" fillId="0" borderId="0" xfId="0" applyFont="1"/>
    <xf numFmtId="166" fontId="32" fillId="10" borderId="0" xfId="16" applyFont="1" applyFill="1" applyAlignment="1">
      <alignment horizontal="center"/>
    </xf>
    <xf numFmtId="0" fontId="24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1" fillId="0" borderId="7" xfId="18" applyFont="1" applyBorder="1"/>
    <xf numFmtId="0" fontId="52" fillId="0" borderId="7" xfId="18" applyFont="1" applyFill="1" applyBorder="1" applyAlignment="1">
      <alignment vertical="center"/>
    </xf>
    <xf numFmtId="0" fontId="37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2" fillId="13" borderId="8" xfId="22" applyNumberFormat="1" applyFill="1" applyAlignment="1">
      <alignment horizontal="left"/>
    </xf>
    <xf numFmtId="0" fontId="53" fillId="0" borderId="0" xfId="18" applyFont="1"/>
    <xf numFmtId="167" fontId="35" fillId="2" borderId="0" xfId="18" applyNumberFormat="1" applyFont="1" applyFill="1" applyBorder="1" applyAlignment="1">
      <alignment horizontal="right" vertical="center"/>
    </xf>
    <xf numFmtId="177" fontId="35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40" fillId="0" borderId="0" xfId="8" applyFont="1" applyFill="1" applyBorder="1"/>
    <xf numFmtId="175" fontId="46" fillId="0" borderId="0" xfId="18" applyNumberFormat="1" applyFont="1" applyFill="1" applyBorder="1" applyAlignment="1">
      <alignment horizontal="right" vertical="center"/>
    </xf>
    <xf numFmtId="0" fontId="40" fillId="0" borderId="0" xfId="8" applyFont="1" applyFill="1" applyBorder="1" applyAlignment="1">
      <alignment horizontal="center"/>
    </xf>
    <xf numFmtId="0" fontId="46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1" fillId="0" borderId="0" xfId="18" applyNumberFormat="1" applyFont="1" applyFill="1" applyBorder="1" applyAlignment="1">
      <alignment horizontal="right" vertical="center"/>
    </xf>
    <xf numFmtId="0" fontId="50" fillId="0" borderId="0" xfId="0" applyFont="1"/>
    <xf numFmtId="167" fontId="31" fillId="0" borderId="0" xfId="18" applyNumberFormat="1" applyFont="1" applyFill="1" applyBorder="1" applyAlignment="1">
      <alignment horizontal="right" vertical="center"/>
    </xf>
    <xf numFmtId="166" fontId="39" fillId="0" borderId="4" xfId="18" applyNumberFormat="1" applyFont="1" applyBorder="1" applyAlignment="1">
      <alignment horizontal="left"/>
    </xf>
    <xf numFmtId="0" fontId="15" fillId="0" borderId="4" xfId="18" applyBorder="1"/>
    <xf numFmtId="0" fontId="52" fillId="0" borderId="0" xfId="18" applyFont="1" applyFill="1" applyBorder="1" applyAlignment="1">
      <alignment vertical="center"/>
    </xf>
    <xf numFmtId="169" fontId="22" fillId="0" borderId="8" xfId="22" applyNumberFormat="1" applyAlignment="1">
      <alignment horizontal="right"/>
    </xf>
    <xf numFmtId="170" fontId="22" fillId="0" borderId="8" xfId="22" applyNumberFormat="1" applyAlignment="1">
      <alignment horizontal="right"/>
    </xf>
    <xf numFmtId="0" fontId="35" fillId="0" borderId="0" xfId="8" applyFont="1"/>
    <xf numFmtId="0" fontId="49" fillId="0" borderId="0" xfId="8" applyFont="1"/>
    <xf numFmtId="0" fontId="40" fillId="0" borderId="0" xfId="8" applyFont="1"/>
    <xf numFmtId="175" fontId="46" fillId="0" borderId="0" xfId="18" applyNumberFormat="1" applyFont="1" applyAlignment="1">
      <alignment horizontal="right" vertical="center"/>
    </xf>
    <xf numFmtId="0" fontId="23" fillId="0" borderId="0" xfId="8" applyFont="1"/>
    <xf numFmtId="167" fontId="16" fillId="0" borderId="0" xfId="18" applyNumberFormat="1" applyFont="1" applyAlignment="1">
      <alignment horizontal="right" vertical="center"/>
    </xf>
    <xf numFmtId="0" fontId="52" fillId="0" borderId="7" xfId="18" applyFont="1" applyBorder="1" applyAlignment="1">
      <alignment vertical="center"/>
    </xf>
    <xf numFmtId="0" fontId="37" fillId="0" borderId="7" xfId="18" applyFont="1" applyBorder="1" applyAlignment="1">
      <alignment vertical="center"/>
    </xf>
    <xf numFmtId="0" fontId="37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3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6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2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8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9" fillId="0" borderId="0" xfId="18" applyNumberFormat="1" applyFont="1" applyBorder="1" applyAlignment="1">
      <alignment horizontal="left"/>
    </xf>
    <xf numFmtId="2" fontId="15" fillId="0" borderId="0" xfId="18" applyNumberFormat="1"/>
    <xf numFmtId="178" fontId="31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5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8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4" fillId="0" borderId="0" xfId="0" applyNumberFormat="1" applyFont="1"/>
    <xf numFmtId="0" fontId="46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5" fillId="2" borderId="0" xfId="18" applyNumberFormat="1" applyFont="1" applyFill="1" applyBorder="1" applyAlignment="1">
      <alignment horizontal="left" vertical="center"/>
    </xf>
    <xf numFmtId="170" fontId="28" fillId="2" borderId="0" xfId="23" applyNumberFormat="1" applyAlignment="1">
      <alignment horizontal="right"/>
    </xf>
    <xf numFmtId="183" fontId="48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2" fillId="0" borderId="8" xfId="22" applyNumberFormat="1">
      <alignment horizontal="right"/>
    </xf>
    <xf numFmtId="9" fontId="28" fillId="2" borderId="0" xfId="23" applyNumberFormat="1" applyAlignment="1">
      <alignment horizontal="right"/>
    </xf>
    <xf numFmtId="175" fontId="46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8" fillId="2" borderId="8" xfId="23" applyNumberFormat="1" applyBorder="1" applyAlignment="1">
      <alignment horizontal="right"/>
    </xf>
    <xf numFmtId="184" fontId="28" fillId="2" borderId="10" xfId="23" applyNumberFormat="1" applyBorder="1" applyAlignment="1">
      <alignment horizontal="right"/>
    </xf>
    <xf numFmtId="170" fontId="28" fillId="2" borderId="0" xfId="23" applyNumberFormat="1" applyBorder="1" applyAlignment="1">
      <alignment horizontal="right"/>
    </xf>
    <xf numFmtId="185" fontId="28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5" fillId="0" borderId="0" xfId="18" applyFont="1"/>
    <xf numFmtId="179" fontId="28" fillId="2" borderId="8" xfId="18" applyNumberFormat="1" applyFont="1" applyFill="1" applyBorder="1" applyAlignment="1">
      <alignment horizontal="right" vertical="center"/>
    </xf>
    <xf numFmtId="187" fontId="28" fillId="2" borderId="8" xfId="18" applyNumberFormat="1" applyFont="1" applyFill="1" applyBorder="1" applyAlignment="1">
      <alignment horizontal="right" vertical="center"/>
    </xf>
    <xf numFmtId="179" fontId="31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6" fillId="0" borderId="11" xfId="0" applyFont="1" applyFill="1" applyBorder="1" applyAlignment="1"/>
    <xf numFmtId="166" fontId="39" fillId="0" borderId="11" xfId="18" applyNumberFormat="1" applyFont="1" applyBorder="1" applyAlignment="1">
      <alignment horizontal="left"/>
    </xf>
    <xf numFmtId="167" fontId="31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5" fillId="15" borderId="0" xfId="18" applyFont="1" applyFill="1" applyAlignment="1">
      <alignment vertical="center"/>
    </xf>
    <xf numFmtId="0" fontId="25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40" fillId="0" borderId="0" xfId="8" applyNumberFormat="1" applyFont="1"/>
    <xf numFmtId="1" fontId="40" fillId="0" borderId="0" xfId="8" applyNumberFormat="1" applyFont="1"/>
    <xf numFmtId="167" fontId="23" fillId="0" borderId="0" xfId="8" applyNumberFormat="1" applyFont="1"/>
    <xf numFmtId="167" fontId="23" fillId="0" borderId="0" xfId="8" applyNumberFormat="1" applyFont="1" applyAlignment="1">
      <alignment horizontal="right"/>
    </xf>
    <xf numFmtId="0" fontId="23" fillId="0" borderId="7" xfId="8" applyFont="1" applyBorder="1" applyAlignment="1">
      <alignment horizontal="left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0" fontId="60" fillId="0" borderId="12" xfId="0" applyFont="1" applyBorder="1"/>
    <xf numFmtId="0" fontId="23" fillId="2" borderId="0" xfId="8" applyFont="1" applyFill="1" applyAlignment="1">
      <alignment horizontal="left"/>
    </xf>
    <xf numFmtId="2" fontId="15" fillId="2" borderId="0" xfId="18" applyNumberFormat="1" applyFill="1"/>
    <xf numFmtId="2" fontId="22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1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7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7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9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7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6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7" fillId="0" borderId="0" xfId="18" applyFont="1" applyBorder="1" applyAlignment="1">
      <alignment vertical="center"/>
    </xf>
    <xf numFmtId="0" fontId="37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5" fillId="0" borderId="0" xfId="18" applyFont="1" applyBorder="1" applyAlignment="1">
      <alignment vertical="center"/>
    </xf>
    <xf numFmtId="189" fontId="15" fillId="0" borderId="0" xfId="18" applyNumberFormat="1" applyFont="1"/>
    <xf numFmtId="171" fontId="40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3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9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4" fillId="0" borderId="0" xfId="0" applyNumberFormat="1" applyFont="1"/>
    <xf numFmtId="0" fontId="15" fillId="0" borderId="7" xfId="0" applyFont="1" applyBorder="1" applyAlignment="1"/>
    <xf numFmtId="0" fontId="28" fillId="2" borderId="0" xfId="18" applyFont="1" applyFill="1"/>
    <xf numFmtId="181" fontId="17" fillId="0" borderId="13" xfId="0" applyNumberFormat="1" applyFont="1" applyFill="1" applyBorder="1" applyAlignment="1">
      <alignment horizontal="left"/>
    </xf>
    <xf numFmtId="191" fontId="31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2" fillId="0" borderId="13" xfId="0" applyNumberFormat="1" applyFont="1" applyFill="1" applyBorder="1" applyAlignment="1">
      <alignment horizontal="center"/>
    </xf>
    <xf numFmtId="188" fontId="24" fillId="0" borderId="7" xfId="18" applyNumberFormat="1" applyFont="1" applyFill="1" applyBorder="1" applyAlignment="1">
      <alignment horizontal="left"/>
    </xf>
    <xf numFmtId="0" fontId="31" fillId="0" borderId="0" xfId="18" applyFont="1" applyAlignment="1">
      <alignment horizontal="left" vertical="top"/>
    </xf>
    <xf numFmtId="0" fontId="38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4" fillId="0" borderId="0" xfId="0" applyNumberFormat="1" applyFont="1"/>
    <xf numFmtId="0" fontId="24" fillId="0" borderId="0" xfId="0" applyFont="1" applyAlignment="1">
      <alignment wrapText="1"/>
    </xf>
    <xf numFmtId="168" fontId="28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8" fillId="2" borderId="0" xfId="24" quotePrefix="1" applyNumberFormat="1" applyFont="1" applyFill="1"/>
    <xf numFmtId="168" fontId="28" fillId="2" borderId="0" xfId="24" applyNumberFormat="1" applyFont="1" applyFill="1" applyAlignment="1">
      <alignment horizontal="right"/>
    </xf>
    <xf numFmtId="0" fontId="28" fillId="2" borderId="0" xfId="24" applyNumberFormat="1" applyFont="1" applyFill="1"/>
    <xf numFmtId="168" fontId="28" fillId="2" borderId="0" xfId="24" applyNumberFormat="1" applyFont="1" applyFill="1" applyAlignment="1">
      <alignment horizontal="right" vertical="center"/>
    </xf>
    <xf numFmtId="170" fontId="28" fillId="2" borderId="0" xfId="24" applyNumberFormat="1" applyFont="1" applyFill="1" applyBorder="1" applyAlignment="1">
      <alignment horizontal="right"/>
    </xf>
    <xf numFmtId="169" fontId="28" fillId="2" borderId="0" xfId="24" applyNumberFormat="1" applyFont="1" applyFill="1" applyBorder="1" applyAlignment="1">
      <alignment horizontal="right"/>
    </xf>
    <xf numFmtId="189" fontId="28" fillId="2" borderId="0" xfId="23" applyNumberFormat="1" applyAlignment="1">
      <alignment horizontal="right"/>
    </xf>
    <xf numFmtId="189" fontId="38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4" fontId="89" fillId="0" borderId="0" xfId="20" applyNumberFormat="1" applyFont="1" applyAlignment="1">
      <alignment horizontal="left"/>
    </xf>
    <xf numFmtId="0" fontId="90" fillId="0" borderId="0" xfId="20" applyFont="1"/>
    <xf numFmtId="195" fontId="91" fillId="10" borderId="0" xfId="16" applyNumberFormat="1" applyFont="1" applyFill="1" applyAlignment="1">
      <alignment horizontal="right"/>
    </xf>
    <xf numFmtId="195" fontId="92" fillId="15" borderId="0" xfId="18" applyNumberFormat="1" applyFont="1" applyFill="1" applyAlignment="1">
      <alignment horizontal="right" vertical="center"/>
    </xf>
    <xf numFmtId="168" fontId="28" fillId="2" borderId="0" xfId="23" applyNumberFormat="1" applyAlignment="1">
      <alignment horizontal="right"/>
    </xf>
    <xf numFmtId="177" fontId="28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8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2" fillId="0" borderId="8" xfId="22" applyNumberFormat="1" applyAlignment="1">
      <alignment horizontal="center"/>
    </xf>
    <xf numFmtId="168" fontId="45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28" fillId="2" borderId="0" xfId="18" applyFont="1" applyFill="1" applyAlignment="1">
      <alignment horizontal="left" vertical="top"/>
    </xf>
    <xf numFmtId="0" fontId="19" fillId="18" borderId="0" xfId="18" applyFont="1" applyFill="1" applyAlignment="1">
      <alignment vertical="center"/>
    </xf>
    <xf numFmtId="167" fontId="28" fillId="2" borderId="0" xfId="23" applyNumberFormat="1"/>
    <xf numFmtId="196" fontId="15" fillId="0" borderId="0" xfId="0" applyNumberFormat="1" applyFont="1"/>
    <xf numFmtId="9" fontId="28" fillId="2" borderId="0" xfId="23" applyNumberFormat="1"/>
    <xf numFmtId="195" fontId="94" fillId="11" borderId="0" xfId="18" applyNumberFormat="1" applyFont="1" applyFill="1" applyAlignment="1">
      <alignment horizontal="right" vertical="center"/>
    </xf>
    <xf numFmtId="0" fontId="19" fillId="0" borderId="0" xfId="18" applyFont="1" applyAlignment="1">
      <alignment horizontal="right" vertical="center"/>
    </xf>
    <xf numFmtId="175" fontId="28" fillId="2" borderId="0" xfId="23" applyNumberFormat="1"/>
    <xf numFmtId="167" fontId="15" fillId="0" borderId="0" xfId="0" applyNumberFormat="1" applyFont="1"/>
    <xf numFmtId="0" fontId="28" fillId="2" borderId="0" xfId="23" applyNumberFormat="1"/>
    <xf numFmtId="0" fontId="15" fillId="0" borderId="4" xfId="0" applyFont="1" applyBorder="1"/>
    <xf numFmtId="167" fontId="22" fillId="0" borderId="8" xfId="22" applyNumberFormat="1">
      <alignment horizontal="right"/>
    </xf>
    <xf numFmtId="0" fontId="95" fillId="0" borderId="0" xfId="0" applyFont="1"/>
    <xf numFmtId="0" fontId="17" fillId="0" borderId="4" xfId="0" applyFont="1" applyBorder="1"/>
    <xf numFmtId="167" fontId="17" fillId="0" borderId="4" xfId="0" applyNumberFormat="1" applyFont="1" applyBorder="1"/>
    <xf numFmtId="185" fontId="28" fillId="2" borderId="17" xfId="23" applyNumberFormat="1" applyFill="1" applyBorder="1" applyAlignment="1">
      <alignment horizontal="left"/>
    </xf>
    <xf numFmtId="185" fontId="28" fillId="2" borderId="18" xfId="23" applyNumberFormat="1" applyFill="1" applyBorder="1" applyAlignment="1">
      <alignment horizontal="left"/>
    </xf>
    <xf numFmtId="185" fontId="28" fillId="2" borderId="19" xfId="23" applyNumberFormat="1" applyFill="1" applyBorder="1" applyAlignment="1">
      <alignment horizontal="left"/>
    </xf>
    <xf numFmtId="9" fontId="15" fillId="0" borderId="0" xfId="0" applyNumberFormat="1" applyFont="1"/>
    <xf numFmtId="167" fontId="17" fillId="0" borderId="0" xfId="0" applyNumberFormat="1" applyFont="1"/>
    <xf numFmtId="197" fontId="15" fillId="0" borderId="0" xfId="0" applyNumberFormat="1" applyFont="1" applyAlignment="1">
      <alignment horizontal="left"/>
    </xf>
    <xf numFmtId="0" fontId="96" fillId="0" borderId="0" xfId="18" applyFont="1"/>
    <xf numFmtId="0" fontId="96" fillId="0" borderId="0" xfId="0" applyFont="1"/>
    <xf numFmtId="0" fontId="46" fillId="0" borderId="0" xfId="0" applyFont="1"/>
    <xf numFmtId="167" fontId="20" fillId="2" borderId="0" xfId="23" applyNumberFormat="1" applyFont="1"/>
    <xf numFmtId="0" fontId="97" fillId="0" borderId="0" xfId="0" applyFont="1"/>
    <xf numFmtId="0" fontId="96" fillId="0" borderId="4" xfId="0" applyFont="1" applyBorder="1"/>
    <xf numFmtId="195" fontId="96" fillId="11" borderId="0" xfId="18" applyNumberFormat="1" applyFont="1" applyFill="1" applyAlignment="1">
      <alignment horizontal="right" vertical="center"/>
    </xf>
    <xf numFmtId="0" fontId="98" fillId="0" borderId="0" xfId="0" applyFont="1"/>
    <xf numFmtId="0" fontId="98" fillId="0" borderId="0" xfId="0" applyFont="1" applyBorder="1"/>
    <xf numFmtId="0" fontId="96" fillId="0" borderId="0" xfId="0" applyFont="1" applyBorder="1"/>
    <xf numFmtId="0" fontId="99" fillId="0" borderId="0" xfId="0" applyFont="1"/>
    <xf numFmtId="167" fontId="99" fillId="0" borderId="0" xfId="0" applyNumberFormat="1" applyFont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8" fillId="2" borderId="15" xfId="23" applyNumberFormat="1" applyFill="1" applyBorder="1" applyAlignment="1">
      <alignment horizontal="left"/>
    </xf>
    <xf numFmtId="185" fontId="28" fillId="2" borderId="4" xfId="23" applyNumberFormat="1" applyFill="1" applyBorder="1" applyAlignment="1">
      <alignment horizontal="left"/>
    </xf>
    <xf numFmtId="185" fontId="28" fillId="2" borderId="16" xfId="23" applyNumberFormat="1" applyFill="1" applyBorder="1" applyAlignment="1">
      <alignment horizontal="left"/>
    </xf>
    <xf numFmtId="185" fontId="28" fillId="2" borderId="17" xfId="23" applyNumberFormat="1" applyFill="1" applyBorder="1" applyAlignment="1">
      <alignment horizontal="left"/>
    </xf>
    <xf numFmtId="185" fontId="28" fillId="2" borderId="18" xfId="23" applyNumberFormat="1" applyFill="1" applyBorder="1" applyAlignment="1">
      <alignment horizontal="left"/>
    </xf>
    <xf numFmtId="185" fontId="28" fillId="2" borderId="19" xfId="23" applyNumberFormat="1" applyFill="1" applyBorder="1" applyAlignment="1">
      <alignment horizontal="left"/>
    </xf>
    <xf numFmtId="0" fontId="38" fillId="2" borderId="0" xfId="0" applyFont="1" applyFill="1" applyAlignment="1">
      <alignment horizontal="left"/>
    </xf>
    <xf numFmtId="0" fontId="28" fillId="2" borderId="0" xfId="24" applyNumberFormat="1" applyFont="1" applyFill="1" applyBorder="1" applyAlignment="1">
      <alignment horizontal="left" vertical="top"/>
    </xf>
    <xf numFmtId="0" fontId="28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1</xdr:row>
      <xdr:rowOff>0</xdr:rowOff>
    </xdr:from>
    <xdr:to>
      <xdr:col>10</xdr:col>
      <xdr:colOff>295275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BAB918-F7EA-4469-9C6D-E6672D95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3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30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/>
  </sheetViews>
  <sheetFormatPr defaultColWidth="0" defaultRowHeight="15" customHeight="1" zeroHeight="1" x14ac:dyDescent="0.35"/>
  <cols>
    <col min="1" max="1" width="8" style="129" customWidth="1"/>
    <col min="2" max="2" width="1.84375" style="129" customWidth="1"/>
    <col min="3" max="3" width="14" style="129" customWidth="1"/>
    <col min="4" max="4" width="8" style="129" customWidth="1"/>
    <col min="5" max="5" width="9.382812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ht="14.5" x14ac:dyDescent="0.35">
      <c r="A1" s="310"/>
    </row>
    <row r="2" spans="1:19" ht="23" x14ac:dyDescent="0.5">
      <c r="A2" s="310"/>
      <c r="C2" s="311" t="s">
        <v>3</v>
      </c>
      <c r="D2" s="312"/>
      <c r="E2" s="312"/>
    </row>
    <row r="3" spans="1:19" ht="15.5" x14ac:dyDescent="0.35">
      <c r="A3" s="310"/>
      <c r="C3" s="313" t="s">
        <v>236</v>
      </c>
      <c r="D3" s="312"/>
      <c r="E3" s="312"/>
    </row>
    <row r="4" spans="1:19" ht="14.5" x14ac:dyDescent="0.35">
      <c r="A4" s="310"/>
      <c r="D4" s="312"/>
      <c r="E4" s="312"/>
    </row>
    <row r="5" spans="1:19" ht="14.5" x14ac:dyDescent="0.35">
      <c r="A5" s="310"/>
      <c r="C5" s="314" t="s">
        <v>312</v>
      </c>
    </row>
    <row r="6" spans="1:19" ht="14.5" x14ac:dyDescent="0.35">
      <c r="A6" s="310"/>
      <c r="C6" s="315" t="s">
        <v>237</v>
      </c>
      <c r="D6" s="328">
        <v>4.13</v>
      </c>
      <c r="E6" s="315"/>
    </row>
    <row r="7" spans="1:19" ht="14.5" x14ac:dyDescent="0.3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ht="14.5" x14ac:dyDescent="0.3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ht="14.5" x14ac:dyDescent="0.3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ht="14.5" x14ac:dyDescent="0.3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ht="14.5" x14ac:dyDescent="0.3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ht="14.5" x14ac:dyDescent="0.3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ht="14.5" x14ac:dyDescent="0.3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ht="14.5" x14ac:dyDescent="0.3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ht="14.5" x14ac:dyDescent="0.3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ht="14.5" x14ac:dyDescent="0.3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ht="14.5" x14ac:dyDescent="0.3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ht="14.5" x14ac:dyDescent="0.3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ht="14.5" x14ac:dyDescent="0.3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ht="14.5" x14ac:dyDescent="0.3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3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ht="14.5" x14ac:dyDescent="0.3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ht="14.5" x14ac:dyDescent="0.3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ht="14.5" x14ac:dyDescent="0.3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ht="14.5" x14ac:dyDescent="0.3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ht="14.5" x14ac:dyDescent="0.3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ht="14.5" x14ac:dyDescent="0.3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ht="14.5" x14ac:dyDescent="0.3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ht="14.5" x14ac:dyDescent="0.3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ht="14.5" x14ac:dyDescent="0.3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ht="14.5" x14ac:dyDescent="0.3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ht="14.5" x14ac:dyDescent="0.3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ht="14.5" x14ac:dyDescent="0.3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ht="14.5" x14ac:dyDescent="0.3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ht="14.5" x14ac:dyDescent="0.3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ht="14.5" x14ac:dyDescent="0.35">
      <c r="A36" s="310"/>
    </row>
    <row r="37" spans="1:19" ht="14.5" x14ac:dyDescent="0.35">
      <c r="A37" s="310"/>
    </row>
    <row r="38" spans="1:19" ht="14.5" x14ac:dyDescent="0.35">
      <c r="A38" s="310"/>
    </row>
    <row r="39" spans="1:19" ht="14.5" x14ac:dyDescent="0.35">
      <c r="A39" s="310"/>
    </row>
    <row r="40" spans="1:19" ht="14.5" x14ac:dyDescent="0.35">
      <c r="A40" s="310">
        <f ca="1">_xlfn.SHEETS()</f>
        <v>14</v>
      </c>
    </row>
    <row r="41" spans="1:19" ht="14.5" x14ac:dyDescent="0.3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3"/>
  <cols>
    <col min="1" max="1" width="1.84375" style="10" customWidth="1"/>
    <col min="2" max="2" width="2" style="10" customWidth="1"/>
    <col min="3" max="3" width="21.61328125" style="10" customWidth="1"/>
    <col min="4" max="4" width="34.61328125" style="10" customWidth="1"/>
    <col min="5" max="5" width="2.4609375" style="10" customWidth="1"/>
    <col min="6" max="9" width="13.15234375" style="10" customWidth="1"/>
    <col min="10" max="10" width="11.765625" style="10" customWidth="1"/>
    <col min="11" max="11" width="1.765625" style="10" customWidth="1"/>
    <col min="12" max="12" width="14.61328125" style="10" customWidth="1"/>
    <col min="13" max="13" width="2.23046875" style="10" customWidth="1"/>
    <col min="14" max="14" width="8.765625" style="10" hidden="1" customWidth="1"/>
    <col min="15" max="16384" width="9" style="10" hidden="1"/>
  </cols>
  <sheetData>
    <row r="1" spans="1:13" s="8" customFormat="1" ht="18.5" x14ac:dyDescent="0.4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5" x14ac:dyDescent="0.45">
      <c r="A2" s="56" t="str">
        <f>proj</f>
        <v>Recplacement of CRO inoperable RMUs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5" x14ac:dyDescent="0.45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5" x14ac:dyDescent="0.45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4.5" x14ac:dyDescent="0.35">
      <c r="A5" s="19" t="s">
        <v>155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3" x14ac:dyDescent="0.3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3" x14ac:dyDescent="0.3">
      <c r="G7" s="152" t="s">
        <v>183</v>
      </c>
      <c r="H7" s="152" t="s">
        <v>184</v>
      </c>
      <c r="I7" s="152" t="s">
        <v>117</v>
      </c>
    </row>
    <row r="8" spans="1:13" s="7" customFormat="1" ht="13" x14ac:dyDescent="0.3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3.5" x14ac:dyDescent="0.3">
      <c r="C9" s="91" t="str" cm="1">
        <f t="array" ref="C9:C13">options</f>
        <v>Option 1 (base case)</v>
      </c>
      <c r="D9" s="363" t="str">
        <f>INDEX(Assumptions!$E$14:$E$18, MATCH(C9, Assumptions!$C$14:$C$18,0))</f>
        <v>No change to existing practices</v>
      </c>
      <c r="E9" s="364"/>
      <c r="F9" s="364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3">
      <c r="C10" s="91" t="str">
        <v>Option 2</v>
      </c>
      <c r="D10" s="365" t="str">
        <f>INDEX(Assumptions!$E$14:$E$18, MATCH(C10, Assumptions!$C$14:$C$18,0))</f>
        <v>Replace all CRO inoperatble RMUs over 1 year</v>
      </c>
      <c r="E10" s="366"/>
      <c r="F10" s="366"/>
      <c r="G10" s="103">
        <f>IF(Data!$C10, "", INDEX(Consol!$F$15:$F$82, MATCH($C10&amp;G$7, Consol!$D$15:$D$82,0))/mill_conv)</f>
        <v>-21.542397225022491</v>
      </c>
      <c r="H10" s="103">
        <f>IF(Data!$C10, "", INDEX(Consol!$F$15:$F$82, MATCH($C10&amp;H$7, Consol!$D$15:$D$82,0))/mill_conv)</f>
        <v>89.085720464340923</v>
      </c>
      <c r="I10" s="103">
        <f>IF(Data!$C10, "", INDEX(Consol!$F$15:$F$82, MATCH($C10&amp;I$7, Consol!$D$15:$D$82,0))/mill_conv)</f>
        <v>67.543323239318426</v>
      </c>
    </row>
    <row r="11" spans="1:13" s="7" customFormat="1" ht="13.5" x14ac:dyDescent="0.3">
      <c r="C11" s="91" t="str">
        <v>Option 3</v>
      </c>
      <c r="D11" s="365" t="str">
        <f>INDEX(Assumptions!$E$14:$E$18, MATCH(C11, Assumptions!$C$14:$C$18,0))</f>
        <v>Replace all CRO inoperatble RMUs over 5 years</v>
      </c>
      <c r="E11" s="366"/>
      <c r="F11" s="366"/>
      <c r="G11" s="103">
        <f>IF(Data!$C11, "", INDEX(Consol!$F$15:$F$82, MATCH($C11&amp;G$7, Consol!$D$15:$D$82,0))/mill_conv)</f>
        <v>-18.584940004751097</v>
      </c>
      <c r="H11" s="103">
        <f>IF(Data!$C11, "", INDEX(Consol!$F$15:$F$82, MATCH($C11&amp;H$7, Consol!$D$15:$D$82,0))/mill_conv)</f>
        <v>73.995551526075218</v>
      </c>
      <c r="I11" s="103">
        <f>IF(Data!$C11, "", INDEX(Consol!$F$15:$F$82, MATCH($C11&amp;I$7, Consol!$D$15:$D$82,0))/mill_conv)</f>
        <v>55.410611521324107</v>
      </c>
    </row>
    <row r="12" spans="1:13" s="7" customFormat="1" ht="13.5" x14ac:dyDescent="0.3">
      <c r="C12" s="91" t="str">
        <v>Option 4</v>
      </c>
      <c r="D12" s="365" t="str">
        <f>INDEX(Assumptions!$E$14:$E$18, MATCH(C12, Assumptions!$C$14:$C$18,0))</f>
        <v>Replace all CRO inoperatble RMUs over 10 years</v>
      </c>
      <c r="E12" s="366"/>
      <c r="F12" s="366"/>
      <c r="G12" s="103">
        <f>IF(Data!$C12, "", INDEX(Consol!$F$15:$F$82, MATCH($C12&amp;G$7, Consol!$D$15:$D$82,0))/mill_conv)</f>
        <v>-15.337051978080066</v>
      </c>
      <c r="H12" s="103">
        <f>IF(Data!$C12, "", INDEX(Consol!$F$15:$F$82, MATCH($C12&amp;H$7, Consol!$D$15:$D$82,0))/mill_conv)</f>
        <v>65.787027632528677</v>
      </c>
      <c r="I12" s="103">
        <f>IF(Data!$C12, "", INDEX(Consol!$F$15:$F$82, MATCH($C12&amp;I$7, Consol!$D$15:$D$82,0))/mill_conv)</f>
        <v>50.449975654448608</v>
      </c>
    </row>
    <row r="13" spans="1:13" s="7" customFormat="1" ht="13.5" x14ac:dyDescent="0.3">
      <c r="C13" s="91" t="str">
        <v>Option 5</v>
      </c>
      <c r="D13" s="365" t="str">
        <f>INDEX(Assumptions!$E$14:$E$18, MATCH(C13, Assumptions!$C$14:$C$18,0))</f>
        <v>Replace all CRO inoperatble RMUs over 15 years</v>
      </c>
      <c r="E13" s="366"/>
      <c r="F13" s="366"/>
      <c r="G13" s="103">
        <f>IF(Data!$C13, "", INDEX(Consol!$F$15:$F$82, MATCH($C13&amp;G$7, Consol!$D$15:$D$82,0))/mill_conv)</f>
        <v>-12.278493501727741</v>
      </c>
      <c r="H13" s="103">
        <f>IF(Data!$C13, "", INDEX(Consol!$F$15:$F$82, MATCH($C13&amp;H$7, Consol!$D$15:$D$82,0))/mill_conv)</f>
        <v>54.749667977766244</v>
      </c>
      <c r="I13" s="103">
        <f>IF(Data!$C13, "", INDEX(Consol!$F$15:$F$82, MATCH($C13&amp;I$7, Consol!$D$15:$D$82,0))/mill_conv)</f>
        <v>42.471174476038492</v>
      </c>
    </row>
    <row r="14" spans="1:13" s="7" customFormat="1" ht="13" x14ac:dyDescent="0.3">
      <c r="C14" s="91"/>
      <c r="D14" s="247"/>
      <c r="E14" s="247"/>
      <c r="F14" s="241"/>
      <c r="H14" s="9"/>
    </row>
    <row r="15" spans="1:13" s="7" customFormat="1" ht="13.5" x14ac:dyDescent="0.3">
      <c r="C15" s="91"/>
      <c r="D15" s="91"/>
      <c r="E15" s="91"/>
      <c r="F15" s="92"/>
      <c r="G15"/>
      <c r="I15" s="9"/>
    </row>
    <row r="16" spans="1:13" s="7" customFormat="1" ht="13.5" x14ac:dyDescent="0.3">
      <c r="G16" s="152" t="s">
        <v>117</v>
      </c>
      <c r="H16"/>
      <c r="J16" s="9"/>
    </row>
    <row r="17" spans="1:13" s="7" customFormat="1" ht="13.5" x14ac:dyDescent="0.3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3.5" x14ac:dyDescent="0.3">
      <c r="C18" s="36" t="str">
        <f>INDEX($C$9:$C$13,MATCH(G18, $I$9:$I$13,0))</f>
        <v>Option 2</v>
      </c>
      <c r="D18" s="362" t="str">
        <f>INDEX($D$9:$D$13,MATCH(G18, $I$9:$I$13,0))</f>
        <v>Replace all CRO inoperatble RMUs over 1 year</v>
      </c>
      <c r="E18" s="362"/>
      <c r="F18" s="362"/>
      <c r="G18" s="104">
        <f>_xlfn.MAXIFS(I9:I13, IF(compliance, Data!$F$9:$F$13, Data!$C$9:$C$13),FALSE)</f>
        <v>67.543323239318426</v>
      </c>
      <c r="H18"/>
    </row>
    <row r="19" spans="1:13" s="7" customFormat="1" ht="13.5" x14ac:dyDescent="0.3">
      <c r="H19"/>
    </row>
    <row r="20" spans="1:13" x14ac:dyDescent="0.3"/>
    <row r="21" spans="1:13" x14ac:dyDescent="0.3"/>
    <row r="22" spans="1:13" x14ac:dyDescent="0.3"/>
    <row r="23" spans="1:13" ht="14.5" x14ac:dyDescent="0.3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3"/>
    <row r="25" spans="1:13" s="8" customFormat="1" ht="13" x14ac:dyDescent="0.3">
      <c r="C25" s="14" t="s">
        <v>28</v>
      </c>
    </row>
    <row r="26" spans="1:13" s="8" customFormat="1" ht="13" x14ac:dyDescent="0.3">
      <c r="C26" s="93" t="str">
        <f>C18</f>
        <v>Option 2</v>
      </c>
    </row>
    <row r="27" spans="1:13" s="8" customFormat="1" ht="13" x14ac:dyDescent="0.3"/>
    <row r="28" spans="1:13" s="8" customFormat="1" ht="13" x14ac:dyDescent="0.3"/>
    <row r="29" spans="1:13" s="8" customFormat="1" ht="13" x14ac:dyDescent="0.3">
      <c r="C29" s="53" t="s">
        <v>29</v>
      </c>
      <c r="D29" s="289">
        <f>output_dollars</f>
        <v>46203</v>
      </c>
      <c r="E29" s="185"/>
      <c r="F29" s="55" t="str">
        <f>Assumptions!K90</f>
        <v>2026-27</v>
      </c>
      <c r="G29" s="55" t="str">
        <f>Assumptions!L90</f>
        <v>2027-28</v>
      </c>
      <c r="H29" s="55" t="str">
        <f>Assumptions!M90</f>
        <v>2028-29</v>
      </c>
      <c r="I29" s="55" t="str">
        <f>Assumptions!N90</f>
        <v>2029-30</v>
      </c>
      <c r="J29" s="55" t="str">
        <f>Assumptions!O90</f>
        <v>2030-31</v>
      </c>
      <c r="L29" s="55" t="s">
        <v>138</v>
      </c>
    </row>
    <row r="30" spans="1:13" s="8" customFormat="1" ht="13" x14ac:dyDescent="0.3">
      <c r="C30" s="4" t="s">
        <v>30</v>
      </c>
      <c r="F30" s="105">
        <f>-INDEX(Consol!$I$15:$Q$82,MATCH($C$26&amp;$C30,Consol!$D$15:$D$82,0), MATCH(F$29, Consol!$I$9:$Q$9,0))/mill_conv</f>
        <v>38.787809154574724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38.787809154574724</v>
      </c>
    </row>
    <row r="31" spans="1:13" s="8" customFormat="1" ht="13" x14ac:dyDescent="0.3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3" x14ac:dyDescent="0.3"/>
    <row r="33" spans="1:13" s="8" customFormat="1" ht="13" x14ac:dyDescent="0.3"/>
    <row r="34" spans="1:13" s="8" customFormat="1" ht="13" x14ac:dyDescent="0.3"/>
    <row r="35" spans="1:13" s="8" customFormat="1" ht="14.5" x14ac:dyDescent="0.35">
      <c r="A35" s="19" t="s">
        <v>212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3" x14ac:dyDescent="0.3"/>
    <row r="37" spans="1:13" s="8" customFormat="1" ht="13" x14ac:dyDescent="0.3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3" x14ac:dyDescent="0.3">
      <c r="C38" s="257" t="s">
        <v>216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214</v>
      </c>
      <c r="M38" s="262"/>
    </row>
    <row r="39" spans="1:13" s="8" customFormat="1" ht="13" x14ac:dyDescent="0.3">
      <c r="C39" s="285" t="str">
        <f>Sensitivity_calcs!B90</f>
        <v>None</v>
      </c>
      <c r="D39" s="265"/>
      <c r="E39" s="265"/>
      <c r="F39" s="286">
        <f>Sensitivity_calcs!C90</f>
        <v>0</v>
      </c>
      <c r="G39" s="286">
        <f>Sensitivity_calcs!D90</f>
        <v>67.543323239318411</v>
      </c>
      <c r="H39" s="286">
        <f>Sensitivity_calcs!E90</f>
        <v>55.4106115213241</v>
      </c>
      <c r="I39" s="286">
        <f>Sensitivity_calcs!F90</f>
        <v>50.4499756544486</v>
      </c>
      <c r="J39" s="286">
        <f>Sensitivity_calcs!G90</f>
        <v>42.471174476038492</v>
      </c>
      <c r="K39" s="256"/>
      <c r="L39" s="288" t="str">
        <f>Sensitivity_calcs!K90</f>
        <v>Option 2</v>
      </c>
      <c r="M39" s="256"/>
    </row>
    <row r="40" spans="1:13" s="8" customFormat="1" ht="13" x14ac:dyDescent="0.3">
      <c r="C40" s="264" t="str">
        <f>Sensitivity_calcs!B91</f>
        <v>Capex 10% higher</v>
      </c>
      <c r="D40" s="264"/>
      <c r="E40" s="264"/>
      <c r="F40" s="278">
        <f>Sensitivity_calcs!C91</f>
        <v>0</v>
      </c>
      <c r="G40" s="273">
        <f>Sensitivity_calcs!D91</f>
        <v>65.389083516816157</v>
      </c>
      <c r="H40" s="273">
        <f>Sensitivity_calcs!E91</f>
        <v>53.552117520848995</v>
      </c>
      <c r="I40" s="273">
        <f>Sensitivity_calcs!F91</f>
        <v>48.916270456640596</v>
      </c>
      <c r="J40" s="273">
        <f>Sensitivity_calcs!G91</f>
        <v>41.243325125865709</v>
      </c>
      <c r="K40" s="256"/>
      <c r="L40" s="281" t="str">
        <f>Sensitivity_calcs!K91</f>
        <v>Option 2</v>
      </c>
      <c r="M40" s="256"/>
    </row>
    <row r="41" spans="1:13" s="8" customFormat="1" ht="13" x14ac:dyDescent="0.3">
      <c r="C41" s="264" t="str">
        <f>Sensitivity_calcs!B92</f>
        <v>Capex 10% lower</v>
      </c>
      <c r="D41" s="264"/>
      <c r="E41" s="264"/>
      <c r="F41" s="279">
        <f>Sensitivity_calcs!C92</f>
        <v>0</v>
      </c>
      <c r="G41" s="274">
        <f>Sensitivity_calcs!D92</f>
        <v>69.697562961820694</v>
      </c>
      <c r="H41" s="274">
        <f>Sensitivity_calcs!E92</f>
        <v>57.26910552179924</v>
      </c>
      <c r="I41" s="274">
        <f>Sensitivity_calcs!F92</f>
        <v>51.983680852256612</v>
      </c>
      <c r="J41" s="274">
        <f>Sensitivity_calcs!G92</f>
        <v>43.699023826211274</v>
      </c>
      <c r="K41" s="256"/>
      <c r="L41" s="281" t="str">
        <f>Sensitivity_calcs!K92</f>
        <v>Option 2</v>
      </c>
      <c r="M41" s="256"/>
    </row>
    <row r="42" spans="1:13" s="8" customFormat="1" ht="13" x14ac:dyDescent="0.3">
      <c r="C42" s="264" t="str">
        <f>Sensitivity_calcs!B93</f>
        <v>Total benefits 10% higher</v>
      </c>
      <c r="D42" s="264"/>
      <c r="E42" s="264"/>
      <c r="F42" s="279">
        <f>Sensitivity_calcs!C93</f>
        <v>0</v>
      </c>
      <c r="G42" s="274">
        <f>Sensitivity_calcs!D93</f>
        <v>76.451895285752499</v>
      </c>
      <c r="H42" s="274">
        <f>Sensitivity_calcs!E93</f>
        <v>62.810166673931619</v>
      </c>
      <c r="I42" s="274">
        <f>Sensitivity_calcs!F93</f>
        <v>57.028678417701471</v>
      </c>
      <c r="J42" s="274">
        <f>Sensitivity_calcs!G93</f>
        <v>47.946141273815115</v>
      </c>
      <c r="K42" s="256"/>
      <c r="L42" s="281" t="str">
        <f>Sensitivity_calcs!K93</f>
        <v>Option 2</v>
      </c>
      <c r="M42" s="256"/>
    </row>
    <row r="43" spans="1:13" s="8" customFormat="1" ht="13" x14ac:dyDescent="0.3">
      <c r="C43" s="264" t="str">
        <f>Sensitivity_calcs!B94</f>
        <v>Total benefits 10% lower</v>
      </c>
      <c r="D43" s="264"/>
      <c r="E43" s="264"/>
      <c r="F43" s="279">
        <f>Sensitivity_calcs!C94</f>
        <v>0</v>
      </c>
      <c r="G43" s="274">
        <f>Sensitivity_calcs!D94</f>
        <v>58.634751192884323</v>
      </c>
      <c r="H43" s="274">
        <f>Sensitivity_calcs!E94</f>
        <v>48.011056368716588</v>
      </c>
      <c r="I43" s="274">
        <f>Sensitivity_calcs!F94</f>
        <v>43.871272891195737</v>
      </c>
      <c r="J43" s="274">
        <f>Sensitivity_calcs!G94</f>
        <v>36.996207678261868</v>
      </c>
      <c r="K43" s="256"/>
      <c r="L43" s="281" t="str">
        <f>Sensitivity_calcs!K94</f>
        <v>Option 2</v>
      </c>
      <c r="M43" s="256"/>
    </row>
    <row r="44" spans="1:13" s="8" customFormat="1" ht="13" x14ac:dyDescent="0.3">
      <c r="C44" s="264" t="str">
        <f>Sensitivity_calcs!B95</f>
        <v>Capex 10% higher &amp; Total benefits 10% lower</v>
      </c>
      <c r="D44" s="264"/>
      <c r="E44" s="264"/>
      <c r="F44" s="279">
        <f>Sensitivity_calcs!C95</f>
        <v>0</v>
      </c>
      <c r="G44" s="274">
        <f>Sensitivity_calcs!D95</f>
        <v>56.480511470382083</v>
      </c>
      <c r="H44" s="274">
        <f>Sensitivity_calcs!E95</f>
        <v>46.152562368241483</v>
      </c>
      <c r="I44" s="274">
        <f>Sensitivity_calcs!F95</f>
        <v>42.33756769338774</v>
      </c>
      <c r="J44" s="274">
        <f>Sensitivity_calcs!G95</f>
        <v>35.7683583280891</v>
      </c>
      <c r="K44" s="256"/>
      <c r="L44" s="281" t="str">
        <f>Sensitivity_calcs!K95</f>
        <v>Option 2</v>
      </c>
      <c r="M44" s="256"/>
    </row>
    <row r="45" spans="1:13" s="8" customFormat="1" ht="13" x14ac:dyDescent="0.3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3" x14ac:dyDescent="0.3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3" x14ac:dyDescent="0.3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3" x14ac:dyDescent="0.3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3" x14ac:dyDescent="0.3">
      <c r="F49" s="263"/>
      <c r="G49" s="105"/>
      <c r="H49" s="105"/>
      <c r="I49" s="105"/>
      <c r="J49" s="105"/>
    </row>
    <row r="50" spans="4:10" s="8" customFormat="1" ht="13" x14ac:dyDescent="0.3">
      <c r="F50" s="263"/>
      <c r="G50" s="263"/>
      <c r="H50" s="263"/>
      <c r="I50" s="263"/>
    </row>
    <row r="51" spans="4:10" s="8" customFormat="1" ht="13" x14ac:dyDescent="0.3"/>
    <row r="52" spans="4:10" s="8" customFormat="1" ht="13" x14ac:dyDescent="0.3"/>
    <row r="53" spans="4:10" s="8" customFormat="1" ht="13" x14ac:dyDescent="0.3">
      <c r="D53" s="244"/>
      <c r="E53" s="244"/>
      <c r="F53" s="244"/>
    </row>
    <row r="54" spans="4:10" s="8" customFormat="1" ht="13" x14ac:dyDescent="0.3">
      <c r="D54" s="244"/>
      <c r="E54" s="244"/>
      <c r="F54" s="244"/>
    </row>
    <row r="55" spans="4:10" s="8" customFormat="1" ht="13" hidden="1" x14ac:dyDescent="0.3">
      <c r="D55" s="244"/>
      <c r="E55" s="244"/>
      <c r="F55" s="244"/>
    </row>
    <row r="56" spans="4:10" s="8" customFormat="1" ht="13" hidden="1" x14ac:dyDescent="0.3"/>
    <row r="57" spans="4:10" s="8" customFormat="1" ht="13" hidden="1" x14ac:dyDescent="0.3"/>
    <row r="58" spans="4:10" s="8" customFormat="1" ht="13" hidden="1" x14ac:dyDescent="0.3"/>
    <row r="59" spans="4:10" s="8" customFormat="1" ht="13" hidden="1" x14ac:dyDescent="0.3"/>
    <row r="60" spans="4:10" s="8" customFormat="1" ht="13" hidden="1" x14ac:dyDescent="0.3"/>
    <row r="61" spans="4:10" s="8" customFormat="1" ht="13" hidden="1" x14ac:dyDescent="0.3"/>
    <row r="62" spans="4:10" s="8" customFormat="1" ht="13" hidden="1" x14ac:dyDescent="0.3"/>
    <row r="63" spans="4:10" s="8" customFormat="1" ht="13" hidden="1" x14ac:dyDescent="0.3"/>
    <row r="64" spans="4:10" s="8" customFormat="1" ht="13" hidden="1" x14ac:dyDescent="0.3"/>
    <row r="65" s="8" customFormat="1" ht="13" hidden="1" x14ac:dyDescent="0.3"/>
    <row r="66" s="8" customFormat="1" ht="13" hidden="1" x14ac:dyDescent="0.3"/>
    <row r="67" s="8" customFormat="1" ht="13" hidden="1" x14ac:dyDescent="0.3"/>
    <row r="68" s="8" customFormat="1" ht="13" hidden="1" x14ac:dyDescent="0.3"/>
    <row r="69" s="8" customFormat="1" ht="13" hidden="1" x14ac:dyDescent="0.3"/>
    <row r="70" s="8" customFormat="1" ht="13" hidden="1" x14ac:dyDescent="0.3"/>
    <row r="71" s="8" customFormat="1" ht="13" hidden="1" x14ac:dyDescent="0.3"/>
    <row r="72" s="8" customFormat="1" ht="13" hidden="1" x14ac:dyDescent="0.3"/>
    <row r="73" s="8" customFormat="1" ht="13" hidden="1" x14ac:dyDescent="0.3"/>
    <row r="74" s="8" customFormat="1" ht="13" hidden="1" x14ac:dyDescent="0.3"/>
    <row r="75" s="8" customFormat="1" ht="13" hidden="1" x14ac:dyDescent="0.3"/>
    <row r="76" s="8" customFormat="1" ht="13" hidden="1" x14ac:dyDescent="0.3"/>
    <row r="77" s="8" customFormat="1" ht="13" hidden="1" x14ac:dyDescent="0.3"/>
    <row r="78" s="8" customFormat="1" ht="13" hidden="1" x14ac:dyDescent="0.3"/>
    <row r="79" s="8" customFormat="1" ht="13" hidden="1" x14ac:dyDescent="0.3"/>
    <row r="80" s="8" customFormat="1" ht="13" hidden="1" x14ac:dyDescent="0.3"/>
    <row r="81" s="8" customFormat="1" ht="13" hidden="1" x14ac:dyDescent="0.3"/>
    <row r="82" s="8" customFormat="1" ht="13" hidden="1" x14ac:dyDescent="0.3"/>
    <row r="83" s="8" customFormat="1" ht="13" hidden="1" x14ac:dyDescent="0.3"/>
    <row r="84" s="8" customFormat="1" ht="13" hidden="1" x14ac:dyDescent="0.3"/>
    <row r="85" s="8" customFormat="1" ht="13" hidden="1" x14ac:dyDescent="0.3"/>
    <row r="86" s="8" customFormat="1" ht="13" hidden="1" x14ac:dyDescent="0.3"/>
    <row r="87" s="8" customFormat="1" ht="13" hidden="1" x14ac:dyDescent="0.3"/>
    <row r="88" s="8" customFormat="1" ht="13" hidden="1" x14ac:dyDescent="0.3"/>
    <row r="89" s="8" customFormat="1" ht="13" hidden="1" x14ac:dyDescent="0.3"/>
    <row r="90" s="8" customFormat="1" ht="13" hidden="1" x14ac:dyDescent="0.3"/>
    <row r="91" s="8" customFormat="1" ht="13" hidden="1" x14ac:dyDescent="0.3"/>
    <row r="92" s="8" customFormat="1" ht="13" hidden="1" x14ac:dyDescent="0.3"/>
    <row r="93" s="8" customFormat="1" ht="13" hidden="1" x14ac:dyDescent="0.3"/>
    <row r="94" s="8" customFormat="1" ht="13" hidden="1" x14ac:dyDescent="0.3"/>
    <row r="95" s="8" customFormat="1" ht="13" hidden="1" x14ac:dyDescent="0.3"/>
    <row r="96" s="8" customFormat="1" ht="13" hidden="1" x14ac:dyDescent="0.3"/>
    <row r="97" s="8" customFormat="1" ht="13" hidden="1" x14ac:dyDescent="0.3"/>
    <row r="98" s="8" customFormat="1" ht="13" hidden="1" x14ac:dyDescent="0.3"/>
    <row r="99" s="8" customFormat="1" ht="13" hidden="1" x14ac:dyDescent="0.3"/>
    <row r="100" s="8" customFormat="1" ht="13" hidden="1" x14ac:dyDescent="0.3"/>
    <row r="101" s="8" customFormat="1" ht="13" hidden="1" x14ac:dyDescent="0.3"/>
    <row r="102" s="8" customFormat="1" ht="13" hidden="1" x14ac:dyDescent="0.3"/>
    <row r="103" s="8" customFormat="1" ht="13" hidden="1" x14ac:dyDescent="0.3"/>
    <row r="104" s="8" customFormat="1" ht="13" hidden="1" x14ac:dyDescent="0.3"/>
    <row r="105" s="8" customFormat="1" ht="13" hidden="1" x14ac:dyDescent="0.3"/>
    <row r="106" s="8" customFormat="1" ht="13" hidden="1" x14ac:dyDescent="0.3"/>
    <row r="107" s="8" customFormat="1" ht="13" hidden="1" x14ac:dyDescent="0.3"/>
    <row r="108" s="8" customFormat="1" ht="13" hidden="1" x14ac:dyDescent="0.3"/>
    <row r="109" s="8" customFormat="1" ht="13" hidden="1" x14ac:dyDescent="0.3"/>
    <row r="110" s="8" customFormat="1" ht="13" hidden="1" x14ac:dyDescent="0.3"/>
    <row r="111" s="8" customFormat="1" ht="13" hidden="1" x14ac:dyDescent="0.3"/>
    <row r="112" s="8" customFormat="1" ht="13" hidden="1" x14ac:dyDescent="0.3"/>
    <row r="113" s="8" customFormat="1" ht="13" hidden="1" x14ac:dyDescent="0.3"/>
    <row r="114" s="8" customFormat="1" ht="13" hidden="1" x14ac:dyDescent="0.3"/>
    <row r="115" s="8" customFormat="1" ht="13" hidden="1" x14ac:dyDescent="0.3"/>
    <row r="116" s="8" customFormat="1" ht="13" hidden="1" x14ac:dyDescent="0.3"/>
    <row r="117" s="8" customFormat="1" ht="13" hidden="1" x14ac:dyDescent="0.3"/>
    <row r="118" s="8" customFormat="1" ht="13" hidden="1" x14ac:dyDescent="0.3"/>
    <row r="119" s="8" customFormat="1" ht="13" hidden="1" x14ac:dyDescent="0.3"/>
    <row r="120" s="8" customFormat="1" ht="13" hidden="1" x14ac:dyDescent="0.3"/>
    <row r="121" s="8" customFormat="1" ht="13" hidden="1" x14ac:dyDescent="0.3"/>
    <row r="122" s="8" customFormat="1" ht="13" hidden="1" x14ac:dyDescent="0.3"/>
    <row r="123" s="8" customFormat="1" ht="13" hidden="1" x14ac:dyDescent="0.3"/>
    <row r="124" s="8" customFormat="1" ht="13" hidden="1" x14ac:dyDescent="0.3"/>
    <row r="125" s="8" customFormat="1" ht="13" hidden="1" x14ac:dyDescent="0.3"/>
    <row r="126" s="8" customFormat="1" ht="13" hidden="1" x14ac:dyDescent="0.3"/>
    <row r="127" s="8" customFormat="1" ht="13" hidden="1" x14ac:dyDescent="0.3"/>
    <row r="128" s="8" customFormat="1" ht="13" hidden="1" x14ac:dyDescent="0.3"/>
    <row r="129" s="8" customFormat="1" ht="13" hidden="1" x14ac:dyDescent="0.3"/>
    <row r="130" s="8" customFormat="1" ht="13" hidden="1" x14ac:dyDescent="0.3"/>
    <row r="131" s="8" customFormat="1" ht="13" hidden="1" x14ac:dyDescent="0.3"/>
    <row r="132" s="8" customFormat="1" ht="13" hidden="1" x14ac:dyDescent="0.3"/>
    <row r="133" s="8" customFormat="1" ht="13" hidden="1" x14ac:dyDescent="0.3"/>
    <row r="134" s="8" customFormat="1" ht="13" hidden="1" x14ac:dyDescent="0.3"/>
    <row r="135" s="8" customFormat="1" ht="13" hidden="1" x14ac:dyDescent="0.3"/>
    <row r="136" s="8" customFormat="1" ht="13" hidden="1" x14ac:dyDescent="0.3"/>
    <row r="137" s="8" customFormat="1" ht="13" hidden="1" x14ac:dyDescent="0.3"/>
    <row r="138" s="8" customFormat="1" ht="13" hidden="1" x14ac:dyDescent="0.3"/>
    <row r="139" s="8" customFormat="1" ht="13" hidden="1" x14ac:dyDescent="0.3"/>
    <row r="140" s="8" customFormat="1" ht="13" hidden="1" x14ac:dyDescent="0.3"/>
    <row r="141" s="8" customFormat="1" ht="13" hidden="1" x14ac:dyDescent="0.3"/>
    <row r="142" s="8" customFormat="1" ht="13" hidden="1" x14ac:dyDescent="0.3"/>
    <row r="143" s="8" customFormat="1" ht="13" hidden="1" x14ac:dyDescent="0.3"/>
    <row r="144" s="8" customFormat="1" ht="13" hidden="1" x14ac:dyDescent="0.3"/>
    <row r="145" s="8" customFormat="1" ht="13" hidden="1" x14ac:dyDescent="0.3"/>
    <row r="146" s="8" customFormat="1" ht="13" hidden="1" x14ac:dyDescent="0.3"/>
    <row r="147" s="8" customFormat="1" ht="13" hidden="1" x14ac:dyDescent="0.3"/>
    <row r="148" s="8" customFormat="1" ht="13" hidden="1" x14ac:dyDescent="0.3"/>
    <row r="149" s="8" customFormat="1" ht="13" hidden="1" x14ac:dyDescent="0.3"/>
    <row r="150" s="8" customFormat="1" ht="13" hidden="1" x14ac:dyDescent="0.3"/>
    <row r="151" s="8" customFormat="1" ht="13" hidden="1" x14ac:dyDescent="0.3"/>
    <row r="152" s="8" customFormat="1" ht="13" hidden="1" x14ac:dyDescent="0.3"/>
    <row r="153" s="8" customFormat="1" ht="13" hidden="1" x14ac:dyDescent="0.3"/>
    <row r="154" s="8" customFormat="1" ht="13" hidden="1" x14ac:dyDescent="0.3"/>
    <row r="155" s="8" customFormat="1" ht="13" hidden="1" x14ac:dyDescent="0.3"/>
    <row r="156" s="8" customFormat="1" ht="13" hidden="1" x14ac:dyDescent="0.3"/>
    <row r="157" s="8" customFormat="1" ht="13" hidden="1" x14ac:dyDescent="0.3"/>
    <row r="158" s="8" customFormat="1" ht="13" hidden="1" x14ac:dyDescent="0.3"/>
    <row r="159" s="8" customFormat="1" ht="13" hidden="1" x14ac:dyDescent="0.3"/>
    <row r="160" s="8" customFormat="1" ht="13" hidden="1" x14ac:dyDescent="0.3"/>
    <row r="161" s="8" customFormat="1" ht="13" hidden="1" x14ac:dyDescent="0.3"/>
    <row r="162" s="8" customFormat="1" ht="13" hidden="1" x14ac:dyDescent="0.3"/>
    <row r="163" s="8" customFormat="1" ht="13" hidden="1" x14ac:dyDescent="0.3"/>
    <row r="164" s="8" customFormat="1" ht="13" hidden="1" x14ac:dyDescent="0.3"/>
    <row r="165" s="8" customFormat="1" ht="13" hidden="1" x14ac:dyDescent="0.3"/>
    <row r="166" s="8" customFormat="1" ht="13" hidden="1" x14ac:dyDescent="0.3"/>
    <row r="167" s="8" customFormat="1" ht="13" hidden="1" x14ac:dyDescent="0.3"/>
    <row r="168" s="8" customFormat="1" ht="13" hidden="1" x14ac:dyDescent="0.3"/>
    <row r="169" s="8" customFormat="1" ht="13" hidden="1" x14ac:dyDescent="0.3"/>
    <row r="170" s="8" customFormat="1" ht="13" hidden="1" x14ac:dyDescent="0.3"/>
    <row r="171" s="8" customFormat="1" ht="13" hidden="1" x14ac:dyDescent="0.3"/>
    <row r="172" s="8" customFormat="1" ht="13" hidden="1" x14ac:dyDescent="0.3"/>
    <row r="173" s="8" customFormat="1" ht="13" hidden="1" x14ac:dyDescent="0.3"/>
    <row r="174" s="8" customFormat="1" ht="13" hidden="1" x14ac:dyDescent="0.3"/>
    <row r="175" s="8" customFormat="1" ht="13" hidden="1" x14ac:dyDescent="0.3"/>
    <row r="176" s="8" customFormat="1" ht="13" hidden="1" x14ac:dyDescent="0.3"/>
    <row r="177" s="8" customFormat="1" ht="13" hidden="1" x14ac:dyDescent="0.3"/>
    <row r="178" s="8" customFormat="1" ht="13" hidden="1" x14ac:dyDescent="0.3"/>
    <row r="179" s="8" customFormat="1" ht="13" hidden="1" x14ac:dyDescent="0.3"/>
    <row r="180" s="8" customFormat="1" ht="13" hidden="1" x14ac:dyDescent="0.3"/>
    <row r="181" s="8" customFormat="1" ht="13" hidden="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3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3" x14ac:dyDescent="0.3"/>
  <cols>
    <col min="1" max="1" width="3.61328125" style="8" customWidth="1"/>
    <col min="2" max="2" width="2.61328125" style="8" customWidth="1"/>
    <col min="3" max="3" width="18.765625" style="8" customWidth="1"/>
    <col min="4" max="4" width="9.23046875" style="8" customWidth="1"/>
    <col min="5" max="5" width="16.3828125" style="8" customWidth="1"/>
    <col min="6" max="6" width="1.15234375" style="8" customWidth="1"/>
    <col min="7" max="7" width="14.765625" style="8" customWidth="1"/>
    <col min="8" max="8" width="12.84375" style="8" customWidth="1"/>
    <col min="9" max="9" width="11.4609375" style="8" customWidth="1"/>
    <col min="10" max="10" width="6.84375" style="8" customWidth="1"/>
    <col min="11" max="16" width="8.15234375" style="8" customWidth="1"/>
    <col min="17" max="19" width="9" style="8"/>
    <col min="20" max="20" width="17.61328125" style="8" customWidth="1"/>
    <col min="21" max="16384" width="9" style="8"/>
  </cols>
  <sheetData>
    <row r="1" spans="1:16" ht="18.5" x14ac:dyDescent="0.4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5" x14ac:dyDescent="0.35">
      <c r="A2" s="56" t="str">
        <f>proj</f>
        <v>Recplacement of CRO inoperable RMUs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4.5" x14ac:dyDescent="0.3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3">
      <c r="M5" s="12"/>
      <c r="N5" s="12"/>
      <c r="O5" s="12"/>
      <c r="P5" s="12"/>
    </row>
    <row r="6" spans="1:16" ht="12.75" customHeight="1" x14ac:dyDescent="0.3">
      <c r="C6" s="14" t="s">
        <v>11</v>
      </c>
      <c r="D6" s="65"/>
      <c r="E6" s="13" t="s">
        <v>3</v>
      </c>
    </row>
    <row r="7" spans="1:16" s="1" customFormat="1" ht="12.75" customHeight="1" x14ac:dyDescent="0.3">
      <c r="M7" s="12"/>
      <c r="N7" s="12"/>
      <c r="O7" s="12"/>
      <c r="P7" s="12"/>
    </row>
    <row r="8" spans="1:16" x14ac:dyDescent="0.3">
      <c r="C8" s="14" t="s">
        <v>12</v>
      </c>
      <c r="D8" s="14"/>
      <c r="E8" s="373" t="s">
        <v>307</v>
      </c>
      <c r="F8" s="373"/>
      <c r="G8" s="373"/>
      <c r="H8" s="373"/>
      <c r="I8" s="1"/>
      <c r="J8" s="1"/>
    </row>
    <row r="9" spans="1:16" x14ac:dyDescent="0.3">
      <c r="C9" s="14"/>
      <c r="D9" s="14"/>
    </row>
    <row r="10" spans="1:16" s="6" customFormat="1" x14ac:dyDescent="0.3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3">
      <c r="I11" s="66"/>
      <c r="J11" s="66"/>
    </row>
    <row r="12" spans="1:16" x14ac:dyDescent="0.3">
      <c r="H12" s="43"/>
      <c r="I12" s="43"/>
      <c r="J12" s="43"/>
    </row>
    <row r="13" spans="1:16" s="72" customFormat="1" ht="13.5" x14ac:dyDescent="0.3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3">
      <c r="C14" s="61" t="str" cm="1">
        <f t="array" ref="C14:C18">options</f>
        <v>Option 1 (base case)</v>
      </c>
      <c r="D14" s="61"/>
      <c r="E14" s="374" t="s">
        <v>58</v>
      </c>
      <c r="F14" s="374"/>
      <c r="G14" s="374"/>
      <c r="H14" s="374"/>
      <c r="I14" s="374"/>
      <c r="J14" s="374"/>
      <c r="K14" s="374"/>
      <c r="L14"/>
    </row>
    <row r="15" spans="1:16" s="1" customFormat="1" ht="12.75" customHeight="1" x14ac:dyDescent="0.3">
      <c r="C15" s="61" t="str">
        <v>Option 2</v>
      </c>
      <c r="D15" s="61"/>
      <c r="E15" s="375" t="s">
        <v>308</v>
      </c>
      <c r="F15" s="375"/>
      <c r="G15" s="375"/>
      <c r="H15" s="375"/>
      <c r="I15" s="375"/>
      <c r="J15" s="375"/>
      <c r="K15" s="375"/>
      <c r="L15"/>
    </row>
    <row r="16" spans="1:16" s="1" customFormat="1" ht="12.75" customHeight="1" x14ac:dyDescent="0.3">
      <c r="C16" s="61" t="str">
        <v>Option 3</v>
      </c>
      <c r="D16" s="61"/>
      <c r="E16" s="375" t="s">
        <v>309</v>
      </c>
      <c r="F16" s="375"/>
      <c r="G16" s="375"/>
      <c r="H16" s="375"/>
      <c r="I16" s="375"/>
      <c r="J16" s="375"/>
      <c r="K16" s="375"/>
      <c r="L16"/>
    </row>
    <row r="17" spans="1:16" s="1" customFormat="1" ht="12.75" customHeight="1" x14ac:dyDescent="0.3">
      <c r="C17" s="61" t="str">
        <v>Option 4</v>
      </c>
      <c r="D17" s="61"/>
      <c r="E17" s="329" t="s">
        <v>310</v>
      </c>
      <c r="F17" s="329"/>
      <c r="G17" s="329"/>
      <c r="H17" s="329"/>
      <c r="I17" s="329"/>
      <c r="J17" s="329"/>
      <c r="K17" s="329"/>
      <c r="L17"/>
    </row>
    <row r="18" spans="1:16" s="1" customFormat="1" ht="12.75" customHeight="1" x14ac:dyDescent="0.3">
      <c r="C18" s="61" t="str">
        <v>Option 5</v>
      </c>
      <c r="D18" s="61"/>
      <c r="E18" s="329" t="s">
        <v>311</v>
      </c>
      <c r="F18" s="329"/>
      <c r="G18" s="329"/>
      <c r="H18" s="329"/>
      <c r="I18" s="329"/>
      <c r="J18" s="329"/>
      <c r="K18" s="329"/>
      <c r="L18"/>
    </row>
    <row r="19" spans="1:16" s="1" customFormat="1" ht="12.75" customHeight="1" x14ac:dyDescent="0.3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3">
      <c r="C20" s="290" t="s">
        <v>219</v>
      </c>
      <c r="D20"/>
      <c r="E20" s="291" t="s">
        <v>222</v>
      </c>
      <c r="F20"/>
      <c r="G20"/>
      <c r="H20"/>
      <c r="I20"/>
      <c r="J20"/>
      <c r="K20"/>
      <c r="L20"/>
      <c r="M20"/>
    </row>
    <row r="21" spans="1:16" s="1" customFormat="1" ht="12.75" customHeight="1" x14ac:dyDescent="0.3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3">
      <c r="C22" s="1" t="s">
        <v>232</v>
      </c>
      <c r="E22" s="296" t="s">
        <v>19</v>
      </c>
      <c r="F22" s="68" t="s">
        <v>65</v>
      </c>
      <c r="J22" s="68"/>
    </row>
    <row r="23" spans="1:16" s="1" customFormat="1" ht="12.75" customHeight="1" x14ac:dyDescent="0.3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5" x14ac:dyDescent="0.35">
      <c r="E24" s="5"/>
      <c r="F24" s="5"/>
      <c r="L24" s="8"/>
    </row>
    <row r="25" spans="1:16" s="1" customFormat="1" ht="14.5" x14ac:dyDescent="0.3">
      <c r="A25" s="18" t="s">
        <v>176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3"/>
    <row r="27" spans="1:16" s="1" customFormat="1" x14ac:dyDescent="0.3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3">
      <c r="C28" s="1" t="s">
        <v>177</v>
      </c>
      <c r="G28" s="302">
        <v>3.5000000000000003E-2</v>
      </c>
      <c r="H28" s="68" t="s">
        <v>66</v>
      </c>
      <c r="J28" s="68"/>
    </row>
    <row r="29" spans="1:16" s="1" customFormat="1" x14ac:dyDescent="0.3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3">
      <c r="J30" s="68"/>
    </row>
    <row r="31" spans="1:16" x14ac:dyDescent="0.3">
      <c r="C31" s="8" t="s">
        <v>190</v>
      </c>
      <c r="G31" s="304">
        <v>20</v>
      </c>
      <c r="H31" s="68" t="s">
        <v>191</v>
      </c>
    </row>
    <row r="32" spans="1:16" s="1" customFormat="1" x14ac:dyDescent="0.3"/>
    <row r="33" spans="1:20" s="1" customFormat="1" x14ac:dyDescent="0.3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3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35">
      <c r="C35" s="1" t="s">
        <v>234</v>
      </c>
      <c r="G35" s="303">
        <v>45107</v>
      </c>
      <c r="H35" s="68"/>
      <c r="J35" s="68"/>
    </row>
    <row r="39" spans="1:20" s="1" customFormat="1" ht="14.5" x14ac:dyDescent="0.3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3">
      <c r="M40" s="12"/>
      <c r="N40" s="12"/>
      <c r="O40" s="12"/>
      <c r="P40" s="12"/>
    </row>
    <row r="41" spans="1:20" s="128" customFormat="1" x14ac:dyDescent="0.3">
      <c r="A41" s="127"/>
      <c r="B41" s="127"/>
      <c r="C41" s="1" t="s">
        <v>239</v>
      </c>
      <c r="D41" s="240" t="s">
        <v>240</v>
      </c>
      <c r="E41" s="324" t="s">
        <v>210</v>
      </c>
      <c r="F41" s="325"/>
      <c r="G41" s="326" t="s">
        <v>209</v>
      </c>
      <c r="H41" s="131">
        <v>43815.486225173103</v>
      </c>
      <c r="I41" s="327" t="s">
        <v>211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ht="13.5" x14ac:dyDescent="0.3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ht="13.5" x14ac:dyDescent="0.3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4.5" x14ac:dyDescent="0.3">
      <c r="A45" s="18" t="s">
        <v>146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3">
      <c r="B48" s="30" t="s">
        <v>168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3">
      <c r="C50" s="8" t="s">
        <v>145</v>
      </c>
      <c r="G50" s="306">
        <v>5400000</v>
      </c>
      <c r="H50" s="69">
        <v>45107</v>
      </c>
    </row>
    <row r="52" spans="3:8" x14ac:dyDescent="0.3">
      <c r="C52" s="8" t="s">
        <v>161</v>
      </c>
      <c r="G52" s="164">
        <v>0</v>
      </c>
      <c r="H52" s="69">
        <f>input_dollars</f>
        <v>45291</v>
      </c>
    </row>
    <row r="54" spans="3:8" x14ac:dyDescent="0.3">
      <c r="C54" s="14" t="str">
        <f>Data!A83</f>
        <v>Disproportionate factors applied to various bushfire and other risk valuations</v>
      </c>
    </row>
    <row r="55" spans="3:8" x14ac:dyDescent="0.3">
      <c r="C55" s="8" t="str">
        <f>Data!B85</f>
        <v>Harm to property from network</v>
      </c>
      <c r="G55" s="304">
        <f>Data!F85</f>
        <v>1</v>
      </c>
    </row>
    <row r="56" spans="3:8" x14ac:dyDescent="0.3">
      <c r="C56" s="8" t="str">
        <f>Data!B86</f>
        <v>Harm to property from bushfire</v>
      </c>
      <c r="G56" s="304">
        <f>Data!F86</f>
        <v>1</v>
      </c>
    </row>
    <row r="57" spans="3:8" x14ac:dyDescent="0.3">
      <c r="C57" s="8" t="str">
        <f>Data!B87</f>
        <v>Harm to environment</v>
      </c>
      <c r="G57" s="304">
        <f>Data!F87</f>
        <v>1</v>
      </c>
    </row>
    <row r="58" spans="3:8" x14ac:dyDescent="0.3">
      <c r="C58" s="8" t="str">
        <f>Data!B88</f>
        <v>Safety - Public trespass</v>
      </c>
      <c r="G58" s="304">
        <f>Data!F88</f>
        <v>1</v>
      </c>
    </row>
    <row r="59" spans="3:8" x14ac:dyDescent="0.3">
      <c r="C59" s="8" t="str">
        <f>Data!B89</f>
        <v>Safety - Single fatality or serious injury ^</v>
      </c>
      <c r="G59" s="304">
        <f>Data!F89</f>
        <v>3</v>
      </c>
    </row>
    <row r="60" spans="3:8" x14ac:dyDescent="0.3">
      <c r="C60" s="8" t="str">
        <f>Data!B90</f>
        <v>Safety from bushfire in HBRA</v>
      </c>
      <c r="G60" s="304">
        <f>Data!F90</f>
        <v>3</v>
      </c>
    </row>
    <row r="61" spans="3:8" x14ac:dyDescent="0.3">
      <c r="C61" s="8" t="str">
        <f>Data!B91</f>
        <v>Safety - Multiple fatality or serious injury ^</v>
      </c>
      <c r="G61" s="304">
        <f>Data!F91</f>
        <v>6</v>
      </c>
    </row>
    <row r="62" spans="3:8" x14ac:dyDescent="0.3">
      <c r="C62" s="8" t="str">
        <f>Data!B92</f>
        <v>Safety from bushfire (REFCL declared areas)</v>
      </c>
      <c r="G62" s="304">
        <f>Data!F92</f>
        <v>6</v>
      </c>
    </row>
    <row r="63" spans="3:8" x14ac:dyDescent="0.3">
      <c r="C63" s="8" t="str">
        <f>Data!B93</f>
        <v>Safety from bushfire (electric line construction areas)</v>
      </c>
      <c r="G63" s="304">
        <f>Data!F93</f>
        <v>10</v>
      </c>
    </row>
    <row r="64" spans="3:8" ht="13.5" x14ac:dyDescent="0.3">
      <c r="E64"/>
      <c r="F64"/>
      <c r="G64"/>
      <c r="H64"/>
    </row>
    <row r="66" spans="2:16" x14ac:dyDescent="0.3">
      <c r="C66" s="82" t="s">
        <v>113</v>
      </c>
    </row>
    <row r="69" spans="2:16" x14ac:dyDescent="0.3">
      <c r="C69" s="53" t="s">
        <v>175</v>
      </c>
      <c r="D69" s="59"/>
      <c r="E69" s="59"/>
      <c r="F69" s="59"/>
      <c r="G69" s="157" t="s">
        <v>68</v>
      </c>
      <c r="H69" s="157" t="s">
        <v>162</v>
      </c>
      <c r="I69" s="157" t="s">
        <v>174</v>
      </c>
      <c r="J69" s="156" t="s">
        <v>178</v>
      </c>
      <c r="K69" s="157"/>
      <c r="L69" s="157"/>
      <c r="M69" s="157"/>
    </row>
    <row r="70" spans="2:16" x14ac:dyDescent="0.3">
      <c r="C70" s="8" t="s">
        <v>163</v>
      </c>
      <c r="G70" s="158">
        <f>G50*INDEX(hy_escalation, MATCH(input_dollars,hy_dates,0))/INDEX(hy_escalation, MATCH(H50,hy_dates,0))</f>
        <v>5607473.5197347086</v>
      </c>
      <c r="H70" s="163">
        <v>1.1363636363636437E-3</v>
      </c>
      <c r="I70" s="165">
        <v>3</v>
      </c>
      <c r="J70" s="367">
        <v>0</v>
      </c>
      <c r="K70" s="368"/>
      <c r="L70" s="368"/>
      <c r="M70" s="369"/>
    </row>
    <row r="71" spans="2:16" x14ac:dyDescent="0.3">
      <c r="C71" s="8" t="s">
        <v>290</v>
      </c>
      <c r="G71" s="158">
        <v>1344753.7770624899</v>
      </c>
      <c r="H71" s="163">
        <v>1.136363636363644E-2</v>
      </c>
      <c r="I71" s="165">
        <v>3</v>
      </c>
      <c r="J71" s="344"/>
      <c r="K71" s="345"/>
      <c r="L71" s="345"/>
      <c r="M71" s="346"/>
    </row>
    <row r="72" spans="2:16" x14ac:dyDescent="0.3">
      <c r="C72" s="8" t="s">
        <v>291</v>
      </c>
      <c r="G72" s="158">
        <v>127274.04252413</v>
      </c>
      <c r="H72" s="162">
        <v>0.11363636363636437</v>
      </c>
      <c r="I72" s="165">
        <v>3</v>
      </c>
      <c r="J72" s="370">
        <v>0</v>
      </c>
      <c r="K72" s="371"/>
      <c r="L72" s="371"/>
      <c r="M72" s="372"/>
    </row>
    <row r="73" spans="2:16" ht="13.5" x14ac:dyDescent="0.3">
      <c r="I73" s="161"/>
      <c r="M73"/>
    </row>
    <row r="74" spans="2:16" x14ac:dyDescent="0.3">
      <c r="G74" s="166"/>
    </row>
    <row r="75" spans="2:16" x14ac:dyDescent="0.3">
      <c r="C75" s="82"/>
    </row>
    <row r="78" spans="2:16" x14ac:dyDescent="0.3">
      <c r="B78" s="30" t="s">
        <v>169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2:16" x14ac:dyDescent="0.3">
      <c r="C79" s="8" t="s">
        <v>164</v>
      </c>
      <c r="G79" s="154">
        <v>0</v>
      </c>
      <c r="H79" s="69">
        <f>input_dollars</f>
        <v>45291</v>
      </c>
    </row>
    <row r="80" spans="2:16" x14ac:dyDescent="0.3">
      <c r="C80" s="8" t="s">
        <v>165</v>
      </c>
      <c r="G80" s="154">
        <v>0</v>
      </c>
      <c r="H80" s="69">
        <f>input_dollars</f>
        <v>45291</v>
      </c>
    </row>
    <row r="82" spans="1:16" x14ac:dyDescent="0.3">
      <c r="C82" s="8" t="s">
        <v>166</v>
      </c>
      <c r="G82" s="159">
        <v>0.2</v>
      </c>
    </row>
    <row r="87" spans="1:16" x14ac:dyDescent="0.3">
      <c r="A87" s="1"/>
      <c r="B87" s="1"/>
      <c r="C87" s="1"/>
      <c r="D87" s="1"/>
      <c r="E87" s="1"/>
      <c r="F87" s="1"/>
      <c r="K87" s="1"/>
      <c r="L87" s="1"/>
      <c r="M87" s="1"/>
      <c r="N87" s="1"/>
      <c r="O87" s="1"/>
    </row>
    <row r="88" spans="1:16" ht="14.5" x14ac:dyDescent="0.3">
      <c r="A88" s="18" t="s">
        <v>55</v>
      </c>
      <c r="B88" s="18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7"/>
      <c r="N88" s="17"/>
      <c r="O88" s="17"/>
      <c r="P88" s="17"/>
    </row>
    <row r="89" spans="1:16" x14ac:dyDescent="0.3">
      <c r="A89" s="1"/>
      <c r="B89" s="1"/>
      <c r="C89" s="1"/>
      <c r="D89" s="1"/>
      <c r="F89" s="1"/>
      <c r="H89" s="1"/>
      <c r="L89" s="1"/>
      <c r="N89" s="1"/>
      <c r="O89" s="1"/>
    </row>
    <row r="90" spans="1:16" x14ac:dyDescent="0.3">
      <c r="A90" s="1"/>
      <c r="B90" s="30" t="s">
        <v>170</v>
      </c>
      <c r="C90" s="30"/>
      <c r="D90" s="30"/>
      <c r="E90" s="30"/>
      <c r="F90" s="30"/>
      <c r="G90" s="30"/>
      <c r="H90" s="53"/>
      <c r="I90" s="53"/>
      <c r="J90" s="53"/>
      <c r="K90" s="70" t="s">
        <v>19</v>
      </c>
      <c r="L90" s="70" t="s">
        <v>21</v>
      </c>
      <c r="M90" s="70" t="s">
        <v>20</v>
      </c>
      <c r="N90" s="70" t="s">
        <v>22</v>
      </c>
      <c r="O90" s="70" t="s">
        <v>93</v>
      </c>
      <c r="P90" s="70" t="s">
        <v>94</v>
      </c>
    </row>
    <row r="91" spans="1:16" ht="13.5" x14ac:dyDescent="0.35">
      <c r="A91" s="1"/>
      <c r="B91" s="1"/>
      <c r="C91" s="1" t="s">
        <v>73</v>
      </c>
      <c r="D91" s="1"/>
      <c r="F91" s="1"/>
      <c r="G91" s="68"/>
      <c r="H91" s="69">
        <f>G35</f>
        <v>45107</v>
      </c>
      <c r="I91" s="71" t="s">
        <v>62</v>
      </c>
      <c r="J91" s="71"/>
      <c r="K91" s="307">
        <v>2.4730486797759084E-2</v>
      </c>
      <c r="L91" s="307">
        <v>2.2340740091772258E-2</v>
      </c>
      <c r="M91" s="307">
        <v>2.0196329122153123E-2</v>
      </c>
      <c r="N91" s="307">
        <v>1.806294207659629E-2</v>
      </c>
      <c r="O91" s="307">
        <v>1.5913397615084226E-2</v>
      </c>
      <c r="P91" s="307">
        <v>1.3715069432539001E-2</v>
      </c>
    </row>
    <row r="92" spans="1:16" x14ac:dyDescent="0.3">
      <c r="A92" s="1"/>
      <c r="B92" s="1"/>
      <c r="C92" s="1"/>
      <c r="D92" s="1"/>
      <c r="E92" s="1"/>
      <c r="F92" s="1"/>
      <c r="G92" s="1"/>
      <c r="K92" s="1"/>
      <c r="L92" s="1"/>
      <c r="M92" s="1"/>
      <c r="N92" s="1"/>
      <c r="O92" s="1"/>
    </row>
    <row r="93" spans="1:16" x14ac:dyDescent="0.3">
      <c r="A93" s="1"/>
      <c r="B93" s="1"/>
      <c r="C93" s="1"/>
      <c r="D93" s="1"/>
      <c r="E93" s="1"/>
      <c r="F93" s="1"/>
      <c r="K93" s="1"/>
      <c r="L93" s="1"/>
      <c r="M93" s="1"/>
      <c r="N93" s="1"/>
      <c r="O93" s="1"/>
    </row>
    <row r="94" spans="1:16" x14ac:dyDescent="0.3">
      <c r="A94" s="1"/>
      <c r="B94" s="30" t="s">
        <v>171</v>
      </c>
      <c r="C94" s="30"/>
      <c r="D94" s="30"/>
      <c r="E94" s="30"/>
      <c r="F94" s="30"/>
      <c r="G94" s="70" t="s">
        <v>68</v>
      </c>
      <c r="H94" s="30"/>
      <c r="I94" s="30"/>
      <c r="J94" s="39"/>
      <c r="K94" s="1"/>
      <c r="L94" s="1"/>
    </row>
    <row r="95" spans="1:16" ht="13.5" x14ac:dyDescent="0.3">
      <c r="A95" s="1"/>
      <c r="B95" s="1"/>
      <c r="C95" s="1" t="str">
        <f>Data!B60</f>
        <v>Reliability in worst-served areas</v>
      </c>
      <c r="D95" s="1"/>
      <c r="E95"/>
      <c r="F95" s="1"/>
      <c r="G95" s="306">
        <v>0</v>
      </c>
      <c r="H95" s="69">
        <f t="shared" ref="H95:H102" si="0">custval_date</f>
        <v>45291</v>
      </c>
      <c r="I95" s="71" t="s">
        <v>53</v>
      </c>
      <c r="J95" s="71"/>
      <c r="K95" s="1"/>
      <c r="P95" s="1"/>
    </row>
    <row r="96" spans="1:16" ht="13.5" x14ac:dyDescent="0.3">
      <c r="A96" s="1"/>
      <c r="B96" s="1"/>
      <c r="C96" s="1" t="str">
        <f>Data!B61</f>
        <v>Network resilience</v>
      </c>
      <c r="D96" s="1"/>
      <c r="E96"/>
      <c r="F96" s="1"/>
      <c r="G96" s="306">
        <v>0</v>
      </c>
      <c r="H96" s="69">
        <f t="shared" si="0"/>
        <v>45291</v>
      </c>
      <c r="I96" s="71" t="s">
        <v>53</v>
      </c>
      <c r="J96" s="71"/>
      <c r="P96" s="1"/>
    </row>
    <row r="97" spans="1:16" ht="13.5" x14ac:dyDescent="0.3">
      <c r="A97" s="1"/>
      <c r="B97" s="1"/>
      <c r="C97" s="1" t="str">
        <f>Data!B62</f>
        <v>Enabling solar exports</v>
      </c>
      <c r="D97" s="1"/>
      <c r="E97"/>
      <c r="G97" s="306">
        <v>4220.9953699573898</v>
      </c>
      <c r="H97" s="69">
        <f t="shared" si="0"/>
        <v>45291</v>
      </c>
      <c r="I97" s="71" t="s">
        <v>53</v>
      </c>
      <c r="J97" s="71"/>
      <c r="P97" s="1"/>
    </row>
    <row r="98" spans="1:16" ht="13.5" x14ac:dyDescent="0.3">
      <c r="A98" s="1"/>
      <c r="B98" s="1"/>
      <c r="C98" s="1" t="str">
        <f>Data!B63</f>
        <v>Aesthetics</v>
      </c>
      <c r="D98" s="1"/>
      <c r="E98"/>
      <c r="G98" s="307">
        <v>0</v>
      </c>
      <c r="H98" s="69">
        <f t="shared" si="0"/>
        <v>45291</v>
      </c>
      <c r="I98" s="71" t="s">
        <v>78</v>
      </c>
      <c r="J98" s="71"/>
      <c r="P98" s="1"/>
    </row>
    <row r="99" spans="1:16" ht="13.5" x14ac:dyDescent="0.3">
      <c r="A99" s="1"/>
      <c r="B99" s="1"/>
      <c r="C99" s="1" t="str">
        <f>Data!B64</f>
        <v>Customer value of time - residential</v>
      </c>
      <c r="D99" s="1"/>
      <c r="E99"/>
      <c r="G99" s="307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ht="13.5" x14ac:dyDescent="0.3">
      <c r="A100" s="1"/>
      <c r="B100" s="1"/>
      <c r="C100" s="1" t="str">
        <f>Data!B65</f>
        <v>Customer value of time - business</v>
      </c>
      <c r="D100" s="1"/>
      <c r="E100"/>
      <c r="G100" s="307">
        <v>0.54769380678923496</v>
      </c>
      <c r="H100" s="69">
        <f t="shared" si="0"/>
        <v>45291</v>
      </c>
      <c r="I100" s="71" t="s">
        <v>79</v>
      </c>
      <c r="J100" s="71"/>
      <c r="P100" s="1"/>
    </row>
    <row r="101" spans="1:16" ht="13.5" x14ac:dyDescent="0.3">
      <c r="A101" s="1"/>
      <c r="B101" s="1"/>
      <c r="C101" s="1" t="str">
        <f>Data!B66</f>
        <v>Communication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ht="13.5" x14ac:dyDescent="0.3">
      <c r="A102" s="1"/>
      <c r="B102" s="1"/>
      <c r="C102" s="1" t="str">
        <f>Data!B67</f>
        <v>Information accessibility</v>
      </c>
      <c r="D102" s="1"/>
      <c r="E102"/>
      <c r="G102" s="307">
        <v>0</v>
      </c>
      <c r="H102" s="69">
        <f t="shared" si="0"/>
        <v>45291</v>
      </c>
      <c r="I102" s="71" t="s">
        <v>78</v>
      </c>
      <c r="J102" s="71"/>
      <c r="P102" s="1"/>
    </row>
    <row r="103" spans="1:16" ht="13.5" x14ac:dyDescent="0.3">
      <c r="A103" s="1"/>
      <c r="B103" s="1"/>
      <c r="C103" s="1"/>
      <c r="D103" s="1"/>
      <c r="E103"/>
      <c r="L103" s="1"/>
      <c r="N103" s="1"/>
      <c r="O103" s="1"/>
      <c r="P103" s="1"/>
    </row>
    <row r="104" spans="1:16" ht="13.5" x14ac:dyDescent="0.3">
      <c r="A104" s="1"/>
      <c r="B104" s="1"/>
      <c r="C104" s="1"/>
      <c r="D104" s="1"/>
      <c r="E104"/>
      <c r="F104" s="1"/>
      <c r="L104" s="1"/>
      <c r="N104" s="1"/>
      <c r="O104" s="1"/>
    </row>
    <row r="107" spans="1:16" ht="14.5" x14ac:dyDescent="0.3">
      <c r="A107" s="18" t="s">
        <v>213</v>
      </c>
      <c r="B107" s="18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7"/>
      <c r="N107" s="17"/>
      <c r="O107" s="17"/>
      <c r="P107" s="17"/>
    </row>
    <row r="108" spans="1:16" x14ac:dyDescent="0.3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3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3">
      <c r="A110" s="1"/>
      <c r="B110" s="1"/>
      <c r="C110" s="1"/>
      <c r="D110" s="1"/>
      <c r="E110" s="1"/>
      <c r="F110" s="1"/>
      <c r="G110" s="1"/>
      <c r="K110" s="1"/>
      <c r="L110" s="1"/>
      <c r="M110" s="1"/>
      <c r="N110" s="1"/>
      <c r="O110" s="1"/>
    </row>
    <row r="111" spans="1:16" ht="13.5" x14ac:dyDescent="0.3">
      <c r="A111" s="6"/>
      <c r="B111" s="171"/>
      <c r="C111" s="298"/>
      <c r="D111" s="59"/>
      <c r="E111" s="299"/>
      <c r="F111" s="298"/>
      <c r="G111" s="298" t="s">
        <v>17</v>
      </c>
      <c r="H111" s="298" t="s">
        <v>235</v>
      </c>
      <c r="I111"/>
      <c r="J111"/>
      <c r="K111"/>
      <c r="L111"/>
      <c r="M111"/>
      <c r="N111"/>
      <c r="O111"/>
      <c r="P111"/>
    </row>
    <row r="112" spans="1:16" ht="13.5" x14ac:dyDescent="0.3">
      <c r="B112" s="8">
        <v>1</v>
      </c>
      <c r="C112" s="8" t="str">
        <f>IF(G112=0, "", G$111&amp;" "&amp;ABS($G112)*100&amp;"%"&amp;IF($G112&gt;0, " higher", " lower"))&amp;IF(AND(G112&lt;&gt;0, H112&lt;&gt;0), " &amp; ", "")&amp;IF(H112=0, "", H$111&amp;" "&amp;ABS($H112)*100&amp;"%"&amp;IF($H112&gt;0, " higher", " lower"))</f>
        <v>Capex 10% higher</v>
      </c>
      <c r="E112" s="267"/>
      <c r="G112" s="308">
        <v>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ht="13.5" x14ac:dyDescent="0.3">
      <c r="B113" s="8">
        <v>2</v>
      </c>
      <c r="C113" s="8" t="str">
        <f>IF(G113=0, "", G$111&amp;" "&amp;ABS($G113)*100&amp;"%"&amp;IF($G113&gt;0, " higher", " lower"))&amp;IF(AND(G113&lt;&gt;0, H113&lt;&gt;0), " &amp; ", "")&amp;IF(H113=0, "", H$111&amp;" "&amp;ABS($H113)*100&amp;"%"&amp;IF($H113&gt;0, " higher", " lower"))</f>
        <v>Capex 10% lower</v>
      </c>
      <c r="E113" s="267"/>
      <c r="G113" s="308">
        <v>-0.1</v>
      </c>
      <c r="H113" s="308">
        <v>0</v>
      </c>
      <c r="I113" s="261"/>
      <c r="J113"/>
      <c r="K113"/>
      <c r="L113"/>
      <c r="M113"/>
      <c r="N113"/>
      <c r="O113"/>
      <c r="P113"/>
    </row>
    <row r="114" spans="2:16" ht="13.5" x14ac:dyDescent="0.3">
      <c r="B114" s="8">
        <v>3</v>
      </c>
      <c r="C114" s="8" t="str">
        <f>IF(G114=0, "", G$111&amp;" "&amp;ABS($G114)*100&amp;"%"&amp;IF($G114&gt;0, " higher", " lower"))&amp;IF(AND(G114&lt;&gt;0, H114&lt;&gt;0), " &amp; ", "")&amp;IF(H114=0, "", H$111&amp;" "&amp;ABS($H114)*100&amp;"%"&amp;IF($H114&gt;0, " higher", " lower"))</f>
        <v>Total benefits 10% higher</v>
      </c>
      <c r="E114" s="267"/>
      <c r="G114" s="309">
        <v>0</v>
      </c>
      <c r="H114" s="308">
        <v>0.1</v>
      </c>
      <c r="I114" s="261"/>
      <c r="J114"/>
      <c r="K114"/>
      <c r="L114"/>
      <c r="M114"/>
      <c r="N114"/>
      <c r="O114"/>
      <c r="P114"/>
    </row>
    <row r="115" spans="2:16" ht="13.5" x14ac:dyDescent="0.3">
      <c r="B115" s="8">
        <v>4</v>
      </c>
      <c r="C115" s="8" t="str">
        <f>IF(G115=0, "", G$111&amp;" "&amp;ABS($G115)*100&amp;"%"&amp;IF($G115&gt;0, " higher", " lower"))&amp;IF(AND(G115&lt;&gt;0, H115&lt;&gt;0), " &amp; ", "")&amp;IF(H115=0, "", H$111&amp;" "&amp;ABS($H115)*100&amp;"%"&amp;IF($H115&gt;0, " higher", " lower"))</f>
        <v>Total benefits 10% lower</v>
      </c>
      <c r="E115" s="267"/>
      <c r="G115" s="309">
        <v>0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ht="13.5" x14ac:dyDescent="0.3">
      <c r="B116" s="8">
        <v>5</v>
      </c>
      <c r="C116" s="8" t="str">
        <f>IF(G116=0, "", G$111&amp;" "&amp;ABS($G116)*100&amp;"%"&amp;IF($G116&gt;0, " higher", " lower"))&amp;IF(AND(G116&lt;&gt;0, H116&lt;&gt;0), " &amp; ", "")&amp;IF(H116=0, "", H$111&amp;" "&amp;ABS($H116)*100&amp;"%"&amp;IF($H116&gt;0, " higher", " lower"))</f>
        <v>Capex 10% higher &amp; Total benefits 10% lower</v>
      </c>
      <c r="E116" s="267"/>
      <c r="G116" s="308">
        <v>0.1</v>
      </c>
      <c r="H116" s="308">
        <v>-0.1</v>
      </c>
      <c r="I116" s="261"/>
      <c r="J116"/>
      <c r="K116"/>
      <c r="L116"/>
      <c r="M116"/>
      <c r="N116"/>
      <c r="O116"/>
      <c r="P116"/>
    </row>
    <row r="117" spans="2:16" ht="13.5" x14ac:dyDescent="0.3">
      <c r="E117" s="267"/>
      <c r="H117"/>
      <c r="I117"/>
      <c r="J117"/>
      <c r="K117"/>
      <c r="L117"/>
      <c r="M117"/>
      <c r="N117"/>
      <c r="O117"/>
      <c r="P117"/>
    </row>
    <row r="118" spans="2:16" ht="13.5" x14ac:dyDescent="0.3">
      <c r="E118" s="260"/>
      <c r="H118"/>
      <c r="I118"/>
      <c r="J118"/>
      <c r="K118"/>
      <c r="L118"/>
      <c r="M118"/>
      <c r="N118"/>
      <c r="O118"/>
      <c r="P118"/>
    </row>
    <row r="119" spans="2:16" ht="13.5" x14ac:dyDescent="0.3">
      <c r="H119"/>
      <c r="I119"/>
      <c r="J119"/>
      <c r="K119"/>
      <c r="L119"/>
      <c r="M119"/>
      <c r="N119"/>
      <c r="O119"/>
      <c r="P119"/>
    </row>
    <row r="120" spans="2:16" ht="13.5" x14ac:dyDescent="0.3">
      <c r="H120"/>
      <c r="I120"/>
      <c r="J120"/>
      <c r="K120"/>
      <c r="L120"/>
      <c r="M120"/>
      <c r="N120"/>
      <c r="O120"/>
      <c r="P120"/>
    </row>
    <row r="121" spans="2:16" ht="13.5" x14ac:dyDescent="0.3">
      <c r="H121"/>
      <c r="I121"/>
      <c r="J121"/>
      <c r="K121"/>
      <c r="L121"/>
      <c r="M121"/>
      <c r="N121"/>
      <c r="O121"/>
      <c r="P121"/>
    </row>
    <row r="122" spans="2:16" ht="13.5" x14ac:dyDescent="0.3">
      <c r="H122"/>
      <c r="I122"/>
      <c r="J122"/>
      <c r="K122"/>
      <c r="L122"/>
      <c r="M122"/>
      <c r="N122"/>
      <c r="O122"/>
      <c r="P122"/>
    </row>
    <row r="123" spans="2:16" ht="13.5" x14ac:dyDescent="0.3">
      <c r="H123"/>
      <c r="I123"/>
      <c r="J123"/>
      <c r="K123"/>
      <c r="L123"/>
      <c r="M123"/>
      <c r="N123"/>
      <c r="O123"/>
      <c r="P123"/>
    </row>
  </sheetData>
  <mergeCells count="6">
    <mergeCell ref="J70:M70"/>
    <mergeCell ref="J72:M72"/>
    <mergeCell ref="E8:H8"/>
    <mergeCell ref="E14:K14"/>
    <mergeCell ref="E15:K15"/>
    <mergeCell ref="E16:K16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3" outlineLevelRow="1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8.84375" style="1" customWidth="1"/>
    <col min="7" max="7" width="9.84375" style="1" customWidth="1"/>
    <col min="8" max="8" width="6.84375" style="1" customWidth="1"/>
    <col min="9" max="33" width="12.15234375" style="1" customWidth="1"/>
    <col min="34" max="16384" width="8" style="1"/>
  </cols>
  <sheetData>
    <row r="1" spans="1:43" ht="18.5" x14ac:dyDescent="0.4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5" x14ac:dyDescent="0.4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5" x14ac:dyDescent="0.35">
      <c r="A3" s="203" t="s">
        <v>139</v>
      </c>
      <c r="B3" s="5"/>
      <c r="C3" s="134"/>
      <c r="D3" s="94"/>
    </row>
    <row r="4" spans="1:43" x14ac:dyDescent="0.3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t="13.5" hidden="1" outlineLevel="1" x14ac:dyDescent="0.35">
      <c r="A7" s="98" t="s">
        <v>125</v>
      </c>
      <c r="B7" s="98"/>
      <c r="G7" s="160" t="s">
        <v>63</v>
      </c>
      <c r="I7" s="99">
        <f>IF(ISBLANK(Assumptions!K91), H7,Assumptions!K91*thous_conv)</f>
        <v>24.730486797759085</v>
      </c>
      <c r="J7" s="99">
        <f>IF(ISBLANK(Assumptions!L91), I7,Assumptions!L91*thous_conv)</f>
        <v>22.340740091772258</v>
      </c>
      <c r="K7" s="99">
        <f>IF(ISBLANK(Assumptions!M91), J7,Assumptions!M91*thous_conv)</f>
        <v>20.196329122153124</v>
      </c>
      <c r="L7" s="99">
        <f>IF(ISBLANK(Assumptions!N91), K7,Assumptions!N91*thous_conv)</f>
        <v>18.06294207659629</v>
      </c>
      <c r="M7" s="99">
        <f>IF(ISBLANK(Assumptions!O91), L7,Assumptions!O91*thous_conv)</f>
        <v>15.913397615084225</v>
      </c>
      <c r="N7" s="99">
        <f>IF(ISBLANK(Assumptions!P91), M7,Assumptions!P91*thous_conv)</f>
        <v>13.715069432539002</v>
      </c>
      <c r="O7" s="99">
        <f>IF(ISBLANK(Assumptions!Q91), N7,Assumptions!Q91*thous_conv)</f>
        <v>13.715069432539002</v>
      </c>
      <c r="P7" s="99">
        <f>IF(ISBLANK(Assumptions!R91), O7,Assumptions!R91*thous_conv)</f>
        <v>13.715069432539002</v>
      </c>
      <c r="Q7" s="99">
        <f>IF(ISBLANK(Assumptions!S91), P7,Assumptions!S91*thous_conv)</f>
        <v>13.715069432539002</v>
      </c>
      <c r="R7" s="99">
        <f>IF(ISBLANK(Assumptions!T91), Q7,Assumptions!T91*thous_conv)</f>
        <v>13.715069432539002</v>
      </c>
      <c r="S7" s="99">
        <f>IF(ISBLANK(Assumptions!U91), R7,Assumptions!U91*thous_conv)</f>
        <v>13.715069432539002</v>
      </c>
      <c r="T7" s="99">
        <f>IF(ISBLANK(Assumptions!V91), S7,Assumptions!V91*thous_conv)</f>
        <v>13.715069432539002</v>
      </c>
      <c r="U7" s="99">
        <f>IF(ISBLANK(Assumptions!W91), T7,Assumptions!W91*thous_conv)</f>
        <v>13.715069432539002</v>
      </c>
      <c r="V7" s="99">
        <f>IF(ISBLANK(Assumptions!X91), U7,Assumptions!X91*thous_conv)</f>
        <v>13.715069432539002</v>
      </c>
      <c r="W7" s="99">
        <f>IF(ISBLANK(Assumptions!Y91), V7,Assumptions!Y91*thous_conv)</f>
        <v>13.715069432539002</v>
      </c>
      <c r="X7" s="99">
        <f>IF(ISBLANK(Assumptions!Z91), W7,Assumptions!Z91*thous_conv)</f>
        <v>13.715069432539002</v>
      </c>
      <c r="Y7" s="99">
        <f>IF(ISBLANK(Assumptions!AA91), X7,Assumptions!AA91*thous_conv)</f>
        <v>13.715069432539002</v>
      </c>
      <c r="Z7" s="99">
        <f>IF(ISBLANK(Assumptions!AB91), Y7,Assumptions!AB91*thous_conv)</f>
        <v>13.715069432539002</v>
      </c>
      <c r="AA7" s="99">
        <f>IF(ISBLANK(Assumptions!AC91), Z7,Assumptions!AC91*thous_conv)</f>
        <v>13.715069432539002</v>
      </c>
      <c r="AB7" s="99">
        <f>IF(ISBLANK(Assumptions!AD91), AA7,Assumptions!AD91*thous_conv)</f>
        <v>13.715069432539002</v>
      </c>
      <c r="AC7" s="99">
        <f>IF(ISBLANK(Assumptions!AE91), AB7,Assumptions!AE91*thous_conv)</f>
        <v>13.715069432539002</v>
      </c>
      <c r="AD7" s="99">
        <f>IF(ISBLANK(Assumptions!AF91), AC7,Assumptions!AF91*thous_conv)</f>
        <v>13.715069432539002</v>
      </c>
      <c r="AE7" s="99">
        <f>IF(ISBLANK(Assumptions!AG91), AD7,Assumptions!AG91*thous_conv)</f>
        <v>13.715069432539002</v>
      </c>
      <c r="AF7" s="99">
        <f>IF(ISBLANK(Assumptions!AH91), AE7,Assumptions!AH91*thous_conv)</f>
        <v>13.715069432539002</v>
      </c>
      <c r="AG7" s="99">
        <f>IF(ISBLANK(Assumptions!AI91), AF7,Assumptions!AI91*thous_conv)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5" x14ac:dyDescent="0.3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5" x14ac:dyDescent="0.3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</row>
    <row r="13" spans="1:43" ht="13.5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7" t="s">
        <v>301</v>
      </c>
      <c r="D14"/>
      <c r="E14" s="148">
        <v>55</v>
      </c>
      <c r="F14" s="350" t="s">
        <v>17</v>
      </c>
      <c r="G14" s="207">
        <f>input_dollars</f>
        <v>45291</v>
      </c>
      <c r="H14" s="2"/>
      <c r="I14" s="32">
        <f>INDEX(Workings_costs!K$27:K$79, MATCH($A$3&amp;$F14, Workings_costs!$G$27:$G$79,0))</f>
        <v>0</v>
      </c>
      <c r="J14" s="32">
        <f>INDEX(Workings_costs!L$27:L$79, MATCH($A$3&amp;$F14, Workings_costs!$G$27:$G$79,0))</f>
        <v>0</v>
      </c>
      <c r="K14" s="32">
        <f>INDEX(Workings_costs!M$27:M$79, MATCH($A$3&amp;$F14, Workings_costs!$G$27:$G$79,0))</f>
        <v>0</v>
      </c>
      <c r="L14" s="32">
        <f>INDEX(Workings_costs!N$27:N$79, MATCH($A$3&amp;$F14, Workings_costs!$G$27:$G$79,0))</f>
        <v>0</v>
      </c>
      <c r="M14" s="32">
        <f>INDEX(Workings_costs!O$27:O$79, MATCH($A$3&amp;$F14, Workings_costs!$G$27:$G$79,0))</f>
        <v>0</v>
      </c>
      <c r="N14" s="32">
        <f>INDEX(Workings_costs!P$27:P$79, MATCH($A$3&amp;$F14, Workings_costs!$G$27:$G$79,0))</f>
        <v>0</v>
      </c>
      <c r="O14" s="32">
        <f>INDEX(Workings_costs!Q$27:Q$79, MATCH($A$3&amp;$F14, Workings_costs!$G$27:$G$79,0))</f>
        <v>0</v>
      </c>
      <c r="P14" s="32">
        <f>INDEX(Workings_costs!R$27:R$79, MATCH($A$3&amp;$F14, Workings_costs!$G$27:$G$79,0))</f>
        <v>0</v>
      </c>
      <c r="Q14" s="32">
        <f>INDEX(Workings_costs!S$27:S$79, MATCH($A$3&amp;$F14, Workings_costs!$G$27:$G$79,0))</f>
        <v>0</v>
      </c>
      <c r="R14" s="32">
        <f>INDEX(Workings_costs!T$27:T$79, MATCH($A$3&amp;$F14, Workings_costs!$G$27:$G$79,0))</f>
        <v>0</v>
      </c>
      <c r="S14" s="32">
        <f>INDEX(Workings_costs!U$27:U$79, MATCH($A$3&amp;$F14, Workings_costs!$G$27:$G$79,0))</f>
        <v>0</v>
      </c>
      <c r="T14" s="32">
        <f>INDEX(Workings_costs!V$27:V$79, MATCH($A$3&amp;$F14, Workings_costs!$G$27:$G$79,0))</f>
        <v>0</v>
      </c>
      <c r="U14" s="32">
        <f>INDEX(Workings_costs!W$27:W$79, MATCH($A$3&amp;$F14, Workings_costs!$G$27:$G$79,0))</f>
        <v>0</v>
      </c>
      <c r="V14" s="32">
        <f>INDEX(Workings_costs!X$27:X$79, MATCH($A$3&amp;$F14, Workings_costs!$G$27:$G$79,0))</f>
        <v>0</v>
      </c>
      <c r="W14" s="32">
        <f>INDEX(Workings_costs!Y$27:Y$79, MATCH($A$3&amp;$F14, Workings_costs!$G$27:$G$79,0))</f>
        <v>0</v>
      </c>
      <c r="X14" s="32">
        <f>INDEX(Workings_costs!Z$27:Z$79, MATCH($A$3&amp;$F14, Workings_costs!$G$27:$G$79,0))</f>
        <v>0</v>
      </c>
      <c r="Y14" s="32">
        <f>INDEX(Workings_costs!AA$27:AA$79, MATCH($A$3&amp;$F14, Workings_costs!$G$27:$G$79,0))</f>
        <v>0</v>
      </c>
      <c r="Z14" s="32">
        <f>INDEX(Workings_costs!AB$27:AB$79, MATCH($A$3&amp;$F14, Workings_costs!$G$27:$G$79,0))</f>
        <v>0</v>
      </c>
      <c r="AA14" s="32">
        <f>INDEX(Workings_costs!AC$27:AC$79, MATCH($A$3&amp;$F14, Workings_costs!$G$27:$G$79,0))</f>
        <v>0</v>
      </c>
      <c r="AB14" s="32">
        <f>INDEX(Workings_costs!AD$27:AD$79, MATCH($A$3&amp;$F14, Workings_costs!$G$27:$G$79,0))</f>
        <v>0</v>
      </c>
      <c r="AC14" s="32">
        <f>INDEX(Workings_costs!AE$27:AE$79, MATCH($A$3&amp;$F14, Workings_costs!$G$27:$G$79,0))</f>
        <v>0</v>
      </c>
      <c r="AD14" s="32">
        <f>INDEX(Workings_costs!AF$27:AF$79, MATCH($A$3&amp;$F14, Workings_costs!$G$27:$G$79,0))</f>
        <v>0</v>
      </c>
      <c r="AE14" s="32">
        <f>INDEX(Workings_costs!AG$27:AG$79, MATCH($A$3&amp;$F14, Workings_costs!$G$27:$G$79,0))</f>
        <v>0</v>
      </c>
      <c r="AF14" s="32">
        <f>INDEX(Workings_costs!AH$27:AH$79, MATCH($A$3&amp;$F14, Workings_costs!$G$27:$G$79,0))</f>
        <v>0</v>
      </c>
      <c r="AG14" s="32">
        <f>INDEX(Workings_costs!AI$27:AI$79, MATCH($A$3&amp;$F14, Workings_costs!$G$27:$G$79,0))</f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ht="13.5" x14ac:dyDescent="0.3">
      <c r="C17" s="1" t="s">
        <v>30</v>
      </c>
      <c r="F17" s="350"/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ht="13.5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3.5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3">
      <c r="G20" s="205"/>
    </row>
    <row r="21" spans="1:43" ht="13.5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148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149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3.5" x14ac:dyDescent="0.3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ht="13.5" x14ac:dyDescent="0.3">
      <c r="C28" s="1" t="s">
        <v>122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ht="13.5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3.5" x14ac:dyDescent="0.3">
      <c r="C30" s="1" t="s">
        <v>114</v>
      </c>
      <c r="D30" s="205" t="s">
        <v>202</v>
      </c>
      <c r="F30" s="350" t="s">
        <v>97</v>
      </c>
      <c r="G30" s="207">
        <f>input_dollars</f>
        <v>45291</v>
      </c>
      <c r="H30" s="149"/>
      <c r="I30" s="32">
        <f>Workings_risks!I55</f>
        <v>758444.00727071485</v>
      </c>
      <c r="J30" s="32">
        <f>Workings_risks!J55</f>
        <v>758444.00727071485</v>
      </c>
      <c r="K30" s="32">
        <f>Workings_risks!K55</f>
        <v>758444.00727071485</v>
      </c>
      <c r="L30" s="32">
        <f>Workings_risks!L55</f>
        <v>866793.15116653126</v>
      </c>
      <c r="M30" s="32">
        <f>Workings_risks!M55</f>
        <v>866793.15116653126</v>
      </c>
      <c r="N30" s="32">
        <f>Workings_risks!N55</f>
        <v>866793.15116653126</v>
      </c>
      <c r="O30" s="32">
        <f>Workings_risks!O55</f>
        <v>975142.29506234766</v>
      </c>
      <c r="P30" s="32">
        <f>Workings_risks!P55</f>
        <v>975142.29506234766</v>
      </c>
      <c r="Q30" s="32">
        <f>Workings_risks!Q55</f>
        <v>1083491.4389581641</v>
      </c>
      <c r="R30" s="32">
        <f>Workings_risks!R55</f>
        <v>1083491.4389581641</v>
      </c>
      <c r="S30" s="32">
        <f>Workings_risks!S55</f>
        <v>1191840.5828539804</v>
      </c>
      <c r="T30" s="32">
        <f>Workings_risks!T55</f>
        <v>1191840.5828539804</v>
      </c>
      <c r="U30" s="32">
        <f>Workings_risks!U55</f>
        <v>1300189.7267497969</v>
      </c>
      <c r="V30" s="32">
        <f>Workings_risks!V55</f>
        <v>1300189.7267497969</v>
      </c>
      <c r="W30" s="32">
        <f>Workings_risks!W55</f>
        <v>1300189.7267497969</v>
      </c>
      <c r="X30" s="32">
        <f>Workings_risks!X55</f>
        <v>1300189.7267497969</v>
      </c>
      <c r="Y30" s="32">
        <f>Workings_risks!Y55</f>
        <v>1300189.7267497969</v>
      </c>
      <c r="Z30" s="32">
        <f>Workings_risks!Z55</f>
        <v>1300189.7267497969</v>
      </c>
      <c r="AA30" s="32">
        <f>Workings_risks!AA55</f>
        <v>1300189.7267497969</v>
      </c>
      <c r="AB30" s="32">
        <f>Workings_risks!AB55</f>
        <v>1300189.7267497969</v>
      </c>
      <c r="AC30" s="32">
        <f>Workings_risks!AC55</f>
        <v>1300189.7267497969</v>
      </c>
      <c r="AD30" s="32">
        <f>Workings_risks!AD55</f>
        <v>1300189.7267497969</v>
      </c>
      <c r="AE30" s="32">
        <f>Workings_risks!AE55</f>
        <v>1300189.7267497969</v>
      </c>
      <c r="AF30" s="32">
        <f>Workings_risks!AF55</f>
        <v>1300189.7267497969</v>
      </c>
      <c r="AG30" s="32">
        <f>Workings_risks!AG55</f>
        <v>0</v>
      </c>
      <c r="AH30"/>
      <c r="AI30"/>
      <c r="AJ30"/>
      <c r="AK30"/>
      <c r="AL30"/>
      <c r="AM30"/>
      <c r="AN30"/>
      <c r="AO30"/>
      <c r="AP30"/>
      <c r="AQ30"/>
    </row>
    <row r="31" spans="1:43" ht="13.5" x14ac:dyDescent="0.3">
      <c r="C31" s="1" t="s">
        <v>243</v>
      </c>
      <c r="D31" s="206"/>
      <c r="E31"/>
      <c r="F31" s="350" t="s">
        <v>243</v>
      </c>
      <c r="G31" s="207">
        <f>input_dollars</f>
        <v>45291</v>
      </c>
      <c r="H31" s="149"/>
      <c r="I31" s="32">
        <f>Workings_risks!I56</f>
        <v>4828378.8040892947</v>
      </c>
      <c r="J31" s="32">
        <f>Workings_risks!J56</f>
        <v>4828378.8040892947</v>
      </c>
      <c r="K31" s="32">
        <f>Workings_risks!K56</f>
        <v>4828378.8040892947</v>
      </c>
      <c r="L31" s="32">
        <f>Workings_risks!L56</f>
        <v>4828378.8040892947</v>
      </c>
      <c r="M31" s="32">
        <f>Workings_risks!M56</f>
        <v>4828378.8040892947</v>
      </c>
      <c r="N31" s="32">
        <f>Workings_risks!N56</f>
        <v>4828378.8040892947</v>
      </c>
      <c r="O31" s="32">
        <f>Workings_risks!O56</f>
        <v>4828378.8040892947</v>
      </c>
      <c r="P31" s="32">
        <f>Workings_risks!P56</f>
        <v>4828378.8040892947</v>
      </c>
      <c r="Q31" s="32">
        <f>Workings_risks!Q56</f>
        <v>4828378.8040892947</v>
      </c>
      <c r="R31" s="32">
        <f>Workings_risks!R56</f>
        <v>4828378.8040892947</v>
      </c>
      <c r="S31" s="32">
        <f>Workings_risks!S56</f>
        <v>4828378.8040892947</v>
      </c>
      <c r="T31" s="32">
        <f>Workings_risks!T56</f>
        <v>4828378.8040892947</v>
      </c>
      <c r="U31" s="32">
        <f>Workings_risks!U56</f>
        <v>4828378.8040892947</v>
      </c>
      <c r="V31" s="32">
        <f>Workings_risks!V56</f>
        <v>4828378.8040892947</v>
      </c>
      <c r="W31" s="32">
        <f>Workings_risks!W56</f>
        <v>4828378.8040892947</v>
      </c>
      <c r="X31" s="32">
        <f>Workings_risks!X56</f>
        <v>4828378.8040892947</v>
      </c>
      <c r="Y31" s="32">
        <f>Workings_risks!Y56</f>
        <v>4828378.8040892947</v>
      </c>
      <c r="Z31" s="32">
        <f>Workings_risks!Z56</f>
        <v>4828378.8040892947</v>
      </c>
      <c r="AA31" s="32">
        <f>Workings_risks!AA56</f>
        <v>4828378.8040892947</v>
      </c>
      <c r="AB31" s="32">
        <f>Workings_risks!AB56</f>
        <v>4828378.8040892947</v>
      </c>
      <c r="AC31" s="32">
        <f>Workings_risks!AC56</f>
        <v>4828378.8040892947</v>
      </c>
      <c r="AD31" s="32">
        <f>Workings_risks!AD56</f>
        <v>4828378.8040892947</v>
      </c>
      <c r="AE31" s="32">
        <f>Workings_risks!AE56</f>
        <v>4828378.8040892947</v>
      </c>
      <c r="AF31" s="32">
        <f>Workings_risks!AF56</f>
        <v>4828378.8040892947</v>
      </c>
      <c r="AG31" s="32">
        <f>Workings_risks!AG56</f>
        <v>0</v>
      </c>
      <c r="AH31"/>
      <c r="AI31"/>
      <c r="AJ31"/>
      <c r="AK31"/>
      <c r="AL31"/>
      <c r="AM31"/>
      <c r="AN31"/>
      <c r="AO31"/>
      <c r="AP31"/>
      <c r="AQ31"/>
    </row>
    <row r="32" spans="1:43" ht="13.5" x14ac:dyDescent="0.3">
      <c r="C32" s="1" t="s">
        <v>288</v>
      </c>
      <c r="D32" s="205" t="s">
        <v>202</v>
      </c>
      <c r="E32"/>
      <c r="F32" s="350" t="s">
        <v>302</v>
      </c>
      <c r="G32" s="207">
        <f>input_dollars</f>
        <v>45291</v>
      </c>
      <c r="H32"/>
      <c r="I32" s="32">
        <f>Workings_risks!I57</f>
        <v>86291.837804510142</v>
      </c>
      <c r="J32" s="32">
        <f>Workings_risks!J57</f>
        <v>86291.837804510142</v>
      </c>
      <c r="K32" s="32">
        <f>Workings_risks!K57</f>
        <v>86291.837804510142</v>
      </c>
      <c r="L32" s="32">
        <f>Workings_risks!L57</f>
        <v>98619.243205154446</v>
      </c>
      <c r="M32" s="32">
        <f>Workings_risks!M57</f>
        <v>98619.243205154446</v>
      </c>
      <c r="N32" s="32">
        <f>Workings_risks!N57</f>
        <v>98619.243205154446</v>
      </c>
      <c r="O32" s="32">
        <f>Workings_risks!O57</f>
        <v>110946.64860579873</v>
      </c>
      <c r="P32" s="32">
        <f>Workings_risks!P57</f>
        <v>110946.64860579873</v>
      </c>
      <c r="Q32" s="32">
        <f>Workings_risks!Q57</f>
        <v>123274.05400644304</v>
      </c>
      <c r="R32" s="32">
        <f>Workings_risks!R57</f>
        <v>123274.05400644304</v>
      </c>
      <c r="S32" s="32">
        <f>Workings_risks!S57</f>
        <v>135601.45940708736</v>
      </c>
      <c r="T32" s="32">
        <f>Workings_risks!T57</f>
        <v>135601.45940708736</v>
      </c>
      <c r="U32" s="32">
        <f>Workings_risks!U57</f>
        <v>147928.86480773168</v>
      </c>
      <c r="V32" s="32">
        <f>Workings_risks!V57</f>
        <v>147928.86480773168</v>
      </c>
      <c r="W32" s="32">
        <f>Workings_risks!W57</f>
        <v>147928.86480773168</v>
      </c>
      <c r="X32" s="32">
        <f>Workings_risks!X57</f>
        <v>147928.86480773168</v>
      </c>
      <c r="Y32" s="32">
        <f>Workings_risks!Y57</f>
        <v>147928.86480773168</v>
      </c>
      <c r="Z32" s="32">
        <f>Workings_risks!Z57</f>
        <v>147928.86480773168</v>
      </c>
      <c r="AA32" s="32">
        <f>Workings_risks!AA57</f>
        <v>147928.86480773168</v>
      </c>
      <c r="AB32" s="32">
        <f>Workings_risks!AB57</f>
        <v>147928.86480773168</v>
      </c>
      <c r="AC32" s="32">
        <f>Workings_risks!AC57</f>
        <v>147928.86480773168</v>
      </c>
      <c r="AD32" s="32">
        <f>Workings_risks!AD57</f>
        <v>147928.86480773168</v>
      </c>
      <c r="AE32" s="32">
        <f>Workings_risks!AE57</f>
        <v>147928.86480773168</v>
      </c>
      <c r="AF32" s="32">
        <f>Workings_risks!AF57</f>
        <v>147928.86480773168</v>
      </c>
      <c r="AG32" s="32">
        <f>Workings_risks!AG57</f>
        <v>0</v>
      </c>
      <c r="AH32"/>
      <c r="AI32"/>
      <c r="AJ32"/>
      <c r="AK32"/>
      <c r="AL32"/>
      <c r="AM32"/>
      <c r="AN32"/>
      <c r="AO32"/>
      <c r="AP32"/>
      <c r="AQ32"/>
    </row>
    <row r="33" spans="1:16372" ht="13.5" x14ac:dyDescent="0.3">
      <c r="C33" s="1" t="s">
        <v>289</v>
      </c>
      <c r="D33" s="219"/>
      <c r="E33"/>
      <c r="F33" s="350" t="s">
        <v>245</v>
      </c>
      <c r="G33" s="207">
        <f>input_dollars</f>
        <v>45291</v>
      </c>
      <c r="H33"/>
      <c r="I33" s="32">
        <f>Workings_risks!I58</f>
        <v>0</v>
      </c>
      <c r="J33" s="32">
        <f>Workings_risks!J58</f>
        <v>0</v>
      </c>
      <c r="K33" s="32">
        <f>Workings_risks!K58</f>
        <v>0</v>
      </c>
      <c r="L33" s="32">
        <f>Workings_risks!L58</f>
        <v>0</v>
      </c>
      <c r="M33" s="32">
        <f>Workings_risks!M58</f>
        <v>0</v>
      </c>
      <c r="N33" s="32">
        <f>Workings_risks!N58</f>
        <v>0</v>
      </c>
      <c r="O33" s="32">
        <f>Workings_risks!O58</f>
        <v>0</v>
      </c>
      <c r="P33" s="32">
        <f>Workings_risks!P58</f>
        <v>0</v>
      </c>
      <c r="Q33" s="32">
        <f>Workings_risks!Q58</f>
        <v>0</v>
      </c>
      <c r="R33" s="32">
        <f>Workings_risks!R58</f>
        <v>0</v>
      </c>
      <c r="S33" s="32">
        <f>Workings_risks!S58</f>
        <v>0</v>
      </c>
      <c r="T33" s="32">
        <f>Workings_risks!T58</f>
        <v>0</v>
      </c>
      <c r="U33" s="32">
        <f>Workings_risks!U58</f>
        <v>0</v>
      </c>
      <c r="V33" s="32">
        <f>Workings_risks!V58</f>
        <v>0</v>
      </c>
      <c r="W33" s="32">
        <f>Workings_risks!W58</f>
        <v>0</v>
      </c>
      <c r="X33" s="32">
        <f>Workings_risks!X58</f>
        <v>0</v>
      </c>
      <c r="Y33" s="32">
        <f>Workings_risks!Y58</f>
        <v>0</v>
      </c>
      <c r="Z33" s="32">
        <f>Workings_risks!Z58</f>
        <v>0</v>
      </c>
      <c r="AA33" s="32">
        <f>Workings_risks!AA58</f>
        <v>0</v>
      </c>
      <c r="AB33" s="32">
        <f>Workings_risks!AB58</f>
        <v>0</v>
      </c>
      <c r="AC33" s="32">
        <f>Workings_risks!AC58</f>
        <v>0</v>
      </c>
      <c r="AD33" s="32">
        <f>Workings_risks!AD58</f>
        <v>0</v>
      </c>
      <c r="AE33" s="32">
        <f>Workings_risks!AE58</f>
        <v>0</v>
      </c>
      <c r="AF33" s="32">
        <f>Workings_risks!AF58</f>
        <v>0</v>
      </c>
      <c r="AG33" s="32">
        <f>Workings_risks!AG58</f>
        <v>0</v>
      </c>
      <c r="AH33"/>
      <c r="AI33"/>
      <c r="AJ33"/>
      <c r="AK33"/>
      <c r="AL33"/>
      <c r="AM33"/>
      <c r="AN33"/>
      <c r="AO33"/>
      <c r="AP33"/>
      <c r="AQ33"/>
    </row>
    <row r="34" spans="1:16372" ht="13.5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ht="13.5" x14ac:dyDescent="0.3">
      <c r="C36" s="3" t="s">
        <v>167</v>
      </c>
      <c r="D36" s="218"/>
      <c r="E36" s="107"/>
      <c r="F36" s="3"/>
      <c r="G36" s="209"/>
      <c r="H36" s="107"/>
      <c r="I36" s="106">
        <f>SUM(I28:I34)</f>
        <v>5673114.6491645202</v>
      </c>
      <c r="J36" s="106">
        <f t="shared" ref="J36:AB36" si="4">SUM(J28:J34)</f>
        <v>5673114.6491645202</v>
      </c>
      <c r="K36" s="106">
        <f t="shared" si="4"/>
        <v>5673114.6491645202</v>
      </c>
      <c r="L36" s="106">
        <f t="shared" si="4"/>
        <v>5793791.1984609803</v>
      </c>
      <c r="M36" s="106">
        <f t="shared" si="4"/>
        <v>5793791.1984609803</v>
      </c>
      <c r="N36" s="106">
        <f t="shared" si="4"/>
        <v>5793791.1984609803</v>
      </c>
      <c r="O36" s="106">
        <f t="shared" si="4"/>
        <v>5914467.7477574404</v>
      </c>
      <c r="P36" s="106">
        <f t="shared" si="4"/>
        <v>5914467.7477574404</v>
      </c>
      <c r="Q36" s="106">
        <f t="shared" si="4"/>
        <v>6035144.2970539024</v>
      </c>
      <c r="R36" s="106">
        <f t="shared" si="4"/>
        <v>6035144.2970539024</v>
      </c>
      <c r="S36" s="106">
        <f t="shared" si="4"/>
        <v>6155820.8463503625</v>
      </c>
      <c r="T36" s="106">
        <f t="shared" si="4"/>
        <v>6155820.8463503625</v>
      </c>
      <c r="U36" s="106">
        <f t="shared" si="4"/>
        <v>6276497.3956468226</v>
      </c>
      <c r="V36" s="106">
        <f t="shared" si="4"/>
        <v>6276497.3956468226</v>
      </c>
      <c r="W36" s="106">
        <f t="shared" si="4"/>
        <v>6276497.3956468226</v>
      </c>
      <c r="X36" s="106">
        <f t="shared" si="4"/>
        <v>6276497.3956468226</v>
      </c>
      <c r="Y36" s="106">
        <f t="shared" si="4"/>
        <v>6276497.3956468226</v>
      </c>
      <c r="Z36" s="106">
        <f t="shared" si="4"/>
        <v>6276497.3956468226</v>
      </c>
      <c r="AA36" s="106">
        <f t="shared" si="4"/>
        <v>6276497.3956468226</v>
      </c>
      <c r="AB36" s="106">
        <f t="shared" si="4"/>
        <v>6276497.3956468226</v>
      </c>
      <c r="AC36" s="106">
        <f>SUM(AC28:AC34)</f>
        <v>6276497.3956468226</v>
      </c>
      <c r="AD36" s="106">
        <f>SUM(AD28:AD34)</f>
        <v>6276497.3956468226</v>
      </c>
      <c r="AE36" s="106">
        <f>SUM(AE28:AE34)</f>
        <v>6276497.3956468226</v>
      </c>
      <c r="AF36" s="106">
        <f>SUM(AF28:AF34)</f>
        <v>6276497.3956468226</v>
      </c>
      <c r="AG36" s="106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3.5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5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ht="13.5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3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35">
      <c r="C42" s="1" t="s">
        <v>127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ht="13.5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ht="13.5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ht="13.5" x14ac:dyDescent="0.3">
      <c r="C57" s="3" t="s">
        <v>123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5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5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2"/>
    </row>
    <row r="64" spans="1:43" x14ac:dyDescent="0.3">
      <c r="C64" s="4" t="s">
        <v>119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3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ht="13.5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3">
      <c r="A84" s="8"/>
      <c r="B84" s="8"/>
      <c r="C84" s="4" t="s">
        <v>137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3">
      <c r="A85" s="8"/>
      <c r="B85" s="8"/>
      <c r="C85" s="4" t="s">
        <v>120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80" t="s">
        <v>182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3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231"/>
      <c r="D91" s="231"/>
      <c r="E91" s="231"/>
      <c r="F91" s="231"/>
      <c r="G91" s="231"/>
    </row>
    <row r="92" spans="1:33" x14ac:dyDescent="0.3">
      <c r="C92" s="231"/>
      <c r="D92" s="231"/>
      <c r="E92" s="231"/>
      <c r="F92" s="231"/>
      <c r="G92" s="231"/>
    </row>
    <row r="94" spans="1:33" x14ac:dyDescent="0.3">
      <c r="G94" s="12"/>
    </row>
    <row r="102" spans="1:43" ht="14.5" x14ac:dyDescent="0.3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ht="13.5" x14ac:dyDescent="0.3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ht="13.5" x14ac:dyDescent="0.3">
      <c r="A106" s="1" t="s">
        <v>117</v>
      </c>
      <c r="C106" s="1" t="s">
        <v>182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ht="13.5" x14ac:dyDescent="0.3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3">
      <c r="C108" s="1" t="s">
        <v>235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7" priority="12">
      <formula>AND(SUM($I14:$AB14)&lt;&gt;0, E14=0)</formula>
    </cfRule>
  </conditionalFormatting>
  <conditionalFormatting sqref="E28">
    <cfRule type="expression" dxfId="16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3" outlineLevelRow="1" x14ac:dyDescent="0.3"/>
  <cols>
    <col min="1" max="1" width="5.4609375" style="1" customWidth="1"/>
    <col min="2" max="2" width="4.15234375" style="1" customWidth="1"/>
    <col min="3" max="3" width="33.84375" style="1" customWidth="1"/>
    <col min="4" max="4" width="12.3828125" style="1" customWidth="1"/>
    <col min="5" max="5" width="12.4609375" style="1" customWidth="1"/>
    <col min="6" max="6" width="7.76562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5" x14ac:dyDescent="0.4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5" x14ac:dyDescent="0.35">
      <c r="A3" s="203" t="s">
        <v>128</v>
      </c>
      <c r="B3" s="5"/>
      <c r="C3" s="200" t="str">
        <f>INDEX(Assumptions!$E$14:$E$18, MATCH(A3,_xlfn.ANCHORARRAY( Assumptions!$C$14),0))</f>
        <v>Replace all CRO inoperatble RMUs over 1 year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5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5" x14ac:dyDescent="0.3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</row>
    <row r="13" spans="1:43" ht="13.5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7" t="s">
        <v>301</v>
      </c>
      <c r="D14"/>
      <c r="E14" s="148">
        <v>55</v>
      </c>
      <c r="F14" s="350" t="s">
        <v>17</v>
      </c>
      <c r="G14" s="207">
        <f>input_dollars</f>
        <v>45291</v>
      </c>
      <c r="H14" s="149"/>
      <c r="I14" s="32">
        <f>INDEX(Workings_costs!K$27:K$79, MATCH($A$3&amp;$F14, Workings_costs!$G$27:$G$79,0))</f>
        <v>34852519</v>
      </c>
      <c r="J14" s="32">
        <f>INDEX(Workings_costs!L$27:L$79, MATCH($A$3&amp;$F14, Workings_costs!$G$27:$G$79,0))</f>
        <v>0</v>
      </c>
      <c r="K14" s="32">
        <f>INDEX(Workings_costs!M$27:M$79, MATCH($A$3&amp;$F14, Workings_costs!$G$27:$G$79,0))</f>
        <v>0</v>
      </c>
      <c r="L14" s="32">
        <f>INDEX(Workings_costs!N$27:N$79, MATCH($A$3&amp;$F14, Workings_costs!$G$27:$G$79,0))</f>
        <v>0</v>
      </c>
      <c r="M14" s="32">
        <f>INDEX(Workings_costs!O$27:O$79, MATCH($A$3&amp;$F14, Workings_costs!$G$27:$G$79,0))</f>
        <v>0</v>
      </c>
      <c r="N14" s="32">
        <f>INDEX(Workings_costs!P$27:P$79, MATCH($A$3&amp;$F14, Workings_costs!$G$27:$G$79,0))</f>
        <v>0</v>
      </c>
      <c r="O14" s="32">
        <f>INDEX(Workings_costs!Q$27:Q$79, MATCH($A$3&amp;$F14, Workings_costs!$G$27:$G$79,0))</f>
        <v>0</v>
      </c>
      <c r="P14" s="32">
        <f>INDEX(Workings_costs!R$27:R$79, MATCH($A$3&amp;$F14, Workings_costs!$G$27:$G$79,0))</f>
        <v>0</v>
      </c>
      <c r="Q14" s="32">
        <f>INDEX(Workings_costs!S$27:S$79, MATCH($A$3&amp;$F14, Workings_costs!$G$27:$G$79,0))</f>
        <v>0</v>
      </c>
      <c r="R14" s="32">
        <f>INDEX(Workings_costs!T$27:T$79, MATCH($A$3&amp;$F14, Workings_costs!$G$27:$G$79,0))</f>
        <v>0</v>
      </c>
      <c r="S14" s="32">
        <f>INDEX(Workings_costs!U$27:U$79, MATCH($A$3&amp;$F14, Workings_costs!$G$27:$G$79,0))</f>
        <v>0</v>
      </c>
      <c r="T14" s="32">
        <f>INDEX(Workings_costs!V$27:V$79, MATCH($A$3&amp;$F14, Workings_costs!$G$27:$G$79,0))</f>
        <v>0</v>
      </c>
      <c r="U14" s="32">
        <f>INDEX(Workings_costs!W$27:W$79, MATCH($A$3&amp;$F14, Workings_costs!$G$27:$G$79,0))</f>
        <v>0</v>
      </c>
      <c r="V14" s="32">
        <f>INDEX(Workings_costs!X$27:X$79, MATCH($A$3&amp;$F14, Workings_costs!$G$27:$G$79,0))</f>
        <v>0</v>
      </c>
      <c r="W14" s="32">
        <f>INDEX(Workings_costs!Y$27:Y$79, MATCH($A$3&amp;$F14, Workings_costs!$G$27:$G$79,0))</f>
        <v>0</v>
      </c>
      <c r="X14" s="32">
        <f>INDEX(Workings_costs!Z$27:Z$79, MATCH($A$3&amp;$F14, Workings_costs!$G$27:$G$79,0))</f>
        <v>0</v>
      </c>
      <c r="Y14" s="32">
        <f>INDEX(Workings_costs!AA$27:AA$79, MATCH($A$3&amp;$F14, Workings_costs!$G$27:$G$79,0))</f>
        <v>0</v>
      </c>
      <c r="Z14" s="32">
        <f>INDEX(Workings_costs!AB$27:AB$79, MATCH($A$3&amp;$F14, Workings_costs!$G$27:$G$79,0))</f>
        <v>0</v>
      </c>
      <c r="AA14" s="32">
        <f>INDEX(Workings_costs!AC$27:AC$79, MATCH($A$3&amp;$F14, Workings_costs!$G$27:$G$79,0))</f>
        <v>0</v>
      </c>
      <c r="AB14" s="32">
        <f>INDEX(Workings_costs!AD$27:AD$79, MATCH($A$3&amp;$F14, Workings_costs!$G$27:$G$79,0))</f>
        <v>0</v>
      </c>
      <c r="AC14" s="32">
        <f>INDEX(Workings_costs!AE$27:AE$79, MATCH($A$3&amp;$F14, Workings_costs!$G$27:$G$79,0))</f>
        <v>0</v>
      </c>
      <c r="AD14" s="32">
        <f>INDEX(Workings_costs!AF$27:AF$79, MATCH($A$3&amp;$F14, Workings_costs!$G$27:$G$79,0))</f>
        <v>0</v>
      </c>
      <c r="AE14" s="32">
        <f>INDEX(Workings_costs!AG$27:AG$79, MATCH($A$3&amp;$F14, Workings_costs!$G$27:$G$79,0))</f>
        <v>0</v>
      </c>
      <c r="AF14" s="32">
        <f>INDEX(Workings_costs!AH$27:AH$79, MATCH($A$3&amp;$F14, Workings_costs!$G$27:$G$79,0))</f>
        <v>0</v>
      </c>
      <c r="AG14" s="32">
        <f>INDEX(Workings_costs!AI$27:AI$79, MATCH($A$3&amp;$F14, Workings_costs!$G$27:$G$79,0))</f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ht="13.5" x14ac:dyDescent="0.3">
      <c r="C17" s="6" t="s">
        <v>30</v>
      </c>
      <c r="F17" s="350"/>
      <c r="G17" s="207">
        <f>input_dollars</f>
        <v>45291</v>
      </c>
      <c r="H17" s="107"/>
      <c r="I17" s="106">
        <f t="shared" ref="I17:Q17" si="0">SUM(I14:I16)</f>
        <v>34852519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ht="13.5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3.5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3">
      <c r="G20" s="205"/>
    </row>
    <row r="21" spans="1:43" ht="13.5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148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3.5" x14ac:dyDescent="0.3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ht="13.5" x14ac:dyDescent="0.3">
      <c r="C28" s="1" t="s">
        <v>122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ht="13.5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3.5" x14ac:dyDescent="0.3">
      <c r="C30" s="1" t="s">
        <v>114</v>
      </c>
      <c r="D30" s="205" t="s">
        <v>202</v>
      </c>
      <c r="F30" s="350" t="s">
        <v>97</v>
      </c>
      <c r="G30" s="207">
        <f>input_dollars</f>
        <v>45291</v>
      </c>
      <c r="H30" s="149"/>
      <c r="I30" s="32">
        <f>INDEX(Workings_risks!I$22:I$233, MATCH($A$3&amp;$F30, Workings_risks!$G$22:$G$233,0))</f>
        <v>0</v>
      </c>
      <c r="J30" s="32">
        <f>INDEX(Workings_risks!J$22:J$233, MATCH($A$3&amp;$F30, Workings_risks!$G$22:$G$233,0))</f>
        <v>85948.832788403888</v>
      </c>
      <c r="K30" s="32">
        <f>INDEX(Workings_risks!K$22:K$233, MATCH($A$3&amp;$F30, Workings_risks!$G$22:$G$233,0))</f>
        <v>0</v>
      </c>
      <c r="L30" s="32">
        <f>INDEX(Workings_risks!L$22:L$233, MATCH($A$3&amp;$F30, Workings_risks!$G$22:$G$233,0))</f>
        <v>0</v>
      </c>
      <c r="M30" s="32">
        <f>INDEX(Workings_risks!M$22:M$233, MATCH($A$3&amp;$F30, Workings_risks!$G$22:$G$233,0))</f>
        <v>0</v>
      </c>
      <c r="N30" s="32">
        <f>INDEX(Workings_risks!N$22:N$233, MATCH($A$3&amp;$F30, Workings_risks!$G$22:$G$233,0))</f>
        <v>0</v>
      </c>
      <c r="O30" s="32">
        <f>INDEX(Workings_risks!O$22:O$233, MATCH($A$3&amp;$F30, Workings_risks!$G$22:$G$233,0))</f>
        <v>0</v>
      </c>
      <c r="P30" s="32">
        <f>INDEX(Workings_risks!P$22:P$233, MATCH($A$3&amp;$F30, Workings_risks!$G$22:$G$233,0))</f>
        <v>0</v>
      </c>
      <c r="Q30" s="32">
        <f>INDEX(Workings_risks!Q$22:Q$233, MATCH($A$3&amp;$F30, Workings_risks!$G$22:$G$233,0))</f>
        <v>0</v>
      </c>
      <c r="R30" s="32">
        <f>INDEX(Workings_risks!R$22:R$233, MATCH($A$3&amp;$F30, Workings_risks!$G$22:$G$233,0))</f>
        <v>0</v>
      </c>
      <c r="S30" s="32">
        <f>INDEX(Workings_risks!S$22:S$233, MATCH($A$3&amp;$F30, Workings_risks!$G$22:$G$233,0))</f>
        <v>0</v>
      </c>
      <c r="T30" s="32">
        <f>INDEX(Workings_risks!T$22:T$233, MATCH($A$3&amp;$F30, Workings_risks!$G$22:$G$233,0))</f>
        <v>0</v>
      </c>
      <c r="U30" s="32">
        <f>INDEX(Workings_risks!U$22:U$233, MATCH($A$3&amp;$F30, Workings_risks!$G$22:$G$233,0))</f>
        <v>0</v>
      </c>
      <c r="V30" s="32">
        <f>INDEX(Workings_risks!V$22:V$233, MATCH($A$3&amp;$F30, Workings_risks!$G$22:$G$233,0))</f>
        <v>0</v>
      </c>
      <c r="W30" s="32">
        <f>INDEX(Workings_risks!W$22:W$233, MATCH($A$3&amp;$F30, Workings_risks!$G$22:$G$233,0))</f>
        <v>0</v>
      </c>
      <c r="X30" s="32">
        <f>INDEX(Workings_risks!X$22:X$233, MATCH($A$3&amp;$F30, Workings_risks!$G$22:$G$233,0))</f>
        <v>0</v>
      </c>
      <c r="Y30" s="32">
        <f>INDEX(Workings_risks!Y$22:Y$233, MATCH($A$3&amp;$F30, Workings_risks!$G$22:$G$233,0))</f>
        <v>0</v>
      </c>
      <c r="Z30" s="32">
        <f>INDEX(Workings_risks!Z$22:Z$233, MATCH($A$3&amp;$F30, Workings_risks!$G$22:$G$233,0))</f>
        <v>0</v>
      </c>
      <c r="AA30" s="32">
        <f>INDEX(Workings_risks!AA$22:AA$233, MATCH($A$3&amp;$F30, Workings_risks!$G$22:$G$233,0))</f>
        <v>0</v>
      </c>
      <c r="AB30" s="32">
        <f>INDEX(Workings_risks!AB$22:AB$233, MATCH($A$3&amp;$F30, Workings_risks!$G$22:$G$233,0))</f>
        <v>0</v>
      </c>
      <c r="AC30" s="32">
        <f>INDEX(Workings_risks!AC$22:AC$233, MATCH($A$3&amp;$F30, Workings_risks!$G$22:$G$233,0))</f>
        <v>0</v>
      </c>
      <c r="AD30" s="32">
        <f>INDEX(Workings_risks!AD$22:AD$233, MATCH($A$3&amp;$F30, Workings_risks!$G$22:$G$233,0))</f>
        <v>0</v>
      </c>
      <c r="AE30" s="32">
        <f>INDEX(Workings_risks!AE$22:AE$233, MATCH($A$3&amp;$F30, Workings_risks!$G$22:$G$233,0))</f>
        <v>0</v>
      </c>
      <c r="AF30" s="32">
        <f>INDEX(Workings_risks!AF$22:AF$233, MATCH($A$3&amp;$F30, Workings_risks!$G$22:$G$233,0))</f>
        <v>0</v>
      </c>
      <c r="AG30" s="32">
        <f>INDEX(Workings_risks!AG$22:AG$233, MATCH($A$3&amp;$F30, Workings_risks!$G$22:$G$233,0))</f>
        <v>0</v>
      </c>
      <c r="AH30"/>
      <c r="AI30"/>
      <c r="AJ30"/>
      <c r="AK30"/>
      <c r="AL30"/>
      <c r="AM30"/>
      <c r="AN30"/>
      <c r="AO30"/>
      <c r="AP30"/>
      <c r="AQ30"/>
    </row>
    <row r="31" spans="1:43" ht="13.5" x14ac:dyDescent="0.3">
      <c r="C31" s="1" t="s">
        <v>243</v>
      </c>
      <c r="D31" s="206"/>
      <c r="E31"/>
      <c r="F31" s="350" t="s">
        <v>243</v>
      </c>
      <c r="G31" s="207">
        <f>input_dollars</f>
        <v>45291</v>
      </c>
      <c r="H31" s="149"/>
      <c r="I31" s="32">
        <f>INDEX(Workings_risks!I$22:I$233, MATCH($A$3&amp;$F31, Workings_risks!$G$22:$G$233,0))</f>
        <v>4828378.8040892947</v>
      </c>
      <c r="J31" s="32">
        <f>INDEX(Workings_risks!J$22:J$233, MATCH($A$3&amp;$F31, Workings_risks!$G$22:$G$233,0))</f>
        <v>0</v>
      </c>
      <c r="K31" s="32">
        <f>INDEX(Workings_risks!K$22:K$233, MATCH($A$3&amp;$F31, Workings_risks!$G$22:$G$233,0))</f>
        <v>0</v>
      </c>
      <c r="L31" s="32">
        <f>INDEX(Workings_risks!L$22:L$233, MATCH($A$3&amp;$F31, Workings_risks!$G$22:$G$233,0))</f>
        <v>0</v>
      </c>
      <c r="M31" s="32">
        <f>INDEX(Workings_risks!M$22:M$233, MATCH($A$3&amp;$F31, Workings_risks!$G$22:$G$233,0))</f>
        <v>0</v>
      </c>
      <c r="N31" s="32">
        <f>INDEX(Workings_risks!N$22:N$233, MATCH($A$3&amp;$F31, Workings_risks!$G$22:$G$233,0))</f>
        <v>0</v>
      </c>
      <c r="O31" s="32">
        <f>INDEX(Workings_risks!O$22:O$233, MATCH($A$3&amp;$F31, Workings_risks!$G$22:$G$233,0))</f>
        <v>0</v>
      </c>
      <c r="P31" s="32">
        <f>INDEX(Workings_risks!P$22:P$233, MATCH($A$3&amp;$F31, Workings_risks!$G$22:$G$233,0))</f>
        <v>0</v>
      </c>
      <c r="Q31" s="32">
        <f>INDEX(Workings_risks!Q$22:Q$233, MATCH($A$3&amp;$F31, Workings_risks!$G$22:$G$233,0))</f>
        <v>0</v>
      </c>
      <c r="R31" s="32">
        <f>INDEX(Workings_risks!R$22:R$233, MATCH($A$3&amp;$F31, Workings_risks!$G$22:$G$233,0))</f>
        <v>0</v>
      </c>
      <c r="S31" s="32">
        <f>INDEX(Workings_risks!S$22:S$233, MATCH($A$3&amp;$F31, Workings_risks!$G$22:$G$233,0))</f>
        <v>0</v>
      </c>
      <c r="T31" s="32">
        <f>INDEX(Workings_risks!T$22:T$233, MATCH($A$3&amp;$F31, Workings_risks!$G$22:$G$233,0))</f>
        <v>0</v>
      </c>
      <c r="U31" s="32">
        <f>INDEX(Workings_risks!U$22:U$233, MATCH($A$3&amp;$F31, Workings_risks!$G$22:$G$233,0))</f>
        <v>0</v>
      </c>
      <c r="V31" s="32">
        <f>INDEX(Workings_risks!V$22:V$233, MATCH($A$3&amp;$F31, Workings_risks!$G$22:$G$233,0))</f>
        <v>0</v>
      </c>
      <c r="W31" s="32">
        <f>INDEX(Workings_risks!W$22:W$233, MATCH($A$3&amp;$F31, Workings_risks!$G$22:$G$233,0))</f>
        <v>0</v>
      </c>
      <c r="X31" s="32">
        <f>INDEX(Workings_risks!X$22:X$233, MATCH($A$3&amp;$F31, Workings_risks!$G$22:$G$233,0))</f>
        <v>0</v>
      </c>
      <c r="Y31" s="32">
        <f>INDEX(Workings_risks!Y$22:Y$233, MATCH($A$3&amp;$F31, Workings_risks!$G$22:$G$233,0))</f>
        <v>0</v>
      </c>
      <c r="Z31" s="32">
        <f>INDEX(Workings_risks!Z$22:Z$233, MATCH($A$3&amp;$F31, Workings_risks!$G$22:$G$233,0))</f>
        <v>0</v>
      </c>
      <c r="AA31" s="32">
        <f>INDEX(Workings_risks!AA$22:AA$233, MATCH($A$3&amp;$F31, Workings_risks!$G$22:$G$233,0))</f>
        <v>0</v>
      </c>
      <c r="AB31" s="32">
        <f>INDEX(Workings_risks!AB$22:AB$233, MATCH($A$3&amp;$F31, Workings_risks!$G$22:$G$233,0))</f>
        <v>0</v>
      </c>
      <c r="AC31" s="32">
        <f>INDEX(Workings_risks!AC$22:AC$233, MATCH($A$3&amp;$F31, Workings_risks!$G$22:$G$233,0))</f>
        <v>0</v>
      </c>
      <c r="AD31" s="32">
        <f>INDEX(Workings_risks!AD$22:AD$233, MATCH($A$3&amp;$F31, Workings_risks!$G$22:$G$233,0))</f>
        <v>0</v>
      </c>
      <c r="AE31" s="32">
        <f>INDEX(Workings_risks!AE$22:AE$233, MATCH($A$3&amp;$F31, Workings_risks!$G$22:$G$233,0))</f>
        <v>0</v>
      </c>
      <c r="AF31" s="32">
        <f>INDEX(Workings_risks!AF$22:AF$233, MATCH($A$3&amp;$F31, Workings_risks!$G$22:$G$233,0))</f>
        <v>0</v>
      </c>
      <c r="AG31" s="32">
        <f>INDEX(Workings_risks!AG$22:AG$233, MATCH($A$3&amp;$F31, Workings_risks!$G$22:$G$233,0))</f>
        <v>0</v>
      </c>
      <c r="AH31"/>
      <c r="AI31"/>
      <c r="AJ31"/>
      <c r="AK31"/>
      <c r="AL31"/>
      <c r="AM31"/>
      <c r="AN31"/>
      <c r="AO31"/>
      <c r="AP31"/>
      <c r="AQ31"/>
    </row>
    <row r="32" spans="1:43" ht="13.5" x14ac:dyDescent="0.3">
      <c r="C32" s="1" t="s">
        <v>288</v>
      </c>
      <c r="D32" s="205" t="s">
        <v>202</v>
      </c>
      <c r="E32"/>
      <c r="F32" s="350" t="s">
        <v>302</v>
      </c>
      <c r="G32" s="207">
        <f>input_dollars</f>
        <v>45291</v>
      </c>
      <c r="H32"/>
      <c r="I32" s="32">
        <f>INDEX(Workings_risks!I$22:I$233, MATCH($A$3&amp;$F32, Workings_risks!$G$22:$G$233,0))</f>
        <v>0</v>
      </c>
      <c r="J32" s="32">
        <f>INDEX(Workings_risks!J$22:J$233, MATCH($A$3&amp;$F32, Workings_risks!$G$22:$G$233,0))</f>
        <v>0</v>
      </c>
      <c r="K32" s="32">
        <f>INDEX(Workings_risks!K$22:K$233, MATCH($A$3&amp;$F32, Workings_risks!$G$22:$G$233,0))</f>
        <v>0</v>
      </c>
      <c r="L32" s="32">
        <f>INDEX(Workings_risks!L$22:L$233, MATCH($A$3&amp;$F32, Workings_risks!$G$22:$G$233,0))</f>
        <v>0</v>
      </c>
      <c r="M32" s="32">
        <f>INDEX(Workings_risks!M$22:M$233, MATCH($A$3&amp;$F32, Workings_risks!$G$22:$G$233,0))</f>
        <v>0</v>
      </c>
      <c r="N32" s="32">
        <f>INDEX(Workings_risks!N$22:N$233, MATCH($A$3&amp;$F32, Workings_risks!$G$22:$G$233,0))</f>
        <v>0</v>
      </c>
      <c r="O32" s="32">
        <f>INDEX(Workings_risks!O$22:O$233, MATCH($A$3&amp;$F32, Workings_risks!$G$22:$G$233,0))</f>
        <v>0</v>
      </c>
      <c r="P32" s="32">
        <f>INDEX(Workings_risks!P$22:P$233, MATCH($A$3&amp;$F32, Workings_risks!$G$22:$G$233,0))</f>
        <v>0</v>
      </c>
      <c r="Q32" s="32">
        <f>INDEX(Workings_risks!Q$22:Q$233, MATCH($A$3&amp;$F32, Workings_risks!$G$22:$G$233,0))</f>
        <v>0</v>
      </c>
      <c r="R32" s="32">
        <f>INDEX(Workings_risks!R$22:R$233, MATCH($A$3&amp;$F32, Workings_risks!$G$22:$G$233,0))</f>
        <v>0</v>
      </c>
      <c r="S32" s="32">
        <f>INDEX(Workings_risks!S$22:S$233, MATCH($A$3&amp;$F32, Workings_risks!$G$22:$G$233,0))</f>
        <v>0</v>
      </c>
      <c r="T32" s="32">
        <f>INDEX(Workings_risks!T$22:T$233, MATCH($A$3&amp;$F32, Workings_risks!$G$22:$G$233,0))</f>
        <v>0</v>
      </c>
      <c r="U32" s="32">
        <f>INDEX(Workings_risks!U$22:U$233, MATCH($A$3&amp;$F32, Workings_risks!$G$22:$G$233,0))</f>
        <v>0</v>
      </c>
      <c r="V32" s="32">
        <f>INDEX(Workings_risks!V$22:V$233, MATCH($A$3&amp;$F32, Workings_risks!$G$22:$G$233,0))</f>
        <v>0</v>
      </c>
      <c r="W32" s="32">
        <f>INDEX(Workings_risks!W$22:W$233, MATCH($A$3&amp;$F32, Workings_risks!$G$22:$G$233,0))</f>
        <v>0</v>
      </c>
      <c r="X32" s="32">
        <f>INDEX(Workings_risks!X$22:X$233, MATCH($A$3&amp;$F32, Workings_risks!$G$22:$G$233,0))</f>
        <v>0</v>
      </c>
      <c r="Y32" s="32">
        <f>INDEX(Workings_risks!Y$22:Y$233, MATCH($A$3&amp;$F32, Workings_risks!$G$22:$G$233,0))</f>
        <v>0</v>
      </c>
      <c r="Z32" s="32">
        <f>INDEX(Workings_risks!Z$22:Z$233, MATCH($A$3&amp;$F32, Workings_risks!$G$22:$G$233,0))</f>
        <v>0</v>
      </c>
      <c r="AA32" s="32">
        <f>INDEX(Workings_risks!AA$22:AA$233, MATCH($A$3&amp;$F32, Workings_risks!$G$22:$G$233,0))</f>
        <v>0</v>
      </c>
      <c r="AB32" s="32">
        <f>INDEX(Workings_risks!AB$22:AB$233, MATCH($A$3&amp;$F32, Workings_risks!$G$22:$G$233,0))</f>
        <v>0</v>
      </c>
      <c r="AC32" s="32">
        <f>INDEX(Workings_risks!AC$22:AC$233, MATCH($A$3&amp;$F32, Workings_risks!$G$22:$G$233,0))</f>
        <v>0</v>
      </c>
      <c r="AD32" s="32">
        <f>INDEX(Workings_risks!AD$22:AD$233, MATCH($A$3&amp;$F32, Workings_risks!$G$22:$G$233,0))</f>
        <v>0</v>
      </c>
      <c r="AE32" s="32">
        <f>INDEX(Workings_risks!AE$22:AE$233, MATCH($A$3&amp;$F32, Workings_risks!$G$22:$G$233,0))</f>
        <v>0</v>
      </c>
      <c r="AF32" s="32">
        <f>INDEX(Workings_risks!AF$22:AF$233, MATCH($A$3&amp;$F32, Workings_risks!$G$22:$G$233,0))</f>
        <v>0</v>
      </c>
      <c r="AG32" s="32">
        <f>INDEX(Workings_risks!AG$22:AG$233, MATCH($A$3&amp;$F32, Workings_risks!$G$22:$G$233,0))</f>
        <v>0</v>
      </c>
      <c r="AH32"/>
      <c r="AI32"/>
      <c r="AJ32"/>
      <c r="AK32"/>
      <c r="AL32"/>
      <c r="AM32"/>
      <c r="AN32"/>
      <c r="AO32"/>
      <c r="AP32"/>
      <c r="AQ32"/>
    </row>
    <row r="33" spans="1:16372" ht="13.5" x14ac:dyDescent="0.3">
      <c r="C33" s="1" t="s">
        <v>289</v>
      </c>
      <c r="D33" s="219"/>
      <c r="E33"/>
      <c r="F33" s="350" t="s">
        <v>245</v>
      </c>
      <c r="G33" s="207">
        <f>input_dollars</f>
        <v>45291</v>
      </c>
      <c r="H33"/>
      <c r="I33" s="32">
        <f>INDEX(Workings_risks!I$22:I$233, MATCH($A$3&amp;$F33, Workings_risks!$G$22:$G$233,0))</f>
        <v>1858972.7344171612</v>
      </c>
      <c r="J33" s="32">
        <f>INDEX(Workings_risks!J$22:J$233, MATCH($A$3&amp;$F33, Workings_risks!$G$22:$G$233,0))</f>
        <v>0</v>
      </c>
      <c r="K33" s="32">
        <f>INDEX(Workings_risks!K$22:K$233, MATCH($A$3&amp;$F33, Workings_risks!$G$22:$G$233,0))</f>
        <v>0</v>
      </c>
      <c r="L33" s="32">
        <f>INDEX(Workings_risks!L$22:L$233, MATCH($A$3&amp;$F33, Workings_risks!$G$22:$G$233,0))</f>
        <v>0</v>
      </c>
      <c r="M33" s="32">
        <f>INDEX(Workings_risks!M$22:M$233, MATCH($A$3&amp;$F33, Workings_risks!$G$22:$G$233,0))</f>
        <v>0</v>
      </c>
      <c r="N33" s="32">
        <f>INDEX(Workings_risks!N$22:N$233, MATCH($A$3&amp;$F33, Workings_risks!$G$22:$G$233,0))</f>
        <v>0</v>
      </c>
      <c r="O33" s="32">
        <f>INDEX(Workings_risks!O$22:O$233, MATCH($A$3&amp;$F33, Workings_risks!$G$22:$G$233,0))</f>
        <v>0</v>
      </c>
      <c r="P33" s="32">
        <f>INDEX(Workings_risks!P$22:P$233, MATCH($A$3&amp;$F33, Workings_risks!$G$22:$G$233,0))</f>
        <v>0</v>
      </c>
      <c r="Q33" s="32">
        <f>INDEX(Workings_risks!Q$22:Q$233, MATCH($A$3&amp;$F33, Workings_risks!$G$22:$G$233,0))</f>
        <v>0</v>
      </c>
      <c r="R33" s="32">
        <f>INDEX(Workings_risks!R$22:R$233, MATCH($A$3&amp;$F33, Workings_risks!$G$22:$G$233,0))</f>
        <v>0</v>
      </c>
      <c r="S33" s="32">
        <f>INDEX(Workings_risks!S$22:S$233, MATCH($A$3&amp;$F33, Workings_risks!$G$22:$G$233,0))</f>
        <v>0</v>
      </c>
      <c r="T33" s="32">
        <f>INDEX(Workings_risks!T$22:T$233, MATCH($A$3&amp;$F33, Workings_risks!$G$22:$G$233,0))</f>
        <v>0</v>
      </c>
      <c r="U33" s="32">
        <f>INDEX(Workings_risks!U$22:U$233, MATCH($A$3&amp;$F33, Workings_risks!$G$22:$G$233,0))</f>
        <v>0</v>
      </c>
      <c r="V33" s="32">
        <f>INDEX(Workings_risks!V$22:V$233, MATCH($A$3&amp;$F33, Workings_risks!$G$22:$G$233,0))</f>
        <v>0</v>
      </c>
      <c r="W33" s="32">
        <f>INDEX(Workings_risks!W$22:W$233, MATCH($A$3&amp;$F33, Workings_risks!$G$22:$G$233,0))</f>
        <v>0</v>
      </c>
      <c r="X33" s="32">
        <f>INDEX(Workings_risks!X$22:X$233, MATCH($A$3&amp;$F33, Workings_risks!$G$22:$G$233,0))</f>
        <v>0</v>
      </c>
      <c r="Y33" s="32">
        <f>INDEX(Workings_risks!Y$22:Y$233, MATCH($A$3&amp;$F33, Workings_risks!$G$22:$G$233,0))</f>
        <v>0</v>
      </c>
      <c r="Z33" s="32">
        <f>INDEX(Workings_risks!Z$22:Z$233, MATCH($A$3&amp;$F33, Workings_risks!$G$22:$G$233,0))</f>
        <v>0</v>
      </c>
      <c r="AA33" s="32">
        <f>INDEX(Workings_risks!AA$22:AA$233, MATCH($A$3&amp;$F33, Workings_risks!$G$22:$G$233,0))</f>
        <v>0</v>
      </c>
      <c r="AB33" s="32">
        <f>INDEX(Workings_risks!AB$22:AB$233, MATCH($A$3&amp;$F33, Workings_risks!$G$22:$G$233,0))</f>
        <v>0</v>
      </c>
      <c r="AC33" s="32">
        <f>INDEX(Workings_risks!AC$22:AC$233, MATCH($A$3&amp;$F33, Workings_risks!$G$22:$G$233,0))</f>
        <v>0</v>
      </c>
      <c r="AD33" s="32">
        <f>INDEX(Workings_risks!AD$22:AD$233, MATCH($A$3&amp;$F33, Workings_risks!$G$22:$G$233,0))</f>
        <v>0</v>
      </c>
      <c r="AE33" s="32">
        <f>INDEX(Workings_risks!AE$22:AE$233, MATCH($A$3&amp;$F33, Workings_risks!$G$22:$G$233,0))</f>
        <v>0</v>
      </c>
      <c r="AF33" s="32">
        <f>INDEX(Workings_risks!AF$22:AF$233, MATCH($A$3&amp;$F33, Workings_risks!$G$22:$G$233,0))</f>
        <v>0</v>
      </c>
      <c r="AG33" s="32">
        <f>INDEX(Workings_risks!AG$22:AG$233, MATCH($A$3&amp;$F33, Workings_risks!$G$22:$G$233,0))</f>
        <v>0</v>
      </c>
      <c r="AH33"/>
      <c r="AI33"/>
      <c r="AJ33"/>
      <c r="AK33"/>
      <c r="AL33"/>
      <c r="AM33"/>
      <c r="AN33"/>
      <c r="AO33"/>
      <c r="AP33"/>
      <c r="AQ33"/>
    </row>
    <row r="34" spans="1:16372" ht="13.5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ht="13.5" x14ac:dyDescent="0.3">
      <c r="C36" s="3" t="s">
        <v>167</v>
      </c>
      <c r="D36" s="218"/>
      <c r="E36" s="107"/>
      <c r="F36" s="3"/>
      <c r="G36" s="209"/>
      <c r="H36" s="107"/>
      <c r="I36" s="170">
        <f>SUM(I28:I34)</f>
        <v>6687351.5385064557</v>
      </c>
      <c r="J36" s="170">
        <f t="shared" ref="J36:AG36" si="3">SUM(J28:J34)</f>
        <v>85948.832788403888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3.5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5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ht="13.5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3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35">
      <c r="C42" s="1" t="s">
        <v>127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ht="13.5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ht="13.5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3">
      <c r="C47" s="1" t="s">
        <v>5</v>
      </c>
      <c r="D47" s="205" t="s">
        <v>63</v>
      </c>
      <c r="E47" s="113">
        <f>Assumptions!G97</f>
        <v>4220.9953699573898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3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3">
      <c r="C49" s="1" t="s">
        <v>9</v>
      </c>
      <c r="D49" s="205" t="s">
        <v>200</v>
      </c>
      <c r="E49" s="112">
        <f>Assumptions!G99</f>
        <v>0.54769380678923496</v>
      </c>
      <c r="G49" s="207" t="s">
        <v>201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3">
      <c r="C50" s="1" t="s">
        <v>10</v>
      </c>
      <c r="D50" s="205" t="s">
        <v>200</v>
      </c>
      <c r="E50" s="112">
        <f>Assumptions!G100</f>
        <v>0.54769380678923496</v>
      </c>
      <c r="G50" s="207" t="s">
        <v>201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3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ht="13.5" x14ac:dyDescent="0.3">
      <c r="C57" s="3" t="s">
        <v>123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5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5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-1014236.8893419355</v>
      </c>
      <c r="J64" s="132">
        <f>(1-INDEX(Data!$C$9:$C$13, MATCH($A$3, options,0)))*('Option1 (base case)'!J36-J36)</f>
        <v>5587165.8163761161</v>
      </c>
      <c r="K64" s="132">
        <f>(1-INDEX(Data!$C$9:$C$13, MATCH($A$3, options,0)))*('Option1 (base case)'!K36-K36)</f>
        <v>5673114.6491645202</v>
      </c>
      <c r="L64" s="132">
        <f>(1-INDEX(Data!$C$9:$C$13, MATCH($A$3, options,0)))*('Option1 (base case)'!L36-L36)</f>
        <v>5793791.1984609803</v>
      </c>
      <c r="M64" s="132">
        <f>(1-INDEX(Data!$C$9:$C$13, MATCH($A$3, options,0)))*('Option1 (base case)'!M36-M36)</f>
        <v>5793791.1984609803</v>
      </c>
      <c r="N64" s="132">
        <f>(1-INDEX(Data!$C$9:$C$13, MATCH($A$3, options,0)))*('Option1 (base case)'!N36-N36)</f>
        <v>5793791.1984609803</v>
      </c>
      <c r="O64" s="132">
        <f>(1-INDEX(Data!$C$9:$C$13, MATCH($A$3, options,0)))*('Option1 (base case)'!O36-O36)</f>
        <v>5914467.7477574404</v>
      </c>
      <c r="P64" s="132">
        <f>(1-INDEX(Data!$C$9:$C$13, MATCH($A$3, options,0)))*('Option1 (base case)'!P36-P36)</f>
        <v>5914467.7477574404</v>
      </c>
      <c r="Q64" s="132">
        <f>(1-INDEX(Data!$C$9:$C$13, MATCH($A$3, options,0)))*('Option1 (base case)'!Q36-Q36)</f>
        <v>6035144.2970539024</v>
      </c>
      <c r="R64" s="132">
        <f>(1-INDEX(Data!$C$9:$C$13, MATCH($A$3, options,0)))*('Option1 (base case)'!R36-R36)</f>
        <v>6035144.2970539024</v>
      </c>
      <c r="S64" s="132">
        <f>(1-INDEX(Data!$C$9:$C$13, MATCH($A$3, options,0)))*('Option1 (base case)'!S36-S36)</f>
        <v>6155820.8463503625</v>
      </c>
      <c r="T64" s="132">
        <f>(1-INDEX(Data!$C$9:$C$13, MATCH($A$3, options,0)))*('Option1 (base case)'!T36-T36)</f>
        <v>6155820.8463503625</v>
      </c>
      <c r="U64" s="132">
        <f>(1-INDEX(Data!$C$9:$C$13, MATCH($A$3, options,0)))*('Option1 (base case)'!U36-U36)</f>
        <v>6276497.3956468226</v>
      </c>
      <c r="V64" s="132">
        <f>(1-INDEX(Data!$C$9:$C$13, MATCH($A$3, options,0)))*('Option1 (base case)'!V36-V36)</f>
        <v>6276497.3956468226</v>
      </c>
      <c r="W64" s="132">
        <f>(1-INDEX(Data!$C$9:$C$13, MATCH($A$3, options,0)))*('Option1 (base case)'!W36-W36)</f>
        <v>6276497.3956468226</v>
      </c>
      <c r="X64" s="132">
        <f>(1-INDEX(Data!$C$9:$C$13, MATCH($A$3, options,0)))*('Option1 (base case)'!X36-X36)</f>
        <v>6276497.3956468226</v>
      </c>
      <c r="Y64" s="132">
        <f>(1-INDEX(Data!$C$9:$C$13, MATCH($A$3, options,0)))*('Option1 (base case)'!Y36-Y36)</f>
        <v>6276497.3956468226</v>
      </c>
      <c r="Z64" s="132">
        <f>(1-INDEX(Data!$C$9:$C$13, MATCH($A$3, options,0)))*('Option1 (base case)'!Z36-Z36)</f>
        <v>6276497.3956468226</v>
      </c>
      <c r="AA64" s="132">
        <f>(1-INDEX(Data!$C$9:$C$13, MATCH($A$3, options,0)))*('Option1 (base case)'!AA36-AA36)</f>
        <v>6276497.3956468226</v>
      </c>
      <c r="AB64" s="132">
        <f>(1-INDEX(Data!$C$9:$C$13, MATCH($A$3, options,0)))*('Option1 (base case)'!AB36-AB36)</f>
        <v>6276497.3956468226</v>
      </c>
      <c r="AC64" s="132">
        <f>(1-INDEX(Data!$C$9:$C$13, MATCH($A$3, options,0)))*('Option1 (base case)'!AC36-AC36)</f>
        <v>6276497.3956468226</v>
      </c>
      <c r="AD64" s="132">
        <f>(1-INDEX(Data!$C$9:$C$13, MATCH($A$3, options,0)))*('Option1 (base case)'!AD36-AD36)</f>
        <v>6276497.3956468226</v>
      </c>
      <c r="AE64" s="132">
        <f>(1-INDEX(Data!$C$9:$C$13, MATCH($A$3, options,0)))*('Option1 (base case)'!AE36-AE36)</f>
        <v>6276497.3956468226</v>
      </c>
      <c r="AF64" s="132">
        <f>(1-INDEX(Data!$C$9:$C$13, MATCH($A$3, options,0)))*('Option1 (base case)'!AF36-AF36)</f>
        <v>6276497.3956468226</v>
      </c>
      <c r="AG64" s="132">
        <f>(1-INDEX(Data!$C$9:$C$13, MATCH($A$3, options,0)))*('Option1 (base case)'!AG36-AG36)</f>
        <v>0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5">-I14</f>
        <v>-34852519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-34852519</v>
      </c>
      <c r="J72" s="119" cm="1">
        <f t="array" ref="J72">SUMPRODUCT(($I67:J67))-SUMPRODUCT(($I67:J67)*($I$6:J$6&lt;=(J$6-$E14)))</f>
        <v>-34852519</v>
      </c>
      <c r="K72" s="119" cm="1">
        <f t="array" ref="K72">SUMPRODUCT(($I67:K67))-SUMPRODUCT(($I67:K67)*($I$6:K$6&lt;=(K$6-$E14)))</f>
        <v>-34852519</v>
      </c>
      <c r="L72" s="119" cm="1">
        <f t="array" ref="L72">SUMPRODUCT(($I67:L67))-SUMPRODUCT(($I67:L67)*($I$6:L$6&lt;=(L$6-$E14)))</f>
        <v>-34852519</v>
      </c>
      <c r="M72" s="119" cm="1">
        <f t="array" ref="M72">SUMPRODUCT(($I67:M67))-SUMPRODUCT(($I67:M67)*($I$6:M$6&lt;=(M$6-$E14)))</f>
        <v>-34852519</v>
      </c>
      <c r="N72" s="119" cm="1">
        <f t="array" ref="N72">SUMPRODUCT(($I67:N67))-SUMPRODUCT(($I67:N67)*($I$6:N$6&lt;=(N$6-$E14)))</f>
        <v>-34852519</v>
      </c>
      <c r="O72" s="119" cm="1">
        <f t="array" ref="O72">SUMPRODUCT(($I67:O67))-SUMPRODUCT(($I67:O67)*($I$6:O$6&lt;=(O$6-$E14)))</f>
        <v>-34852519</v>
      </c>
      <c r="P72" s="119" cm="1">
        <f t="array" ref="P72">SUMPRODUCT(($I67:P67))-SUMPRODUCT(($I67:P67)*($I$6:P$6&lt;=(P$6-$E14)))</f>
        <v>-34852519</v>
      </c>
      <c r="Q72" s="119" cm="1">
        <f t="array" ref="Q72">SUMPRODUCT(($I67:Q67))-SUMPRODUCT(($I67:Q67)*($I$6:Q$6&lt;=(Q$6-$E14)))</f>
        <v>-34852519</v>
      </c>
      <c r="R72" s="119" cm="1">
        <f t="array" ref="R72">SUMPRODUCT(($I67:R67))-SUMPRODUCT(($I67:R67)*($I$6:R$6&lt;=(R$6-$E14)))</f>
        <v>-34852519</v>
      </c>
      <c r="S72" s="119" cm="1">
        <f t="array" ref="S72">SUMPRODUCT(($I67:S67))-SUMPRODUCT(($I67:S67)*($I$6:S$6&lt;=(S$6-$E14)))</f>
        <v>-34852519</v>
      </c>
      <c r="T72" s="119" cm="1">
        <f t="array" ref="T72">SUMPRODUCT(($I67:T67))-SUMPRODUCT(($I67:T67)*($I$6:T$6&lt;=(T$6-$E14)))</f>
        <v>-34852519</v>
      </c>
      <c r="U72" s="119" cm="1">
        <f t="array" ref="U72">SUMPRODUCT(($I67:U67))-SUMPRODUCT(($I67:U67)*($I$6:U$6&lt;=(U$6-$E14)))</f>
        <v>-34852519</v>
      </c>
      <c r="V72" s="119" cm="1">
        <f t="array" ref="V72">SUMPRODUCT(($I67:V67))-SUMPRODUCT(($I67:V67)*($I$6:V$6&lt;=(V$6-$E14)))</f>
        <v>-34852519</v>
      </c>
      <c r="W72" s="119" cm="1">
        <f t="array" ref="W72">SUMPRODUCT(($I67:W67))-SUMPRODUCT(($I67:W67)*($I$6:W$6&lt;=(W$6-$E14)))</f>
        <v>-34852519</v>
      </c>
      <c r="X72" s="119" cm="1">
        <f t="array" ref="X72">SUMPRODUCT(($I67:X67))-SUMPRODUCT(($I67:X67)*($I$6:X$6&lt;=(X$6-$E14)))</f>
        <v>-34852519</v>
      </c>
      <c r="Y72" s="119" cm="1">
        <f t="array" ref="Y72">SUMPRODUCT(($I67:Y67))-SUMPRODUCT(($I67:Y67)*($I$6:Y$6&lt;=(Y$6-$E14)))</f>
        <v>-34852519</v>
      </c>
      <c r="Z72" s="119" cm="1">
        <f t="array" ref="Z72">SUMPRODUCT(($I67:Z67))-SUMPRODUCT(($I67:Z67)*($I$6:Z$6&lt;=(Z$6-$E14)))</f>
        <v>-34852519</v>
      </c>
      <c r="AA72" s="119" cm="1">
        <f t="array" ref="AA72">SUMPRODUCT(($I67:AA67))-SUMPRODUCT(($I67:AA67)*($I$6:AA$6&lt;=(AA$6-$E14)))</f>
        <v>-34852519</v>
      </c>
      <c r="AB72" s="119" cm="1">
        <f t="array" ref="AB72">SUMPRODUCT(($I67:AB67))-SUMPRODUCT(($I67:AB67)*($I$6:AB$6&lt;=(AB$6-$E14)))</f>
        <v>-34852519</v>
      </c>
      <c r="AC72" s="119" cm="1">
        <f t="array" ref="AC72">SUMPRODUCT(($I67:AC67))-SUMPRODUCT(($I67:AC67)*($I$6:AC$6&lt;=(AC$6-$E14)))</f>
        <v>-34852519</v>
      </c>
      <c r="AD72" s="119" cm="1">
        <f t="array" ref="AD72">SUMPRODUCT(($I67:AD67))-SUMPRODUCT(($I67:AD67)*($I$6:AD$6&lt;=(AD$6-$E14)))</f>
        <v>-34852519</v>
      </c>
      <c r="AE72" s="119" cm="1">
        <f t="array" ref="AE72">SUMPRODUCT(($I67:AE67))-SUMPRODUCT(($I67:AE67)*($I$6:AE$6&lt;=(AE$6-$E14)))</f>
        <v>-34852519</v>
      </c>
      <c r="AF72" s="119" cm="1">
        <f t="array" ref="AF72">SUMPRODUCT(($I67:AF67))-SUMPRODUCT(($I67:AF67)*($I$6:AF$6&lt;=(AF$6-$E14)))</f>
        <v>-34852519</v>
      </c>
      <c r="AG72" s="119" cm="1">
        <f t="array" ref="AG72">SUMPRODUCT(($I67:AG67))-SUMPRODUCT(($I67:AG67)*($I$6:AG$6&lt;=(AG$6-$E14)))</f>
        <v>-34852519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-1436384.8720159719</v>
      </c>
      <c r="K77" s="119">
        <f t="shared" si="8"/>
        <v>-1436384.8720159719</v>
      </c>
      <c r="L77" s="119">
        <f t="shared" si="8"/>
        <v>-1436384.8720159719</v>
      </c>
      <c r="M77" s="119">
        <f t="shared" si="8"/>
        <v>-1436384.8720159719</v>
      </c>
      <c r="N77" s="119">
        <f t="shared" si="8"/>
        <v>-1436384.8720159719</v>
      </c>
      <c r="O77" s="119">
        <f t="shared" si="8"/>
        <v>-1436384.8720159719</v>
      </c>
      <c r="P77" s="119">
        <f t="shared" si="8"/>
        <v>-1436384.8720159719</v>
      </c>
      <c r="Q77" s="119">
        <f t="shared" si="8"/>
        <v>-1436384.8720159719</v>
      </c>
      <c r="R77" s="119">
        <f t="shared" si="8"/>
        <v>-1436384.8720159719</v>
      </c>
      <c r="S77" s="119">
        <f t="shared" si="8"/>
        <v>-1436384.8720159719</v>
      </c>
      <c r="T77" s="119">
        <f t="shared" si="8"/>
        <v>-1436384.8720159719</v>
      </c>
      <c r="U77" s="119">
        <f t="shared" si="8"/>
        <v>-1436384.8720159719</v>
      </c>
      <c r="V77" s="119">
        <f t="shared" si="8"/>
        <v>-1436384.8720159719</v>
      </c>
      <c r="W77" s="119">
        <f t="shared" si="8"/>
        <v>-1436384.8720159719</v>
      </c>
      <c r="X77" s="119">
        <f t="shared" si="8"/>
        <v>-1436384.8720159719</v>
      </c>
      <c r="Y77" s="119">
        <f t="shared" si="8"/>
        <v>-1436384.8720159719</v>
      </c>
      <c r="Z77" s="119">
        <f t="shared" si="8"/>
        <v>-1436384.8720159719</v>
      </c>
      <c r="AA77" s="119">
        <f t="shared" si="8"/>
        <v>-1436384.8720159719</v>
      </c>
      <c r="AB77" s="119">
        <f t="shared" si="8"/>
        <v>-1436384.8720159719</v>
      </c>
      <c r="AC77" s="119">
        <f t="shared" si="8"/>
        <v>-1436384.8720159719</v>
      </c>
      <c r="AD77" s="119">
        <f t="shared" si="8"/>
        <v>-1436384.8720159719</v>
      </c>
      <c r="AE77" s="119">
        <f t="shared" si="8"/>
        <v>-1436384.8720159719</v>
      </c>
      <c r="AF77" s="119">
        <f t="shared" si="8"/>
        <v>-1436384.8720159719</v>
      </c>
      <c r="AG77" s="119">
        <f t="shared" si="8"/>
        <v>-1436384.8720159719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3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-1436384.8720159719</v>
      </c>
      <c r="K80" s="176">
        <f t="shared" si="11"/>
        <v>-1436384.8720159719</v>
      </c>
      <c r="L80" s="176">
        <f t="shared" si="11"/>
        <v>-1436384.8720159719</v>
      </c>
      <c r="M80" s="176">
        <f t="shared" si="11"/>
        <v>-1436384.8720159719</v>
      </c>
      <c r="N80" s="176">
        <f t="shared" si="11"/>
        <v>-1436384.8720159719</v>
      </c>
      <c r="O80" s="176">
        <f t="shared" si="11"/>
        <v>-1436384.8720159719</v>
      </c>
      <c r="P80" s="176">
        <f t="shared" si="11"/>
        <v>-1436384.8720159719</v>
      </c>
      <c r="Q80" s="176">
        <f t="shared" si="11"/>
        <v>-1436384.8720159719</v>
      </c>
      <c r="R80" s="176">
        <f t="shared" si="11"/>
        <v>-1436384.8720159719</v>
      </c>
      <c r="S80" s="176">
        <f t="shared" si="11"/>
        <v>-1436384.8720159719</v>
      </c>
      <c r="T80" s="176">
        <f t="shared" si="11"/>
        <v>-1436384.8720159719</v>
      </c>
      <c r="U80" s="176">
        <f t="shared" si="11"/>
        <v>-1436384.8720159719</v>
      </c>
      <c r="V80" s="176">
        <f t="shared" si="11"/>
        <v>-1436384.8720159719</v>
      </c>
      <c r="W80" s="176">
        <f t="shared" si="11"/>
        <v>-1436384.8720159719</v>
      </c>
      <c r="X80" s="176">
        <f t="shared" si="11"/>
        <v>-1436384.8720159719</v>
      </c>
      <c r="Y80" s="176">
        <f t="shared" si="11"/>
        <v>-1436384.8720159719</v>
      </c>
      <c r="Z80" s="176">
        <f t="shared" si="11"/>
        <v>-1436384.8720159719</v>
      </c>
      <c r="AA80" s="176">
        <f t="shared" si="11"/>
        <v>-1436384.8720159719</v>
      </c>
      <c r="AB80" s="176">
        <f t="shared" si="11"/>
        <v>-1436384.8720159719</v>
      </c>
      <c r="AC80" s="176">
        <f>SUM(AC77:AC79)</f>
        <v>-1436384.8720159719</v>
      </c>
      <c r="AD80" s="176">
        <f>SUM(AD77:AD79)</f>
        <v>-1436384.8720159719</v>
      </c>
      <c r="AE80" s="176">
        <f>SUM(AE77:AE79)</f>
        <v>-1436384.8720159719</v>
      </c>
      <c r="AF80" s="176">
        <f>SUM(AF77:AF79)</f>
        <v>-1436384.8720159719</v>
      </c>
      <c r="AG80" s="176">
        <f>SUM(AG77:AG79)</f>
        <v>-1436384.8720159719</v>
      </c>
    </row>
    <row r="81" spans="1:33" ht="13.5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-1436384.8720159719</v>
      </c>
      <c r="K82" s="119">
        <f t="shared" si="13"/>
        <v>-1436384.8720159719</v>
      </c>
      <c r="L82" s="119">
        <f t="shared" si="13"/>
        <v>-1436384.8720159719</v>
      </c>
      <c r="M82" s="119">
        <f t="shared" si="13"/>
        <v>-1436384.8720159719</v>
      </c>
      <c r="N82" s="119">
        <f t="shared" si="13"/>
        <v>-1436384.8720159719</v>
      </c>
      <c r="O82" s="119">
        <f t="shared" si="13"/>
        <v>-1436384.8720159719</v>
      </c>
      <c r="P82" s="119">
        <f t="shared" si="13"/>
        <v>-1436384.8720159719</v>
      </c>
      <c r="Q82" s="119">
        <f t="shared" si="13"/>
        <v>-1436384.8720159719</v>
      </c>
      <c r="R82" s="119">
        <f t="shared" si="13"/>
        <v>-1436384.8720159719</v>
      </c>
      <c r="S82" s="119">
        <f t="shared" si="13"/>
        <v>-1436384.8720159719</v>
      </c>
      <c r="T82" s="119">
        <f t="shared" si="13"/>
        <v>-1436384.8720159719</v>
      </c>
      <c r="U82" s="119">
        <f t="shared" si="13"/>
        <v>-1436384.8720159719</v>
      </c>
      <c r="V82" s="119">
        <f t="shared" si="13"/>
        <v>-1436384.8720159719</v>
      </c>
      <c r="W82" s="119">
        <f t="shared" si="13"/>
        <v>-1436384.8720159719</v>
      </c>
      <c r="X82" s="119">
        <f t="shared" si="13"/>
        <v>-1436384.8720159719</v>
      </c>
      <c r="Y82" s="119">
        <f t="shared" si="13"/>
        <v>-1436384.8720159719</v>
      </c>
      <c r="Z82" s="119">
        <f t="shared" si="13"/>
        <v>-1436384.8720159719</v>
      </c>
      <c r="AA82" s="119">
        <f t="shared" si="13"/>
        <v>-1436384.8720159719</v>
      </c>
      <c r="AB82" s="119">
        <f t="shared" si="13"/>
        <v>-1436384.8720159719</v>
      </c>
      <c r="AC82" s="119">
        <f>AC80</f>
        <v>-1436384.8720159719</v>
      </c>
      <c r="AD82" s="119">
        <f>AD80</f>
        <v>-1436384.8720159719</v>
      </c>
      <c r="AE82" s="119">
        <f>AE80</f>
        <v>-1436384.8720159719</v>
      </c>
      <c r="AF82" s="119">
        <f>AF80</f>
        <v>-1436384.8720159719</v>
      </c>
      <c r="AG82" s="119">
        <f>AG80</f>
        <v>-1436384.8720159719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3">
      <c r="A84" s="8"/>
      <c r="B84" s="8"/>
      <c r="C84" s="4" t="s">
        <v>137</v>
      </c>
      <c r="D84" s="38"/>
      <c r="F84" s="97"/>
      <c r="G84" s="210">
        <f t="shared" si="12"/>
        <v>45291</v>
      </c>
      <c r="H84" s="31"/>
      <c r="I84" s="31">
        <f>I64</f>
        <v>-1014236.8893419355</v>
      </c>
      <c r="J84" s="31">
        <f t="shared" ref="J84:AB84" si="15">J64</f>
        <v>5587165.8163761161</v>
      </c>
      <c r="K84" s="31">
        <f t="shared" si="15"/>
        <v>5673114.6491645202</v>
      </c>
      <c r="L84" s="31">
        <f t="shared" si="15"/>
        <v>5793791.1984609803</v>
      </c>
      <c r="M84" s="31">
        <f t="shared" si="15"/>
        <v>5793791.1984609803</v>
      </c>
      <c r="N84" s="31">
        <f t="shared" si="15"/>
        <v>5793791.1984609803</v>
      </c>
      <c r="O84" s="31">
        <f t="shared" si="15"/>
        <v>5914467.7477574404</v>
      </c>
      <c r="P84" s="31">
        <f t="shared" si="15"/>
        <v>5914467.7477574404</v>
      </c>
      <c r="Q84" s="31">
        <f t="shared" si="15"/>
        <v>6035144.2970539024</v>
      </c>
      <c r="R84" s="31">
        <f t="shared" si="15"/>
        <v>6035144.2970539024</v>
      </c>
      <c r="S84" s="31">
        <f t="shared" si="15"/>
        <v>6155820.8463503625</v>
      </c>
      <c r="T84" s="31">
        <f t="shared" si="15"/>
        <v>6155820.8463503625</v>
      </c>
      <c r="U84" s="31">
        <f t="shared" si="15"/>
        <v>6276497.3956468226</v>
      </c>
      <c r="V84" s="31">
        <f t="shared" si="15"/>
        <v>6276497.3956468226</v>
      </c>
      <c r="W84" s="31">
        <f t="shared" si="15"/>
        <v>6276497.3956468226</v>
      </c>
      <c r="X84" s="31">
        <f t="shared" si="15"/>
        <v>6276497.3956468226</v>
      </c>
      <c r="Y84" s="31">
        <f t="shared" si="15"/>
        <v>6276497.3956468226</v>
      </c>
      <c r="Z84" s="31">
        <f t="shared" si="15"/>
        <v>6276497.3956468226</v>
      </c>
      <c r="AA84" s="31">
        <f t="shared" si="15"/>
        <v>6276497.3956468226</v>
      </c>
      <c r="AB84" s="31">
        <f t="shared" si="15"/>
        <v>6276497.3956468226</v>
      </c>
      <c r="AC84" s="31">
        <f>AC64</f>
        <v>6276497.3956468226</v>
      </c>
      <c r="AD84" s="31">
        <f>AD64</f>
        <v>6276497.3956468226</v>
      </c>
      <c r="AE84" s="31">
        <f>AE64</f>
        <v>6276497.3956468226</v>
      </c>
      <c r="AF84" s="31">
        <f>AF64</f>
        <v>6276497.3956468226</v>
      </c>
      <c r="AG84" s="31">
        <f>AG64</f>
        <v>0</v>
      </c>
    </row>
    <row r="85" spans="1:33" x14ac:dyDescent="0.3">
      <c r="A85" s="8"/>
      <c r="B85" s="8"/>
      <c r="C85" s="4" t="s">
        <v>120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182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-1014236.8893419355</v>
      </c>
      <c r="J87" s="179">
        <f t="shared" si="17"/>
        <v>4150780.9443601444</v>
      </c>
      <c r="K87" s="179">
        <f t="shared" si="17"/>
        <v>4236729.7771485485</v>
      </c>
      <c r="L87" s="179">
        <f t="shared" si="17"/>
        <v>4357406.3264450086</v>
      </c>
      <c r="M87" s="179">
        <f t="shared" si="17"/>
        <v>4357406.3264450086</v>
      </c>
      <c r="N87" s="179">
        <f t="shared" si="17"/>
        <v>4357406.3264450086</v>
      </c>
      <c r="O87" s="179">
        <f t="shared" si="17"/>
        <v>4478082.8757414687</v>
      </c>
      <c r="P87" s="179">
        <f t="shared" si="17"/>
        <v>4478082.8757414687</v>
      </c>
      <c r="Q87" s="179">
        <f t="shared" si="17"/>
        <v>4598759.4250379307</v>
      </c>
      <c r="R87" s="179">
        <f t="shared" si="17"/>
        <v>4598759.4250379307</v>
      </c>
      <c r="S87" s="179">
        <f t="shared" si="17"/>
        <v>4719435.9743343908</v>
      </c>
      <c r="T87" s="179">
        <f t="shared" si="17"/>
        <v>4719435.9743343908</v>
      </c>
      <c r="U87" s="179">
        <f t="shared" si="17"/>
        <v>4840112.5236308509</v>
      </c>
      <c r="V87" s="179">
        <f t="shared" si="17"/>
        <v>4840112.5236308509</v>
      </c>
      <c r="W87" s="179">
        <f t="shared" si="17"/>
        <v>4840112.5236308509</v>
      </c>
      <c r="X87" s="179">
        <f t="shared" si="17"/>
        <v>4840112.5236308509</v>
      </c>
      <c r="Y87" s="179">
        <f t="shared" si="17"/>
        <v>4840112.5236308509</v>
      </c>
      <c r="Z87" s="179">
        <f t="shared" si="17"/>
        <v>4840112.5236308509</v>
      </c>
      <c r="AA87" s="179">
        <f t="shared" si="17"/>
        <v>4840112.5236308509</v>
      </c>
      <c r="AB87" s="179">
        <f t="shared" si="17"/>
        <v>4840112.5236308509</v>
      </c>
      <c r="AC87" s="179">
        <f>SUM(AC82:AC86)</f>
        <v>4840112.5236308509</v>
      </c>
      <c r="AD87" s="179">
        <f>SUM(AD82:AD86)</f>
        <v>4840112.5236308509</v>
      </c>
      <c r="AE87" s="179">
        <f>SUM(AE82:AE86)</f>
        <v>4840112.5236308509</v>
      </c>
      <c r="AF87" s="179">
        <f>SUM(AF82:AF86)</f>
        <v>4840112.5236308509</v>
      </c>
      <c r="AG87" s="179">
        <f>SUM(AG82:AG86)</f>
        <v>-1436384.8720159719</v>
      </c>
    </row>
    <row r="88" spans="1:33" x14ac:dyDescent="0.3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3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3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3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3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3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3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3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3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3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4.5" x14ac:dyDescent="0.3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ht="13.5" x14ac:dyDescent="0.3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ht="13.5" x14ac:dyDescent="0.3">
      <c r="A106" s="1" t="s">
        <v>117</v>
      </c>
      <c r="C106" s="1" t="s">
        <v>182</v>
      </c>
      <c r="D106"/>
      <c r="E106"/>
      <c r="F106"/>
      <c r="G106" s="38" t="str">
        <f>PROPER($A$3)&amp;A106</f>
        <v>Option 2NPV</v>
      </c>
      <c r="I106" s="31">
        <f>I87</f>
        <v>-1014236.8893419355</v>
      </c>
      <c r="J106" s="31">
        <f t="shared" ref="J106:AG106" si="18">J87</f>
        <v>4150780.9443601444</v>
      </c>
      <c r="K106" s="31">
        <f t="shared" si="18"/>
        <v>4236729.7771485485</v>
      </c>
      <c r="L106" s="31">
        <f t="shared" si="18"/>
        <v>4357406.3264450086</v>
      </c>
      <c r="M106" s="31">
        <f t="shared" si="18"/>
        <v>4357406.3264450086</v>
      </c>
      <c r="N106" s="31">
        <f t="shared" si="18"/>
        <v>4357406.3264450086</v>
      </c>
      <c r="O106" s="31">
        <f t="shared" si="18"/>
        <v>4478082.8757414687</v>
      </c>
      <c r="P106" s="31">
        <f t="shared" si="18"/>
        <v>4478082.8757414687</v>
      </c>
      <c r="Q106" s="31">
        <f t="shared" si="18"/>
        <v>4598759.4250379307</v>
      </c>
      <c r="R106" s="31">
        <f t="shared" si="18"/>
        <v>4598759.4250379307</v>
      </c>
      <c r="S106" s="31">
        <f t="shared" si="18"/>
        <v>4719435.9743343908</v>
      </c>
      <c r="T106" s="31">
        <f t="shared" si="18"/>
        <v>4719435.9743343908</v>
      </c>
      <c r="U106" s="31">
        <f t="shared" si="18"/>
        <v>4840112.5236308509</v>
      </c>
      <c r="V106" s="31">
        <f t="shared" si="18"/>
        <v>4840112.5236308509</v>
      </c>
      <c r="W106" s="31">
        <f t="shared" si="18"/>
        <v>4840112.5236308509</v>
      </c>
      <c r="X106" s="31">
        <f t="shared" si="18"/>
        <v>4840112.5236308509</v>
      </c>
      <c r="Y106" s="31">
        <f t="shared" si="18"/>
        <v>4840112.5236308509</v>
      </c>
      <c r="Z106" s="31">
        <f t="shared" si="18"/>
        <v>4840112.5236308509</v>
      </c>
      <c r="AA106" s="31">
        <f t="shared" si="18"/>
        <v>4840112.5236308509</v>
      </c>
      <c r="AB106" s="31">
        <f t="shared" si="18"/>
        <v>4840112.5236308509</v>
      </c>
      <c r="AC106" s="31">
        <f t="shared" si="18"/>
        <v>4840112.5236308509</v>
      </c>
      <c r="AD106" s="31">
        <f t="shared" si="18"/>
        <v>4840112.5236308509</v>
      </c>
      <c r="AE106" s="31">
        <f t="shared" si="18"/>
        <v>4840112.5236308509</v>
      </c>
      <c r="AF106" s="31">
        <f t="shared" si="18"/>
        <v>4840112.5236308509</v>
      </c>
      <c r="AG106" s="31">
        <f t="shared" si="18"/>
        <v>-1436384.8720159719</v>
      </c>
    </row>
    <row r="107" spans="1:43" ht="13.5" x14ac:dyDescent="0.3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9">J82</f>
        <v>-1436384.8720159719</v>
      </c>
      <c r="K107" s="31">
        <f t="shared" si="19"/>
        <v>-1436384.8720159719</v>
      </c>
      <c r="L107" s="31">
        <f t="shared" si="19"/>
        <v>-1436384.8720159719</v>
      </c>
      <c r="M107" s="31">
        <f t="shared" si="19"/>
        <v>-1436384.8720159719</v>
      </c>
      <c r="N107" s="31">
        <f t="shared" si="19"/>
        <v>-1436384.8720159719</v>
      </c>
      <c r="O107" s="31">
        <f t="shared" si="19"/>
        <v>-1436384.8720159719</v>
      </c>
      <c r="P107" s="31">
        <f t="shared" si="19"/>
        <v>-1436384.8720159719</v>
      </c>
      <c r="Q107" s="31">
        <f t="shared" si="19"/>
        <v>-1436384.8720159719</v>
      </c>
      <c r="R107" s="31">
        <f t="shared" si="19"/>
        <v>-1436384.8720159719</v>
      </c>
      <c r="S107" s="31">
        <f t="shared" si="19"/>
        <v>-1436384.8720159719</v>
      </c>
      <c r="T107" s="31">
        <f t="shared" si="19"/>
        <v>-1436384.8720159719</v>
      </c>
      <c r="U107" s="31">
        <f t="shared" si="19"/>
        <v>-1436384.8720159719</v>
      </c>
      <c r="V107" s="31">
        <f t="shared" si="19"/>
        <v>-1436384.8720159719</v>
      </c>
      <c r="W107" s="31">
        <f t="shared" si="19"/>
        <v>-1436384.8720159719</v>
      </c>
      <c r="X107" s="31">
        <f t="shared" si="19"/>
        <v>-1436384.8720159719</v>
      </c>
      <c r="Y107" s="31">
        <f t="shared" si="19"/>
        <v>-1436384.8720159719</v>
      </c>
      <c r="Z107" s="31">
        <f t="shared" si="19"/>
        <v>-1436384.8720159719</v>
      </c>
      <c r="AA107" s="31">
        <f t="shared" si="19"/>
        <v>-1436384.8720159719</v>
      </c>
      <c r="AB107" s="31">
        <f t="shared" si="19"/>
        <v>-1436384.8720159719</v>
      </c>
      <c r="AC107" s="31">
        <f t="shared" si="19"/>
        <v>-1436384.8720159719</v>
      </c>
      <c r="AD107" s="31">
        <f t="shared" si="19"/>
        <v>-1436384.8720159719</v>
      </c>
      <c r="AE107" s="31">
        <f t="shared" si="19"/>
        <v>-1436384.8720159719</v>
      </c>
      <c r="AF107" s="31">
        <f t="shared" si="19"/>
        <v>-1436384.8720159719</v>
      </c>
      <c r="AG107" s="31">
        <f t="shared" si="19"/>
        <v>-1436384.8720159719</v>
      </c>
    </row>
    <row r="108" spans="1:43" x14ac:dyDescent="0.3">
      <c r="C108" s="1" t="s">
        <v>235</v>
      </c>
      <c r="D108" s="252"/>
      <c r="E108" s="38"/>
      <c r="I108" s="31">
        <f>SUM(I84:I85)</f>
        <v>-1014236.8893419355</v>
      </c>
      <c r="J108" s="31">
        <f t="shared" ref="J108:AG108" si="20">SUM(J84:J85)</f>
        <v>5587165.8163761161</v>
      </c>
      <c r="K108" s="31">
        <f t="shared" si="20"/>
        <v>5673114.6491645202</v>
      </c>
      <c r="L108" s="31">
        <f t="shared" si="20"/>
        <v>5793791.1984609803</v>
      </c>
      <c r="M108" s="31">
        <f t="shared" si="20"/>
        <v>5793791.1984609803</v>
      </c>
      <c r="N108" s="31">
        <f t="shared" si="20"/>
        <v>5793791.1984609803</v>
      </c>
      <c r="O108" s="31">
        <f t="shared" si="20"/>
        <v>5914467.7477574404</v>
      </c>
      <c r="P108" s="31">
        <f t="shared" si="20"/>
        <v>5914467.7477574404</v>
      </c>
      <c r="Q108" s="31">
        <f t="shared" si="20"/>
        <v>6035144.2970539024</v>
      </c>
      <c r="R108" s="31">
        <f t="shared" si="20"/>
        <v>6035144.2970539024</v>
      </c>
      <c r="S108" s="31">
        <f t="shared" si="20"/>
        <v>6155820.8463503625</v>
      </c>
      <c r="T108" s="31">
        <f t="shared" si="20"/>
        <v>6155820.8463503625</v>
      </c>
      <c r="U108" s="31">
        <f t="shared" si="20"/>
        <v>6276497.3956468226</v>
      </c>
      <c r="V108" s="31">
        <f t="shared" si="20"/>
        <v>6276497.3956468226</v>
      </c>
      <c r="W108" s="31">
        <f t="shared" si="20"/>
        <v>6276497.3956468226</v>
      </c>
      <c r="X108" s="31">
        <f t="shared" si="20"/>
        <v>6276497.3956468226</v>
      </c>
      <c r="Y108" s="31">
        <f t="shared" si="20"/>
        <v>6276497.3956468226</v>
      </c>
      <c r="Z108" s="31">
        <f t="shared" si="20"/>
        <v>6276497.3956468226</v>
      </c>
      <c r="AA108" s="31">
        <f t="shared" si="20"/>
        <v>6276497.3956468226</v>
      </c>
      <c r="AB108" s="31">
        <f t="shared" si="20"/>
        <v>6276497.3956468226</v>
      </c>
      <c r="AC108" s="31">
        <f t="shared" si="20"/>
        <v>6276497.3956468226</v>
      </c>
      <c r="AD108" s="31">
        <f t="shared" si="20"/>
        <v>6276497.3956468226</v>
      </c>
      <c r="AE108" s="31">
        <f t="shared" si="20"/>
        <v>6276497.3956468226</v>
      </c>
      <c r="AF108" s="31">
        <f t="shared" si="20"/>
        <v>6276497.3956468226</v>
      </c>
      <c r="AG108" s="31">
        <f t="shared" si="20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-1014236.8893419355</v>
      </c>
      <c r="J110" s="31" cm="1">
        <f t="array" ref="J110">J$106+IF($C110&lt;&gt;0,SUMPRODUCT((J$107:J$108)*TRANSPOSE(($D110:$E110))),0)</f>
        <v>4007142.4571585474</v>
      </c>
      <c r="K110" s="31" cm="1">
        <f t="array" ref="K110">K$106+IF($C110&lt;&gt;0,SUMPRODUCT((K$107:K$108)*TRANSPOSE(($D110:$E110))),0)</f>
        <v>4093091.2899469514</v>
      </c>
      <c r="L110" s="31" cm="1">
        <f t="array" ref="L110">L$106+IF($C110&lt;&gt;0,SUMPRODUCT((L$107:L$108)*TRANSPOSE(($D110:$E110))),0)</f>
        <v>4213767.8392434111</v>
      </c>
      <c r="M110" s="31" cm="1">
        <f t="array" ref="M110">M$106+IF($C110&lt;&gt;0,SUMPRODUCT((M$107:M$108)*TRANSPOSE(($D110:$E110))),0)</f>
        <v>4213767.8392434111</v>
      </c>
      <c r="N110" s="31" cm="1">
        <f t="array" ref="N110">N$106+IF($C110&lt;&gt;0,SUMPRODUCT((N$107:N$108)*TRANSPOSE(($D110:$E110))),0)</f>
        <v>4213767.8392434111</v>
      </c>
      <c r="O110" s="31" cm="1">
        <f t="array" ref="O110">O$106+IF($C110&lt;&gt;0,SUMPRODUCT((O$107:O$108)*TRANSPOSE(($D110:$E110))),0)</f>
        <v>4334444.3885398712</v>
      </c>
      <c r="P110" s="31" cm="1">
        <f t="array" ref="P110">P$106+IF($C110&lt;&gt;0,SUMPRODUCT((P$107:P$108)*TRANSPOSE(($D110:$E110))),0)</f>
        <v>4334444.3885398712</v>
      </c>
      <c r="Q110" s="31" cm="1">
        <f t="array" ref="Q110">Q$106+IF($C110&lt;&gt;0,SUMPRODUCT((Q$107:Q$108)*TRANSPOSE(($D110:$E110))),0)</f>
        <v>4455120.9378363332</v>
      </c>
      <c r="R110" s="31" cm="1">
        <f t="array" ref="R110">R$106+IF($C110&lt;&gt;0,SUMPRODUCT((R$107:R$108)*TRANSPOSE(($D110:$E110))),0)</f>
        <v>4455120.9378363332</v>
      </c>
      <c r="S110" s="31" cm="1">
        <f t="array" ref="S110">S$106+IF($C110&lt;&gt;0,SUMPRODUCT((S$107:S$108)*TRANSPOSE(($D110:$E110))),0)</f>
        <v>4575797.4871327933</v>
      </c>
      <c r="T110" s="31" cm="1">
        <f t="array" ref="T110">T$106+IF($C110&lt;&gt;0,SUMPRODUCT((T$107:T$108)*TRANSPOSE(($D110:$E110))),0)</f>
        <v>4575797.4871327933</v>
      </c>
      <c r="U110" s="31" cm="1">
        <f t="array" ref="U110">U$106+IF($C110&lt;&gt;0,SUMPRODUCT((U$107:U$108)*TRANSPOSE(($D110:$E110))),0)</f>
        <v>4696474.0364292534</v>
      </c>
      <c r="V110" s="31" cm="1">
        <f t="array" ref="V110">V$106+IF($C110&lt;&gt;0,SUMPRODUCT((V$107:V$108)*TRANSPOSE(($D110:$E110))),0)</f>
        <v>4696474.0364292534</v>
      </c>
      <c r="W110" s="31" cm="1">
        <f t="array" ref="W110">W$106+IF($C110&lt;&gt;0,SUMPRODUCT((W$107:W$108)*TRANSPOSE(($D110:$E110))),0)</f>
        <v>4696474.0364292534</v>
      </c>
      <c r="X110" s="31" cm="1">
        <f t="array" ref="X110">X$106+IF($C110&lt;&gt;0,SUMPRODUCT((X$107:X$108)*TRANSPOSE(($D110:$E110))),0)</f>
        <v>4696474.0364292534</v>
      </c>
      <c r="Y110" s="31" cm="1">
        <f t="array" ref="Y110">Y$106+IF($C110&lt;&gt;0,SUMPRODUCT((Y$107:Y$108)*TRANSPOSE(($D110:$E110))),0)</f>
        <v>4696474.0364292534</v>
      </c>
      <c r="Z110" s="31" cm="1">
        <f t="array" ref="Z110">Z$106+IF($C110&lt;&gt;0,SUMPRODUCT((Z$107:Z$108)*TRANSPOSE(($D110:$E110))),0)</f>
        <v>4696474.0364292534</v>
      </c>
      <c r="AA110" s="31" cm="1">
        <f t="array" ref="AA110">AA$106+IF($C110&lt;&gt;0,SUMPRODUCT((AA$107:AA$108)*TRANSPOSE(($D110:$E110))),0)</f>
        <v>4696474.0364292534</v>
      </c>
      <c r="AB110" s="31" cm="1">
        <f t="array" ref="AB110">AB$106+IF($C110&lt;&gt;0,SUMPRODUCT((AB$107:AB$108)*TRANSPOSE(($D110:$E110))),0)</f>
        <v>4696474.0364292534</v>
      </c>
      <c r="AC110" s="31" cm="1">
        <f t="array" ref="AC110">AC$106+IF($C110&lt;&gt;0,SUMPRODUCT((AC$107:AC$108)*TRANSPOSE(($D110:$E110))),0)</f>
        <v>4696474.0364292534</v>
      </c>
      <c r="AD110" s="31" cm="1">
        <f t="array" ref="AD110">AD$106+IF($C110&lt;&gt;0,SUMPRODUCT((AD$107:AD$108)*TRANSPOSE(($D110:$E110))),0)</f>
        <v>4696474.0364292534</v>
      </c>
      <c r="AE110" s="31" cm="1">
        <f t="array" ref="AE110">AE$106+IF($C110&lt;&gt;0,SUMPRODUCT((AE$107:AE$108)*TRANSPOSE(($D110:$E110))),0)</f>
        <v>4696474.0364292534</v>
      </c>
      <c r="AF110" s="31" cm="1">
        <f t="array" ref="AF110">AF$106+IF($C110&lt;&gt;0,SUMPRODUCT((AF$107:AF$108)*TRANSPOSE(($D110:$E110))),0)</f>
        <v>4696474.0364292534</v>
      </c>
      <c r="AG110" s="31" cm="1">
        <f t="array" ref="AG110">AG$106+IF($C110&lt;&gt;0,SUMPRODUCT((AG$107:AG$108)*TRANSPOSE(($D110:$E110))),0)</f>
        <v>-1580023.3592175692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-1014236.8893419355</v>
      </c>
      <c r="J111" s="31" cm="1">
        <f t="array" ref="J111">J$106+IF($C111&lt;&gt;0,SUMPRODUCT((J$107:J$108)*TRANSPOSE(($D111:$E111))),0)</f>
        <v>4294419.431561742</v>
      </c>
      <c r="K111" s="31" cm="1">
        <f t="array" ref="K111">K$106+IF($C111&lt;&gt;0,SUMPRODUCT((K$107:K$108)*TRANSPOSE(($D111:$E111))),0)</f>
        <v>4380368.2643501461</v>
      </c>
      <c r="L111" s="31" cm="1">
        <f t="array" ref="L111">L$106+IF($C111&lt;&gt;0,SUMPRODUCT((L$107:L$108)*TRANSPOSE(($D111:$E111))),0)</f>
        <v>4501044.8136466062</v>
      </c>
      <c r="M111" s="31" cm="1">
        <f t="array" ref="M111">M$106+IF($C111&lt;&gt;0,SUMPRODUCT((M$107:M$108)*TRANSPOSE(($D111:$E111))),0)</f>
        <v>4501044.8136466062</v>
      </c>
      <c r="N111" s="31" cm="1">
        <f t="array" ref="N111">N$106+IF($C111&lt;&gt;0,SUMPRODUCT((N$107:N$108)*TRANSPOSE(($D111:$E111))),0)</f>
        <v>4501044.8136466062</v>
      </c>
      <c r="O111" s="31" cm="1">
        <f t="array" ref="O111">O$106+IF($C111&lt;&gt;0,SUMPRODUCT((O$107:O$108)*TRANSPOSE(($D111:$E111))),0)</f>
        <v>4621721.3629430663</v>
      </c>
      <c r="P111" s="31" cm="1">
        <f t="array" ref="P111">P$106+IF($C111&lt;&gt;0,SUMPRODUCT((P$107:P$108)*TRANSPOSE(($D111:$E111))),0)</f>
        <v>4621721.3629430663</v>
      </c>
      <c r="Q111" s="31" cm="1">
        <f t="array" ref="Q111">Q$106+IF($C111&lt;&gt;0,SUMPRODUCT((Q$107:Q$108)*TRANSPOSE(($D111:$E111))),0)</f>
        <v>4742397.9122395283</v>
      </c>
      <c r="R111" s="31" cm="1">
        <f t="array" ref="R111">R$106+IF($C111&lt;&gt;0,SUMPRODUCT((R$107:R$108)*TRANSPOSE(($D111:$E111))),0)</f>
        <v>4742397.9122395283</v>
      </c>
      <c r="S111" s="31" cm="1">
        <f t="array" ref="S111">S$106+IF($C111&lt;&gt;0,SUMPRODUCT((S$107:S$108)*TRANSPOSE(($D111:$E111))),0)</f>
        <v>4863074.4615359884</v>
      </c>
      <c r="T111" s="31" cm="1">
        <f t="array" ref="T111">T$106+IF($C111&lt;&gt;0,SUMPRODUCT((T$107:T$108)*TRANSPOSE(($D111:$E111))),0)</f>
        <v>4863074.4615359884</v>
      </c>
      <c r="U111" s="31" cm="1">
        <f t="array" ref="U111">U$106+IF($C111&lt;&gt;0,SUMPRODUCT((U$107:U$108)*TRANSPOSE(($D111:$E111))),0)</f>
        <v>4983751.0108324485</v>
      </c>
      <c r="V111" s="31" cm="1">
        <f t="array" ref="V111">V$106+IF($C111&lt;&gt;0,SUMPRODUCT((V$107:V$108)*TRANSPOSE(($D111:$E111))),0)</f>
        <v>4983751.0108324485</v>
      </c>
      <c r="W111" s="31" cm="1">
        <f t="array" ref="W111">W$106+IF($C111&lt;&gt;0,SUMPRODUCT((W$107:W$108)*TRANSPOSE(($D111:$E111))),0)</f>
        <v>4983751.0108324485</v>
      </c>
      <c r="X111" s="31" cm="1">
        <f t="array" ref="X111">X$106+IF($C111&lt;&gt;0,SUMPRODUCT((X$107:X$108)*TRANSPOSE(($D111:$E111))),0)</f>
        <v>4983751.0108324485</v>
      </c>
      <c r="Y111" s="31" cm="1">
        <f t="array" ref="Y111">Y$106+IF($C111&lt;&gt;0,SUMPRODUCT((Y$107:Y$108)*TRANSPOSE(($D111:$E111))),0)</f>
        <v>4983751.0108324485</v>
      </c>
      <c r="Z111" s="31" cm="1">
        <f t="array" ref="Z111">Z$106+IF($C111&lt;&gt;0,SUMPRODUCT((Z$107:Z$108)*TRANSPOSE(($D111:$E111))),0)</f>
        <v>4983751.0108324485</v>
      </c>
      <c r="AA111" s="31" cm="1">
        <f t="array" ref="AA111">AA$106+IF($C111&lt;&gt;0,SUMPRODUCT((AA$107:AA$108)*TRANSPOSE(($D111:$E111))),0)</f>
        <v>4983751.0108324485</v>
      </c>
      <c r="AB111" s="31" cm="1">
        <f t="array" ref="AB111">AB$106+IF($C111&lt;&gt;0,SUMPRODUCT((AB$107:AB$108)*TRANSPOSE(($D111:$E111))),0)</f>
        <v>4983751.0108324485</v>
      </c>
      <c r="AC111" s="31" cm="1">
        <f t="array" ref="AC111">AC$106+IF($C111&lt;&gt;0,SUMPRODUCT((AC$107:AC$108)*TRANSPOSE(($D111:$E111))),0)</f>
        <v>4983751.0108324485</v>
      </c>
      <c r="AD111" s="31" cm="1">
        <f t="array" ref="AD111">AD$106+IF($C111&lt;&gt;0,SUMPRODUCT((AD$107:AD$108)*TRANSPOSE(($D111:$E111))),0)</f>
        <v>4983751.0108324485</v>
      </c>
      <c r="AE111" s="31" cm="1">
        <f t="array" ref="AE111">AE$106+IF($C111&lt;&gt;0,SUMPRODUCT((AE$107:AE$108)*TRANSPOSE(($D111:$E111))),0)</f>
        <v>4983751.0108324485</v>
      </c>
      <c r="AF111" s="31" cm="1">
        <f t="array" ref="AF111">AF$106+IF($C111&lt;&gt;0,SUMPRODUCT((AF$107:AF$108)*TRANSPOSE(($D111:$E111))),0)</f>
        <v>4983751.0108324485</v>
      </c>
      <c r="AG111" s="31" cm="1">
        <f t="array" ref="AG111">AG$106+IF($C111&lt;&gt;0,SUMPRODUCT((AG$107:AG$108)*TRANSPOSE(($D111:$E111))),0)</f>
        <v>-1292746.3848143746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-1115660.578276129</v>
      </c>
      <c r="J112" s="31" cm="1">
        <f t="array" ref="J112">J$106+IF($C112&lt;&gt;0,SUMPRODUCT((J$107:J$108)*TRANSPOSE(($D112:$E112))),0)</f>
        <v>4709497.525997756</v>
      </c>
      <c r="K112" s="31" cm="1">
        <f t="array" ref="K112">K$106+IF($C112&lt;&gt;0,SUMPRODUCT((K$107:K$108)*TRANSPOSE(($D112:$E112))),0)</f>
        <v>4804041.2420650003</v>
      </c>
      <c r="L112" s="31" cm="1">
        <f t="array" ref="L112">L$106+IF($C112&lt;&gt;0,SUMPRODUCT((L$107:L$108)*TRANSPOSE(($D112:$E112))),0)</f>
        <v>4936785.4462911068</v>
      </c>
      <c r="M112" s="31" cm="1">
        <f t="array" ref="M112">M$106+IF($C112&lt;&gt;0,SUMPRODUCT((M$107:M$108)*TRANSPOSE(($D112:$E112))),0)</f>
        <v>4936785.4462911068</v>
      </c>
      <c r="N112" s="31" cm="1">
        <f t="array" ref="N112">N$106+IF($C112&lt;&gt;0,SUMPRODUCT((N$107:N$108)*TRANSPOSE(($D112:$E112))),0)</f>
        <v>4936785.4462911068</v>
      </c>
      <c r="O112" s="31" cm="1">
        <f t="array" ref="O112">O$106+IF($C112&lt;&gt;0,SUMPRODUCT((O$107:O$108)*TRANSPOSE(($D112:$E112))),0)</f>
        <v>5069529.6505172132</v>
      </c>
      <c r="P112" s="31" cm="1">
        <f t="array" ref="P112">P$106+IF($C112&lt;&gt;0,SUMPRODUCT((P$107:P$108)*TRANSPOSE(($D112:$E112))),0)</f>
        <v>5069529.6505172132</v>
      </c>
      <c r="Q112" s="31" cm="1">
        <f t="array" ref="Q112">Q$106+IF($C112&lt;&gt;0,SUMPRODUCT((Q$107:Q$108)*TRANSPOSE(($D112:$E112))),0)</f>
        <v>5202273.8547433205</v>
      </c>
      <c r="R112" s="31" cm="1">
        <f t="array" ref="R112">R$106+IF($C112&lt;&gt;0,SUMPRODUCT((R$107:R$108)*TRANSPOSE(($D112:$E112))),0)</f>
        <v>5202273.8547433205</v>
      </c>
      <c r="S112" s="31" cm="1">
        <f t="array" ref="S112">S$106+IF($C112&lt;&gt;0,SUMPRODUCT((S$107:S$108)*TRANSPOSE(($D112:$E112))),0)</f>
        <v>5335018.0589694269</v>
      </c>
      <c r="T112" s="31" cm="1">
        <f t="array" ref="T112">T$106+IF($C112&lt;&gt;0,SUMPRODUCT((T$107:T$108)*TRANSPOSE(($D112:$E112))),0)</f>
        <v>5335018.0589694269</v>
      </c>
      <c r="U112" s="31" cm="1">
        <f t="array" ref="U112">U$106+IF($C112&lt;&gt;0,SUMPRODUCT((U$107:U$108)*TRANSPOSE(($D112:$E112))),0)</f>
        <v>5467762.2631955333</v>
      </c>
      <c r="V112" s="31" cm="1">
        <f t="array" ref="V112">V$106+IF($C112&lt;&gt;0,SUMPRODUCT((V$107:V$108)*TRANSPOSE(($D112:$E112))),0)</f>
        <v>5467762.2631955333</v>
      </c>
      <c r="W112" s="31" cm="1">
        <f t="array" ref="W112">W$106+IF($C112&lt;&gt;0,SUMPRODUCT((W$107:W$108)*TRANSPOSE(($D112:$E112))),0)</f>
        <v>5467762.2631955333</v>
      </c>
      <c r="X112" s="31" cm="1">
        <f t="array" ref="X112">X$106+IF($C112&lt;&gt;0,SUMPRODUCT((X$107:X$108)*TRANSPOSE(($D112:$E112))),0)</f>
        <v>5467762.2631955333</v>
      </c>
      <c r="Y112" s="31" cm="1">
        <f t="array" ref="Y112">Y$106+IF($C112&lt;&gt;0,SUMPRODUCT((Y$107:Y$108)*TRANSPOSE(($D112:$E112))),0)</f>
        <v>5467762.2631955333</v>
      </c>
      <c r="Z112" s="31" cm="1">
        <f t="array" ref="Z112">Z$106+IF($C112&lt;&gt;0,SUMPRODUCT((Z$107:Z$108)*TRANSPOSE(($D112:$E112))),0)</f>
        <v>5467762.2631955333</v>
      </c>
      <c r="AA112" s="31" cm="1">
        <f t="array" ref="AA112">AA$106+IF($C112&lt;&gt;0,SUMPRODUCT((AA$107:AA$108)*TRANSPOSE(($D112:$E112))),0)</f>
        <v>5467762.2631955333</v>
      </c>
      <c r="AB112" s="31" cm="1">
        <f t="array" ref="AB112">AB$106+IF($C112&lt;&gt;0,SUMPRODUCT((AB$107:AB$108)*TRANSPOSE(($D112:$E112))),0)</f>
        <v>5467762.2631955333</v>
      </c>
      <c r="AC112" s="31" cm="1">
        <f t="array" ref="AC112">AC$106+IF($C112&lt;&gt;0,SUMPRODUCT((AC$107:AC$108)*TRANSPOSE(($D112:$E112))),0)</f>
        <v>5467762.2631955333</v>
      </c>
      <c r="AD112" s="31" cm="1">
        <f t="array" ref="AD112">AD$106+IF($C112&lt;&gt;0,SUMPRODUCT((AD$107:AD$108)*TRANSPOSE(($D112:$E112))),0)</f>
        <v>5467762.2631955333</v>
      </c>
      <c r="AE112" s="31" cm="1">
        <f t="array" ref="AE112">AE$106+IF($C112&lt;&gt;0,SUMPRODUCT((AE$107:AE$108)*TRANSPOSE(($D112:$E112))),0)</f>
        <v>5467762.2631955333</v>
      </c>
      <c r="AF112" s="31" cm="1">
        <f t="array" ref="AF112">AF$106+IF($C112&lt;&gt;0,SUMPRODUCT((AF$107:AF$108)*TRANSPOSE(($D112:$E112))),0)</f>
        <v>5467762.2631955333</v>
      </c>
      <c r="AG112" s="31" cm="1">
        <f t="array" ref="AG112">AG$106+IF($C112&lt;&gt;0,SUMPRODUCT((AG$107:AG$108)*TRANSPOSE(($D112:$E112))),0)</f>
        <v>-1436384.8720159719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-912813.20040774194</v>
      </c>
      <c r="J113" s="31" cm="1">
        <f t="array" ref="J113">J$106+IF($C113&lt;&gt;0,SUMPRODUCT((J$107:J$108)*TRANSPOSE(($D113:$E113))),0)</f>
        <v>3592064.3627225328</v>
      </c>
      <c r="K113" s="31" cm="1">
        <f t="array" ref="K113">K$106+IF($C113&lt;&gt;0,SUMPRODUCT((K$107:K$108)*TRANSPOSE(($D113:$E113))),0)</f>
        <v>3669418.3122320967</v>
      </c>
      <c r="L113" s="31" cm="1">
        <f t="array" ref="L113">L$106+IF($C113&lt;&gt;0,SUMPRODUCT((L$107:L$108)*TRANSPOSE(($D113:$E113))),0)</f>
        <v>3778027.2065989105</v>
      </c>
      <c r="M113" s="31" cm="1">
        <f t="array" ref="M113">M$106+IF($C113&lt;&gt;0,SUMPRODUCT((M$107:M$108)*TRANSPOSE(($D113:$E113))),0)</f>
        <v>3778027.2065989105</v>
      </c>
      <c r="N113" s="31" cm="1">
        <f t="array" ref="N113">N$106+IF($C113&lt;&gt;0,SUMPRODUCT((N$107:N$108)*TRANSPOSE(($D113:$E113))),0)</f>
        <v>3778027.2065989105</v>
      </c>
      <c r="O113" s="31" cm="1">
        <f t="array" ref="O113">O$106+IF($C113&lt;&gt;0,SUMPRODUCT((O$107:O$108)*TRANSPOSE(($D113:$E113))),0)</f>
        <v>3886636.1009657248</v>
      </c>
      <c r="P113" s="31" cm="1">
        <f t="array" ref="P113">P$106+IF($C113&lt;&gt;0,SUMPRODUCT((P$107:P$108)*TRANSPOSE(($D113:$E113))),0)</f>
        <v>3886636.1009657248</v>
      </c>
      <c r="Q113" s="31" cm="1">
        <f t="array" ref="Q113">Q$106+IF($C113&lt;&gt;0,SUMPRODUCT((Q$107:Q$108)*TRANSPOSE(($D113:$E113))),0)</f>
        <v>3995244.9953325405</v>
      </c>
      <c r="R113" s="31" cm="1">
        <f t="array" ref="R113">R$106+IF($C113&lt;&gt;0,SUMPRODUCT((R$107:R$108)*TRANSPOSE(($D113:$E113))),0)</f>
        <v>3995244.9953325405</v>
      </c>
      <c r="S113" s="31" cm="1">
        <f t="array" ref="S113">S$106+IF($C113&lt;&gt;0,SUMPRODUCT((S$107:S$108)*TRANSPOSE(($D113:$E113))),0)</f>
        <v>4103853.8896993548</v>
      </c>
      <c r="T113" s="31" cm="1">
        <f t="array" ref="T113">T$106+IF($C113&lt;&gt;0,SUMPRODUCT((T$107:T$108)*TRANSPOSE(($D113:$E113))),0)</f>
        <v>4103853.8896993548</v>
      </c>
      <c r="U113" s="31" cm="1">
        <f t="array" ref="U113">U$106+IF($C113&lt;&gt;0,SUMPRODUCT((U$107:U$108)*TRANSPOSE(($D113:$E113))),0)</f>
        <v>4212462.7840661686</v>
      </c>
      <c r="V113" s="31" cm="1">
        <f t="array" ref="V113">V$106+IF($C113&lt;&gt;0,SUMPRODUCT((V$107:V$108)*TRANSPOSE(($D113:$E113))),0)</f>
        <v>4212462.7840661686</v>
      </c>
      <c r="W113" s="31" cm="1">
        <f t="array" ref="W113">W$106+IF($C113&lt;&gt;0,SUMPRODUCT((W$107:W$108)*TRANSPOSE(($D113:$E113))),0)</f>
        <v>4212462.7840661686</v>
      </c>
      <c r="X113" s="31" cm="1">
        <f t="array" ref="X113">X$106+IF($C113&lt;&gt;0,SUMPRODUCT((X$107:X$108)*TRANSPOSE(($D113:$E113))),0)</f>
        <v>4212462.7840661686</v>
      </c>
      <c r="Y113" s="31" cm="1">
        <f t="array" ref="Y113">Y$106+IF($C113&lt;&gt;0,SUMPRODUCT((Y$107:Y$108)*TRANSPOSE(($D113:$E113))),0)</f>
        <v>4212462.7840661686</v>
      </c>
      <c r="Z113" s="31" cm="1">
        <f t="array" ref="Z113">Z$106+IF($C113&lt;&gt;0,SUMPRODUCT((Z$107:Z$108)*TRANSPOSE(($D113:$E113))),0)</f>
        <v>4212462.7840661686</v>
      </c>
      <c r="AA113" s="31" cm="1">
        <f t="array" ref="AA113">AA$106+IF($C113&lt;&gt;0,SUMPRODUCT((AA$107:AA$108)*TRANSPOSE(($D113:$E113))),0)</f>
        <v>4212462.7840661686</v>
      </c>
      <c r="AB113" s="31" cm="1">
        <f t="array" ref="AB113">AB$106+IF($C113&lt;&gt;0,SUMPRODUCT((AB$107:AB$108)*TRANSPOSE(($D113:$E113))),0)</f>
        <v>4212462.7840661686</v>
      </c>
      <c r="AC113" s="31" cm="1">
        <f t="array" ref="AC113">AC$106+IF($C113&lt;&gt;0,SUMPRODUCT((AC$107:AC$108)*TRANSPOSE(($D113:$E113))),0)</f>
        <v>4212462.7840661686</v>
      </c>
      <c r="AD113" s="31" cm="1">
        <f t="array" ref="AD113">AD$106+IF($C113&lt;&gt;0,SUMPRODUCT((AD$107:AD$108)*TRANSPOSE(($D113:$E113))),0)</f>
        <v>4212462.7840661686</v>
      </c>
      <c r="AE113" s="31" cm="1">
        <f t="array" ref="AE113">AE$106+IF($C113&lt;&gt;0,SUMPRODUCT((AE$107:AE$108)*TRANSPOSE(($D113:$E113))),0)</f>
        <v>4212462.7840661686</v>
      </c>
      <c r="AF113" s="31" cm="1">
        <f t="array" ref="AF113">AF$106+IF($C113&lt;&gt;0,SUMPRODUCT((AF$107:AF$108)*TRANSPOSE(($D113:$E113))),0)</f>
        <v>4212462.7840661686</v>
      </c>
      <c r="AG113" s="31" cm="1">
        <f t="array" ref="AG113">AG$106+IF($C113&lt;&gt;0,SUMPRODUCT((AG$107:AG$108)*TRANSPOSE(($D113:$E113))),0)</f>
        <v>-1436384.8720159719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-912813.20040774194</v>
      </c>
      <c r="J114" s="31" cm="1">
        <f t="array" ref="J114">J$106+IF($C114&lt;&gt;0,SUMPRODUCT((J$107:J$108)*TRANSPOSE(($D114:$E114))),0)</f>
        <v>3448425.8755209357</v>
      </c>
      <c r="K114" s="31" cm="1">
        <f t="array" ref="K114">K$106+IF($C114&lt;&gt;0,SUMPRODUCT((K$107:K$108)*TRANSPOSE(($D114:$E114))),0)</f>
        <v>3525779.8250304991</v>
      </c>
      <c r="L114" s="31" cm="1">
        <f t="array" ref="L114">L$106+IF($C114&lt;&gt;0,SUMPRODUCT((L$107:L$108)*TRANSPOSE(($D114:$E114))),0)</f>
        <v>3634388.7193973134</v>
      </c>
      <c r="M114" s="31" cm="1">
        <f t="array" ref="M114">M$106+IF($C114&lt;&gt;0,SUMPRODUCT((M$107:M$108)*TRANSPOSE(($D114:$E114))),0)</f>
        <v>3634388.7193973134</v>
      </c>
      <c r="N114" s="31" cm="1">
        <f t="array" ref="N114">N$106+IF($C114&lt;&gt;0,SUMPRODUCT((N$107:N$108)*TRANSPOSE(($D114:$E114))),0)</f>
        <v>3634388.7193973134</v>
      </c>
      <c r="O114" s="31" cm="1">
        <f t="array" ref="O114">O$106+IF($C114&lt;&gt;0,SUMPRODUCT((O$107:O$108)*TRANSPOSE(($D114:$E114))),0)</f>
        <v>3742997.6137641277</v>
      </c>
      <c r="P114" s="31" cm="1">
        <f t="array" ref="P114">P$106+IF($C114&lt;&gt;0,SUMPRODUCT((P$107:P$108)*TRANSPOSE(($D114:$E114))),0)</f>
        <v>3742997.6137641277</v>
      </c>
      <c r="Q114" s="31" cm="1">
        <f t="array" ref="Q114">Q$106+IF($C114&lt;&gt;0,SUMPRODUCT((Q$107:Q$108)*TRANSPOSE(($D114:$E114))),0)</f>
        <v>3851606.5081309434</v>
      </c>
      <c r="R114" s="31" cm="1">
        <f t="array" ref="R114">R$106+IF($C114&lt;&gt;0,SUMPRODUCT((R$107:R$108)*TRANSPOSE(($D114:$E114))),0)</f>
        <v>3851606.5081309434</v>
      </c>
      <c r="S114" s="31" cm="1">
        <f t="array" ref="S114">S$106+IF($C114&lt;&gt;0,SUMPRODUCT((S$107:S$108)*TRANSPOSE(($D114:$E114))),0)</f>
        <v>3960215.4024977572</v>
      </c>
      <c r="T114" s="31" cm="1">
        <f t="array" ref="T114">T$106+IF($C114&lt;&gt;0,SUMPRODUCT((T$107:T$108)*TRANSPOSE(($D114:$E114))),0)</f>
        <v>3960215.4024977572</v>
      </c>
      <c r="U114" s="31" cm="1">
        <f t="array" ref="U114">U$106+IF($C114&lt;&gt;0,SUMPRODUCT((U$107:U$108)*TRANSPOSE(($D114:$E114))),0)</f>
        <v>4068824.2968645715</v>
      </c>
      <c r="V114" s="31" cm="1">
        <f t="array" ref="V114">V$106+IF($C114&lt;&gt;0,SUMPRODUCT((V$107:V$108)*TRANSPOSE(($D114:$E114))),0)</f>
        <v>4068824.2968645715</v>
      </c>
      <c r="W114" s="31" cm="1">
        <f t="array" ref="W114">W$106+IF($C114&lt;&gt;0,SUMPRODUCT((W$107:W$108)*TRANSPOSE(($D114:$E114))),0)</f>
        <v>4068824.2968645715</v>
      </c>
      <c r="X114" s="31" cm="1">
        <f t="array" ref="X114">X$106+IF($C114&lt;&gt;0,SUMPRODUCT((X$107:X$108)*TRANSPOSE(($D114:$E114))),0)</f>
        <v>4068824.2968645715</v>
      </c>
      <c r="Y114" s="31" cm="1">
        <f t="array" ref="Y114">Y$106+IF($C114&lt;&gt;0,SUMPRODUCT((Y$107:Y$108)*TRANSPOSE(($D114:$E114))),0)</f>
        <v>4068824.2968645715</v>
      </c>
      <c r="Z114" s="31" cm="1">
        <f t="array" ref="Z114">Z$106+IF($C114&lt;&gt;0,SUMPRODUCT((Z$107:Z$108)*TRANSPOSE(($D114:$E114))),0)</f>
        <v>4068824.2968645715</v>
      </c>
      <c r="AA114" s="31" cm="1">
        <f t="array" ref="AA114">AA$106+IF($C114&lt;&gt;0,SUMPRODUCT((AA$107:AA$108)*TRANSPOSE(($D114:$E114))),0)</f>
        <v>4068824.2968645715</v>
      </c>
      <c r="AB114" s="31" cm="1">
        <f t="array" ref="AB114">AB$106+IF($C114&lt;&gt;0,SUMPRODUCT((AB$107:AB$108)*TRANSPOSE(($D114:$E114))),0)</f>
        <v>4068824.2968645715</v>
      </c>
      <c r="AC114" s="31" cm="1">
        <f t="array" ref="AC114">AC$106+IF($C114&lt;&gt;0,SUMPRODUCT((AC$107:AC$108)*TRANSPOSE(($D114:$E114))),0)</f>
        <v>4068824.2968645715</v>
      </c>
      <c r="AD114" s="31" cm="1">
        <f t="array" ref="AD114">AD$106+IF($C114&lt;&gt;0,SUMPRODUCT((AD$107:AD$108)*TRANSPOSE(($D114:$E114))),0)</f>
        <v>4068824.2968645715</v>
      </c>
      <c r="AE114" s="31" cm="1">
        <f t="array" ref="AE114">AE$106+IF($C114&lt;&gt;0,SUMPRODUCT((AE$107:AE$108)*TRANSPOSE(($D114:$E114))),0)</f>
        <v>4068824.2968645715</v>
      </c>
      <c r="AF114" s="31" cm="1">
        <f t="array" ref="AF114">AF$106+IF($C114&lt;&gt;0,SUMPRODUCT((AF$107:AF$108)*TRANSPOSE(($D114:$E114))),0)</f>
        <v>4068824.2968645715</v>
      </c>
      <c r="AG114" s="31" cm="1">
        <f t="array" ref="AG114">AG$106+IF($C114&lt;&gt;0,SUMPRODUCT((AG$107:AG$108)*TRANSPOSE(($D114:$E114))),0)</f>
        <v>-1580023.3592175692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-1014236.8893419355</v>
      </c>
      <c r="J115" s="31" cm="1">
        <f t="array" ref="J115">J$106+IF($C115&lt;&gt;0,SUMPRODUCT((J$107:J$108)*TRANSPOSE(($D115:$E115))),0)</f>
        <v>4150780.9443601444</v>
      </c>
      <c r="K115" s="31" cm="1">
        <f t="array" ref="K115">K$106+IF($C115&lt;&gt;0,SUMPRODUCT((K$107:K$108)*TRANSPOSE(($D115:$E115))),0)</f>
        <v>4236729.7771485485</v>
      </c>
      <c r="L115" s="31" cm="1">
        <f t="array" ref="L115">L$106+IF($C115&lt;&gt;0,SUMPRODUCT((L$107:L$108)*TRANSPOSE(($D115:$E115))),0)</f>
        <v>4357406.3264450086</v>
      </c>
      <c r="M115" s="31" cm="1">
        <f t="array" ref="M115">M$106+IF($C115&lt;&gt;0,SUMPRODUCT((M$107:M$108)*TRANSPOSE(($D115:$E115))),0)</f>
        <v>4357406.3264450086</v>
      </c>
      <c r="N115" s="31" cm="1">
        <f t="array" ref="N115">N$106+IF($C115&lt;&gt;0,SUMPRODUCT((N$107:N$108)*TRANSPOSE(($D115:$E115))),0)</f>
        <v>4357406.3264450086</v>
      </c>
      <c r="O115" s="31" cm="1">
        <f t="array" ref="O115">O$106+IF($C115&lt;&gt;0,SUMPRODUCT((O$107:O$108)*TRANSPOSE(($D115:$E115))),0)</f>
        <v>4478082.8757414687</v>
      </c>
      <c r="P115" s="31" cm="1">
        <f t="array" ref="P115">P$106+IF($C115&lt;&gt;0,SUMPRODUCT((P$107:P$108)*TRANSPOSE(($D115:$E115))),0)</f>
        <v>4478082.8757414687</v>
      </c>
      <c r="Q115" s="31" cm="1">
        <f t="array" ref="Q115">Q$106+IF($C115&lt;&gt;0,SUMPRODUCT((Q$107:Q$108)*TRANSPOSE(($D115:$E115))),0)</f>
        <v>4598759.4250379307</v>
      </c>
      <c r="R115" s="31" cm="1">
        <f t="array" ref="R115">R$106+IF($C115&lt;&gt;0,SUMPRODUCT((R$107:R$108)*TRANSPOSE(($D115:$E115))),0)</f>
        <v>4598759.4250379307</v>
      </c>
      <c r="S115" s="31" cm="1">
        <f t="array" ref="S115">S$106+IF($C115&lt;&gt;0,SUMPRODUCT((S$107:S$108)*TRANSPOSE(($D115:$E115))),0)</f>
        <v>4719435.9743343908</v>
      </c>
      <c r="T115" s="31" cm="1">
        <f t="array" ref="T115">T$106+IF($C115&lt;&gt;0,SUMPRODUCT((T$107:T$108)*TRANSPOSE(($D115:$E115))),0)</f>
        <v>4719435.9743343908</v>
      </c>
      <c r="U115" s="31" cm="1">
        <f t="array" ref="U115">U$106+IF($C115&lt;&gt;0,SUMPRODUCT((U$107:U$108)*TRANSPOSE(($D115:$E115))),0)</f>
        <v>4840112.5236308509</v>
      </c>
      <c r="V115" s="31" cm="1">
        <f t="array" ref="V115">V$106+IF($C115&lt;&gt;0,SUMPRODUCT((V$107:V$108)*TRANSPOSE(($D115:$E115))),0)</f>
        <v>4840112.5236308509</v>
      </c>
      <c r="W115" s="31" cm="1">
        <f t="array" ref="W115">W$106+IF($C115&lt;&gt;0,SUMPRODUCT((W$107:W$108)*TRANSPOSE(($D115:$E115))),0)</f>
        <v>4840112.5236308509</v>
      </c>
      <c r="X115" s="31" cm="1">
        <f t="array" ref="X115">X$106+IF($C115&lt;&gt;0,SUMPRODUCT((X$107:X$108)*TRANSPOSE(($D115:$E115))),0)</f>
        <v>4840112.5236308509</v>
      </c>
      <c r="Y115" s="31" cm="1">
        <f t="array" ref="Y115">Y$106+IF($C115&lt;&gt;0,SUMPRODUCT((Y$107:Y$108)*TRANSPOSE(($D115:$E115))),0)</f>
        <v>4840112.5236308509</v>
      </c>
      <c r="Z115" s="31" cm="1">
        <f t="array" ref="Z115">Z$106+IF($C115&lt;&gt;0,SUMPRODUCT((Z$107:Z$108)*TRANSPOSE(($D115:$E115))),0)</f>
        <v>4840112.5236308509</v>
      </c>
      <c r="AA115" s="31" cm="1">
        <f t="array" ref="AA115">AA$106+IF($C115&lt;&gt;0,SUMPRODUCT((AA$107:AA$108)*TRANSPOSE(($D115:$E115))),0)</f>
        <v>4840112.5236308509</v>
      </c>
      <c r="AB115" s="31" cm="1">
        <f t="array" ref="AB115">AB$106+IF($C115&lt;&gt;0,SUMPRODUCT((AB$107:AB$108)*TRANSPOSE(($D115:$E115))),0)</f>
        <v>4840112.5236308509</v>
      </c>
      <c r="AC115" s="31" cm="1">
        <f t="array" ref="AC115">AC$106+IF($C115&lt;&gt;0,SUMPRODUCT((AC$107:AC$108)*TRANSPOSE(($D115:$E115))),0)</f>
        <v>4840112.5236308509</v>
      </c>
      <c r="AD115" s="31" cm="1">
        <f t="array" ref="AD115">AD$106+IF($C115&lt;&gt;0,SUMPRODUCT((AD$107:AD$108)*TRANSPOSE(($D115:$E115))),0)</f>
        <v>4840112.5236308509</v>
      </c>
      <c r="AE115" s="31" cm="1">
        <f t="array" ref="AE115">AE$106+IF($C115&lt;&gt;0,SUMPRODUCT((AE$107:AE$108)*TRANSPOSE(($D115:$E115))),0)</f>
        <v>4840112.5236308509</v>
      </c>
      <c r="AF115" s="31" cm="1">
        <f t="array" ref="AF115">AF$106+IF($C115&lt;&gt;0,SUMPRODUCT((AF$107:AF$108)*TRANSPOSE(($D115:$E115))),0)</f>
        <v>4840112.5236308509</v>
      </c>
      <c r="AG115" s="31" cm="1">
        <f t="array" ref="AG115">AG$106+IF($C115&lt;&gt;0,SUMPRODUCT((AG$107:AG$108)*TRANSPOSE(($D115:$E115))),0)</f>
        <v>-1436384.8720159719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-1014236.8893419355</v>
      </c>
      <c r="J116" s="31" cm="1">
        <f t="array" ref="J116">J$106+IF($C116&lt;&gt;0,SUMPRODUCT((J$107:J$108)*TRANSPOSE(($D116:$E116))),0)</f>
        <v>4150780.9443601444</v>
      </c>
      <c r="K116" s="31" cm="1">
        <f t="array" ref="K116">K$106+IF($C116&lt;&gt;0,SUMPRODUCT((K$107:K$108)*TRANSPOSE(($D116:$E116))),0)</f>
        <v>4236729.7771485485</v>
      </c>
      <c r="L116" s="31" cm="1">
        <f t="array" ref="L116">L$106+IF($C116&lt;&gt;0,SUMPRODUCT((L$107:L$108)*TRANSPOSE(($D116:$E116))),0)</f>
        <v>4357406.3264450086</v>
      </c>
      <c r="M116" s="31" cm="1">
        <f t="array" ref="M116">M$106+IF($C116&lt;&gt;0,SUMPRODUCT((M$107:M$108)*TRANSPOSE(($D116:$E116))),0)</f>
        <v>4357406.3264450086</v>
      </c>
      <c r="N116" s="31" cm="1">
        <f t="array" ref="N116">N$106+IF($C116&lt;&gt;0,SUMPRODUCT((N$107:N$108)*TRANSPOSE(($D116:$E116))),0)</f>
        <v>4357406.3264450086</v>
      </c>
      <c r="O116" s="31" cm="1">
        <f t="array" ref="O116">O$106+IF($C116&lt;&gt;0,SUMPRODUCT((O$107:O$108)*TRANSPOSE(($D116:$E116))),0)</f>
        <v>4478082.8757414687</v>
      </c>
      <c r="P116" s="31" cm="1">
        <f t="array" ref="P116">P$106+IF($C116&lt;&gt;0,SUMPRODUCT((P$107:P$108)*TRANSPOSE(($D116:$E116))),0)</f>
        <v>4478082.8757414687</v>
      </c>
      <c r="Q116" s="31" cm="1">
        <f t="array" ref="Q116">Q$106+IF($C116&lt;&gt;0,SUMPRODUCT((Q$107:Q$108)*TRANSPOSE(($D116:$E116))),0)</f>
        <v>4598759.4250379307</v>
      </c>
      <c r="R116" s="31" cm="1">
        <f t="array" ref="R116">R$106+IF($C116&lt;&gt;0,SUMPRODUCT((R$107:R$108)*TRANSPOSE(($D116:$E116))),0)</f>
        <v>4598759.4250379307</v>
      </c>
      <c r="S116" s="31" cm="1">
        <f t="array" ref="S116">S$106+IF($C116&lt;&gt;0,SUMPRODUCT((S$107:S$108)*TRANSPOSE(($D116:$E116))),0)</f>
        <v>4719435.9743343908</v>
      </c>
      <c r="T116" s="31" cm="1">
        <f t="array" ref="T116">T$106+IF($C116&lt;&gt;0,SUMPRODUCT((T$107:T$108)*TRANSPOSE(($D116:$E116))),0)</f>
        <v>4719435.9743343908</v>
      </c>
      <c r="U116" s="31" cm="1">
        <f t="array" ref="U116">U$106+IF($C116&lt;&gt;0,SUMPRODUCT((U$107:U$108)*TRANSPOSE(($D116:$E116))),0)</f>
        <v>4840112.5236308509</v>
      </c>
      <c r="V116" s="31" cm="1">
        <f t="array" ref="V116">V$106+IF($C116&lt;&gt;0,SUMPRODUCT((V$107:V$108)*TRANSPOSE(($D116:$E116))),0)</f>
        <v>4840112.5236308509</v>
      </c>
      <c r="W116" s="31" cm="1">
        <f t="array" ref="W116">W$106+IF($C116&lt;&gt;0,SUMPRODUCT((W$107:W$108)*TRANSPOSE(($D116:$E116))),0)</f>
        <v>4840112.5236308509</v>
      </c>
      <c r="X116" s="31" cm="1">
        <f t="array" ref="X116">X$106+IF($C116&lt;&gt;0,SUMPRODUCT((X$107:X$108)*TRANSPOSE(($D116:$E116))),0)</f>
        <v>4840112.5236308509</v>
      </c>
      <c r="Y116" s="31" cm="1">
        <f t="array" ref="Y116">Y$106+IF($C116&lt;&gt;0,SUMPRODUCT((Y$107:Y$108)*TRANSPOSE(($D116:$E116))),0)</f>
        <v>4840112.5236308509</v>
      </c>
      <c r="Z116" s="31" cm="1">
        <f t="array" ref="Z116">Z$106+IF($C116&lt;&gt;0,SUMPRODUCT((Z$107:Z$108)*TRANSPOSE(($D116:$E116))),0)</f>
        <v>4840112.5236308509</v>
      </c>
      <c r="AA116" s="31" cm="1">
        <f t="array" ref="AA116">AA$106+IF($C116&lt;&gt;0,SUMPRODUCT((AA$107:AA$108)*TRANSPOSE(($D116:$E116))),0)</f>
        <v>4840112.5236308509</v>
      </c>
      <c r="AB116" s="31" cm="1">
        <f t="array" ref="AB116">AB$106+IF($C116&lt;&gt;0,SUMPRODUCT((AB$107:AB$108)*TRANSPOSE(($D116:$E116))),0)</f>
        <v>4840112.5236308509</v>
      </c>
      <c r="AC116" s="31" cm="1">
        <f t="array" ref="AC116">AC$106+IF($C116&lt;&gt;0,SUMPRODUCT((AC$107:AC$108)*TRANSPOSE(($D116:$E116))),0)</f>
        <v>4840112.5236308509</v>
      </c>
      <c r="AD116" s="31" cm="1">
        <f t="array" ref="AD116">AD$106+IF($C116&lt;&gt;0,SUMPRODUCT((AD$107:AD$108)*TRANSPOSE(($D116:$E116))),0)</f>
        <v>4840112.5236308509</v>
      </c>
      <c r="AE116" s="31" cm="1">
        <f t="array" ref="AE116">AE$106+IF($C116&lt;&gt;0,SUMPRODUCT((AE$107:AE$108)*TRANSPOSE(($D116:$E116))),0)</f>
        <v>4840112.5236308509</v>
      </c>
      <c r="AF116" s="31" cm="1">
        <f t="array" ref="AF116">AF$106+IF($C116&lt;&gt;0,SUMPRODUCT((AF$107:AF$108)*TRANSPOSE(($D116:$E116))),0)</f>
        <v>4840112.5236308509</v>
      </c>
      <c r="AG116" s="31" cm="1">
        <f t="array" ref="AG116">AG$106+IF($C116&lt;&gt;0,SUMPRODUCT((AG$107:AG$108)*TRANSPOSE(($D116:$E116))),0)</f>
        <v>-1436384.8720159719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-1014236.8893419355</v>
      </c>
      <c r="J117" s="31" cm="1">
        <f t="array" ref="J117">J$106+IF($C117&lt;&gt;0,SUMPRODUCT((J$107:J$108)*TRANSPOSE(($D117:$E117))),0)</f>
        <v>4150780.9443601444</v>
      </c>
      <c r="K117" s="31" cm="1">
        <f t="array" ref="K117">K$106+IF($C117&lt;&gt;0,SUMPRODUCT((K$107:K$108)*TRANSPOSE(($D117:$E117))),0)</f>
        <v>4236729.7771485485</v>
      </c>
      <c r="L117" s="31" cm="1">
        <f t="array" ref="L117">L$106+IF($C117&lt;&gt;0,SUMPRODUCT((L$107:L$108)*TRANSPOSE(($D117:$E117))),0)</f>
        <v>4357406.3264450086</v>
      </c>
      <c r="M117" s="31" cm="1">
        <f t="array" ref="M117">M$106+IF($C117&lt;&gt;0,SUMPRODUCT((M$107:M$108)*TRANSPOSE(($D117:$E117))),0)</f>
        <v>4357406.3264450086</v>
      </c>
      <c r="N117" s="31" cm="1">
        <f t="array" ref="N117">N$106+IF($C117&lt;&gt;0,SUMPRODUCT((N$107:N$108)*TRANSPOSE(($D117:$E117))),0)</f>
        <v>4357406.3264450086</v>
      </c>
      <c r="O117" s="31" cm="1">
        <f t="array" ref="O117">O$106+IF($C117&lt;&gt;0,SUMPRODUCT((O$107:O$108)*TRANSPOSE(($D117:$E117))),0)</f>
        <v>4478082.8757414687</v>
      </c>
      <c r="P117" s="31" cm="1">
        <f t="array" ref="P117">P$106+IF($C117&lt;&gt;0,SUMPRODUCT((P$107:P$108)*TRANSPOSE(($D117:$E117))),0)</f>
        <v>4478082.8757414687</v>
      </c>
      <c r="Q117" s="31" cm="1">
        <f t="array" ref="Q117">Q$106+IF($C117&lt;&gt;0,SUMPRODUCT((Q$107:Q$108)*TRANSPOSE(($D117:$E117))),0)</f>
        <v>4598759.4250379307</v>
      </c>
      <c r="R117" s="31" cm="1">
        <f t="array" ref="R117">R$106+IF($C117&lt;&gt;0,SUMPRODUCT((R$107:R$108)*TRANSPOSE(($D117:$E117))),0)</f>
        <v>4598759.4250379307</v>
      </c>
      <c r="S117" s="31" cm="1">
        <f t="array" ref="S117">S$106+IF($C117&lt;&gt;0,SUMPRODUCT((S$107:S$108)*TRANSPOSE(($D117:$E117))),0)</f>
        <v>4719435.9743343908</v>
      </c>
      <c r="T117" s="31" cm="1">
        <f t="array" ref="T117">T$106+IF($C117&lt;&gt;0,SUMPRODUCT((T$107:T$108)*TRANSPOSE(($D117:$E117))),0)</f>
        <v>4719435.9743343908</v>
      </c>
      <c r="U117" s="31" cm="1">
        <f t="array" ref="U117">U$106+IF($C117&lt;&gt;0,SUMPRODUCT((U$107:U$108)*TRANSPOSE(($D117:$E117))),0)</f>
        <v>4840112.5236308509</v>
      </c>
      <c r="V117" s="31" cm="1">
        <f t="array" ref="V117">V$106+IF($C117&lt;&gt;0,SUMPRODUCT((V$107:V$108)*TRANSPOSE(($D117:$E117))),0)</f>
        <v>4840112.5236308509</v>
      </c>
      <c r="W117" s="31" cm="1">
        <f t="array" ref="W117">W$106+IF($C117&lt;&gt;0,SUMPRODUCT((W$107:W$108)*TRANSPOSE(($D117:$E117))),0)</f>
        <v>4840112.5236308509</v>
      </c>
      <c r="X117" s="31" cm="1">
        <f t="array" ref="X117">X$106+IF($C117&lt;&gt;0,SUMPRODUCT((X$107:X$108)*TRANSPOSE(($D117:$E117))),0)</f>
        <v>4840112.5236308509</v>
      </c>
      <c r="Y117" s="31" cm="1">
        <f t="array" ref="Y117">Y$106+IF($C117&lt;&gt;0,SUMPRODUCT((Y$107:Y$108)*TRANSPOSE(($D117:$E117))),0)</f>
        <v>4840112.5236308509</v>
      </c>
      <c r="Z117" s="31" cm="1">
        <f t="array" ref="Z117">Z$106+IF($C117&lt;&gt;0,SUMPRODUCT((Z$107:Z$108)*TRANSPOSE(($D117:$E117))),0)</f>
        <v>4840112.5236308509</v>
      </c>
      <c r="AA117" s="31" cm="1">
        <f t="array" ref="AA117">AA$106+IF($C117&lt;&gt;0,SUMPRODUCT((AA$107:AA$108)*TRANSPOSE(($D117:$E117))),0)</f>
        <v>4840112.5236308509</v>
      </c>
      <c r="AB117" s="31" cm="1">
        <f t="array" ref="AB117">AB$106+IF($C117&lt;&gt;0,SUMPRODUCT((AB$107:AB$108)*TRANSPOSE(($D117:$E117))),0)</f>
        <v>4840112.5236308509</v>
      </c>
      <c r="AC117" s="31" cm="1">
        <f t="array" ref="AC117">AC$106+IF($C117&lt;&gt;0,SUMPRODUCT((AC$107:AC$108)*TRANSPOSE(($D117:$E117))),0)</f>
        <v>4840112.5236308509</v>
      </c>
      <c r="AD117" s="31" cm="1">
        <f t="array" ref="AD117">AD$106+IF($C117&lt;&gt;0,SUMPRODUCT((AD$107:AD$108)*TRANSPOSE(($D117:$E117))),0)</f>
        <v>4840112.5236308509</v>
      </c>
      <c r="AE117" s="31" cm="1">
        <f t="array" ref="AE117">AE$106+IF($C117&lt;&gt;0,SUMPRODUCT((AE$107:AE$108)*TRANSPOSE(($D117:$E117))),0)</f>
        <v>4840112.5236308509</v>
      </c>
      <c r="AF117" s="31" cm="1">
        <f t="array" ref="AF117">AF$106+IF($C117&lt;&gt;0,SUMPRODUCT((AF$107:AF$108)*TRANSPOSE(($D117:$E117))),0)</f>
        <v>4840112.5236308509</v>
      </c>
      <c r="AG117" s="31" cm="1">
        <f t="array" ref="AG117">AG$106+IF($C117&lt;&gt;0,SUMPRODUCT((AG$107:AG$108)*TRANSPOSE(($D117:$E117))),0)</f>
        <v>-1436384.8720159719</v>
      </c>
    </row>
    <row r="118" spans="1:33" x14ac:dyDescent="0.3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3">
      <c r="I129" s="248"/>
      <c r="J129" s="248"/>
      <c r="K129" s="248"/>
      <c r="L129" s="248"/>
    </row>
    <row r="130" spans="9:12" x14ac:dyDescent="0.3">
      <c r="I130" s="248"/>
      <c r="J130" s="248"/>
      <c r="K130" s="248"/>
      <c r="L130" s="248"/>
    </row>
    <row r="131" spans="9:12" x14ac:dyDescent="0.3">
      <c r="I131" s="248"/>
      <c r="J131" s="248"/>
      <c r="K131" s="248"/>
      <c r="L131" s="248"/>
    </row>
    <row r="132" spans="9:12" x14ac:dyDescent="0.3">
      <c r="I132" s="248"/>
      <c r="J132" s="248"/>
      <c r="K132" s="248"/>
      <c r="L132" s="248"/>
    </row>
    <row r="133" spans="9:12" x14ac:dyDescent="0.3">
      <c r="I133" s="248"/>
      <c r="J133" s="248"/>
      <c r="K133" s="248"/>
      <c r="L133" s="248"/>
    </row>
    <row r="134" spans="9:12" x14ac:dyDescent="0.3">
      <c r="I134" s="248"/>
      <c r="J134" s="248"/>
      <c r="K134" s="248"/>
      <c r="L134" s="248"/>
    </row>
    <row r="135" spans="9:12" x14ac:dyDescent="0.3">
      <c r="I135" s="248"/>
      <c r="J135" s="248"/>
      <c r="K135" s="248"/>
      <c r="L135" s="248"/>
    </row>
    <row r="136" spans="9:12" x14ac:dyDescent="0.3">
      <c r="I136" s="248"/>
      <c r="J136" s="248"/>
      <c r="K136" s="248"/>
      <c r="L136" s="248"/>
    </row>
  </sheetData>
  <conditionalFormatting sqref="E14">
    <cfRule type="expression" dxfId="14" priority="1">
      <formula>AND(SUM($I14:$AB14)&lt;&gt;0, E14=0)</formula>
    </cfRule>
  </conditionalFormatting>
  <conditionalFormatting sqref="E15:E16">
    <cfRule type="expression" dxfId="13" priority="2">
      <formula>AND(SUM($I15:$AB15)&lt;&gt;0, E15=0)</formula>
    </cfRule>
  </conditionalFormatting>
  <conditionalFormatting sqref="E28">
    <cfRule type="expression" dxfId="12" priority="237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3" outlineLevelRow="1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7.76562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5" x14ac:dyDescent="0.4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5" x14ac:dyDescent="0.35">
      <c r="A3" s="203" t="s">
        <v>133</v>
      </c>
      <c r="B3" s="5"/>
      <c r="C3" s="200" t="str">
        <f>INDEX(Assumptions!$E$14:$E$18, MATCH(A3,_xlfn.ANCHORARRAY( Assumptions!$C$14),0))</f>
        <v>Replace all CRO inoperatble RMUs over 5 years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5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5" x14ac:dyDescent="0.3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ht="13.5" x14ac:dyDescent="0.3">
      <c r="A12" s="3"/>
      <c r="B12" s="3"/>
      <c r="C12" s="3"/>
      <c r="D12" s="3"/>
      <c r="G12" s="205"/>
      <c r="AH12"/>
    </row>
    <row r="13" spans="1:43" ht="13.5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7" t="s">
        <v>301</v>
      </c>
      <c r="D14"/>
      <c r="E14" s="148">
        <v>55</v>
      </c>
      <c r="F14" s="350" t="s">
        <v>17</v>
      </c>
      <c r="G14" s="207">
        <f>input_dollars</f>
        <v>45291</v>
      </c>
      <c r="H14" s="149"/>
      <c r="I14" s="32">
        <f>INDEX(Workings_costs!K$27:K$79, MATCH($A$3&amp;$F14, Workings_costs!$G$27:$G$79,0))</f>
        <v>6933525</v>
      </c>
      <c r="J14" s="32">
        <f>INDEX(Workings_costs!L$27:L$79, MATCH($A$3&amp;$F14, Workings_costs!$G$27:$G$79,0))</f>
        <v>6933525</v>
      </c>
      <c r="K14" s="32">
        <f>INDEX(Workings_costs!M$27:M$79, MATCH($A$3&amp;$F14, Workings_costs!$G$27:$G$79,0))</f>
        <v>6933525</v>
      </c>
      <c r="L14" s="32">
        <f>INDEX(Workings_costs!N$27:N$79, MATCH($A$3&amp;$F14, Workings_costs!$G$27:$G$79,0))</f>
        <v>6933525</v>
      </c>
      <c r="M14" s="32">
        <f>INDEX(Workings_costs!O$27:O$79, MATCH($A$3&amp;$F14, Workings_costs!$G$27:$G$79,0))</f>
        <v>6933525</v>
      </c>
      <c r="N14" s="32">
        <f>INDEX(Workings_costs!P$27:P$79, MATCH($A$3&amp;$F14, Workings_costs!$G$27:$G$79,0))</f>
        <v>184894</v>
      </c>
      <c r="O14" s="32">
        <f>INDEX(Workings_costs!Q$27:Q$79, MATCH($A$3&amp;$F14, Workings_costs!$G$27:$G$79,0))</f>
        <v>0</v>
      </c>
      <c r="P14" s="32">
        <f>INDEX(Workings_costs!R$27:R$79, MATCH($A$3&amp;$F14, Workings_costs!$G$27:$G$79,0))</f>
        <v>0</v>
      </c>
      <c r="Q14" s="32">
        <f>INDEX(Workings_costs!S$27:S$79, MATCH($A$3&amp;$F14, Workings_costs!$G$27:$G$79,0))</f>
        <v>0</v>
      </c>
      <c r="R14" s="32">
        <f>INDEX(Workings_costs!T$27:T$79, MATCH($A$3&amp;$F14, Workings_costs!$G$27:$G$79,0))</f>
        <v>0</v>
      </c>
      <c r="S14" s="32">
        <f>INDEX(Workings_costs!U$27:U$79, MATCH($A$3&amp;$F14, Workings_costs!$G$27:$G$79,0))</f>
        <v>0</v>
      </c>
      <c r="T14" s="32">
        <f>INDEX(Workings_costs!V$27:V$79, MATCH($A$3&amp;$F14, Workings_costs!$G$27:$G$79,0))</f>
        <v>0</v>
      </c>
      <c r="U14" s="32">
        <f>INDEX(Workings_costs!W$27:W$79, MATCH($A$3&amp;$F14, Workings_costs!$G$27:$G$79,0))</f>
        <v>0</v>
      </c>
      <c r="V14" s="32">
        <f>INDEX(Workings_costs!X$27:X$79, MATCH($A$3&amp;$F14, Workings_costs!$G$27:$G$79,0))</f>
        <v>0</v>
      </c>
      <c r="W14" s="32">
        <f>INDEX(Workings_costs!Y$27:Y$79, MATCH($A$3&amp;$F14, Workings_costs!$G$27:$G$79,0))</f>
        <v>0</v>
      </c>
      <c r="X14" s="32">
        <f>INDEX(Workings_costs!Z$27:Z$79, MATCH($A$3&amp;$F14, Workings_costs!$G$27:$G$79,0))</f>
        <v>0</v>
      </c>
      <c r="Y14" s="32">
        <f>INDEX(Workings_costs!AA$27:AA$79, MATCH($A$3&amp;$F14, Workings_costs!$G$27:$G$79,0))</f>
        <v>0</v>
      </c>
      <c r="Z14" s="32">
        <f>INDEX(Workings_costs!AB$27:AB$79, MATCH($A$3&amp;$F14, Workings_costs!$G$27:$G$79,0))</f>
        <v>0</v>
      </c>
      <c r="AA14" s="32">
        <f>INDEX(Workings_costs!AC$27:AC$79, MATCH($A$3&amp;$F14, Workings_costs!$G$27:$G$79,0))</f>
        <v>0</v>
      </c>
      <c r="AB14" s="32">
        <f>INDEX(Workings_costs!AD$27:AD$79, MATCH($A$3&amp;$F14, Workings_costs!$G$27:$G$79,0))</f>
        <v>0</v>
      </c>
      <c r="AC14" s="32">
        <f>INDEX(Workings_costs!AE$27:AE$79, MATCH($A$3&amp;$F14, Workings_costs!$G$27:$G$79,0))</f>
        <v>0</v>
      </c>
      <c r="AD14" s="32">
        <f>INDEX(Workings_costs!AF$27:AF$79, MATCH($A$3&amp;$F14, Workings_costs!$G$27:$G$79,0))</f>
        <v>0</v>
      </c>
      <c r="AE14" s="32">
        <f>INDEX(Workings_costs!AG$27:AG$79, MATCH($A$3&amp;$F14, Workings_costs!$G$27:$G$79,0))</f>
        <v>0</v>
      </c>
      <c r="AF14" s="32">
        <f>INDEX(Workings_costs!AH$27:AH$79, MATCH($A$3&amp;$F14, Workings_costs!$G$27:$G$79,0))</f>
        <v>0</v>
      </c>
      <c r="AG14" s="32">
        <f>INDEX(Workings_costs!AI$27:AI$79, MATCH($A$3&amp;$F14, Workings_costs!$G$27:$G$79,0))</f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ht="13.5" x14ac:dyDescent="0.3">
      <c r="C17" s="1" t="s">
        <v>30</v>
      </c>
      <c r="F17" s="350"/>
      <c r="G17" s="207">
        <f>input_dollars</f>
        <v>45291</v>
      </c>
      <c r="H17" s="107"/>
      <c r="I17" s="106">
        <f t="shared" ref="I17:Q17" si="0">SUM(I14:I16)</f>
        <v>6933525</v>
      </c>
      <c r="J17" s="106">
        <f t="shared" si="0"/>
        <v>6933525</v>
      </c>
      <c r="K17" s="106">
        <f t="shared" si="0"/>
        <v>6933525</v>
      </c>
      <c r="L17" s="106">
        <f t="shared" si="0"/>
        <v>6933525</v>
      </c>
      <c r="M17" s="106">
        <f t="shared" si="0"/>
        <v>6933525</v>
      </c>
      <c r="N17" s="106">
        <f t="shared" si="0"/>
        <v>184894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ht="13.5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3.5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ht="13.5" x14ac:dyDescent="0.3">
      <c r="G20" s="205"/>
      <c r="AH20"/>
    </row>
    <row r="21" spans="1:43" ht="13.5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148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3.5" x14ac:dyDescent="0.3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ht="13.5" x14ac:dyDescent="0.3">
      <c r="C28" s="1" t="s">
        <v>122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ht="13.5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3.5" x14ac:dyDescent="0.3">
      <c r="C30" s="1" t="s">
        <v>114</v>
      </c>
      <c r="D30" s="205" t="s">
        <v>202</v>
      </c>
      <c r="F30" s="350" t="s">
        <v>97</v>
      </c>
      <c r="G30" s="207">
        <f>input_dollars</f>
        <v>45291</v>
      </c>
      <c r="H30" s="149"/>
      <c r="I30" s="32">
        <f>INDEX(Workings_risks!I$22:I$233, MATCH($A$3&amp;$F30, Workings_risks!$G$22:$G$233,0))</f>
        <v>2067184.2250529367</v>
      </c>
      <c r="J30" s="32">
        <f>INDEX(Workings_risks!J$22:J$233, MATCH($A$3&amp;$F30, Workings_risks!$G$22:$G$233,0))</f>
        <v>1240310.535031762</v>
      </c>
      <c r="K30" s="32">
        <f>INDEX(Workings_risks!K$22:K$233, MATCH($A$3&amp;$F30, Workings_risks!$G$22:$G$233,0))</f>
        <v>826873.69002117461</v>
      </c>
      <c r="L30" s="32">
        <f>INDEX(Workings_risks!L$22:L$233, MATCH($A$3&amp;$F30, Workings_risks!$G$22:$G$233,0))</f>
        <v>413436.84501058731</v>
      </c>
      <c r="M30" s="32">
        <f>INDEX(Workings_risks!M$22:M$233, MATCH($A$3&amp;$F30, Workings_risks!$G$22:$G$233,0))</f>
        <v>0</v>
      </c>
      <c r="N30" s="32">
        <f>INDEX(Workings_risks!N$22:N$233, MATCH($A$3&amp;$F30, Workings_risks!$G$22:$G$233,0))</f>
        <v>0</v>
      </c>
      <c r="O30" s="32">
        <f>INDEX(Workings_risks!O$22:O$233, MATCH($A$3&amp;$F30, Workings_risks!$G$22:$G$233,0))</f>
        <v>0</v>
      </c>
      <c r="P30" s="32">
        <f>INDEX(Workings_risks!P$22:P$233, MATCH($A$3&amp;$F30, Workings_risks!$G$22:$G$233,0))</f>
        <v>0</v>
      </c>
      <c r="Q30" s="32">
        <f>INDEX(Workings_risks!Q$22:Q$233, MATCH($A$3&amp;$F30, Workings_risks!$G$22:$G$233,0))</f>
        <v>0</v>
      </c>
      <c r="R30" s="32">
        <f>INDEX(Workings_risks!R$22:R$233, MATCH($A$3&amp;$F30, Workings_risks!$G$22:$G$233,0))</f>
        <v>0</v>
      </c>
      <c r="S30" s="32">
        <f>INDEX(Workings_risks!S$22:S$233, MATCH($A$3&amp;$F30, Workings_risks!$G$22:$G$233,0))</f>
        <v>0</v>
      </c>
      <c r="T30" s="32">
        <f>INDEX(Workings_risks!T$22:T$233, MATCH($A$3&amp;$F30, Workings_risks!$G$22:$G$233,0))</f>
        <v>0</v>
      </c>
      <c r="U30" s="32">
        <f>INDEX(Workings_risks!U$22:U$233, MATCH($A$3&amp;$F30, Workings_risks!$G$22:$G$233,0))</f>
        <v>0</v>
      </c>
      <c r="V30" s="32">
        <f>INDEX(Workings_risks!V$22:V$233, MATCH($A$3&amp;$F30, Workings_risks!$G$22:$G$233,0))</f>
        <v>0</v>
      </c>
      <c r="W30" s="32">
        <f>INDEX(Workings_risks!W$22:W$233, MATCH($A$3&amp;$F30, Workings_risks!$G$22:$G$233,0))</f>
        <v>0</v>
      </c>
      <c r="X30" s="32">
        <f>INDEX(Workings_risks!X$22:X$233, MATCH($A$3&amp;$F30, Workings_risks!$G$22:$G$233,0))</f>
        <v>0</v>
      </c>
      <c r="Y30" s="32">
        <f>INDEX(Workings_risks!Y$22:Y$233, MATCH($A$3&amp;$F30, Workings_risks!$G$22:$G$233,0))</f>
        <v>0</v>
      </c>
      <c r="Z30" s="32">
        <f>INDEX(Workings_risks!Z$22:Z$233, MATCH($A$3&amp;$F30, Workings_risks!$G$22:$G$233,0))</f>
        <v>0</v>
      </c>
      <c r="AA30" s="32">
        <f>INDEX(Workings_risks!AA$22:AA$233, MATCH($A$3&amp;$F30, Workings_risks!$G$22:$G$233,0))</f>
        <v>0</v>
      </c>
      <c r="AB30" s="32">
        <f>INDEX(Workings_risks!AB$22:AB$233, MATCH($A$3&amp;$F30, Workings_risks!$G$22:$G$233,0))</f>
        <v>0</v>
      </c>
      <c r="AC30" s="32">
        <f>INDEX(Workings_risks!AC$22:AC$233, MATCH($A$3&amp;$F30, Workings_risks!$G$22:$G$233,0))</f>
        <v>0</v>
      </c>
      <c r="AD30" s="32">
        <f>INDEX(Workings_risks!AD$22:AD$233, MATCH($A$3&amp;$F30, Workings_risks!$G$22:$G$233,0))</f>
        <v>0</v>
      </c>
      <c r="AE30" s="32">
        <f>INDEX(Workings_risks!AE$22:AE$233, MATCH($A$3&amp;$F30, Workings_risks!$G$22:$G$233,0))</f>
        <v>0</v>
      </c>
      <c r="AF30" s="32">
        <f>INDEX(Workings_risks!AF$22:AF$233, MATCH($A$3&amp;$F30, Workings_risks!$G$22:$G$233,0))</f>
        <v>0</v>
      </c>
      <c r="AG30" s="32">
        <f>INDEX(Workings_risks!AG$22:AG$233, MATCH($A$3&amp;$F30, Workings_risks!$G$22:$G$233,0))</f>
        <v>0</v>
      </c>
      <c r="AH30"/>
      <c r="AI30"/>
      <c r="AJ30"/>
      <c r="AK30"/>
      <c r="AL30"/>
      <c r="AM30"/>
      <c r="AN30"/>
      <c r="AO30"/>
      <c r="AP30"/>
      <c r="AQ30"/>
    </row>
    <row r="31" spans="1:43" ht="13.5" x14ac:dyDescent="0.3">
      <c r="C31" s="1" t="s">
        <v>243</v>
      </c>
      <c r="D31" s="206"/>
      <c r="E31"/>
      <c r="F31" s="350" t="s">
        <v>243</v>
      </c>
      <c r="G31" s="207">
        <f>input_dollars</f>
        <v>45291</v>
      </c>
      <c r="H31" s="149"/>
      <c r="I31" s="32">
        <f>INDEX(Workings_risks!I$22:I$233, MATCH($A$3&amp;$F31, Workings_risks!$G$22:$G$233,0))</f>
        <v>4828378.8040892947</v>
      </c>
      <c r="J31" s="32">
        <f>INDEX(Workings_risks!J$22:J$233, MATCH($A$3&amp;$F31, Workings_risks!$G$22:$G$233,0))</f>
        <v>3867825.9916046867</v>
      </c>
      <c r="K31" s="32">
        <f>INDEX(Workings_risks!K$22:K$233, MATCH($A$3&amp;$F31, Workings_risks!$G$22:$G$233,0))</f>
        <v>2907273.1791200791</v>
      </c>
      <c r="L31" s="32">
        <f>INDEX(Workings_risks!L$22:L$233, MATCH($A$3&amp;$F31, Workings_risks!$G$22:$G$233,0))</f>
        <v>1946720.3666354716</v>
      </c>
      <c r="M31" s="32">
        <f>INDEX(Workings_risks!M$22:M$233, MATCH($A$3&amp;$F31, Workings_risks!$G$22:$G$233,0))</f>
        <v>986167.55415086378</v>
      </c>
      <c r="N31" s="32">
        <f>INDEX(Workings_risks!N$22:N$233, MATCH($A$3&amp;$F31, Workings_risks!$G$22:$G$233,0))</f>
        <v>25614.741666256203</v>
      </c>
      <c r="O31" s="32">
        <f>INDEX(Workings_risks!O$22:O$233, MATCH($A$3&amp;$F31, Workings_risks!$G$22:$G$233,0))</f>
        <v>0</v>
      </c>
      <c r="P31" s="32">
        <f>INDEX(Workings_risks!P$22:P$233, MATCH($A$3&amp;$F31, Workings_risks!$G$22:$G$233,0))</f>
        <v>0</v>
      </c>
      <c r="Q31" s="32">
        <f>INDEX(Workings_risks!Q$22:Q$233, MATCH($A$3&amp;$F31, Workings_risks!$G$22:$G$233,0))</f>
        <v>0</v>
      </c>
      <c r="R31" s="32">
        <f>INDEX(Workings_risks!R$22:R$233, MATCH($A$3&amp;$F31, Workings_risks!$G$22:$G$233,0))</f>
        <v>0</v>
      </c>
      <c r="S31" s="32">
        <f>INDEX(Workings_risks!S$22:S$233, MATCH($A$3&amp;$F31, Workings_risks!$G$22:$G$233,0))</f>
        <v>0</v>
      </c>
      <c r="T31" s="32">
        <f>INDEX(Workings_risks!T$22:T$233, MATCH($A$3&amp;$F31, Workings_risks!$G$22:$G$233,0))</f>
        <v>0</v>
      </c>
      <c r="U31" s="32">
        <f>INDEX(Workings_risks!U$22:U$233, MATCH($A$3&amp;$F31, Workings_risks!$G$22:$G$233,0))</f>
        <v>0</v>
      </c>
      <c r="V31" s="32">
        <f>INDEX(Workings_risks!V$22:V$233, MATCH($A$3&amp;$F31, Workings_risks!$G$22:$G$233,0))</f>
        <v>0</v>
      </c>
      <c r="W31" s="32">
        <f>INDEX(Workings_risks!W$22:W$233, MATCH($A$3&amp;$F31, Workings_risks!$G$22:$G$233,0))</f>
        <v>0</v>
      </c>
      <c r="X31" s="32">
        <f>INDEX(Workings_risks!X$22:X$233, MATCH($A$3&amp;$F31, Workings_risks!$G$22:$G$233,0))</f>
        <v>0</v>
      </c>
      <c r="Y31" s="32">
        <f>INDEX(Workings_risks!Y$22:Y$233, MATCH($A$3&amp;$F31, Workings_risks!$G$22:$G$233,0))</f>
        <v>0</v>
      </c>
      <c r="Z31" s="32">
        <f>INDEX(Workings_risks!Z$22:Z$233, MATCH($A$3&amp;$F31, Workings_risks!$G$22:$G$233,0))</f>
        <v>0</v>
      </c>
      <c r="AA31" s="32">
        <f>INDEX(Workings_risks!AA$22:AA$233, MATCH($A$3&amp;$F31, Workings_risks!$G$22:$G$233,0))</f>
        <v>0</v>
      </c>
      <c r="AB31" s="32">
        <f>INDEX(Workings_risks!AB$22:AB$233, MATCH($A$3&amp;$F31, Workings_risks!$G$22:$G$233,0))</f>
        <v>0</v>
      </c>
      <c r="AC31" s="32">
        <f>INDEX(Workings_risks!AC$22:AC$233, MATCH($A$3&amp;$F31, Workings_risks!$G$22:$G$233,0))</f>
        <v>0</v>
      </c>
      <c r="AD31" s="32">
        <f>INDEX(Workings_risks!AD$22:AD$233, MATCH($A$3&amp;$F31, Workings_risks!$G$22:$G$233,0))</f>
        <v>0</v>
      </c>
      <c r="AE31" s="32">
        <f>INDEX(Workings_risks!AE$22:AE$233, MATCH($A$3&amp;$F31, Workings_risks!$G$22:$G$233,0))</f>
        <v>0</v>
      </c>
      <c r="AF31" s="32">
        <f>INDEX(Workings_risks!AF$22:AF$233, MATCH($A$3&amp;$F31, Workings_risks!$G$22:$G$233,0))</f>
        <v>0</v>
      </c>
      <c r="AG31" s="32">
        <f>INDEX(Workings_risks!AG$22:AG$233, MATCH($A$3&amp;$F31, Workings_risks!$G$22:$G$233,0))</f>
        <v>0</v>
      </c>
      <c r="AH31"/>
      <c r="AI31"/>
      <c r="AJ31"/>
      <c r="AK31"/>
      <c r="AL31"/>
      <c r="AM31"/>
      <c r="AN31"/>
      <c r="AO31"/>
      <c r="AP31"/>
      <c r="AQ31"/>
    </row>
    <row r="32" spans="1:43" ht="13.5" x14ac:dyDescent="0.3">
      <c r="C32" s="1" t="s">
        <v>288</v>
      </c>
      <c r="D32" s="205" t="s">
        <v>202</v>
      </c>
      <c r="E32"/>
      <c r="F32" s="350" t="s">
        <v>302</v>
      </c>
      <c r="G32" s="207">
        <f>input_dollars</f>
        <v>45291</v>
      </c>
      <c r="H32"/>
      <c r="I32" s="32">
        <f>INDEX(Workings_risks!I$22:I$233, MATCH($A$3&amp;$F32, Workings_risks!$G$22:$G$233,0))</f>
        <v>235193.53327376166</v>
      </c>
      <c r="J32" s="32">
        <f>INDEX(Workings_risks!J$22:J$233, MATCH($A$3&amp;$F32, Workings_risks!$G$22:$G$233,0))</f>
        <v>141116.11996425697</v>
      </c>
      <c r="K32" s="32">
        <f>INDEX(Workings_risks!K$22:K$233, MATCH($A$3&amp;$F32, Workings_risks!$G$22:$G$233,0))</f>
        <v>94077.413309504642</v>
      </c>
      <c r="L32" s="32">
        <f>INDEX(Workings_risks!L$22:L$233, MATCH($A$3&amp;$F32, Workings_risks!$G$22:$G$233,0))</f>
        <v>47038.706654752321</v>
      </c>
      <c r="M32" s="32">
        <f>INDEX(Workings_risks!M$22:M$233, MATCH($A$3&amp;$F32, Workings_risks!$G$22:$G$233,0))</f>
        <v>0</v>
      </c>
      <c r="N32" s="32">
        <f>INDEX(Workings_risks!N$22:N$233, MATCH($A$3&amp;$F32, Workings_risks!$G$22:$G$233,0))</f>
        <v>0</v>
      </c>
      <c r="O32" s="32">
        <f>INDEX(Workings_risks!O$22:O$233, MATCH($A$3&amp;$F32, Workings_risks!$G$22:$G$233,0))</f>
        <v>0</v>
      </c>
      <c r="P32" s="32">
        <f>INDEX(Workings_risks!P$22:P$233, MATCH($A$3&amp;$F32, Workings_risks!$G$22:$G$233,0))</f>
        <v>0</v>
      </c>
      <c r="Q32" s="32">
        <f>INDEX(Workings_risks!Q$22:Q$233, MATCH($A$3&amp;$F32, Workings_risks!$G$22:$G$233,0))</f>
        <v>0</v>
      </c>
      <c r="R32" s="32">
        <f>INDEX(Workings_risks!R$22:R$233, MATCH($A$3&amp;$F32, Workings_risks!$G$22:$G$233,0))</f>
        <v>0</v>
      </c>
      <c r="S32" s="32">
        <f>INDEX(Workings_risks!S$22:S$233, MATCH($A$3&amp;$F32, Workings_risks!$G$22:$G$233,0))</f>
        <v>0</v>
      </c>
      <c r="T32" s="32">
        <f>INDEX(Workings_risks!T$22:T$233, MATCH($A$3&amp;$F32, Workings_risks!$G$22:$G$233,0))</f>
        <v>0</v>
      </c>
      <c r="U32" s="32">
        <f>INDEX(Workings_risks!U$22:U$233, MATCH($A$3&amp;$F32, Workings_risks!$G$22:$G$233,0))</f>
        <v>0</v>
      </c>
      <c r="V32" s="32">
        <f>INDEX(Workings_risks!V$22:V$233, MATCH($A$3&amp;$F32, Workings_risks!$G$22:$G$233,0))</f>
        <v>0</v>
      </c>
      <c r="W32" s="32">
        <f>INDEX(Workings_risks!W$22:W$233, MATCH($A$3&amp;$F32, Workings_risks!$G$22:$G$233,0))</f>
        <v>0</v>
      </c>
      <c r="X32" s="32">
        <f>INDEX(Workings_risks!X$22:X$233, MATCH($A$3&amp;$F32, Workings_risks!$G$22:$G$233,0))</f>
        <v>0</v>
      </c>
      <c r="Y32" s="32">
        <f>INDEX(Workings_risks!Y$22:Y$233, MATCH($A$3&amp;$F32, Workings_risks!$G$22:$G$233,0))</f>
        <v>0</v>
      </c>
      <c r="Z32" s="32">
        <f>INDEX(Workings_risks!Z$22:Z$233, MATCH($A$3&amp;$F32, Workings_risks!$G$22:$G$233,0))</f>
        <v>0</v>
      </c>
      <c r="AA32" s="32">
        <f>INDEX(Workings_risks!AA$22:AA$233, MATCH($A$3&amp;$F32, Workings_risks!$G$22:$G$233,0))</f>
        <v>0</v>
      </c>
      <c r="AB32" s="32">
        <f>INDEX(Workings_risks!AB$22:AB$233, MATCH($A$3&amp;$F32, Workings_risks!$G$22:$G$233,0))</f>
        <v>0</v>
      </c>
      <c r="AC32" s="32">
        <f>INDEX(Workings_risks!AC$22:AC$233, MATCH($A$3&amp;$F32, Workings_risks!$G$22:$G$233,0))</f>
        <v>0</v>
      </c>
      <c r="AD32" s="32">
        <f>INDEX(Workings_risks!AD$22:AD$233, MATCH($A$3&amp;$F32, Workings_risks!$G$22:$G$233,0))</f>
        <v>0</v>
      </c>
      <c r="AE32" s="32">
        <f>INDEX(Workings_risks!AE$22:AE$233, MATCH($A$3&amp;$F32, Workings_risks!$G$22:$G$233,0))</f>
        <v>0</v>
      </c>
      <c r="AF32" s="32">
        <f>INDEX(Workings_risks!AF$22:AF$233, MATCH($A$3&amp;$F32, Workings_risks!$G$22:$G$233,0))</f>
        <v>0</v>
      </c>
      <c r="AG32" s="32">
        <f>INDEX(Workings_risks!AG$22:AG$233, MATCH($A$3&amp;$F32, Workings_risks!$G$22:$G$233,0))</f>
        <v>0</v>
      </c>
      <c r="AH32"/>
      <c r="AI32"/>
      <c r="AJ32"/>
      <c r="AK32"/>
      <c r="AL32"/>
      <c r="AM32"/>
      <c r="AN32"/>
      <c r="AO32"/>
      <c r="AP32"/>
      <c r="AQ32"/>
    </row>
    <row r="33" spans="1:16372" ht="13.5" x14ac:dyDescent="0.3">
      <c r="C33" s="1" t="s">
        <v>289</v>
      </c>
      <c r="D33" s="219"/>
      <c r="E33"/>
      <c r="F33" s="350" t="s">
        <v>245</v>
      </c>
      <c r="G33" s="207">
        <f>input_dollars</f>
        <v>45291</v>
      </c>
      <c r="H33"/>
      <c r="I33" s="32">
        <f>INDEX(Workings_risks!I$22:I$233, MATCH($A$3&amp;$F33, Workings_risks!$G$22:$G$233,0))</f>
        <v>369822.16201932915</v>
      </c>
      <c r="J33" s="32">
        <f>INDEX(Workings_risks!J$22:J$233, MATCH($A$3&amp;$F33, Workings_risks!$G$22:$G$233,0))</f>
        <v>369822.16201932915</v>
      </c>
      <c r="K33" s="32">
        <f>INDEX(Workings_risks!K$22:K$233, MATCH($A$3&amp;$F33, Workings_risks!$G$22:$G$233,0))</f>
        <v>369822.16201932915</v>
      </c>
      <c r="L33" s="32">
        <f>INDEX(Workings_risks!L$22:L$233, MATCH($A$3&amp;$F33, Workings_risks!$G$22:$G$233,0))</f>
        <v>369822.16201932915</v>
      </c>
      <c r="M33" s="32">
        <f>INDEX(Workings_risks!M$22:M$233, MATCH($A$3&amp;$F33, Workings_risks!$G$22:$G$233,0))</f>
        <v>369822.16201932915</v>
      </c>
      <c r="N33" s="32">
        <f>INDEX(Workings_risks!N$22:N$233, MATCH($A$3&amp;$F33, Workings_risks!$G$22:$G$233,0))</f>
        <v>9861.9243205154453</v>
      </c>
      <c r="O33" s="32">
        <f>INDEX(Workings_risks!O$22:O$233, MATCH($A$3&amp;$F33, Workings_risks!$G$22:$G$233,0))</f>
        <v>0</v>
      </c>
      <c r="P33" s="32">
        <f>INDEX(Workings_risks!P$22:P$233, MATCH($A$3&amp;$F33, Workings_risks!$G$22:$G$233,0))</f>
        <v>0</v>
      </c>
      <c r="Q33" s="32">
        <f>INDEX(Workings_risks!Q$22:Q$233, MATCH($A$3&amp;$F33, Workings_risks!$G$22:$G$233,0))</f>
        <v>0</v>
      </c>
      <c r="R33" s="32">
        <f>INDEX(Workings_risks!R$22:R$233, MATCH($A$3&amp;$F33, Workings_risks!$G$22:$G$233,0))</f>
        <v>0</v>
      </c>
      <c r="S33" s="32">
        <f>INDEX(Workings_risks!S$22:S$233, MATCH($A$3&amp;$F33, Workings_risks!$G$22:$G$233,0))</f>
        <v>0</v>
      </c>
      <c r="T33" s="32">
        <f>INDEX(Workings_risks!T$22:T$233, MATCH($A$3&amp;$F33, Workings_risks!$G$22:$G$233,0))</f>
        <v>0</v>
      </c>
      <c r="U33" s="32">
        <f>INDEX(Workings_risks!U$22:U$233, MATCH($A$3&amp;$F33, Workings_risks!$G$22:$G$233,0))</f>
        <v>0</v>
      </c>
      <c r="V33" s="32">
        <f>INDEX(Workings_risks!V$22:V$233, MATCH($A$3&amp;$F33, Workings_risks!$G$22:$G$233,0))</f>
        <v>0</v>
      </c>
      <c r="W33" s="32">
        <f>INDEX(Workings_risks!W$22:W$233, MATCH($A$3&amp;$F33, Workings_risks!$G$22:$G$233,0))</f>
        <v>0</v>
      </c>
      <c r="X33" s="32">
        <f>INDEX(Workings_risks!X$22:X$233, MATCH($A$3&amp;$F33, Workings_risks!$G$22:$G$233,0))</f>
        <v>0</v>
      </c>
      <c r="Y33" s="32">
        <f>INDEX(Workings_risks!Y$22:Y$233, MATCH($A$3&amp;$F33, Workings_risks!$G$22:$G$233,0))</f>
        <v>0</v>
      </c>
      <c r="Z33" s="32">
        <f>INDEX(Workings_risks!Z$22:Z$233, MATCH($A$3&amp;$F33, Workings_risks!$G$22:$G$233,0))</f>
        <v>0</v>
      </c>
      <c r="AA33" s="32">
        <f>INDEX(Workings_risks!AA$22:AA$233, MATCH($A$3&amp;$F33, Workings_risks!$G$22:$G$233,0))</f>
        <v>0</v>
      </c>
      <c r="AB33" s="32">
        <f>INDEX(Workings_risks!AB$22:AB$233, MATCH($A$3&amp;$F33, Workings_risks!$G$22:$G$233,0))</f>
        <v>0</v>
      </c>
      <c r="AC33" s="32">
        <f>INDEX(Workings_risks!AC$22:AC$233, MATCH($A$3&amp;$F33, Workings_risks!$G$22:$G$233,0))</f>
        <v>0</v>
      </c>
      <c r="AD33" s="32">
        <f>INDEX(Workings_risks!AD$22:AD$233, MATCH($A$3&amp;$F33, Workings_risks!$G$22:$G$233,0))</f>
        <v>0</v>
      </c>
      <c r="AE33" s="32">
        <f>INDEX(Workings_risks!AE$22:AE$233, MATCH($A$3&amp;$F33, Workings_risks!$G$22:$G$233,0))</f>
        <v>0</v>
      </c>
      <c r="AF33" s="32">
        <f>INDEX(Workings_risks!AF$22:AF$233, MATCH($A$3&amp;$F33, Workings_risks!$G$22:$G$233,0))</f>
        <v>0</v>
      </c>
      <c r="AG33" s="32">
        <f>INDEX(Workings_risks!AG$22:AG$233, MATCH($A$3&amp;$F33, Workings_risks!$G$22:$G$233,0))</f>
        <v>0</v>
      </c>
      <c r="AH33"/>
      <c r="AI33"/>
      <c r="AJ33"/>
      <c r="AK33"/>
      <c r="AL33"/>
      <c r="AM33"/>
      <c r="AN33"/>
      <c r="AO33"/>
      <c r="AP33"/>
      <c r="AQ33"/>
    </row>
    <row r="34" spans="1:16372" ht="13.5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ht="13.5" x14ac:dyDescent="0.3">
      <c r="C36" s="3" t="s">
        <v>167</v>
      </c>
      <c r="D36" s="218"/>
      <c r="E36" s="107"/>
      <c r="F36" s="3"/>
      <c r="G36" s="209"/>
      <c r="H36" s="107"/>
      <c r="I36" s="170">
        <f>SUM(I28:I34)</f>
        <v>7500578.7244353229</v>
      </c>
      <c r="J36" s="170">
        <f t="shared" ref="J36:AB36" si="3">SUM(J28:J34)</f>
        <v>5619074.8086200347</v>
      </c>
      <c r="K36" s="170">
        <f t="shared" si="3"/>
        <v>4198046.4444700871</v>
      </c>
      <c r="L36" s="170">
        <f t="shared" si="3"/>
        <v>2777018.0803201403</v>
      </c>
      <c r="M36" s="170">
        <f t="shared" si="3"/>
        <v>1355989.7161701929</v>
      </c>
      <c r="N36" s="170">
        <f t="shared" si="3"/>
        <v>35476.665986771652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3.5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5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ht="13.5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4" x14ac:dyDescent="0.3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4" x14ac:dyDescent="0.35">
      <c r="C42" s="1" t="s">
        <v>127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ht="13.5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ht="13.5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ht="13.5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ht="13.5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ht="13.5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ht="13.5" x14ac:dyDescent="0.3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ht="13.5" x14ac:dyDescent="0.3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ht="13.5" x14ac:dyDescent="0.3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ht="13.5" x14ac:dyDescent="0.3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ht="13.5" x14ac:dyDescent="0.3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ht="13.5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ht="13.5" x14ac:dyDescent="0.3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ht="13.5" x14ac:dyDescent="0.3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ht="13.5" x14ac:dyDescent="0.3">
      <c r="D56" s="205"/>
      <c r="G56" s="205"/>
      <c r="AH56"/>
    </row>
    <row r="57" spans="1:43" ht="13.5" x14ac:dyDescent="0.3">
      <c r="C57" s="3" t="s">
        <v>123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ht="13.5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ht="13.5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4.5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5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ht="13.5" x14ac:dyDescent="0.3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ht="13.5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-1827464.0752708027</v>
      </c>
      <c r="J64" s="132">
        <f>(1-INDEX(Data!$C$9:$C$13, MATCH($A$3, options,0)))*('Option1 (base case)'!J36-J36)</f>
        <v>54039.840544485487</v>
      </c>
      <c r="K64" s="132">
        <f>(1-INDEX(Data!$C$9:$C$13, MATCH($A$3, options,0)))*('Option1 (base case)'!K36-K36)</f>
        <v>1475068.2046944331</v>
      </c>
      <c r="L64" s="132">
        <f>(1-INDEX(Data!$C$9:$C$13, MATCH($A$3, options,0)))*('Option1 (base case)'!L36-L36)</f>
        <v>3016773.11814084</v>
      </c>
      <c r="M64" s="132">
        <f>(1-INDEX(Data!$C$9:$C$13, MATCH($A$3, options,0)))*('Option1 (base case)'!M36-M36)</f>
        <v>4437801.4822907876</v>
      </c>
      <c r="N64" s="132">
        <f>(1-INDEX(Data!$C$9:$C$13, MATCH($A$3, options,0)))*('Option1 (base case)'!N36-N36)</f>
        <v>5758314.5324742086</v>
      </c>
      <c r="O64" s="132">
        <f>(1-INDEX(Data!$C$9:$C$13, MATCH($A$3, options,0)))*('Option1 (base case)'!O36-O36)</f>
        <v>5914467.7477574404</v>
      </c>
      <c r="P64" s="132">
        <f>(1-INDEX(Data!$C$9:$C$13, MATCH($A$3, options,0)))*('Option1 (base case)'!P36-P36)</f>
        <v>5914467.7477574404</v>
      </c>
      <c r="Q64" s="132">
        <f>(1-INDEX(Data!$C$9:$C$13, MATCH($A$3, options,0)))*('Option1 (base case)'!Q36-Q36)</f>
        <v>6035144.2970539024</v>
      </c>
      <c r="R64" s="132">
        <f>(1-INDEX(Data!$C$9:$C$13, MATCH($A$3, options,0)))*('Option1 (base case)'!R36-R36)</f>
        <v>6035144.2970539024</v>
      </c>
      <c r="S64" s="132">
        <f>(1-INDEX(Data!$C$9:$C$13, MATCH($A$3, options,0)))*('Option1 (base case)'!S36-S36)</f>
        <v>6155820.8463503625</v>
      </c>
      <c r="T64" s="132">
        <f>(1-INDEX(Data!$C$9:$C$13, MATCH($A$3, options,0)))*('Option1 (base case)'!T36-T36)</f>
        <v>6155820.8463503625</v>
      </c>
      <c r="U64" s="132">
        <f>(1-INDEX(Data!$C$9:$C$13, MATCH($A$3, options,0)))*('Option1 (base case)'!U36-U36)</f>
        <v>6276497.3956468226</v>
      </c>
      <c r="V64" s="132">
        <f>(1-INDEX(Data!$C$9:$C$13, MATCH($A$3, options,0)))*('Option1 (base case)'!V36-V36)</f>
        <v>6276497.3956468226</v>
      </c>
      <c r="W64" s="132">
        <f>(1-INDEX(Data!$C$9:$C$13, MATCH($A$3, options,0)))*('Option1 (base case)'!W36-W36)</f>
        <v>6276497.3956468226</v>
      </c>
      <c r="X64" s="132">
        <f>(1-INDEX(Data!$C$9:$C$13, MATCH($A$3, options,0)))*('Option1 (base case)'!X36-X36)</f>
        <v>6276497.3956468226</v>
      </c>
      <c r="Y64" s="132">
        <f>(1-INDEX(Data!$C$9:$C$13, MATCH($A$3, options,0)))*('Option1 (base case)'!Y36-Y36)</f>
        <v>6276497.3956468226</v>
      </c>
      <c r="Z64" s="132">
        <f>(1-INDEX(Data!$C$9:$C$13, MATCH($A$3, options,0)))*('Option1 (base case)'!Z36-Z36)</f>
        <v>6276497.3956468226</v>
      </c>
      <c r="AA64" s="132">
        <f>(1-INDEX(Data!$C$9:$C$13, MATCH($A$3, options,0)))*('Option1 (base case)'!AA36-AA36)</f>
        <v>6276497.3956468226</v>
      </c>
      <c r="AB64" s="132">
        <f>(1-INDEX(Data!$C$9:$C$13, MATCH($A$3, options,0)))*('Option1 (base case)'!AB36-AB36)</f>
        <v>6276497.3956468226</v>
      </c>
      <c r="AC64" s="132">
        <f>(1-INDEX(Data!$C$9:$C$13, MATCH($A$3, options,0)))*('Option1 (base case)'!AC36-AC36)</f>
        <v>6276497.3956468226</v>
      </c>
      <c r="AD64" s="132">
        <f>(1-INDEX(Data!$C$9:$C$13, MATCH($A$3, options,0)))*('Option1 (base case)'!AD36-AD36)</f>
        <v>6276497.3956468226</v>
      </c>
      <c r="AE64" s="132">
        <f>(1-INDEX(Data!$C$9:$C$13, MATCH($A$3, options,0)))*('Option1 (base case)'!AE36-AE36)</f>
        <v>6276497.3956468226</v>
      </c>
      <c r="AF64" s="132">
        <f>(1-INDEX(Data!$C$9:$C$13, MATCH($A$3, options,0)))*('Option1 (base case)'!AF36-AF36)</f>
        <v>6276497.3956468226</v>
      </c>
      <c r="AG64" s="132">
        <f>(1-INDEX(Data!$C$9:$C$13, MATCH($A$3, options,0)))*('Option1 (base case)'!AG36-AG36)</f>
        <v>0</v>
      </c>
      <c r="AH64"/>
    </row>
    <row r="65" spans="1:34" ht="13.5" x14ac:dyDescent="0.3">
      <c r="G65" s="212"/>
      <c r="AH65"/>
    </row>
    <row r="66" spans="1:34" ht="13.5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ht="13.5" x14ac:dyDescent="0.3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5">-I14</f>
        <v>-6933525</v>
      </c>
      <c r="J67" s="119">
        <f t="shared" si="5"/>
        <v>-6933525</v>
      </c>
      <c r="K67" s="119">
        <f t="shared" si="5"/>
        <v>-6933525</v>
      </c>
      <c r="L67" s="119">
        <f t="shared" si="5"/>
        <v>-6933525</v>
      </c>
      <c r="M67" s="119">
        <f t="shared" si="5"/>
        <v>-6933525</v>
      </c>
      <c r="N67" s="119">
        <f t="shared" si="5"/>
        <v>-184894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ht="13.5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ht="13.5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ht="13.5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ht="13.5" x14ac:dyDescent="0.3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ht="13.5" x14ac:dyDescent="0.3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-6933525</v>
      </c>
      <c r="J72" s="119" cm="1">
        <f t="array" ref="J72">SUMPRODUCT(($I67:J67))-SUMPRODUCT(($I67:J67)*($I$6:J$6&lt;=(J$6-$E14)))</f>
        <v>-13867050</v>
      </c>
      <c r="K72" s="119" cm="1">
        <f t="array" ref="K72">SUMPRODUCT(($I67:K67))-SUMPRODUCT(($I67:K67)*($I$6:K$6&lt;=(K$6-$E14)))</f>
        <v>-20800575</v>
      </c>
      <c r="L72" s="119" cm="1">
        <f t="array" ref="L72">SUMPRODUCT(($I67:L67))-SUMPRODUCT(($I67:L67)*($I$6:L$6&lt;=(L$6-$E14)))</f>
        <v>-27734100</v>
      </c>
      <c r="M72" s="119" cm="1">
        <f t="array" ref="M72">SUMPRODUCT(($I67:M67))-SUMPRODUCT(($I67:M67)*($I$6:M$6&lt;=(M$6-$E14)))</f>
        <v>-34667625</v>
      </c>
      <c r="N72" s="119" cm="1">
        <f t="array" ref="N72">SUMPRODUCT(($I67:N67))-SUMPRODUCT(($I67:N67)*($I$6:N$6&lt;=(N$6-$E14)))</f>
        <v>-34852519</v>
      </c>
      <c r="O72" s="119" cm="1">
        <f t="array" ref="O72">SUMPRODUCT(($I67:O67))-SUMPRODUCT(($I67:O67)*($I$6:O$6&lt;=(O$6-$E14)))</f>
        <v>-34852519</v>
      </c>
      <c r="P72" s="119" cm="1">
        <f t="array" ref="P72">SUMPRODUCT(($I67:P67))-SUMPRODUCT(($I67:P67)*($I$6:P$6&lt;=(P$6-$E14)))</f>
        <v>-34852519</v>
      </c>
      <c r="Q72" s="119" cm="1">
        <f t="array" ref="Q72">SUMPRODUCT(($I67:Q67))-SUMPRODUCT(($I67:Q67)*($I$6:Q$6&lt;=(Q$6-$E14)))</f>
        <v>-34852519</v>
      </c>
      <c r="R72" s="119" cm="1">
        <f t="array" ref="R72">SUMPRODUCT(($I67:R67))-SUMPRODUCT(($I67:R67)*($I$6:R$6&lt;=(R$6-$E14)))</f>
        <v>-34852519</v>
      </c>
      <c r="S72" s="119" cm="1">
        <f t="array" ref="S72">SUMPRODUCT(($I67:S67))-SUMPRODUCT(($I67:S67)*($I$6:S$6&lt;=(S$6-$E14)))</f>
        <v>-34852519</v>
      </c>
      <c r="T72" s="119" cm="1">
        <f t="array" ref="T72">SUMPRODUCT(($I67:T67))-SUMPRODUCT(($I67:T67)*($I$6:T$6&lt;=(T$6-$E14)))</f>
        <v>-34852519</v>
      </c>
      <c r="U72" s="119" cm="1">
        <f t="array" ref="U72">SUMPRODUCT(($I67:U67))-SUMPRODUCT(($I67:U67)*($I$6:U$6&lt;=(U$6-$E14)))</f>
        <v>-34852519</v>
      </c>
      <c r="V72" s="119" cm="1">
        <f t="array" ref="V72">SUMPRODUCT(($I67:V67))-SUMPRODUCT(($I67:V67)*($I$6:V$6&lt;=(V$6-$E14)))</f>
        <v>-34852519</v>
      </c>
      <c r="W72" s="119" cm="1">
        <f t="array" ref="W72">SUMPRODUCT(($I67:W67))-SUMPRODUCT(($I67:W67)*($I$6:W$6&lt;=(W$6-$E14)))</f>
        <v>-34852519</v>
      </c>
      <c r="X72" s="119" cm="1">
        <f t="array" ref="X72">SUMPRODUCT(($I67:X67))-SUMPRODUCT(($I67:X67)*($I$6:X$6&lt;=(X$6-$E14)))</f>
        <v>-34852519</v>
      </c>
      <c r="Y72" s="119" cm="1">
        <f t="array" ref="Y72">SUMPRODUCT(($I67:Y67))-SUMPRODUCT(($I67:Y67)*($I$6:Y$6&lt;=(Y$6-$E14)))</f>
        <v>-34852519</v>
      </c>
      <c r="Z72" s="119" cm="1">
        <f t="array" ref="Z72">SUMPRODUCT(($I67:Z67))-SUMPRODUCT(($I67:Z67)*($I$6:Z$6&lt;=(Z$6-$E14)))</f>
        <v>-34852519</v>
      </c>
      <c r="AA72" s="119" cm="1">
        <f t="array" ref="AA72">SUMPRODUCT(($I67:AA67))-SUMPRODUCT(($I67:AA67)*($I$6:AA$6&lt;=(AA$6-$E14)))</f>
        <v>-34852519</v>
      </c>
      <c r="AB72" s="119" cm="1">
        <f t="array" ref="AB72">SUMPRODUCT(($I67:AB67))-SUMPRODUCT(($I67:AB67)*($I$6:AB$6&lt;=(AB$6-$E14)))</f>
        <v>-34852519</v>
      </c>
      <c r="AC72" s="119" cm="1">
        <f t="array" ref="AC72">SUMPRODUCT(($I67:AC67))-SUMPRODUCT(($I67:AC67)*($I$6:AC$6&lt;=(AC$6-$E14)))</f>
        <v>-34852519</v>
      </c>
      <c r="AD72" s="119" cm="1">
        <f t="array" ref="AD72">SUMPRODUCT(($I67:AD67))-SUMPRODUCT(($I67:AD67)*($I$6:AD$6&lt;=(AD$6-$E14)))</f>
        <v>-34852519</v>
      </c>
      <c r="AE72" s="119" cm="1">
        <f t="array" ref="AE72">SUMPRODUCT(($I67:AE67))-SUMPRODUCT(($I67:AE67)*($I$6:AE$6&lt;=(AE$6-$E14)))</f>
        <v>-34852519</v>
      </c>
      <c r="AF72" s="119" cm="1">
        <f t="array" ref="AF72">SUMPRODUCT(($I67:AF67))-SUMPRODUCT(($I67:AF67)*($I$6:AF$6&lt;=(AF$6-$E14)))</f>
        <v>-34852519</v>
      </c>
      <c r="AG72" s="119" cm="1">
        <f t="array" ref="AG72">SUMPRODUCT(($I67:AG67))-SUMPRODUCT(($I67:AG67)*($I$6:AG$6&lt;=(AG$6-$E14)))</f>
        <v>-34852519</v>
      </c>
      <c r="AH72"/>
    </row>
    <row r="73" spans="1:34" ht="13.5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ht="13.5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ht="13.5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ht="13.5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ht="13.5" x14ac:dyDescent="0.3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-285752.95862386713</v>
      </c>
      <c r="K77" s="119">
        <f t="shared" si="8"/>
        <v>-571505.91724773427</v>
      </c>
      <c r="L77" s="119">
        <f t="shared" si="8"/>
        <v>-857258.8758716014</v>
      </c>
      <c r="M77" s="119">
        <f t="shared" si="8"/>
        <v>-1143011.8344954685</v>
      </c>
      <c r="N77" s="119">
        <f t="shared" si="8"/>
        <v>-1428764.7931193355</v>
      </c>
      <c r="O77" s="119">
        <f t="shared" si="8"/>
        <v>-1436384.8720159719</v>
      </c>
      <c r="P77" s="119">
        <f t="shared" si="8"/>
        <v>-1436384.8720159719</v>
      </c>
      <c r="Q77" s="119">
        <f t="shared" si="8"/>
        <v>-1436384.8720159719</v>
      </c>
      <c r="R77" s="119">
        <f t="shared" si="8"/>
        <v>-1436384.8720159719</v>
      </c>
      <c r="S77" s="119">
        <f t="shared" si="8"/>
        <v>-1436384.8720159719</v>
      </c>
      <c r="T77" s="119">
        <f t="shared" si="8"/>
        <v>-1436384.8720159719</v>
      </c>
      <c r="U77" s="119">
        <f t="shared" si="8"/>
        <v>-1436384.8720159719</v>
      </c>
      <c r="V77" s="119">
        <f t="shared" si="8"/>
        <v>-1436384.8720159719</v>
      </c>
      <c r="W77" s="119">
        <f t="shared" si="8"/>
        <v>-1436384.8720159719</v>
      </c>
      <c r="X77" s="119">
        <f t="shared" si="8"/>
        <v>-1436384.8720159719</v>
      </c>
      <c r="Y77" s="119">
        <f t="shared" si="8"/>
        <v>-1436384.8720159719</v>
      </c>
      <c r="Z77" s="119">
        <f t="shared" si="8"/>
        <v>-1436384.8720159719</v>
      </c>
      <c r="AA77" s="119">
        <f t="shared" si="8"/>
        <v>-1436384.8720159719</v>
      </c>
      <c r="AB77" s="119">
        <f t="shared" si="8"/>
        <v>-1436384.8720159719</v>
      </c>
      <c r="AC77" s="119">
        <f t="shared" si="8"/>
        <v>-1436384.8720159719</v>
      </c>
      <c r="AD77" s="119">
        <f t="shared" si="8"/>
        <v>-1436384.8720159719</v>
      </c>
      <c r="AE77" s="119">
        <f t="shared" si="8"/>
        <v>-1436384.8720159719</v>
      </c>
      <c r="AF77" s="119">
        <f t="shared" si="8"/>
        <v>-1436384.8720159719</v>
      </c>
      <c r="AG77" s="119">
        <f t="shared" si="8"/>
        <v>-1436384.8720159719</v>
      </c>
      <c r="AH77"/>
    </row>
    <row r="78" spans="1:34" ht="13.5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ht="13.5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ht="13.5" x14ac:dyDescent="0.3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-285752.95862386713</v>
      </c>
      <c r="K80" s="176">
        <f t="shared" si="11"/>
        <v>-571505.91724773427</v>
      </c>
      <c r="L80" s="176">
        <f t="shared" si="11"/>
        <v>-857258.8758716014</v>
      </c>
      <c r="M80" s="176">
        <f t="shared" si="11"/>
        <v>-1143011.8344954685</v>
      </c>
      <c r="N80" s="176">
        <f t="shared" si="11"/>
        <v>-1428764.7931193355</v>
      </c>
      <c r="O80" s="176">
        <f t="shared" si="11"/>
        <v>-1436384.8720159719</v>
      </c>
      <c r="P80" s="176">
        <f t="shared" si="11"/>
        <v>-1436384.8720159719</v>
      </c>
      <c r="Q80" s="176">
        <f t="shared" si="11"/>
        <v>-1436384.8720159719</v>
      </c>
      <c r="R80" s="176">
        <f t="shared" si="11"/>
        <v>-1436384.8720159719</v>
      </c>
      <c r="S80" s="176">
        <f t="shared" si="11"/>
        <v>-1436384.8720159719</v>
      </c>
      <c r="T80" s="176">
        <f t="shared" si="11"/>
        <v>-1436384.8720159719</v>
      </c>
      <c r="U80" s="176">
        <f t="shared" si="11"/>
        <v>-1436384.8720159719</v>
      </c>
      <c r="V80" s="176">
        <f t="shared" si="11"/>
        <v>-1436384.8720159719</v>
      </c>
      <c r="W80" s="176">
        <f t="shared" si="11"/>
        <v>-1436384.8720159719</v>
      </c>
      <c r="X80" s="176">
        <f t="shared" si="11"/>
        <v>-1436384.8720159719</v>
      </c>
      <c r="Y80" s="176">
        <f t="shared" si="11"/>
        <v>-1436384.8720159719</v>
      </c>
      <c r="Z80" s="176">
        <f t="shared" si="11"/>
        <v>-1436384.8720159719</v>
      </c>
      <c r="AA80" s="176">
        <f t="shared" si="11"/>
        <v>-1436384.8720159719</v>
      </c>
      <c r="AB80" s="176">
        <f t="shared" si="11"/>
        <v>-1436384.8720159719</v>
      </c>
      <c r="AC80" s="176">
        <f>SUM(AC77:AC79)</f>
        <v>-1436384.8720159719</v>
      </c>
      <c r="AD80" s="176">
        <f>SUM(AD77:AD79)</f>
        <v>-1436384.8720159719</v>
      </c>
      <c r="AE80" s="176">
        <f>SUM(AE77:AE79)</f>
        <v>-1436384.8720159719</v>
      </c>
      <c r="AF80" s="176">
        <f>SUM(AF77:AF79)</f>
        <v>-1436384.8720159719</v>
      </c>
      <c r="AG80" s="176">
        <f>SUM(AG77:AG79)</f>
        <v>-1436384.8720159719</v>
      </c>
      <c r="AH80"/>
    </row>
    <row r="81" spans="1:34" ht="13.5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3.5" x14ac:dyDescent="0.3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-285752.95862386713</v>
      </c>
      <c r="K82" s="119">
        <f t="shared" si="13"/>
        <v>-571505.91724773427</v>
      </c>
      <c r="L82" s="119">
        <f t="shared" si="13"/>
        <v>-857258.8758716014</v>
      </c>
      <c r="M82" s="119">
        <f t="shared" si="13"/>
        <v>-1143011.8344954685</v>
      </c>
      <c r="N82" s="119">
        <f t="shared" si="13"/>
        <v>-1428764.7931193355</v>
      </c>
      <c r="O82" s="119">
        <f t="shared" si="13"/>
        <v>-1436384.8720159719</v>
      </c>
      <c r="P82" s="119">
        <f t="shared" si="13"/>
        <v>-1436384.8720159719</v>
      </c>
      <c r="Q82" s="119">
        <f t="shared" si="13"/>
        <v>-1436384.8720159719</v>
      </c>
      <c r="R82" s="119">
        <f t="shared" si="13"/>
        <v>-1436384.8720159719</v>
      </c>
      <c r="S82" s="119">
        <f t="shared" si="13"/>
        <v>-1436384.8720159719</v>
      </c>
      <c r="T82" s="119">
        <f t="shared" si="13"/>
        <v>-1436384.8720159719</v>
      </c>
      <c r="U82" s="119">
        <f t="shared" si="13"/>
        <v>-1436384.8720159719</v>
      </c>
      <c r="V82" s="119">
        <f t="shared" si="13"/>
        <v>-1436384.8720159719</v>
      </c>
      <c r="W82" s="119">
        <f t="shared" si="13"/>
        <v>-1436384.8720159719</v>
      </c>
      <c r="X82" s="119">
        <f t="shared" si="13"/>
        <v>-1436384.8720159719</v>
      </c>
      <c r="Y82" s="119">
        <f t="shared" si="13"/>
        <v>-1436384.8720159719</v>
      </c>
      <c r="Z82" s="119">
        <f t="shared" si="13"/>
        <v>-1436384.8720159719</v>
      </c>
      <c r="AA82" s="119">
        <f t="shared" si="13"/>
        <v>-1436384.8720159719</v>
      </c>
      <c r="AB82" s="119">
        <f t="shared" si="13"/>
        <v>-1436384.8720159719</v>
      </c>
      <c r="AC82" s="119">
        <f>AC80</f>
        <v>-1436384.8720159719</v>
      </c>
      <c r="AD82" s="119">
        <f>AD80</f>
        <v>-1436384.8720159719</v>
      </c>
      <c r="AE82" s="119">
        <f>AE80</f>
        <v>-1436384.8720159719</v>
      </c>
      <c r="AF82" s="119">
        <f>AF80</f>
        <v>-1436384.8720159719</v>
      </c>
      <c r="AG82" s="119">
        <f>AG80</f>
        <v>-1436384.8720159719</v>
      </c>
      <c r="AH82"/>
    </row>
    <row r="83" spans="1:34" ht="13.5" x14ac:dyDescent="0.3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ht="13.5" x14ac:dyDescent="0.3">
      <c r="A84" s="8"/>
      <c r="B84" s="8"/>
      <c r="C84" s="4" t="s">
        <v>137</v>
      </c>
      <c r="D84" s="38"/>
      <c r="F84" s="97"/>
      <c r="G84" s="210">
        <f t="shared" si="12"/>
        <v>45291</v>
      </c>
      <c r="H84" s="31"/>
      <c r="I84" s="31">
        <f t="shared" ref="I84:AG84" si="15">I64</f>
        <v>-1827464.0752708027</v>
      </c>
      <c r="J84" s="31">
        <f t="shared" si="15"/>
        <v>54039.840544485487</v>
      </c>
      <c r="K84" s="31">
        <f t="shared" si="15"/>
        <v>1475068.2046944331</v>
      </c>
      <c r="L84" s="31">
        <f t="shared" si="15"/>
        <v>3016773.11814084</v>
      </c>
      <c r="M84" s="31">
        <f t="shared" si="15"/>
        <v>4437801.4822907876</v>
      </c>
      <c r="N84" s="31">
        <f t="shared" si="15"/>
        <v>5758314.5324742086</v>
      </c>
      <c r="O84" s="31">
        <f t="shared" si="15"/>
        <v>5914467.7477574404</v>
      </c>
      <c r="P84" s="31">
        <f t="shared" si="15"/>
        <v>5914467.7477574404</v>
      </c>
      <c r="Q84" s="31">
        <f t="shared" si="15"/>
        <v>6035144.2970539024</v>
      </c>
      <c r="R84" s="31">
        <f t="shared" si="15"/>
        <v>6035144.2970539024</v>
      </c>
      <c r="S84" s="31">
        <f t="shared" si="15"/>
        <v>6155820.8463503625</v>
      </c>
      <c r="T84" s="31">
        <f t="shared" si="15"/>
        <v>6155820.8463503625</v>
      </c>
      <c r="U84" s="31">
        <f t="shared" si="15"/>
        <v>6276497.3956468226</v>
      </c>
      <c r="V84" s="31">
        <f t="shared" si="15"/>
        <v>6276497.3956468226</v>
      </c>
      <c r="W84" s="31">
        <f t="shared" si="15"/>
        <v>6276497.3956468226</v>
      </c>
      <c r="X84" s="31">
        <f t="shared" si="15"/>
        <v>6276497.3956468226</v>
      </c>
      <c r="Y84" s="31">
        <f t="shared" si="15"/>
        <v>6276497.3956468226</v>
      </c>
      <c r="Z84" s="31">
        <f t="shared" si="15"/>
        <v>6276497.3956468226</v>
      </c>
      <c r="AA84" s="31">
        <f t="shared" si="15"/>
        <v>6276497.3956468226</v>
      </c>
      <c r="AB84" s="31">
        <f t="shared" si="15"/>
        <v>6276497.3956468226</v>
      </c>
      <c r="AC84" s="31">
        <f t="shared" si="15"/>
        <v>6276497.3956468226</v>
      </c>
      <c r="AD84" s="31">
        <f t="shared" si="15"/>
        <v>6276497.3956468226</v>
      </c>
      <c r="AE84" s="31">
        <f t="shared" si="15"/>
        <v>6276497.3956468226</v>
      </c>
      <c r="AF84" s="31">
        <f t="shared" si="15"/>
        <v>6276497.3956468226</v>
      </c>
      <c r="AG84" s="31">
        <f t="shared" si="15"/>
        <v>0</v>
      </c>
      <c r="AH84"/>
    </row>
    <row r="85" spans="1:34" ht="13.5" x14ac:dyDescent="0.3">
      <c r="A85" s="8"/>
      <c r="B85" s="8"/>
      <c r="C85" s="4" t="s">
        <v>120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ht="13.5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ht="13.5" x14ac:dyDescent="0.3">
      <c r="A87" s="8"/>
      <c r="B87" s="8"/>
      <c r="C87" s="177" t="s">
        <v>182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-1827464.0752708027</v>
      </c>
      <c r="J87" s="179">
        <f t="shared" si="17"/>
        <v>-231713.11807938165</v>
      </c>
      <c r="K87" s="179">
        <f t="shared" si="17"/>
        <v>903562.28744669887</v>
      </c>
      <c r="L87" s="179">
        <f t="shared" si="17"/>
        <v>2159514.2422692385</v>
      </c>
      <c r="M87" s="179">
        <f t="shared" si="17"/>
        <v>3294789.6477953191</v>
      </c>
      <c r="N87" s="179">
        <f t="shared" si="17"/>
        <v>4329549.7393548731</v>
      </c>
      <c r="O87" s="179">
        <f t="shared" si="17"/>
        <v>4478082.8757414687</v>
      </c>
      <c r="P87" s="179">
        <f t="shared" si="17"/>
        <v>4478082.8757414687</v>
      </c>
      <c r="Q87" s="179">
        <f t="shared" si="17"/>
        <v>4598759.4250379307</v>
      </c>
      <c r="R87" s="179">
        <f t="shared" si="17"/>
        <v>4598759.4250379307</v>
      </c>
      <c r="S87" s="179">
        <f t="shared" si="17"/>
        <v>4719435.9743343908</v>
      </c>
      <c r="T87" s="179">
        <f t="shared" si="17"/>
        <v>4719435.9743343908</v>
      </c>
      <c r="U87" s="179">
        <f t="shared" si="17"/>
        <v>4840112.5236308509</v>
      </c>
      <c r="V87" s="179">
        <f t="shared" si="17"/>
        <v>4840112.5236308509</v>
      </c>
      <c r="W87" s="179">
        <f t="shared" si="17"/>
        <v>4840112.5236308509</v>
      </c>
      <c r="X87" s="179">
        <f t="shared" si="17"/>
        <v>4840112.5236308509</v>
      </c>
      <c r="Y87" s="179">
        <f t="shared" si="17"/>
        <v>4840112.5236308509</v>
      </c>
      <c r="Z87" s="179">
        <f t="shared" si="17"/>
        <v>4840112.5236308509</v>
      </c>
      <c r="AA87" s="179">
        <f t="shared" si="17"/>
        <v>4840112.5236308509</v>
      </c>
      <c r="AB87" s="179">
        <f t="shared" si="17"/>
        <v>4840112.5236308509</v>
      </c>
      <c r="AC87" s="179">
        <f>SUM(AC82:AC86)</f>
        <v>4840112.5236308509</v>
      </c>
      <c r="AD87" s="179">
        <f>SUM(AD82:AD86)</f>
        <v>4840112.5236308509</v>
      </c>
      <c r="AE87" s="179">
        <f>SUM(AE82:AE86)</f>
        <v>4840112.5236308509</v>
      </c>
      <c r="AF87" s="179">
        <f>SUM(AF82:AF86)</f>
        <v>4840112.5236308509</v>
      </c>
      <c r="AG87" s="179">
        <f>SUM(AG82:AG86)</f>
        <v>-1436384.8720159719</v>
      </c>
      <c r="AH87"/>
    </row>
    <row r="88" spans="1:34" ht="13.5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ht="13.5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ht="13.5" x14ac:dyDescent="0.3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3">
      <c r="C91" s="82"/>
      <c r="D91" s="234"/>
      <c r="E91" s="231"/>
      <c r="F91" s="232"/>
      <c r="G91" s="233"/>
    </row>
    <row r="92" spans="1:34" x14ac:dyDescent="0.3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3">
      <c r="G94" s="12"/>
    </row>
    <row r="102" spans="1:43" ht="14.5" x14ac:dyDescent="0.3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ht="13.5" x14ac:dyDescent="0.3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ht="13.5" x14ac:dyDescent="0.3">
      <c r="A106" s="1" t="s">
        <v>117</v>
      </c>
      <c r="C106" s="1" t="s">
        <v>182</v>
      </c>
      <c r="D106"/>
      <c r="E106"/>
      <c r="F106"/>
      <c r="G106" s="38" t="str">
        <f>PROPER($A$3)&amp;A106</f>
        <v>Option 3NPV</v>
      </c>
      <c r="I106" s="31">
        <f>I87</f>
        <v>-1827464.0752708027</v>
      </c>
      <c r="J106" s="31">
        <f t="shared" ref="J106:AG106" si="18">J87</f>
        <v>-231713.11807938165</v>
      </c>
      <c r="K106" s="31">
        <f t="shared" si="18"/>
        <v>903562.28744669887</v>
      </c>
      <c r="L106" s="31">
        <f t="shared" si="18"/>
        <v>2159514.2422692385</v>
      </c>
      <c r="M106" s="31">
        <f t="shared" si="18"/>
        <v>3294789.6477953191</v>
      </c>
      <c r="N106" s="31">
        <f t="shared" si="18"/>
        <v>4329549.7393548731</v>
      </c>
      <c r="O106" s="31">
        <f t="shared" si="18"/>
        <v>4478082.8757414687</v>
      </c>
      <c r="P106" s="31">
        <f t="shared" si="18"/>
        <v>4478082.8757414687</v>
      </c>
      <c r="Q106" s="31">
        <f t="shared" si="18"/>
        <v>4598759.4250379307</v>
      </c>
      <c r="R106" s="31">
        <f t="shared" si="18"/>
        <v>4598759.4250379307</v>
      </c>
      <c r="S106" s="31">
        <f t="shared" si="18"/>
        <v>4719435.9743343908</v>
      </c>
      <c r="T106" s="31">
        <f t="shared" si="18"/>
        <v>4719435.9743343908</v>
      </c>
      <c r="U106" s="31">
        <f t="shared" si="18"/>
        <v>4840112.5236308509</v>
      </c>
      <c r="V106" s="31">
        <f t="shared" si="18"/>
        <v>4840112.5236308509</v>
      </c>
      <c r="W106" s="31">
        <f t="shared" si="18"/>
        <v>4840112.5236308509</v>
      </c>
      <c r="X106" s="31">
        <f t="shared" si="18"/>
        <v>4840112.5236308509</v>
      </c>
      <c r="Y106" s="31">
        <f t="shared" si="18"/>
        <v>4840112.5236308509</v>
      </c>
      <c r="Z106" s="31">
        <f t="shared" si="18"/>
        <v>4840112.5236308509</v>
      </c>
      <c r="AA106" s="31">
        <f t="shared" si="18"/>
        <v>4840112.5236308509</v>
      </c>
      <c r="AB106" s="31">
        <f t="shared" si="18"/>
        <v>4840112.5236308509</v>
      </c>
      <c r="AC106" s="31">
        <f t="shared" si="18"/>
        <v>4840112.5236308509</v>
      </c>
      <c r="AD106" s="31">
        <f t="shared" si="18"/>
        <v>4840112.5236308509</v>
      </c>
      <c r="AE106" s="31">
        <f t="shared" si="18"/>
        <v>4840112.5236308509</v>
      </c>
      <c r="AF106" s="31">
        <f t="shared" si="18"/>
        <v>4840112.5236308509</v>
      </c>
      <c r="AG106" s="31">
        <f t="shared" si="18"/>
        <v>-1436384.8720159719</v>
      </c>
    </row>
    <row r="107" spans="1:43" ht="13.5" x14ac:dyDescent="0.3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9">J82</f>
        <v>-285752.95862386713</v>
      </c>
      <c r="K107" s="31">
        <f t="shared" si="19"/>
        <v>-571505.91724773427</v>
      </c>
      <c r="L107" s="31">
        <f t="shared" si="19"/>
        <v>-857258.8758716014</v>
      </c>
      <c r="M107" s="31">
        <f t="shared" si="19"/>
        <v>-1143011.8344954685</v>
      </c>
      <c r="N107" s="31">
        <f t="shared" si="19"/>
        <v>-1428764.7931193355</v>
      </c>
      <c r="O107" s="31">
        <f t="shared" si="19"/>
        <v>-1436384.8720159719</v>
      </c>
      <c r="P107" s="31">
        <f t="shared" si="19"/>
        <v>-1436384.8720159719</v>
      </c>
      <c r="Q107" s="31">
        <f t="shared" si="19"/>
        <v>-1436384.8720159719</v>
      </c>
      <c r="R107" s="31">
        <f t="shared" si="19"/>
        <v>-1436384.8720159719</v>
      </c>
      <c r="S107" s="31">
        <f t="shared" si="19"/>
        <v>-1436384.8720159719</v>
      </c>
      <c r="T107" s="31">
        <f t="shared" si="19"/>
        <v>-1436384.8720159719</v>
      </c>
      <c r="U107" s="31">
        <f t="shared" si="19"/>
        <v>-1436384.8720159719</v>
      </c>
      <c r="V107" s="31">
        <f t="shared" si="19"/>
        <v>-1436384.8720159719</v>
      </c>
      <c r="W107" s="31">
        <f t="shared" si="19"/>
        <v>-1436384.8720159719</v>
      </c>
      <c r="X107" s="31">
        <f t="shared" si="19"/>
        <v>-1436384.8720159719</v>
      </c>
      <c r="Y107" s="31">
        <f t="shared" si="19"/>
        <v>-1436384.8720159719</v>
      </c>
      <c r="Z107" s="31">
        <f t="shared" si="19"/>
        <v>-1436384.8720159719</v>
      </c>
      <c r="AA107" s="31">
        <f t="shared" si="19"/>
        <v>-1436384.8720159719</v>
      </c>
      <c r="AB107" s="31">
        <f t="shared" si="19"/>
        <v>-1436384.8720159719</v>
      </c>
      <c r="AC107" s="31">
        <f t="shared" si="19"/>
        <v>-1436384.8720159719</v>
      </c>
      <c r="AD107" s="31">
        <f t="shared" si="19"/>
        <v>-1436384.8720159719</v>
      </c>
      <c r="AE107" s="31">
        <f t="shared" si="19"/>
        <v>-1436384.8720159719</v>
      </c>
      <c r="AF107" s="31">
        <f t="shared" si="19"/>
        <v>-1436384.8720159719</v>
      </c>
      <c r="AG107" s="31">
        <f t="shared" si="19"/>
        <v>-1436384.8720159719</v>
      </c>
    </row>
    <row r="108" spans="1:43" ht="13.5" x14ac:dyDescent="0.3">
      <c r="C108" s="1" t="s">
        <v>235</v>
      </c>
      <c r="D108"/>
      <c r="E108"/>
      <c r="G108"/>
      <c r="I108" s="31">
        <f>SUM(I84:I85)</f>
        <v>-1827464.0752708027</v>
      </c>
      <c r="J108" s="31">
        <f t="shared" ref="J108:AG108" si="20">SUM(J84:J85)</f>
        <v>54039.840544485487</v>
      </c>
      <c r="K108" s="31">
        <f t="shared" si="20"/>
        <v>1475068.2046944331</v>
      </c>
      <c r="L108" s="31">
        <f t="shared" si="20"/>
        <v>3016773.11814084</v>
      </c>
      <c r="M108" s="31">
        <f t="shared" si="20"/>
        <v>4437801.4822907876</v>
      </c>
      <c r="N108" s="31">
        <f t="shared" si="20"/>
        <v>5758314.5324742086</v>
      </c>
      <c r="O108" s="31">
        <f t="shared" si="20"/>
        <v>5914467.7477574404</v>
      </c>
      <c r="P108" s="31">
        <f t="shared" si="20"/>
        <v>5914467.7477574404</v>
      </c>
      <c r="Q108" s="31">
        <f t="shared" si="20"/>
        <v>6035144.2970539024</v>
      </c>
      <c r="R108" s="31">
        <f t="shared" si="20"/>
        <v>6035144.2970539024</v>
      </c>
      <c r="S108" s="31">
        <f t="shared" si="20"/>
        <v>6155820.8463503625</v>
      </c>
      <c r="T108" s="31">
        <f t="shared" si="20"/>
        <v>6155820.8463503625</v>
      </c>
      <c r="U108" s="31">
        <f t="shared" si="20"/>
        <v>6276497.3956468226</v>
      </c>
      <c r="V108" s="31">
        <f t="shared" si="20"/>
        <v>6276497.3956468226</v>
      </c>
      <c r="W108" s="31">
        <f t="shared" si="20"/>
        <v>6276497.3956468226</v>
      </c>
      <c r="X108" s="31">
        <f t="shared" si="20"/>
        <v>6276497.3956468226</v>
      </c>
      <c r="Y108" s="31">
        <f t="shared" si="20"/>
        <v>6276497.3956468226</v>
      </c>
      <c r="Z108" s="31">
        <f t="shared" si="20"/>
        <v>6276497.3956468226</v>
      </c>
      <c r="AA108" s="31">
        <f t="shared" si="20"/>
        <v>6276497.3956468226</v>
      </c>
      <c r="AB108" s="31">
        <f t="shared" si="20"/>
        <v>6276497.3956468226</v>
      </c>
      <c r="AC108" s="31">
        <f t="shared" si="20"/>
        <v>6276497.3956468226</v>
      </c>
      <c r="AD108" s="31">
        <f t="shared" si="20"/>
        <v>6276497.3956468226</v>
      </c>
      <c r="AE108" s="31">
        <f t="shared" si="20"/>
        <v>6276497.3956468226</v>
      </c>
      <c r="AF108" s="31">
        <f t="shared" si="20"/>
        <v>6276497.3956468226</v>
      </c>
      <c r="AG108" s="31">
        <f t="shared" si="20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-1827464.0752708027</v>
      </c>
      <c r="J110" s="31" cm="1">
        <f t="array" ref="J110">J$106+IF($C110&lt;&gt;0,SUMPRODUCT((J$107:J$108)*TRANSPOSE(($D110:$E110))),0)</f>
        <v>-260288.41394176835</v>
      </c>
      <c r="K110" s="31" cm="1">
        <f t="array" ref="K110">K$106+IF($C110&lt;&gt;0,SUMPRODUCT((K$107:K$108)*TRANSPOSE(($D110:$E110))),0)</f>
        <v>846411.69572192547</v>
      </c>
      <c r="L110" s="31" cm="1">
        <f t="array" ref="L110">L$106+IF($C110&lt;&gt;0,SUMPRODUCT((L$107:L$108)*TRANSPOSE(($D110:$E110))),0)</f>
        <v>2073788.3546820784</v>
      </c>
      <c r="M110" s="31" cm="1">
        <f t="array" ref="M110">M$106+IF($C110&lt;&gt;0,SUMPRODUCT((M$107:M$108)*TRANSPOSE(($D110:$E110))),0)</f>
        <v>3180488.4643457723</v>
      </c>
      <c r="N110" s="31" cm="1">
        <f t="array" ref="N110">N$106+IF($C110&lt;&gt;0,SUMPRODUCT((N$107:N$108)*TRANSPOSE(($D110:$E110))),0)</f>
        <v>4186673.2600429393</v>
      </c>
      <c r="O110" s="31" cm="1">
        <f t="array" ref="O110">O$106+IF($C110&lt;&gt;0,SUMPRODUCT((O$107:O$108)*TRANSPOSE(($D110:$E110))),0)</f>
        <v>4334444.3885398712</v>
      </c>
      <c r="P110" s="31" cm="1">
        <f t="array" ref="P110">P$106+IF($C110&lt;&gt;0,SUMPRODUCT((P$107:P$108)*TRANSPOSE(($D110:$E110))),0)</f>
        <v>4334444.3885398712</v>
      </c>
      <c r="Q110" s="31" cm="1">
        <f t="array" ref="Q110">Q$106+IF($C110&lt;&gt;0,SUMPRODUCT((Q$107:Q$108)*TRANSPOSE(($D110:$E110))),0)</f>
        <v>4455120.9378363332</v>
      </c>
      <c r="R110" s="31" cm="1">
        <f t="array" ref="R110">R$106+IF($C110&lt;&gt;0,SUMPRODUCT((R$107:R$108)*TRANSPOSE(($D110:$E110))),0)</f>
        <v>4455120.9378363332</v>
      </c>
      <c r="S110" s="31" cm="1">
        <f t="array" ref="S110">S$106+IF($C110&lt;&gt;0,SUMPRODUCT((S$107:S$108)*TRANSPOSE(($D110:$E110))),0)</f>
        <v>4575797.4871327933</v>
      </c>
      <c r="T110" s="31" cm="1">
        <f t="array" ref="T110">T$106+IF($C110&lt;&gt;0,SUMPRODUCT((T$107:T$108)*TRANSPOSE(($D110:$E110))),0)</f>
        <v>4575797.4871327933</v>
      </c>
      <c r="U110" s="31" cm="1">
        <f t="array" ref="U110">U$106+IF($C110&lt;&gt;0,SUMPRODUCT((U$107:U$108)*TRANSPOSE(($D110:$E110))),0)</f>
        <v>4696474.0364292534</v>
      </c>
      <c r="V110" s="31" cm="1">
        <f t="array" ref="V110">V$106+IF($C110&lt;&gt;0,SUMPRODUCT((V$107:V$108)*TRANSPOSE(($D110:$E110))),0)</f>
        <v>4696474.0364292534</v>
      </c>
      <c r="W110" s="31" cm="1">
        <f t="array" ref="W110">W$106+IF($C110&lt;&gt;0,SUMPRODUCT((W$107:W$108)*TRANSPOSE(($D110:$E110))),0)</f>
        <v>4696474.0364292534</v>
      </c>
      <c r="X110" s="31" cm="1">
        <f t="array" ref="X110">X$106+IF($C110&lt;&gt;0,SUMPRODUCT((X$107:X$108)*TRANSPOSE(($D110:$E110))),0)</f>
        <v>4696474.0364292534</v>
      </c>
      <c r="Y110" s="31" cm="1">
        <f t="array" ref="Y110">Y$106+IF($C110&lt;&gt;0,SUMPRODUCT((Y$107:Y$108)*TRANSPOSE(($D110:$E110))),0)</f>
        <v>4696474.0364292534</v>
      </c>
      <c r="Z110" s="31" cm="1">
        <f t="array" ref="Z110">Z$106+IF($C110&lt;&gt;0,SUMPRODUCT((Z$107:Z$108)*TRANSPOSE(($D110:$E110))),0)</f>
        <v>4696474.0364292534</v>
      </c>
      <c r="AA110" s="31" cm="1">
        <f t="array" ref="AA110">AA$106+IF($C110&lt;&gt;0,SUMPRODUCT((AA$107:AA$108)*TRANSPOSE(($D110:$E110))),0)</f>
        <v>4696474.0364292534</v>
      </c>
      <c r="AB110" s="31" cm="1">
        <f t="array" ref="AB110">AB$106+IF($C110&lt;&gt;0,SUMPRODUCT((AB$107:AB$108)*TRANSPOSE(($D110:$E110))),0)</f>
        <v>4696474.0364292534</v>
      </c>
      <c r="AC110" s="31" cm="1">
        <f t="array" ref="AC110">AC$106+IF($C110&lt;&gt;0,SUMPRODUCT((AC$107:AC$108)*TRANSPOSE(($D110:$E110))),0)</f>
        <v>4696474.0364292534</v>
      </c>
      <c r="AD110" s="31" cm="1">
        <f t="array" ref="AD110">AD$106+IF($C110&lt;&gt;0,SUMPRODUCT((AD$107:AD$108)*TRANSPOSE(($D110:$E110))),0)</f>
        <v>4696474.0364292534</v>
      </c>
      <c r="AE110" s="31" cm="1">
        <f t="array" ref="AE110">AE$106+IF($C110&lt;&gt;0,SUMPRODUCT((AE$107:AE$108)*TRANSPOSE(($D110:$E110))),0)</f>
        <v>4696474.0364292534</v>
      </c>
      <c r="AF110" s="31" cm="1">
        <f t="array" ref="AF110">AF$106+IF($C110&lt;&gt;0,SUMPRODUCT((AF$107:AF$108)*TRANSPOSE(($D110:$E110))),0)</f>
        <v>4696474.0364292534</v>
      </c>
      <c r="AG110" s="31" cm="1">
        <f t="array" ref="AG110">AG$106+IF($C110&lt;&gt;0,SUMPRODUCT((AG$107:AG$108)*TRANSPOSE(($D110:$E110))),0)</f>
        <v>-1580023.3592175692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-1827464.0752708027</v>
      </c>
      <c r="J111" s="31" cm="1">
        <f t="array" ref="J111">J$106+IF($C111&lt;&gt;0,SUMPRODUCT((J$107:J$108)*TRANSPOSE(($D111:$E111))),0)</f>
        <v>-203137.82221699494</v>
      </c>
      <c r="K111" s="31" cm="1">
        <f t="array" ref="K111">K$106+IF($C111&lt;&gt;0,SUMPRODUCT((K$107:K$108)*TRANSPOSE(($D111:$E111))),0)</f>
        <v>960712.87917147228</v>
      </c>
      <c r="L111" s="31" cm="1">
        <f t="array" ref="L111">L$106+IF($C111&lt;&gt;0,SUMPRODUCT((L$107:L$108)*TRANSPOSE(($D111:$E111))),0)</f>
        <v>2245240.1298563988</v>
      </c>
      <c r="M111" s="31" cm="1">
        <f t="array" ref="M111">M$106+IF($C111&lt;&gt;0,SUMPRODUCT((M$107:M$108)*TRANSPOSE(($D111:$E111))),0)</f>
        <v>3409090.8312448659</v>
      </c>
      <c r="N111" s="31" cm="1">
        <f t="array" ref="N111">N$106+IF($C111&lt;&gt;0,SUMPRODUCT((N$107:N$108)*TRANSPOSE(($D111:$E111))),0)</f>
        <v>4472426.2186668068</v>
      </c>
      <c r="O111" s="31" cm="1">
        <f t="array" ref="O111">O$106+IF($C111&lt;&gt;0,SUMPRODUCT((O$107:O$108)*TRANSPOSE(($D111:$E111))),0)</f>
        <v>4621721.3629430663</v>
      </c>
      <c r="P111" s="31" cm="1">
        <f t="array" ref="P111">P$106+IF($C111&lt;&gt;0,SUMPRODUCT((P$107:P$108)*TRANSPOSE(($D111:$E111))),0)</f>
        <v>4621721.3629430663</v>
      </c>
      <c r="Q111" s="31" cm="1">
        <f t="array" ref="Q111">Q$106+IF($C111&lt;&gt;0,SUMPRODUCT((Q$107:Q$108)*TRANSPOSE(($D111:$E111))),0)</f>
        <v>4742397.9122395283</v>
      </c>
      <c r="R111" s="31" cm="1">
        <f t="array" ref="R111">R$106+IF($C111&lt;&gt;0,SUMPRODUCT((R$107:R$108)*TRANSPOSE(($D111:$E111))),0)</f>
        <v>4742397.9122395283</v>
      </c>
      <c r="S111" s="31" cm="1">
        <f t="array" ref="S111">S$106+IF($C111&lt;&gt;0,SUMPRODUCT((S$107:S$108)*TRANSPOSE(($D111:$E111))),0)</f>
        <v>4863074.4615359884</v>
      </c>
      <c r="T111" s="31" cm="1">
        <f t="array" ref="T111">T$106+IF($C111&lt;&gt;0,SUMPRODUCT((T$107:T$108)*TRANSPOSE(($D111:$E111))),0)</f>
        <v>4863074.4615359884</v>
      </c>
      <c r="U111" s="31" cm="1">
        <f t="array" ref="U111">U$106+IF($C111&lt;&gt;0,SUMPRODUCT((U$107:U$108)*TRANSPOSE(($D111:$E111))),0)</f>
        <v>4983751.0108324485</v>
      </c>
      <c r="V111" s="31" cm="1">
        <f t="array" ref="V111">V$106+IF($C111&lt;&gt;0,SUMPRODUCT((V$107:V$108)*TRANSPOSE(($D111:$E111))),0)</f>
        <v>4983751.0108324485</v>
      </c>
      <c r="W111" s="31" cm="1">
        <f t="array" ref="W111">W$106+IF($C111&lt;&gt;0,SUMPRODUCT((W$107:W$108)*TRANSPOSE(($D111:$E111))),0)</f>
        <v>4983751.0108324485</v>
      </c>
      <c r="X111" s="31" cm="1">
        <f t="array" ref="X111">X$106+IF($C111&lt;&gt;0,SUMPRODUCT((X$107:X$108)*TRANSPOSE(($D111:$E111))),0)</f>
        <v>4983751.0108324485</v>
      </c>
      <c r="Y111" s="31" cm="1">
        <f t="array" ref="Y111">Y$106+IF($C111&lt;&gt;0,SUMPRODUCT((Y$107:Y$108)*TRANSPOSE(($D111:$E111))),0)</f>
        <v>4983751.0108324485</v>
      </c>
      <c r="Z111" s="31" cm="1">
        <f t="array" ref="Z111">Z$106+IF($C111&lt;&gt;0,SUMPRODUCT((Z$107:Z$108)*TRANSPOSE(($D111:$E111))),0)</f>
        <v>4983751.0108324485</v>
      </c>
      <c r="AA111" s="31" cm="1">
        <f t="array" ref="AA111">AA$106+IF($C111&lt;&gt;0,SUMPRODUCT((AA$107:AA$108)*TRANSPOSE(($D111:$E111))),0)</f>
        <v>4983751.0108324485</v>
      </c>
      <c r="AB111" s="31" cm="1">
        <f t="array" ref="AB111">AB$106+IF($C111&lt;&gt;0,SUMPRODUCT((AB$107:AB$108)*TRANSPOSE(($D111:$E111))),0)</f>
        <v>4983751.0108324485</v>
      </c>
      <c r="AC111" s="31" cm="1">
        <f t="array" ref="AC111">AC$106+IF($C111&lt;&gt;0,SUMPRODUCT((AC$107:AC$108)*TRANSPOSE(($D111:$E111))),0)</f>
        <v>4983751.0108324485</v>
      </c>
      <c r="AD111" s="31" cm="1">
        <f t="array" ref="AD111">AD$106+IF($C111&lt;&gt;0,SUMPRODUCT((AD$107:AD$108)*TRANSPOSE(($D111:$E111))),0)</f>
        <v>4983751.0108324485</v>
      </c>
      <c r="AE111" s="31" cm="1">
        <f t="array" ref="AE111">AE$106+IF($C111&lt;&gt;0,SUMPRODUCT((AE$107:AE$108)*TRANSPOSE(($D111:$E111))),0)</f>
        <v>4983751.0108324485</v>
      </c>
      <c r="AF111" s="31" cm="1">
        <f t="array" ref="AF111">AF$106+IF($C111&lt;&gt;0,SUMPRODUCT((AF$107:AF$108)*TRANSPOSE(($D111:$E111))),0)</f>
        <v>4983751.0108324485</v>
      </c>
      <c r="AG111" s="31" cm="1">
        <f t="array" ref="AG111">AG$106+IF($C111&lt;&gt;0,SUMPRODUCT((AG$107:AG$108)*TRANSPOSE(($D111:$E111))),0)</f>
        <v>-1292746.3848143746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-2010210.482797883</v>
      </c>
      <c r="J112" s="31" cm="1">
        <f t="array" ref="J112">J$106+IF($C112&lt;&gt;0,SUMPRODUCT((J$107:J$108)*TRANSPOSE(($D112:$E112))),0)</f>
        <v>-226309.1340249331</v>
      </c>
      <c r="K112" s="31" cm="1">
        <f t="array" ref="K112">K$106+IF($C112&lt;&gt;0,SUMPRODUCT((K$107:K$108)*TRANSPOSE(($D112:$E112))),0)</f>
        <v>1051069.1079161421</v>
      </c>
      <c r="L112" s="31" cm="1">
        <f t="array" ref="L112">L$106+IF($C112&lt;&gt;0,SUMPRODUCT((L$107:L$108)*TRANSPOSE(($D112:$E112))),0)</f>
        <v>2461191.5540833226</v>
      </c>
      <c r="M112" s="31" cm="1">
        <f t="array" ref="M112">M$106+IF($C112&lt;&gt;0,SUMPRODUCT((M$107:M$108)*TRANSPOSE(($D112:$E112))),0)</f>
        <v>3738569.7960243979</v>
      </c>
      <c r="N112" s="31" cm="1">
        <f t="array" ref="N112">N$106+IF($C112&lt;&gt;0,SUMPRODUCT((N$107:N$108)*TRANSPOSE(($D112:$E112))),0)</f>
        <v>4905381.1926022936</v>
      </c>
      <c r="O112" s="31" cm="1">
        <f t="array" ref="O112">O$106+IF($C112&lt;&gt;0,SUMPRODUCT((O$107:O$108)*TRANSPOSE(($D112:$E112))),0)</f>
        <v>5069529.6505172132</v>
      </c>
      <c r="P112" s="31" cm="1">
        <f t="array" ref="P112">P$106+IF($C112&lt;&gt;0,SUMPRODUCT((P$107:P$108)*TRANSPOSE(($D112:$E112))),0)</f>
        <v>5069529.6505172132</v>
      </c>
      <c r="Q112" s="31" cm="1">
        <f t="array" ref="Q112">Q$106+IF($C112&lt;&gt;0,SUMPRODUCT((Q$107:Q$108)*TRANSPOSE(($D112:$E112))),0)</f>
        <v>5202273.8547433205</v>
      </c>
      <c r="R112" s="31" cm="1">
        <f t="array" ref="R112">R$106+IF($C112&lt;&gt;0,SUMPRODUCT((R$107:R$108)*TRANSPOSE(($D112:$E112))),0)</f>
        <v>5202273.8547433205</v>
      </c>
      <c r="S112" s="31" cm="1">
        <f t="array" ref="S112">S$106+IF($C112&lt;&gt;0,SUMPRODUCT((S$107:S$108)*TRANSPOSE(($D112:$E112))),0)</f>
        <v>5335018.0589694269</v>
      </c>
      <c r="T112" s="31" cm="1">
        <f t="array" ref="T112">T$106+IF($C112&lt;&gt;0,SUMPRODUCT((T$107:T$108)*TRANSPOSE(($D112:$E112))),0)</f>
        <v>5335018.0589694269</v>
      </c>
      <c r="U112" s="31" cm="1">
        <f t="array" ref="U112">U$106+IF($C112&lt;&gt;0,SUMPRODUCT((U$107:U$108)*TRANSPOSE(($D112:$E112))),0)</f>
        <v>5467762.2631955333</v>
      </c>
      <c r="V112" s="31" cm="1">
        <f t="array" ref="V112">V$106+IF($C112&lt;&gt;0,SUMPRODUCT((V$107:V$108)*TRANSPOSE(($D112:$E112))),0)</f>
        <v>5467762.2631955333</v>
      </c>
      <c r="W112" s="31" cm="1">
        <f t="array" ref="W112">W$106+IF($C112&lt;&gt;0,SUMPRODUCT((W$107:W$108)*TRANSPOSE(($D112:$E112))),0)</f>
        <v>5467762.2631955333</v>
      </c>
      <c r="X112" s="31" cm="1">
        <f t="array" ref="X112">X$106+IF($C112&lt;&gt;0,SUMPRODUCT((X$107:X$108)*TRANSPOSE(($D112:$E112))),0)</f>
        <v>5467762.2631955333</v>
      </c>
      <c r="Y112" s="31" cm="1">
        <f t="array" ref="Y112">Y$106+IF($C112&lt;&gt;0,SUMPRODUCT((Y$107:Y$108)*TRANSPOSE(($D112:$E112))),0)</f>
        <v>5467762.2631955333</v>
      </c>
      <c r="Z112" s="31" cm="1">
        <f t="array" ref="Z112">Z$106+IF($C112&lt;&gt;0,SUMPRODUCT((Z$107:Z$108)*TRANSPOSE(($D112:$E112))),0)</f>
        <v>5467762.2631955333</v>
      </c>
      <c r="AA112" s="31" cm="1">
        <f t="array" ref="AA112">AA$106+IF($C112&lt;&gt;0,SUMPRODUCT((AA$107:AA$108)*TRANSPOSE(($D112:$E112))),0)</f>
        <v>5467762.2631955333</v>
      </c>
      <c r="AB112" s="31" cm="1">
        <f t="array" ref="AB112">AB$106+IF($C112&lt;&gt;0,SUMPRODUCT((AB$107:AB$108)*TRANSPOSE(($D112:$E112))),0)</f>
        <v>5467762.2631955333</v>
      </c>
      <c r="AC112" s="31" cm="1">
        <f t="array" ref="AC112">AC$106+IF($C112&lt;&gt;0,SUMPRODUCT((AC$107:AC$108)*TRANSPOSE(($D112:$E112))),0)</f>
        <v>5467762.2631955333</v>
      </c>
      <c r="AD112" s="31" cm="1">
        <f t="array" ref="AD112">AD$106+IF($C112&lt;&gt;0,SUMPRODUCT((AD$107:AD$108)*TRANSPOSE(($D112:$E112))),0)</f>
        <v>5467762.2631955333</v>
      </c>
      <c r="AE112" s="31" cm="1">
        <f t="array" ref="AE112">AE$106+IF($C112&lt;&gt;0,SUMPRODUCT((AE$107:AE$108)*TRANSPOSE(($D112:$E112))),0)</f>
        <v>5467762.2631955333</v>
      </c>
      <c r="AF112" s="31" cm="1">
        <f t="array" ref="AF112">AF$106+IF($C112&lt;&gt;0,SUMPRODUCT((AF$107:AF$108)*TRANSPOSE(($D112:$E112))),0)</f>
        <v>5467762.2631955333</v>
      </c>
      <c r="AG112" s="31" cm="1">
        <f t="array" ref="AG112">AG$106+IF($C112&lt;&gt;0,SUMPRODUCT((AG$107:AG$108)*TRANSPOSE(($D112:$E112))),0)</f>
        <v>-1436384.8720159719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-1644717.6677437224</v>
      </c>
      <c r="J113" s="31" cm="1">
        <f t="array" ref="J113">J$106+IF($C113&lt;&gt;0,SUMPRODUCT((J$107:J$108)*TRANSPOSE(($D113:$E113))),0)</f>
        <v>-237117.10213383019</v>
      </c>
      <c r="K113" s="31" cm="1">
        <f t="array" ref="K113">K$106+IF($C113&lt;&gt;0,SUMPRODUCT((K$107:K$108)*TRANSPOSE(($D113:$E113))),0)</f>
        <v>756055.46697725554</v>
      </c>
      <c r="L113" s="31" cm="1">
        <f t="array" ref="L113">L$106+IF($C113&lt;&gt;0,SUMPRODUCT((L$107:L$108)*TRANSPOSE(($D113:$E113))),0)</f>
        <v>1857836.9304551545</v>
      </c>
      <c r="M113" s="31" cm="1">
        <f t="array" ref="M113">M$106+IF($C113&lt;&gt;0,SUMPRODUCT((M$107:M$108)*TRANSPOSE(($D113:$E113))),0)</f>
        <v>2851009.4995662402</v>
      </c>
      <c r="N113" s="31" cm="1">
        <f t="array" ref="N113">N$106+IF($C113&lt;&gt;0,SUMPRODUCT((N$107:N$108)*TRANSPOSE(($D113:$E113))),0)</f>
        <v>3753718.2861074521</v>
      </c>
      <c r="O113" s="31" cm="1">
        <f t="array" ref="O113">O$106+IF($C113&lt;&gt;0,SUMPRODUCT((O$107:O$108)*TRANSPOSE(($D113:$E113))),0)</f>
        <v>3886636.1009657248</v>
      </c>
      <c r="P113" s="31" cm="1">
        <f t="array" ref="P113">P$106+IF($C113&lt;&gt;0,SUMPRODUCT((P$107:P$108)*TRANSPOSE(($D113:$E113))),0)</f>
        <v>3886636.1009657248</v>
      </c>
      <c r="Q113" s="31" cm="1">
        <f t="array" ref="Q113">Q$106+IF($C113&lt;&gt;0,SUMPRODUCT((Q$107:Q$108)*TRANSPOSE(($D113:$E113))),0)</f>
        <v>3995244.9953325405</v>
      </c>
      <c r="R113" s="31" cm="1">
        <f t="array" ref="R113">R$106+IF($C113&lt;&gt;0,SUMPRODUCT((R$107:R$108)*TRANSPOSE(($D113:$E113))),0)</f>
        <v>3995244.9953325405</v>
      </c>
      <c r="S113" s="31" cm="1">
        <f t="array" ref="S113">S$106+IF($C113&lt;&gt;0,SUMPRODUCT((S$107:S$108)*TRANSPOSE(($D113:$E113))),0)</f>
        <v>4103853.8896993548</v>
      </c>
      <c r="T113" s="31" cm="1">
        <f t="array" ref="T113">T$106+IF($C113&lt;&gt;0,SUMPRODUCT((T$107:T$108)*TRANSPOSE(($D113:$E113))),0)</f>
        <v>4103853.8896993548</v>
      </c>
      <c r="U113" s="31" cm="1">
        <f t="array" ref="U113">U$106+IF($C113&lt;&gt;0,SUMPRODUCT((U$107:U$108)*TRANSPOSE(($D113:$E113))),0)</f>
        <v>4212462.7840661686</v>
      </c>
      <c r="V113" s="31" cm="1">
        <f t="array" ref="V113">V$106+IF($C113&lt;&gt;0,SUMPRODUCT((V$107:V$108)*TRANSPOSE(($D113:$E113))),0)</f>
        <v>4212462.7840661686</v>
      </c>
      <c r="W113" s="31" cm="1">
        <f t="array" ref="W113">W$106+IF($C113&lt;&gt;0,SUMPRODUCT((W$107:W$108)*TRANSPOSE(($D113:$E113))),0)</f>
        <v>4212462.7840661686</v>
      </c>
      <c r="X113" s="31" cm="1">
        <f t="array" ref="X113">X$106+IF($C113&lt;&gt;0,SUMPRODUCT((X$107:X$108)*TRANSPOSE(($D113:$E113))),0)</f>
        <v>4212462.7840661686</v>
      </c>
      <c r="Y113" s="31" cm="1">
        <f t="array" ref="Y113">Y$106+IF($C113&lt;&gt;0,SUMPRODUCT((Y$107:Y$108)*TRANSPOSE(($D113:$E113))),0)</f>
        <v>4212462.7840661686</v>
      </c>
      <c r="Z113" s="31" cm="1">
        <f t="array" ref="Z113">Z$106+IF($C113&lt;&gt;0,SUMPRODUCT((Z$107:Z$108)*TRANSPOSE(($D113:$E113))),0)</f>
        <v>4212462.7840661686</v>
      </c>
      <c r="AA113" s="31" cm="1">
        <f t="array" ref="AA113">AA$106+IF($C113&lt;&gt;0,SUMPRODUCT((AA$107:AA$108)*TRANSPOSE(($D113:$E113))),0)</f>
        <v>4212462.7840661686</v>
      </c>
      <c r="AB113" s="31" cm="1">
        <f t="array" ref="AB113">AB$106+IF($C113&lt;&gt;0,SUMPRODUCT((AB$107:AB$108)*TRANSPOSE(($D113:$E113))),0)</f>
        <v>4212462.7840661686</v>
      </c>
      <c r="AC113" s="31" cm="1">
        <f t="array" ref="AC113">AC$106+IF($C113&lt;&gt;0,SUMPRODUCT((AC$107:AC$108)*TRANSPOSE(($D113:$E113))),0)</f>
        <v>4212462.7840661686</v>
      </c>
      <c r="AD113" s="31" cm="1">
        <f t="array" ref="AD113">AD$106+IF($C113&lt;&gt;0,SUMPRODUCT((AD$107:AD$108)*TRANSPOSE(($D113:$E113))),0)</f>
        <v>4212462.7840661686</v>
      </c>
      <c r="AE113" s="31" cm="1">
        <f t="array" ref="AE113">AE$106+IF($C113&lt;&gt;0,SUMPRODUCT((AE$107:AE$108)*TRANSPOSE(($D113:$E113))),0)</f>
        <v>4212462.7840661686</v>
      </c>
      <c r="AF113" s="31" cm="1">
        <f t="array" ref="AF113">AF$106+IF($C113&lt;&gt;0,SUMPRODUCT((AF$107:AF$108)*TRANSPOSE(($D113:$E113))),0)</f>
        <v>4212462.7840661686</v>
      </c>
      <c r="AG113" s="31" cm="1">
        <f t="array" ref="AG113">AG$106+IF($C113&lt;&gt;0,SUMPRODUCT((AG$107:AG$108)*TRANSPOSE(($D113:$E113))),0)</f>
        <v>-1436384.8720159719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-1644717.6677437224</v>
      </c>
      <c r="J114" s="31" cm="1">
        <f t="array" ref="J114">J$106+IF($C114&lt;&gt;0,SUMPRODUCT((J$107:J$108)*TRANSPOSE(($D114:$E114))),0)</f>
        <v>-265692.3979962169</v>
      </c>
      <c r="K114" s="31" cm="1">
        <f t="array" ref="K114">K$106+IF($C114&lt;&gt;0,SUMPRODUCT((K$107:K$108)*TRANSPOSE(($D114:$E114))),0)</f>
        <v>698904.87525248213</v>
      </c>
      <c r="L114" s="31" cm="1">
        <f t="array" ref="L114">L$106+IF($C114&lt;&gt;0,SUMPRODUCT((L$107:L$108)*TRANSPOSE(($D114:$E114))),0)</f>
        <v>1772111.0428679944</v>
      </c>
      <c r="M114" s="31" cm="1">
        <f t="array" ref="M114">M$106+IF($C114&lt;&gt;0,SUMPRODUCT((M$107:M$108)*TRANSPOSE(($D114:$E114))),0)</f>
        <v>2736708.3161166934</v>
      </c>
      <c r="N114" s="31" cm="1">
        <f t="array" ref="N114">N$106+IF($C114&lt;&gt;0,SUMPRODUCT((N$107:N$108)*TRANSPOSE(($D114:$E114))),0)</f>
        <v>3610841.8067955188</v>
      </c>
      <c r="O114" s="31" cm="1">
        <f t="array" ref="O114">O$106+IF($C114&lt;&gt;0,SUMPRODUCT((O$107:O$108)*TRANSPOSE(($D114:$E114))),0)</f>
        <v>3742997.6137641277</v>
      </c>
      <c r="P114" s="31" cm="1">
        <f t="array" ref="P114">P$106+IF($C114&lt;&gt;0,SUMPRODUCT((P$107:P$108)*TRANSPOSE(($D114:$E114))),0)</f>
        <v>3742997.6137641277</v>
      </c>
      <c r="Q114" s="31" cm="1">
        <f t="array" ref="Q114">Q$106+IF($C114&lt;&gt;0,SUMPRODUCT((Q$107:Q$108)*TRANSPOSE(($D114:$E114))),0)</f>
        <v>3851606.5081309434</v>
      </c>
      <c r="R114" s="31" cm="1">
        <f t="array" ref="R114">R$106+IF($C114&lt;&gt;0,SUMPRODUCT((R$107:R$108)*TRANSPOSE(($D114:$E114))),0)</f>
        <v>3851606.5081309434</v>
      </c>
      <c r="S114" s="31" cm="1">
        <f t="array" ref="S114">S$106+IF($C114&lt;&gt;0,SUMPRODUCT((S$107:S$108)*TRANSPOSE(($D114:$E114))),0)</f>
        <v>3960215.4024977572</v>
      </c>
      <c r="T114" s="31" cm="1">
        <f t="array" ref="T114">T$106+IF($C114&lt;&gt;0,SUMPRODUCT((T$107:T$108)*TRANSPOSE(($D114:$E114))),0)</f>
        <v>3960215.4024977572</v>
      </c>
      <c r="U114" s="31" cm="1">
        <f t="array" ref="U114">U$106+IF($C114&lt;&gt;0,SUMPRODUCT((U$107:U$108)*TRANSPOSE(($D114:$E114))),0)</f>
        <v>4068824.2968645715</v>
      </c>
      <c r="V114" s="31" cm="1">
        <f t="array" ref="V114">V$106+IF($C114&lt;&gt;0,SUMPRODUCT((V$107:V$108)*TRANSPOSE(($D114:$E114))),0)</f>
        <v>4068824.2968645715</v>
      </c>
      <c r="W114" s="31" cm="1">
        <f t="array" ref="W114">W$106+IF($C114&lt;&gt;0,SUMPRODUCT((W$107:W$108)*TRANSPOSE(($D114:$E114))),0)</f>
        <v>4068824.2968645715</v>
      </c>
      <c r="X114" s="31" cm="1">
        <f t="array" ref="X114">X$106+IF($C114&lt;&gt;0,SUMPRODUCT((X$107:X$108)*TRANSPOSE(($D114:$E114))),0)</f>
        <v>4068824.2968645715</v>
      </c>
      <c r="Y114" s="31" cm="1">
        <f t="array" ref="Y114">Y$106+IF($C114&lt;&gt;0,SUMPRODUCT((Y$107:Y$108)*TRANSPOSE(($D114:$E114))),0)</f>
        <v>4068824.2968645715</v>
      </c>
      <c r="Z114" s="31" cm="1">
        <f t="array" ref="Z114">Z$106+IF($C114&lt;&gt;0,SUMPRODUCT((Z$107:Z$108)*TRANSPOSE(($D114:$E114))),0)</f>
        <v>4068824.2968645715</v>
      </c>
      <c r="AA114" s="31" cm="1">
        <f t="array" ref="AA114">AA$106+IF($C114&lt;&gt;0,SUMPRODUCT((AA$107:AA$108)*TRANSPOSE(($D114:$E114))),0)</f>
        <v>4068824.2968645715</v>
      </c>
      <c r="AB114" s="31" cm="1">
        <f t="array" ref="AB114">AB$106+IF($C114&lt;&gt;0,SUMPRODUCT((AB$107:AB$108)*TRANSPOSE(($D114:$E114))),0)</f>
        <v>4068824.2968645715</v>
      </c>
      <c r="AC114" s="31" cm="1">
        <f t="array" ref="AC114">AC$106+IF($C114&lt;&gt;0,SUMPRODUCT((AC$107:AC$108)*TRANSPOSE(($D114:$E114))),0)</f>
        <v>4068824.2968645715</v>
      </c>
      <c r="AD114" s="31" cm="1">
        <f t="array" ref="AD114">AD$106+IF($C114&lt;&gt;0,SUMPRODUCT((AD$107:AD$108)*TRANSPOSE(($D114:$E114))),0)</f>
        <v>4068824.2968645715</v>
      </c>
      <c r="AE114" s="31" cm="1">
        <f t="array" ref="AE114">AE$106+IF($C114&lt;&gt;0,SUMPRODUCT((AE$107:AE$108)*TRANSPOSE(($D114:$E114))),0)</f>
        <v>4068824.2968645715</v>
      </c>
      <c r="AF114" s="31" cm="1">
        <f t="array" ref="AF114">AF$106+IF($C114&lt;&gt;0,SUMPRODUCT((AF$107:AF$108)*TRANSPOSE(($D114:$E114))),0)</f>
        <v>4068824.2968645715</v>
      </c>
      <c r="AG114" s="31" cm="1">
        <f t="array" ref="AG114">AG$106+IF($C114&lt;&gt;0,SUMPRODUCT((AG$107:AG$108)*TRANSPOSE(($D114:$E114))),0)</f>
        <v>-1580023.3592175692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-1827464.0752708027</v>
      </c>
      <c r="J115" s="31" cm="1">
        <f t="array" ref="J115">J$106+IF($C115&lt;&gt;0,SUMPRODUCT((J$107:J$108)*TRANSPOSE(($D115:$E115))),0)</f>
        <v>-231713.11807938165</v>
      </c>
      <c r="K115" s="31" cm="1">
        <f t="array" ref="K115">K$106+IF($C115&lt;&gt;0,SUMPRODUCT((K$107:K$108)*TRANSPOSE(($D115:$E115))),0)</f>
        <v>903562.28744669887</v>
      </c>
      <c r="L115" s="31" cm="1">
        <f t="array" ref="L115">L$106+IF($C115&lt;&gt;0,SUMPRODUCT((L$107:L$108)*TRANSPOSE(($D115:$E115))),0)</f>
        <v>2159514.2422692385</v>
      </c>
      <c r="M115" s="31" cm="1">
        <f t="array" ref="M115">M$106+IF($C115&lt;&gt;0,SUMPRODUCT((M$107:M$108)*TRANSPOSE(($D115:$E115))),0)</f>
        <v>3294789.6477953191</v>
      </c>
      <c r="N115" s="31" cm="1">
        <f t="array" ref="N115">N$106+IF($C115&lt;&gt;0,SUMPRODUCT((N$107:N$108)*TRANSPOSE(($D115:$E115))),0)</f>
        <v>4329549.7393548731</v>
      </c>
      <c r="O115" s="31" cm="1">
        <f t="array" ref="O115">O$106+IF($C115&lt;&gt;0,SUMPRODUCT((O$107:O$108)*TRANSPOSE(($D115:$E115))),0)</f>
        <v>4478082.8757414687</v>
      </c>
      <c r="P115" s="31" cm="1">
        <f t="array" ref="P115">P$106+IF($C115&lt;&gt;0,SUMPRODUCT((P$107:P$108)*TRANSPOSE(($D115:$E115))),0)</f>
        <v>4478082.8757414687</v>
      </c>
      <c r="Q115" s="31" cm="1">
        <f t="array" ref="Q115">Q$106+IF($C115&lt;&gt;0,SUMPRODUCT((Q$107:Q$108)*TRANSPOSE(($D115:$E115))),0)</f>
        <v>4598759.4250379307</v>
      </c>
      <c r="R115" s="31" cm="1">
        <f t="array" ref="R115">R$106+IF($C115&lt;&gt;0,SUMPRODUCT((R$107:R$108)*TRANSPOSE(($D115:$E115))),0)</f>
        <v>4598759.4250379307</v>
      </c>
      <c r="S115" s="31" cm="1">
        <f t="array" ref="S115">S$106+IF($C115&lt;&gt;0,SUMPRODUCT((S$107:S$108)*TRANSPOSE(($D115:$E115))),0)</f>
        <v>4719435.9743343908</v>
      </c>
      <c r="T115" s="31" cm="1">
        <f t="array" ref="T115">T$106+IF($C115&lt;&gt;0,SUMPRODUCT((T$107:T$108)*TRANSPOSE(($D115:$E115))),0)</f>
        <v>4719435.9743343908</v>
      </c>
      <c r="U115" s="31" cm="1">
        <f t="array" ref="U115">U$106+IF($C115&lt;&gt;0,SUMPRODUCT((U$107:U$108)*TRANSPOSE(($D115:$E115))),0)</f>
        <v>4840112.5236308509</v>
      </c>
      <c r="V115" s="31" cm="1">
        <f t="array" ref="V115">V$106+IF($C115&lt;&gt;0,SUMPRODUCT((V$107:V$108)*TRANSPOSE(($D115:$E115))),0)</f>
        <v>4840112.5236308509</v>
      </c>
      <c r="W115" s="31" cm="1">
        <f t="array" ref="W115">W$106+IF($C115&lt;&gt;0,SUMPRODUCT((W$107:W$108)*TRANSPOSE(($D115:$E115))),0)</f>
        <v>4840112.5236308509</v>
      </c>
      <c r="X115" s="31" cm="1">
        <f t="array" ref="X115">X$106+IF($C115&lt;&gt;0,SUMPRODUCT((X$107:X$108)*TRANSPOSE(($D115:$E115))),0)</f>
        <v>4840112.5236308509</v>
      </c>
      <c r="Y115" s="31" cm="1">
        <f t="array" ref="Y115">Y$106+IF($C115&lt;&gt;0,SUMPRODUCT((Y$107:Y$108)*TRANSPOSE(($D115:$E115))),0)</f>
        <v>4840112.5236308509</v>
      </c>
      <c r="Z115" s="31" cm="1">
        <f t="array" ref="Z115">Z$106+IF($C115&lt;&gt;0,SUMPRODUCT((Z$107:Z$108)*TRANSPOSE(($D115:$E115))),0)</f>
        <v>4840112.5236308509</v>
      </c>
      <c r="AA115" s="31" cm="1">
        <f t="array" ref="AA115">AA$106+IF($C115&lt;&gt;0,SUMPRODUCT((AA$107:AA$108)*TRANSPOSE(($D115:$E115))),0)</f>
        <v>4840112.5236308509</v>
      </c>
      <c r="AB115" s="31" cm="1">
        <f t="array" ref="AB115">AB$106+IF($C115&lt;&gt;0,SUMPRODUCT((AB$107:AB$108)*TRANSPOSE(($D115:$E115))),0)</f>
        <v>4840112.5236308509</v>
      </c>
      <c r="AC115" s="31" cm="1">
        <f t="array" ref="AC115">AC$106+IF($C115&lt;&gt;0,SUMPRODUCT((AC$107:AC$108)*TRANSPOSE(($D115:$E115))),0)</f>
        <v>4840112.5236308509</v>
      </c>
      <c r="AD115" s="31" cm="1">
        <f t="array" ref="AD115">AD$106+IF($C115&lt;&gt;0,SUMPRODUCT((AD$107:AD$108)*TRANSPOSE(($D115:$E115))),0)</f>
        <v>4840112.5236308509</v>
      </c>
      <c r="AE115" s="31" cm="1">
        <f t="array" ref="AE115">AE$106+IF($C115&lt;&gt;0,SUMPRODUCT((AE$107:AE$108)*TRANSPOSE(($D115:$E115))),0)</f>
        <v>4840112.5236308509</v>
      </c>
      <c r="AF115" s="31" cm="1">
        <f t="array" ref="AF115">AF$106+IF($C115&lt;&gt;0,SUMPRODUCT((AF$107:AF$108)*TRANSPOSE(($D115:$E115))),0)</f>
        <v>4840112.5236308509</v>
      </c>
      <c r="AG115" s="31" cm="1">
        <f t="array" ref="AG115">AG$106+IF($C115&lt;&gt;0,SUMPRODUCT((AG$107:AG$108)*TRANSPOSE(($D115:$E115))),0)</f>
        <v>-1436384.8720159719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-1827464.0752708027</v>
      </c>
      <c r="J116" s="31" cm="1">
        <f t="array" ref="J116">J$106+IF($C116&lt;&gt;0,SUMPRODUCT((J$107:J$108)*TRANSPOSE(($D116:$E116))),0)</f>
        <v>-231713.11807938165</v>
      </c>
      <c r="K116" s="31" cm="1">
        <f t="array" ref="K116">K$106+IF($C116&lt;&gt;0,SUMPRODUCT((K$107:K$108)*TRANSPOSE(($D116:$E116))),0)</f>
        <v>903562.28744669887</v>
      </c>
      <c r="L116" s="31" cm="1">
        <f t="array" ref="L116">L$106+IF($C116&lt;&gt;0,SUMPRODUCT((L$107:L$108)*TRANSPOSE(($D116:$E116))),0)</f>
        <v>2159514.2422692385</v>
      </c>
      <c r="M116" s="31" cm="1">
        <f t="array" ref="M116">M$106+IF($C116&lt;&gt;0,SUMPRODUCT((M$107:M$108)*TRANSPOSE(($D116:$E116))),0)</f>
        <v>3294789.6477953191</v>
      </c>
      <c r="N116" s="31" cm="1">
        <f t="array" ref="N116">N$106+IF($C116&lt;&gt;0,SUMPRODUCT((N$107:N$108)*TRANSPOSE(($D116:$E116))),0)</f>
        <v>4329549.7393548731</v>
      </c>
      <c r="O116" s="31" cm="1">
        <f t="array" ref="O116">O$106+IF($C116&lt;&gt;0,SUMPRODUCT((O$107:O$108)*TRANSPOSE(($D116:$E116))),0)</f>
        <v>4478082.8757414687</v>
      </c>
      <c r="P116" s="31" cm="1">
        <f t="array" ref="P116">P$106+IF($C116&lt;&gt;0,SUMPRODUCT((P$107:P$108)*TRANSPOSE(($D116:$E116))),0)</f>
        <v>4478082.8757414687</v>
      </c>
      <c r="Q116" s="31" cm="1">
        <f t="array" ref="Q116">Q$106+IF($C116&lt;&gt;0,SUMPRODUCT((Q$107:Q$108)*TRANSPOSE(($D116:$E116))),0)</f>
        <v>4598759.4250379307</v>
      </c>
      <c r="R116" s="31" cm="1">
        <f t="array" ref="R116">R$106+IF($C116&lt;&gt;0,SUMPRODUCT((R$107:R$108)*TRANSPOSE(($D116:$E116))),0)</f>
        <v>4598759.4250379307</v>
      </c>
      <c r="S116" s="31" cm="1">
        <f t="array" ref="S116">S$106+IF($C116&lt;&gt;0,SUMPRODUCT((S$107:S$108)*TRANSPOSE(($D116:$E116))),0)</f>
        <v>4719435.9743343908</v>
      </c>
      <c r="T116" s="31" cm="1">
        <f t="array" ref="T116">T$106+IF($C116&lt;&gt;0,SUMPRODUCT((T$107:T$108)*TRANSPOSE(($D116:$E116))),0)</f>
        <v>4719435.9743343908</v>
      </c>
      <c r="U116" s="31" cm="1">
        <f t="array" ref="U116">U$106+IF($C116&lt;&gt;0,SUMPRODUCT((U$107:U$108)*TRANSPOSE(($D116:$E116))),0)</f>
        <v>4840112.5236308509</v>
      </c>
      <c r="V116" s="31" cm="1">
        <f t="array" ref="V116">V$106+IF($C116&lt;&gt;0,SUMPRODUCT((V$107:V$108)*TRANSPOSE(($D116:$E116))),0)</f>
        <v>4840112.5236308509</v>
      </c>
      <c r="W116" s="31" cm="1">
        <f t="array" ref="W116">W$106+IF($C116&lt;&gt;0,SUMPRODUCT((W$107:W$108)*TRANSPOSE(($D116:$E116))),0)</f>
        <v>4840112.5236308509</v>
      </c>
      <c r="X116" s="31" cm="1">
        <f t="array" ref="X116">X$106+IF($C116&lt;&gt;0,SUMPRODUCT((X$107:X$108)*TRANSPOSE(($D116:$E116))),0)</f>
        <v>4840112.5236308509</v>
      </c>
      <c r="Y116" s="31" cm="1">
        <f t="array" ref="Y116">Y$106+IF($C116&lt;&gt;0,SUMPRODUCT((Y$107:Y$108)*TRANSPOSE(($D116:$E116))),0)</f>
        <v>4840112.5236308509</v>
      </c>
      <c r="Z116" s="31" cm="1">
        <f t="array" ref="Z116">Z$106+IF($C116&lt;&gt;0,SUMPRODUCT((Z$107:Z$108)*TRANSPOSE(($D116:$E116))),0)</f>
        <v>4840112.5236308509</v>
      </c>
      <c r="AA116" s="31" cm="1">
        <f t="array" ref="AA116">AA$106+IF($C116&lt;&gt;0,SUMPRODUCT((AA$107:AA$108)*TRANSPOSE(($D116:$E116))),0)</f>
        <v>4840112.5236308509</v>
      </c>
      <c r="AB116" s="31" cm="1">
        <f t="array" ref="AB116">AB$106+IF($C116&lt;&gt;0,SUMPRODUCT((AB$107:AB$108)*TRANSPOSE(($D116:$E116))),0)</f>
        <v>4840112.5236308509</v>
      </c>
      <c r="AC116" s="31" cm="1">
        <f t="array" ref="AC116">AC$106+IF($C116&lt;&gt;0,SUMPRODUCT((AC$107:AC$108)*TRANSPOSE(($D116:$E116))),0)</f>
        <v>4840112.5236308509</v>
      </c>
      <c r="AD116" s="31" cm="1">
        <f t="array" ref="AD116">AD$106+IF($C116&lt;&gt;0,SUMPRODUCT((AD$107:AD$108)*TRANSPOSE(($D116:$E116))),0)</f>
        <v>4840112.5236308509</v>
      </c>
      <c r="AE116" s="31" cm="1">
        <f t="array" ref="AE116">AE$106+IF($C116&lt;&gt;0,SUMPRODUCT((AE$107:AE$108)*TRANSPOSE(($D116:$E116))),0)</f>
        <v>4840112.5236308509</v>
      </c>
      <c r="AF116" s="31" cm="1">
        <f t="array" ref="AF116">AF$106+IF($C116&lt;&gt;0,SUMPRODUCT((AF$107:AF$108)*TRANSPOSE(($D116:$E116))),0)</f>
        <v>4840112.5236308509</v>
      </c>
      <c r="AG116" s="31" cm="1">
        <f t="array" ref="AG116">AG$106+IF($C116&lt;&gt;0,SUMPRODUCT((AG$107:AG$108)*TRANSPOSE(($D116:$E116))),0)</f>
        <v>-1436384.8720159719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-1827464.0752708027</v>
      </c>
      <c r="J117" s="31" cm="1">
        <f t="array" ref="J117">J$106+IF($C117&lt;&gt;0,SUMPRODUCT((J$107:J$108)*TRANSPOSE(($D117:$E117))),0)</f>
        <v>-231713.11807938165</v>
      </c>
      <c r="K117" s="31" cm="1">
        <f t="array" ref="K117">K$106+IF($C117&lt;&gt;0,SUMPRODUCT((K$107:K$108)*TRANSPOSE(($D117:$E117))),0)</f>
        <v>903562.28744669887</v>
      </c>
      <c r="L117" s="31" cm="1">
        <f t="array" ref="L117">L$106+IF($C117&lt;&gt;0,SUMPRODUCT((L$107:L$108)*TRANSPOSE(($D117:$E117))),0)</f>
        <v>2159514.2422692385</v>
      </c>
      <c r="M117" s="31" cm="1">
        <f t="array" ref="M117">M$106+IF($C117&lt;&gt;0,SUMPRODUCT((M$107:M$108)*TRANSPOSE(($D117:$E117))),0)</f>
        <v>3294789.6477953191</v>
      </c>
      <c r="N117" s="31" cm="1">
        <f t="array" ref="N117">N$106+IF($C117&lt;&gt;0,SUMPRODUCT((N$107:N$108)*TRANSPOSE(($D117:$E117))),0)</f>
        <v>4329549.7393548731</v>
      </c>
      <c r="O117" s="31" cm="1">
        <f t="array" ref="O117">O$106+IF($C117&lt;&gt;0,SUMPRODUCT((O$107:O$108)*TRANSPOSE(($D117:$E117))),0)</f>
        <v>4478082.8757414687</v>
      </c>
      <c r="P117" s="31" cm="1">
        <f t="array" ref="P117">P$106+IF($C117&lt;&gt;0,SUMPRODUCT((P$107:P$108)*TRANSPOSE(($D117:$E117))),0)</f>
        <v>4478082.8757414687</v>
      </c>
      <c r="Q117" s="31" cm="1">
        <f t="array" ref="Q117">Q$106+IF($C117&lt;&gt;0,SUMPRODUCT((Q$107:Q$108)*TRANSPOSE(($D117:$E117))),0)</f>
        <v>4598759.4250379307</v>
      </c>
      <c r="R117" s="31" cm="1">
        <f t="array" ref="R117">R$106+IF($C117&lt;&gt;0,SUMPRODUCT((R$107:R$108)*TRANSPOSE(($D117:$E117))),0)</f>
        <v>4598759.4250379307</v>
      </c>
      <c r="S117" s="31" cm="1">
        <f t="array" ref="S117">S$106+IF($C117&lt;&gt;0,SUMPRODUCT((S$107:S$108)*TRANSPOSE(($D117:$E117))),0)</f>
        <v>4719435.9743343908</v>
      </c>
      <c r="T117" s="31" cm="1">
        <f t="array" ref="T117">T$106+IF($C117&lt;&gt;0,SUMPRODUCT((T$107:T$108)*TRANSPOSE(($D117:$E117))),0)</f>
        <v>4719435.9743343908</v>
      </c>
      <c r="U117" s="31" cm="1">
        <f t="array" ref="U117">U$106+IF($C117&lt;&gt;0,SUMPRODUCT((U$107:U$108)*TRANSPOSE(($D117:$E117))),0)</f>
        <v>4840112.5236308509</v>
      </c>
      <c r="V117" s="31" cm="1">
        <f t="array" ref="V117">V$106+IF($C117&lt;&gt;0,SUMPRODUCT((V$107:V$108)*TRANSPOSE(($D117:$E117))),0)</f>
        <v>4840112.5236308509</v>
      </c>
      <c r="W117" s="31" cm="1">
        <f t="array" ref="W117">W$106+IF($C117&lt;&gt;0,SUMPRODUCT((W$107:W$108)*TRANSPOSE(($D117:$E117))),0)</f>
        <v>4840112.5236308509</v>
      </c>
      <c r="X117" s="31" cm="1">
        <f t="array" ref="X117">X$106+IF($C117&lt;&gt;0,SUMPRODUCT((X$107:X$108)*TRANSPOSE(($D117:$E117))),0)</f>
        <v>4840112.5236308509</v>
      </c>
      <c r="Y117" s="31" cm="1">
        <f t="array" ref="Y117">Y$106+IF($C117&lt;&gt;0,SUMPRODUCT((Y$107:Y$108)*TRANSPOSE(($D117:$E117))),0)</f>
        <v>4840112.5236308509</v>
      </c>
      <c r="Z117" s="31" cm="1">
        <f t="array" ref="Z117">Z$106+IF($C117&lt;&gt;0,SUMPRODUCT((Z$107:Z$108)*TRANSPOSE(($D117:$E117))),0)</f>
        <v>4840112.5236308509</v>
      </c>
      <c r="AA117" s="31" cm="1">
        <f t="array" ref="AA117">AA$106+IF($C117&lt;&gt;0,SUMPRODUCT((AA$107:AA$108)*TRANSPOSE(($D117:$E117))),0)</f>
        <v>4840112.5236308509</v>
      </c>
      <c r="AB117" s="31" cm="1">
        <f t="array" ref="AB117">AB$106+IF($C117&lt;&gt;0,SUMPRODUCT((AB$107:AB$108)*TRANSPOSE(($D117:$E117))),0)</f>
        <v>4840112.5236308509</v>
      </c>
      <c r="AC117" s="31" cm="1">
        <f t="array" ref="AC117">AC$106+IF($C117&lt;&gt;0,SUMPRODUCT((AC$107:AC$108)*TRANSPOSE(($D117:$E117))),0)</f>
        <v>4840112.5236308509</v>
      </c>
      <c r="AD117" s="31" cm="1">
        <f t="array" ref="AD117">AD$106+IF($C117&lt;&gt;0,SUMPRODUCT((AD$107:AD$108)*TRANSPOSE(($D117:$E117))),0)</f>
        <v>4840112.5236308509</v>
      </c>
      <c r="AE117" s="31" cm="1">
        <f t="array" ref="AE117">AE$106+IF($C117&lt;&gt;0,SUMPRODUCT((AE$107:AE$108)*TRANSPOSE(($D117:$E117))),0)</f>
        <v>4840112.5236308509</v>
      </c>
      <c r="AF117" s="31" cm="1">
        <f t="array" ref="AF117">AF$106+IF($C117&lt;&gt;0,SUMPRODUCT((AF$107:AF$108)*TRANSPOSE(($D117:$E117))),0)</f>
        <v>4840112.5236308509</v>
      </c>
      <c r="AG117" s="31" cm="1">
        <f t="array" ref="AG117">AG$106+IF($C117&lt;&gt;0,SUMPRODUCT((AG$107:AG$108)*TRANSPOSE(($D117:$E117))),0)</f>
        <v>-1436384.8720159719</v>
      </c>
    </row>
  </sheetData>
  <conditionalFormatting sqref="E14">
    <cfRule type="expression" dxfId="10" priority="1">
      <formula>AND(SUM($I14:$AB14)&lt;&gt;0, E14=0)</formula>
    </cfRule>
  </conditionalFormatting>
  <conditionalFormatting sqref="E15:E16">
    <cfRule type="expression" dxfId="9" priority="2">
      <formula>AND(SUM($I15:$AB15)&lt;&gt;0, E15=0)</formula>
    </cfRule>
  </conditionalFormatting>
  <conditionalFormatting sqref="E28">
    <cfRule type="expression" dxfId="8" priority="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5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3" outlineLevelRow="1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7.76562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5" x14ac:dyDescent="0.4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5" x14ac:dyDescent="0.35">
      <c r="A3" s="203" t="s">
        <v>132</v>
      </c>
      <c r="B3" s="5"/>
      <c r="C3" s="200" t="str">
        <f>INDEX(Assumptions!$E$14:$E$18, MATCH(A3,_xlfn.ANCHORARRAY( Assumptions!$C$14),0))</f>
        <v>Replace all CRO inoperatble RMUs over 10 years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5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5" x14ac:dyDescent="0.3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ht="13.5" x14ac:dyDescent="0.3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ht="13.5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7" t="s">
        <v>301</v>
      </c>
      <c r="D14"/>
      <c r="E14" s="148">
        <v>55</v>
      </c>
      <c r="F14" s="350" t="s">
        <v>17</v>
      </c>
      <c r="G14" s="207">
        <f>input_dollars</f>
        <v>45291</v>
      </c>
      <c r="H14" s="149"/>
      <c r="I14" s="32">
        <f>INDEX(Workings_costs!K$27:K$79, MATCH($A$3&amp;$F14, Workings_costs!$G$27:$G$79,0))</f>
        <v>3512986</v>
      </c>
      <c r="J14" s="32">
        <f>INDEX(Workings_costs!L$27:L$79, MATCH($A$3&amp;$F14, Workings_costs!$G$27:$G$79,0))</f>
        <v>3512986</v>
      </c>
      <c r="K14" s="32">
        <f>INDEX(Workings_costs!M$27:M$79, MATCH($A$3&amp;$F14, Workings_costs!$G$27:$G$79,0))</f>
        <v>3512986</v>
      </c>
      <c r="L14" s="32">
        <f>INDEX(Workings_costs!N$27:N$79, MATCH($A$3&amp;$F14, Workings_costs!$G$27:$G$79,0))</f>
        <v>3512986</v>
      </c>
      <c r="M14" s="32">
        <f>INDEX(Workings_costs!O$27:O$79, MATCH($A$3&amp;$F14, Workings_costs!$G$27:$G$79,0))</f>
        <v>3512986</v>
      </c>
      <c r="N14" s="32">
        <f>INDEX(Workings_costs!P$27:P$79, MATCH($A$3&amp;$F14, Workings_costs!$G$27:$G$79,0))</f>
        <v>3512986</v>
      </c>
      <c r="O14" s="32">
        <f>INDEX(Workings_costs!Q$27:Q$79, MATCH($A$3&amp;$F14, Workings_costs!$G$27:$G$79,0))</f>
        <v>3512986</v>
      </c>
      <c r="P14" s="32">
        <f>INDEX(Workings_costs!R$27:R$79, MATCH($A$3&amp;$F14, Workings_costs!$G$27:$G$79,0))</f>
        <v>3512986</v>
      </c>
      <c r="Q14" s="32">
        <f>INDEX(Workings_costs!S$27:S$79, MATCH($A$3&amp;$F14, Workings_costs!$G$27:$G$79,0))</f>
        <v>3512986</v>
      </c>
      <c r="R14" s="32">
        <f>INDEX(Workings_costs!T$27:T$79, MATCH($A$3&amp;$F14, Workings_costs!$G$27:$G$79,0))</f>
        <v>3235645</v>
      </c>
      <c r="S14" s="32">
        <f>INDEX(Workings_costs!U$27:U$79, MATCH($A$3&amp;$F14, Workings_costs!$G$27:$G$79,0))</f>
        <v>0</v>
      </c>
      <c r="T14" s="32">
        <f>INDEX(Workings_costs!V$27:V$79, MATCH($A$3&amp;$F14, Workings_costs!$G$27:$G$79,0))</f>
        <v>0</v>
      </c>
      <c r="U14" s="32">
        <f>INDEX(Workings_costs!W$27:W$79, MATCH($A$3&amp;$F14, Workings_costs!$G$27:$G$79,0))</f>
        <v>0</v>
      </c>
      <c r="V14" s="32">
        <f>INDEX(Workings_costs!X$27:X$79, MATCH($A$3&amp;$F14, Workings_costs!$G$27:$G$79,0))</f>
        <v>0</v>
      </c>
      <c r="W14" s="32">
        <f>INDEX(Workings_costs!Y$27:Y$79, MATCH($A$3&amp;$F14, Workings_costs!$G$27:$G$79,0))</f>
        <v>0</v>
      </c>
      <c r="X14" s="32">
        <f>INDEX(Workings_costs!Z$27:Z$79, MATCH($A$3&amp;$F14, Workings_costs!$G$27:$G$79,0))</f>
        <v>0</v>
      </c>
      <c r="Y14" s="32">
        <f>INDEX(Workings_costs!AA$27:AA$79, MATCH($A$3&amp;$F14, Workings_costs!$G$27:$G$79,0))</f>
        <v>0</v>
      </c>
      <c r="Z14" s="32">
        <f>INDEX(Workings_costs!AB$27:AB$79, MATCH($A$3&amp;$F14, Workings_costs!$G$27:$G$79,0))</f>
        <v>0</v>
      </c>
      <c r="AA14" s="32">
        <f>INDEX(Workings_costs!AC$27:AC$79, MATCH($A$3&amp;$F14, Workings_costs!$G$27:$G$79,0))</f>
        <v>0</v>
      </c>
      <c r="AB14" s="32">
        <f>INDEX(Workings_costs!AD$27:AD$79, MATCH($A$3&amp;$F14, Workings_costs!$G$27:$G$79,0))</f>
        <v>0</v>
      </c>
      <c r="AC14" s="32">
        <f>INDEX(Workings_costs!AE$27:AE$79, MATCH($A$3&amp;$F14, Workings_costs!$G$27:$G$79,0))</f>
        <v>0</v>
      </c>
      <c r="AD14" s="32">
        <f>INDEX(Workings_costs!AF$27:AF$79, MATCH($A$3&amp;$F14, Workings_costs!$G$27:$G$79,0))</f>
        <v>0</v>
      </c>
      <c r="AE14" s="32">
        <f>INDEX(Workings_costs!AG$27:AG$79, MATCH($A$3&amp;$F14, Workings_costs!$G$27:$G$79,0))</f>
        <v>0</v>
      </c>
      <c r="AF14" s="32">
        <f>INDEX(Workings_costs!AH$27:AH$79, MATCH($A$3&amp;$F14, Workings_costs!$G$27:$G$79,0))</f>
        <v>0</v>
      </c>
      <c r="AG14" s="32">
        <f>INDEX(Workings_costs!AI$27:AI$79, MATCH($A$3&amp;$F14, Workings_costs!$G$27:$G$79,0))</f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ht="13.5" x14ac:dyDescent="0.3">
      <c r="C17" s="1" t="s">
        <v>30</v>
      </c>
      <c r="F17" s="350"/>
      <c r="G17" s="207">
        <f>input_dollars</f>
        <v>45291</v>
      </c>
      <c r="H17" s="107"/>
      <c r="I17" s="106">
        <f t="shared" ref="I17:Q17" si="0">SUM(I14:I16)</f>
        <v>3512986</v>
      </c>
      <c r="J17" s="106">
        <f t="shared" si="0"/>
        <v>3512986</v>
      </c>
      <c r="K17" s="106">
        <f t="shared" si="0"/>
        <v>3512986</v>
      </c>
      <c r="L17" s="106">
        <f t="shared" si="0"/>
        <v>3512986</v>
      </c>
      <c r="M17" s="106">
        <f t="shared" si="0"/>
        <v>3512986</v>
      </c>
      <c r="N17" s="106">
        <f t="shared" si="0"/>
        <v>3512986</v>
      </c>
      <c r="O17" s="106">
        <f t="shared" si="0"/>
        <v>3512986</v>
      </c>
      <c r="P17" s="106">
        <f t="shared" si="0"/>
        <v>3512986</v>
      </c>
      <c r="Q17" s="106">
        <f t="shared" si="0"/>
        <v>3512986</v>
      </c>
      <c r="R17" s="106">
        <f t="shared" ref="R17:AG17" si="1">SUM(R14:R16)</f>
        <v>3235645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ht="13.5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3.5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ht="13.5" x14ac:dyDescent="0.3">
      <c r="G20" s="205"/>
      <c r="AH20"/>
      <c r="AI20"/>
      <c r="AJ20"/>
      <c r="AK20"/>
      <c r="AL20"/>
      <c r="AM20"/>
    </row>
    <row r="21" spans="1:43" ht="13.5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148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3.5" x14ac:dyDescent="0.3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ht="13.5" x14ac:dyDescent="0.3">
      <c r="C28" s="1" t="s">
        <v>122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68">
        <v>0</v>
      </c>
      <c r="AE28" s="168">
        <v>0</v>
      </c>
      <c r="AF28" s="168">
        <v>0</v>
      </c>
      <c r="AG28" s="168">
        <v>0</v>
      </c>
      <c r="AH28"/>
      <c r="AI28"/>
      <c r="AJ28"/>
      <c r="AK28"/>
      <c r="AL28"/>
      <c r="AM28"/>
      <c r="AN28"/>
      <c r="AO28"/>
      <c r="AP28"/>
      <c r="AQ28"/>
    </row>
    <row r="29" spans="1:43" ht="13.5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3.5" x14ac:dyDescent="0.3">
      <c r="C30" s="1" t="s">
        <v>114</v>
      </c>
      <c r="D30" s="205" t="s">
        <v>202</v>
      </c>
      <c r="F30" s="350" t="s">
        <v>97</v>
      </c>
      <c r="G30" s="207">
        <f>input_dollars</f>
        <v>45291</v>
      </c>
      <c r="H30" s="149"/>
      <c r="I30" s="32">
        <f>INDEX(Workings_risks!I$22:I$233, MATCH($A$3&amp;$F30, Workings_risks!$G$22:$G$233,0))</f>
        <v>541745.71947908204</v>
      </c>
      <c r="J30" s="32">
        <f>INDEX(Workings_risks!J$22:J$233, MATCH($A$3&amp;$F30, Workings_risks!$G$22:$G$233,0))</f>
        <v>541745.71947908204</v>
      </c>
      <c r="K30" s="32">
        <f>INDEX(Workings_risks!K$22:K$233, MATCH($A$3&amp;$F30, Workings_risks!$G$22:$G$233,0))</f>
        <v>433396.57558326563</v>
      </c>
      <c r="L30" s="32">
        <f>INDEX(Workings_risks!L$22:L$233, MATCH($A$3&amp;$F30, Workings_risks!$G$22:$G$233,0))</f>
        <v>325047.43168744922</v>
      </c>
      <c r="M30" s="32">
        <f>INDEX(Workings_risks!M$22:M$233, MATCH($A$3&amp;$F30, Workings_risks!$G$22:$G$233,0))</f>
        <v>216698.28779163281</v>
      </c>
      <c r="N30" s="32">
        <f>INDEX(Workings_risks!N$22:N$233, MATCH($A$3&amp;$F30, Workings_risks!$G$22:$G$233,0))</f>
        <v>216698.28779163281</v>
      </c>
      <c r="O30" s="32">
        <f>INDEX(Workings_risks!O$22:O$233, MATCH($A$3&amp;$F30, Workings_risks!$G$22:$G$233,0))</f>
        <v>108349.14389581641</v>
      </c>
      <c r="P30" s="32">
        <f>INDEX(Workings_risks!P$22:P$233, MATCH($A$3&amp;$F30, Workings_risks!$G$22:$G$233,0))</f>
        <v>108349.14389581641</v>
      </c>
      <c r="Q30" s="32">
        <f>INDEX(Workings_risks!Q$22:Q$233, MATCH($A$3&amp;$F30, Workings_risks!$G$22:$G$233,0))</f>
        <v>0</v>
      </c>
      <c r="R30" s="32">
        <f>INDEX(Workings_risks!R$22:R$233, MATCH($A$3&amp;$F30, Workings_risks!$G$22:$G$233,0))</f>
        <v>0</v>
      </c>
      <c r="S30" s="32">
        <f>INDEX(Workings_risks!S$22:S$233, MATCH($A$3&amp;$F30, Workings_risks!$G$22:$G$233,0))</f>
        <v>0</v>
      </c>
      <c r="T30" s="32">
        <f>INDEX(Workings_risks!T$22:T$233, MATCH($A$3&amp;$F30, Workings_risks!$G$22:$G$233,0))</f>
        <v>0</v>
      </c>
      <c r="U30" s="32">
        <f>INDEX(Workings_risks!U$22:U$233, MATCH($A$3&amp;$F30, Workings_risks!$G$22:$G$233,0))</f>
        <v>0</v>
      </c>
      <c r="V30" s="32">
        <f>INDEX(Workings_risks!V$22:V$233, MATCH($A$3&amp;$F30, Workings_risks!$G$22:$G$233,0))</f>
        <v>0</v>
      </c>
      <c r="W30" s="32">
        <f>INDEX(Workings_risks!W$22:W$233, MATCH($A$3&amp;$F30, Workings_risks!$G$22:$G$233,0))</f>
        <v>0</v>
      </c>
      <c r="X30" s="32">
        <f>INDEX(Workings_risks!X$22:X$233, MATCH($A$3&amp;$F30, Workings_risks!$G$22:$G$233,0))</f>
        <v>0</v>
      </c>
      <c r="Y30" s="32">
        <f>INDEX(Workings_risks!Y$22:Y$233, MATCH($A$3&amp;$F30, Workings_risks!$G$22:$G$233,0))</f>
        <v>0</v>
      </c>
      <c r="Z30" s="32">
        <f>INDEX(Workings_risks!Z$22:Z$233, MATCH($A$3&amp;$F30, Workings_risks!$G$22:$G$233,0))</f>
        <v>0</v>
      </c>
      <c r="AA30" s="32">
        <f>INDEX(Workings_risks!AA$22:AA$233, MATCH($A$3&amp;$F30, Workings_risks!$G$22:$G$233,0))</f>
        <v>0</v>
      </c>
      <c r="AB30" s="32">
        <f>INDEX(Workings_risks!AB$22:AB$233, MATCH($A$3&amp;$F30, Workings_risks!$G$22:$G$233,0))</f>
        <v>0</v>
      </c>
      <c r="AC30" s="32">
        <f>INDEX(Workings_risks!AC$22:AC$233, MATCH($A$3&amp;$F30, Workings_risks!$G$22:$G$233,0))</f>
        <v>0</v>
      </c>
      <c r="AD30" s="32">
        <f>INDEX(Workings_risks!AD$22:AD$233, MATCH($A$3&amp;$F30, Workings_risks!$G$22:$G$233,0))</f>
        <v>0</v>
      </c>
      <c r="AE30" s="32">
        <f>INDEX(Workings_risks!AE$22:AE$233, MATCH($A$3&amp;$F30, Workings_risks!$G$22:$G$233,0))</f>
        <v>0</v>
      </c>
      <c r="AF30" s="32">
        <f>INDEX(Workings_risks!AF$22:AF$233, MATCH($A$3&amp;$F30, Workings_risks!$G$22:$G$233,0))</f>
        <v>0</v>
      </c>
      <c r="AG30" s="32">
        <f>INDEX(Workings_risks!AG$22:AG$233, MATCH($A$3&amp;$F30, Workings_risks!$G$22:$G$233,0))</f>
        <v>0</v>
      </c>
      <c r="AH30"/>
      <c r="AI30"/>
      <c r="AJ30"/>
      <c r="AK30"/>
      <c r="AL30"/>
      <c r="AM30"/>
      <c r="AN30"/>
      <c r="AO30"/>
      <c r="AP30"/>
      <c r="AQ30"/>
    </row>
    <row r="31" spans="1:43" ht="13.5" x14ac:dyDescent="0.3">
      <c r="C31" s="1" t="s">
        <v>243</v>
      </c>
      <c r="D31" s="206"/>
      <c r="E31"/>
      <c r="F31" s="350" t="s">
        <v>243</v>
      </c>
      <c r="G31" s="207">
        <f>input_dollars</f>
        <v>45291</v>
      </c>
      <c r="H31" s="149"/>
      <c r="I31" s="32">
        <f>INDEX(Workings_risks!I$22:I$233, MATCH($A$3&amp;$F31, Workings_risks!$G$22:$G$233,0))</f>
        <v>4828378.8040892947</v>
      </c>
      <c r="J31" s="32">
        <f>INDEX(Workings_risks!J$22:J$233, MATCH($A$3&amp;$F31, Workings_risks!$G$22:$G$233,0))</f>
        <v>4341698.7124304269</v>
      </c>
      <c r="K31" s="32">
        <f>INDEX(Workings_risks!K$22:K$233, MATCH($A$3&amp;$F31, Workings_risks!$G$22:$G$233,0))</f>
        <v>3855018.620771559</v>
      </c>
      <c r="L31" s="32">
        <f>INDEX(Workings_risks!L$22:L$233, MATCH($A$3&amp;$F31, Workings_risks!$G$22:$G$233,0))</f>
        <v>3368338.5291126911</v>
      </c>
      <c r="M31" s="32">
        <f>INDEX(Workings_risks!M$22:M$233, MATCH($A$3&amp;$F31, Workings_risks!$G$22:$G$233,0))</f>
        <v>2881658.4374538227</v>
      </c>
      <c r="N31" s="32">
        <f>INDEX(Workings_risks!N$22:N$233, MATCH($A$3&amp;$F31, Workings_risks!$G$22:$G$233,0))</f>
        <v>2394978.3457949548</v>
      </c>
      <c r="O31" s="32">
        <f>INDEX(Workings_risks!O$22:O$233, MATCH($A$3&amp;$F31, Workings_risks!$G$22:$G$233,0))</f>
        <v>1908298.2541360871</v>
      </c>
      <c r="P31" s="32">
        <f>INDEX(Workings_risks!P$22:P$233, MATCH($A$3&amp;$F31, Workings_risks!$G$22:$G$233,0))</f>
        <v>1421618.162477219</v>
      </c>
      <c r="Q31" s="32">
        <f>INDEX(Workings_risks!Q$22:Q$233, MATCH($A$3&amp;$F31, Workings_risks!$G$22:$G$233,0))</f>
        <v>934938.07081835135</v>
      </c>
      <c r="R31" s="32">
        <f>INDEX(Workings_risks!R$22:R$233, MATCH($A$3&amp;$F31, Workings_risks!$G$22:$G$233,0))</f>
        <v>448257.97915948357</v>
      </c>
      <c r="S31" s="32">
        <f>INDEX(Workings_risks!S$22:S$233, MATCH($A$3&amp;$F31, Workings_risks!$G$22:$G$233,0))</f>
        <v>0</v>
      </c>
      <c r="T31" s="32">
        <f>INDEX(Workings_risks!T$22:T$233, MATCH($A$3&amp;$F31, Workings_risks!$G$22:$G$233,0))</f>
        <v>0</v>
      </c>
      <c r="U31" s="32">
        <f>INDEX(Workings_risks!U$22:U$233, MATCH($A$3&amp;$F31, Workings_risks!$G$22:$G$233,0))</f>
        <v>0</v>
      </c>
      <c r="V31" s="32">
        <f>INDEX(Workings_risks!V$22:V$233, MATCH($A$3&amp;$F31, Workings_risks!$G$22:$G$233,0))</f>
        <v>0</v>
      </c>
      <c r="W31" s="32">
        <f>INDEX(Workings_risks!W$22:W$233, MATCH($A$3&amp;$F31, Workings_risks!$G$22:$G$233,0))</f>
        <v>0</v>
      </c>
      <c r="X31" s="32">
        <f>INDEX(Workings_risks!X$22:X$233, MATCH($A$3&amp;$F31, Workings_risks!$G$22:$G$233,0))</f>
        <v>0</v>
      </c>
      <c r="Y31" s="32">
        <f>INDEX(Workings_risks!Y$22:Y$233, MATCH($A$3&amp;$F31, Workings_risks!$G$22:$G$233,0))</f>
        <v>0</v>
      </c>
      <c r="Z31" s="32">
        <f>INDEX(Workings_risks!Z$22:Z$233, MATCH($A$3&amp;$F31, Workings_risks!$G$22:$G$233,0))</f>
        <v>0</v>
      </c>
      <c r="AA31" s="32">
        <f>INDEX(Workings_risks!AA$22:AA$233, MATCH($A$3&amp;$F31, Workings_risks!$G$22:$G$233,0))</f>
        <v>0</v>
      </c>
      <c r="AB31" s="32">
        <f>INDEX(Workings_risks!AB$22:AB$233, MATCH($A$3&amp;$F31, Workings_risks!$G$22:$G$233,0))</f>
        <v>0</v>
      </c>
      <c r="AC31" s="32">
        <f>INDEX(Workings_risks!AC$22:AC$233, MATCH($A$3&amp;$F31, Workings_risks!$G$22:$G$233,0))</f>
        <v>0</v>
      </c>
      <c r="AD31" s="32">
        <f>INDEX(Workings_risks!AD$22:AD$233, MATCH($A$3&amp;$F31, Workings_risks!$G$22:$G$233,0))</f>
        <v>0</v>
      </c>
      <c r="AE31" s="32">
        <f>INDEX(Workings_risks!AE$22:AE$233, MATCH($A$3&amp;$F31, Workings_risks!$G$22:$G$233,0))</f>
        <v>0</v>
      </c>
      <c r="AF31" s="32">
        <f>INDEX(Workings_risks!AF$22:AF$233, MATCH($A$3&amp;$F31, Workings_risks!$G$22:$G$233,0))</f>
        <v>0</v>
      </c>
      <c r="AG31" s="32">
        <f>INDEX(Workings_risks!AG$22:AG$233, MATCH($A$3&amp;$F31, Workings_risks!$G$22:$G$233,0))</f>
        <v>0</v>
      </c>
      <c r="AH31"/>
      <c r="AI31"/>
      <c r="AJ31"/>
      <c r="AK31"/>
      <c r="AL31"/>
      <c r="AM31"/>
      <c r="AN31"/>
      <c r="AO31"/>
      <c r="AP31"/>
      <c r="AQ31"/>
    </row>
    <row r="32" spans="1:43" ht="13.5" x14ac:dyDescent="0.3">
      <c r="C32" s="1" t="s">
        <v>288</v>
      </c>
      <c r="D32" s="205" t="s">
        <v>202</v>
      </c>
      <c r="E32"/>
      <c r="F32" s="350" t="s">
        <v>302</v>
      </c>
      <c r="G32" s="207">
        <f>input_dollars</f>
        <v>45291</v>
      </c>
      <c r="H32"/>
      <c r="I32" s="32">
        <f>INDEX(Workings_risks!I$22:I$233, MATCH($A$3&amp;$F32, Workings_risks!$G$22:$G$233,0))</f>
        <v>61637.027003221519</v>
      </c>
      <c r="J32" s="32">
        <f>INDEX(Workings_risks!J$22:J$233, MATCH($A$3&amp;$F32, Workings_risks!$G$22:$G$233,0))</f>
        <v>61637.027003221519</v>
      </c>
      <c r="K32" s="32">
        <f>INDEX(Workings_risks!K$22:K$233, MATCH($A$3&amp;$F32, Workings_risks!$G$22:$G$233,0))</f>
        <v>49309.621602577223</v>
      </c>
      <c r="L32" s="32">
        <f>INDEX(Workings_risks!L$22:L$233, MATCH($A$3&amp;$F32, Workings_risks!$G$22:$G$233,0))</f>
        <v>36982.216201932919</v>
      </c>
      <c r="M32" s="32">
        <f>INDEX(Workings_risks!M$22:M$233, MATCH($A$3&amp;$F32, Workings_risks!$G$22:$G$233,0))</f>
        <v>24654.810801288611</v>
      </c>
      <c r="N32" s="32">
        <f>INDEX(Workings_risks!N$22:N$233, MATCH($A$3&amp;$F32, Workings_risks!$G$22:$G$233,0))</f>
        <v>24654.810801288611</v>
      </c>
      <c r="O32" s="32">
        <f>INDEX(Workings_risks!O$22:O$233, MATCH($A$3&amp;$F32, Workings_risks!$G$22:$G$233,0))</f>
        <v>12327.405400644306</v>
      </c>
      <c r="P32" s="32">
        <f>INDEX(Workings_risks!P$22:P$233, MATCH($A$3&amp;$F32, Workings_risks!$G$22:$G$233,0))</f>
        <v>12327.405400644306</v>
      </c>
      <c r="Q32" s="32">
        <f>INDEX(Workings_risks!Q$22:Q$233, MATCH($A$3&amp;$F32, Workings_risks!$G$22:$G$233,0))</f>
        <v>0</v>
      </c>
      <c r="R32" s="32">
        <f>INDEX(Workings_risks!R$22:R$233, MATCH($A$3&amp;$F32, Workings_risks!$G$22:$G$233,0))</f>
        <v>0</v>
      </c>
      <c r="S32" s="32">
        <f>INDEX(Workings_risks!S$22:S$233, MATCH($A$3&amp;$F32, Workings_risks!$G$22:$G$233,0))</f>
        <v>0</v>
      </c>
      <c r="T32" s="32">
        <f>INDEX(Workings_risks!T$22:T$233, MATCH($A$3&amp;$F32, Workings_risks!$G$22:$G$233,0))</f>
        <v>0</v>
      </c>
      <c r="U32" s="32">
        <f>INDEX(Workings_risks!U$22:U$233, MATCH($A$3&amp;$F32, Workings_risks!$G$22:$G$233,0))</f>
        <v>0</v>
      </c>
      <c r="V32" s="32">
        <f>INDEX(Workings_risks!V$22:V$233, MATCH($A$3&amp;$F32, Workings_risks!$G$22:$G$233,0))</f>
        <v>0</v>
      </c>
      <c r="W32" s="32">
        <f>INDEX(Workings_risks!W$22:W$233, MATCH($A$3&amp;$F32, Workings_risks!$G$22:$G$233,0))</f>
        <v>0</v>
      </c>
      <c r="X32" s="32">
        <f>INDEX(Workings_risks!X$22:X$233, MATCH($A$3&amp;$F32, Workings_risks!$G$22:$G$233,0))</f>
        <v>0</v>
      </c>
      <c r="Y32" s="32">
        <f>INDEX(Workings_risks!Y$22:Y$233, MATCH($A$3&amp;$F32, Workings_risks!$G$22:$G$233,0))</f>
        <v>0</v>
      </c>
      <c r="Z32" s="32">
        <f>INDEX(Workings_risks!Z$22:Z$233, MATCH($A$3&amp;$F32, Workings_risks!$G$22:$G$233,0))</f>
        <v>0</v>
      </c>
      <c r="AA32" s="32">
        <f>INDEX(Workings_risks!AA$22:AA$233, MATCH($A$3&amp;$F32, Workings_risks!$G$22:$G$233,0))</f>
        <v>0</v>
      </c>
      <c r="AB32" s="32">
        <f>INDEX(Workings_risks!AB$22:AB$233, MATCH($A$3&amp;$F32, Workings_risks!$G$22:$G$233,0))</f>
        <v>0</v>
      </c>
      <c r="AC32" s="32">
        <f>INDEX(Workings_risks!AC$22:AC$233, MATCH($A$3&amp;$F32, Workings_risks!$G$22:$G$233,0))</f>
        <v>0</v>
      </c>
      <c r="AD32" s="32">
        <f>INDEX(Workings_risks!AD$22:AD$233, MATCH($A$3&amp;$F32, Workings_risks!$G$22:$G$233,0))</f>
        <v>0</v>
      </c>
      <c r="AE32" s="32">
        <f>INDEX(Workings_risks!AE$22:AE$233, MATCH($A$3&amp;$F32, Workings_risks!$G$22:$G$233,0))</f>
        <v>0</v>
      </c>
      <c r="AF32" s="32">
        <f>INDEX(Workings_risks!AF$22:AF$233, MATCH($A$3&amp;$F32, Workings_risks!$G$22:$G$233,0))</f>
        <v>0</v>
      </c>
      <c r="AG32" s="32">
        <f>INDEX(Workings_risks!AG$22:AG$233, MATCH($A$3&amp;$F32, Workings_risks!$G$22:$G$233,0))</f>
        <v>0</v>
      </c>
      <c r="AH32"/>
      <c r="AI32"/>
      <c r="AJ32"/>
      <c r="AK32"/>
      <c r="AL32"/>
      <c r="AM32"/>
      <c r="AN32"/>
      <c r="AO32"/>
      <c r="AP32"/>
      <c r="AQ32"/>
    </row>
    <row r="33" spans="1:16372" ht="13.5" x14ac:dyDescent="0.3">
      <c r="C33" s="1" t="s">
        <v>289</v>
      </c>
      <c r="D33" s="219"/>
      <c r="E33"/>
      <c r="F33" s="350" t="s">
        <v>245</v>
      </c>
      <c r="G33" s="207">
        <f>input_dollars</f>
        <v>45291</v>
      </c>
      <c r="H33"/>
      <c r="I33" s="32">
        <f>INDEX(Workings_risks!I$22:I$233, MATCH($A$3&amp;$F33, Workings_risks!$G$22:$G$233,0))</f>
        <v>187376.56208979347</v>
      </c>
      <c r="J33" s="32">
        <f>INDEX(Workings_risks!J$22:J$233, MATCH($A$3&amp;$F33, Workings_risks!$G$22:$G$233,0))</f>
        <v>187376.56208979347</v>
      </c>
      <c r="K33" s="32">
        <f>INDEX(Workings_risks!K$22:K$233, MATCH($A$3&amp;$F33, Workings_risks!$G$22:$G$233,0))</f>
        <v>187376.56208979347</v>
      </c>
      <c r="L33" s="32">
        <f>INDEX(Workings_risks!L$22:L$233, MATCH($A$3&amp;$F33, Workings_risks!$G$22:$G$233,0))</f>
        <v>187376.56208979347</v>
      </c>
      <c r="M33" s="32">
        <f>INDEX(Workings_risks!M$22:M$233, MATCH($A$3&amp;$F33, Workings_risks!$G$22:$G$233,0))</f>
        <v>187376.56208979347</v>
      </c>
      <c r="N33" s="32">
        <f>INDEX(Workings_risks!N$22:N$233, MATCH($A$3&amp;$F33, Workings_risks!$G$22:$G$233,0))</f>
        <v>187376.56208979347</v>
      </c>
      <c r="O33" s="32">
        <f>INDEX(Workings_risks!O$22:O$233, MATCH($A$3&amp;$F33, Workings_risks!$G$22:$G$233,0))</f>
        <v>187376.56208979347</v>
      </c>
      <c r="P33" s="32">
        <f>INDEX(Workings_risks!P$22:P$233, MATCH($A$3&amp;$F33, Workings_risks!$G$22:$G$233,0))</f>
        <v>187376.56208979347</v>
      </c>
      <c r="Q33" s="32">
        <f>INDEX(Workings_risks!Q$22:Q$233, MATCH($A$3&amp;$F33, Workings_risks!$G$22:$G$233,0))</f>
        <v>187376.56208979347</v>
      </c>
      <c r="R33" s="32">
        <f>INDEX(Workings_risks!R$22:R$233, MATCH($A$3&amp;$F33, Workings_risks!$G$22:$G$233,0))</f>
        <v>172583.67560902028</v>
      </c>
      <c r="S33" s="32">
        <f>INDEX(Workings_risks!S$22:S$233, MATCH($A$3&amp;$F33, Workings_risks!$G$22:$G$233,0))</f>
        <v>0</v>
      </c>
      <c r="T33" s="32">
        <f>INDEX(Workings_risks!T$22:T$233, MATCH($A$3&amp;$F33, Workings_risks!$G$22:$G$233,0))</f>
        <v>0</v>
      </c>
      <c r="U33" s="32">
        <f>INDEX(Workings_risks!U$22:U$233, MATCH($A$3&amp;$F33, Workings_risks!$G$22:$G$233,0))</f>
        <v>0</v>
      </c>
      <c r="V33" s="32">
        <f>INDEX(Workings_risks!V$22:V$233, MATCH($A$3&amp;$F33, Workings_risks!$G$22:$G$233,0))</f>
        <v>0</v>
      </c>
      <c r="W33" s="32">
        <f>INDEX(Workings_risks!W$22:W$233, MATCH($A$3&amp;$F33, Workings_risks!$G$22:$G$233,0))</f>
        <v>0</v>
      </c>
      <c r="X33" s="32">
        <f>INDEX(Workings_risks!X$22:X$233, MATCH($A$3&amp;$F33, Workings_risks!$G$22:$G$233,0))</f>
        <v>0</v>
      </c>
      <c r="Y33" s="32">
        <f>INDEX(Workings_risks!Y$22:Y$233, MATCH($A$3&amp;$F33, Workings_risks!$G$22:$G$233,0))</f>
        <v>0</v>
      </c>
      <c r="Z33" s="32">
        <f>INDEX(Workings_risks!Z$22:Z$233, MATCH($A$3&amp;$F33, Workings_risks!$G$22:$G$233,0))</f>
        <v>0</v>
      </c>
      <c r="AA33" s="32">
        <f>INDEX(Workings_risks!AA$22:AA$233, MATCH($A$3&amp;$F33, Workings_risks!$G$22:$G$233,0))</f>
        <v>0</v>
      </c>
      <c r="AB33" s="32">
        <f>INDEX(Workings_risks!AB$22:AB$233, MATCH($A$3&amp;$F33, Workings_risks!$G$22:$G$233,0))</f>
        <v>0</v>
      </c>
      <c r="AC33" s="32">
        <f>INDEX(Workings_risks!AC$22:AC$233, MATCH($A$3&amp;$F33, Workings_risks!$G$22:$G$233,0))</f>
        <v>0</v>
      </c>
      <c r="AD33" s="32">
        <f>INDEX(Workings_risks!AD$22:AD$233, MATCH($A$3&amp;$F33, Workings_risks!$G$22:$G$233,0))</f>
        <v>0</v>
      </c>
      <c r="AE33" s="32">
        <f>INDEX(Workings_risks!AE$22:AE$233, MATCH($A$3&amp;$F33, Workings_risks!$G$22:$G$233,0))</f>
        <v>0</v>
      </c>
      <c r="AF33" s="32">
        <f>INDEX(Workings_risks!AF$22:AF$233, MATCH($A$3&amp;$F33, Workings_risks!$G$22:$G$233,0))</f>
        <v>0</v>
      </c>
      <c r="AG33" s="32">
        <f>INDEX(Workings_risks!AG$22:AG$233, MATCH($A$3&amp;$F33, Workings_risks!$G$22:$G$233,0))</f>
        <v>0</v>
      </c>
      <c r="AH33"/>
      <c r="AI33"/>
      <c r="AJ33"/>
      <c r="AK33"/>
      <c r="AL33"/>
      <c r="AM33"/>
      <c r="AN33"/>
      <c r="AO33"/>
      <c r="AP33"/>
      <c r="AQ33"/>
    </row>
    <row r="34" spans="1:16372" ht="13.5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ht="13.5" x14ac:dyDescent="0.3">
      <c r="C36" s="3" t="s">
        <v>167</v>
      </c>
      <c r="D36" s="218"/>
      <c r="E36" s="107"/>
      <c r="F36" s="3"/>
      <c r="G36" s="209"/>
      <c r="H36" s="107"/>
      <c r="I36" s="170">
        <f>SUM(I28:I34)</f>
        <v>5619138.1126613915</v>
      </c>
      <c r="J36" s="170">
        <f t="shared" ref="J36:AG36" si="2">SUM(J28:J34)</f>
        <v>5132458.0210025236</v>
      </c>
      <c r="K36" s="170">
        <f t="shared" si="2"/>
        <v>4525101.3800471956</v>
      </c>
      <c r="L36" s="170">
        <f t="shared" si="2"/>
        <v>3917744.7390918666</v>
      </c>
      <c r="M36" s="170">
        <f t="shared" si="2"/>
        <v>3310388.0981365372</v>
      </c>
      <c r="N36" s="170">
        <f t="shared" si="2"/>
        <v>2823708.0064776693</v>
      </c>
      <c r="O36" s="170">
        <f t="shared" si="2"/>
        <v>2216351.3655223413</v>
      </c>
      <c r="P36" s="170">
        <f t="shared" si="2"/>
        <v>1729671.2738634732</v>
      </c>
      <c r="Q36" s="170">
        <f t="shared" si="2"/>
        <v>1122314.6329081447</v>
      </c>
      <c r="R36" s="170">
        <f t="shared" si="2"/>
        <v>620841.65476850385</v>
      </c>
      <c r="S36" s="170">
        <f t="shared" si="2"/>
        <v>0</v>
      </c>
      <c r="T36" s="170">
        <f t="shared" si="2"/>
        <v>0</v>
      </c>
      <c r="U36" s="170">
        <f t="shared" si="2"/>
        <v>0</v>
      </c>
      <c r="V36" s="170">
        <f t="shared" si="2"/>
        <v>0</v>
      </c>
      <c r="W36" s="170">
        <f t="shared" si="2"/>
        <v>0</v>
      </c>
      <c r="X36" s="170">
        <f t="shared" si="2"/>
        <v>0</v>
      </c>
      <c r="Y36" s="170">
        <f t="shared" si="2"/>
        <v>0</v>
      </c>
      <c r="Z36" s="170">
        <f t="shared" si="2"/>
        <v>0</v>
      </c>
      <c r="AA36" s="170">
        <f t="shared" si="2"/>
        <v>0</v>
      </c>
      <c r="AB36" s="170">
        <f t="shared" si="2"/>
        <v>0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3.5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5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ht="13.5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3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35">
      <c r="C42" s="1" t="s">
        <v>127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ht="13.5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ht="13.5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ht="13.5" x14ac:dyDescent="0.3">
      <c r="C57" s="3" t="s">
        <v>123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5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5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F63" s="2"/>
      <c r="G63" s="212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53976.536503128707</v>
      </c>
      <c r="J64" s="132">
        <f>(1-INDEX(Data!$C$9:$C$13, MATCH($A$3, options,0)))*('Option1 (base case)'!J36-J36)</f>
        <v>540656.6281619966</v>
      </c>
      <c r="K64" s="132">
        <f>(1-INDEX(Data!$C$9:$C$13, MATCH($A$3, options,0)))*('Option1 (base case)'!K36-K36)</f>
        <v>1148013.2691173246</v>
      </c>
      <c r="L64" s="132">
        <f>(1-INDEX(Data!$C$9:$C$13, MATCH($A$3, options,0)))*('Option1 (base case)'!L36-L36)</f>
        <v>1876046.4593691137</v>
      </c>
      <c r="M64" s="132">
        <f>(1-INDEX(Data!$C$9:$C$13, MATCH($A$3, options,0)))*('Option1 (base case)'!M36-M36)</f>
        <v>2483403.1003244431</v>
      </c>
      <c r="N64" s="132">
        <f>(1-INDEX(Data!$C$9:$C$13, MATCH($A$3, options,0)))*('Option1 (base case)'!N36-N36)</f>
        <v>2970083.191983311</v>
      </c>
      <c r="O64" s="132">
        <f>(1-INDEX(Data!$C$9:$C$13, MATCH($A$3, options,0)))*('Option1 (base case)'!O36-O36)</f>
        <v>3698116.3822350991</v>
      </c>
      <c r="P64" s="132">
        <f>(1-INDEX(Data!$C$9:$C$13, MATCH($A$3, options,0)))*('Option1 (base case)'!P36-P36)</f>
        <v>4184796.4738939675</v>
      </c>
      <c r="Q64" s="132">
        <f>(1-INDEX(Data!$C$9:$C$13, MATCH($A$3, options,0)))*('Option1 (base case)'!Q36-Q36)</f>
        <v>4912829.6641457574</v>
      </c>
      <c r="R64" s="132">
        <f>(1-INDEX(Data!$C$9:$C$13, MATCH($A$3, options,0)))*('Option1 (base case)'!R36-R36)</f>
        <v>5414302.6422853982</v>
      </c>
      <c r="S64" s="132">
        <f>(1-INDEX(Data!$C$9:$C$13, MATCH($A$3, options,0)))*('Option1 (base case)'!S36-S36)</f>
        <v>6155820.8463503625</v>
      </c>
      <c r="T64" s="132">
        <f>(1-INDEX(Data!$C$9:$C$13, MATCH($A$3, options,0)))*('Option1 (base case)'!T36-T36)</f>
        <v>6155820.8463503625</v>
      </c>
      <c r="U64" s="132">
        <f>(1-INDEX(Data!$C$9:$C$13, MATCH($A$3, options,0)))*('Option1 (base case)'!U36-U36)</f>
        <v>6276497.3956468226</v>
      </c>
      <c r="V64" s="132">
        <f>(1-INDEX(Data!$C$9:$C$13, MATCH($A$3, options,0)))*('Option1 (base case)'!V36-V36)</f>
        <v>6276497.3956468226</v>
      </c>
      <c r="W64" s="132">
        <f>(1-INDEX(Data!$C$9:$C$13, MATCH($A$3, options,0)))*('Option1 (base case)'!W36-W36)</f>
        <v>6276497.3956468226</v>
      </c>
      <c r="X64" s="132">
        <f>(1-INDEX(Data!$C$9:$C$13, MATCH($A$3, options,0)))*('Option1 (base case)'!X36-X36)</f>
        <v>6276497.3956468226</v>
      </c>
      <c r="Y64" s="132">
        <f>(1-INDEX(Data!$C$9:$C$13, MATCH($A$3, options,0)))*('Option1 (base case)'!Y36-Y36)</f>
        <v>6276497.3956468226</v>
      </c>
      <c r="Z64" s="132">
        <f>(1-INDEX(Data!$C$9:$C$13, MATCH($A$3, options,0)))*('Option1 (base case)'!Z36-Z36)</f>
        <v>6276497.3956468226</v>
      </c>
      <c r="AA64" s="132">
        <f>(1-INDEX(Data!$C$9:$C$13, MATCH($A$3, options,0)))*('Option1 (base case)'!AA36-AA36)</f>
        <v>6276497.3956468226</v>
      </c>
      <c r="AB64" s="132">
        <f>(1-INDEX(Data!$C$9:$C$13, MATCH($A$3, options,0)))*('Option1 (base case)'!AB36-AB36)</f>
        <v>6276497.3956468226</v>
      </c>
      <c r="AC64" s="132">
        <f>(1-INDEX(Data!$C$9:$C$13, MATCH($A$3, options,0)))*('Option1 (base case)'!AC36-AC36)</f>
        <v>6276497.3956468226</v>
      </c>
      <c r="AD64" s="132">
        <f>(1-INDEX(Data!$C$9:$C$13, MATCH($A$3, options,0)))*('Option1 (base case)'!AD36-AD36)</f>
        <v>6276497.3956468226</v>
      </c>
      <c r="AE64" s="132">
        <f>(1-INDEX(Data!$C$9:$C$13, MATCH($A$3, options,0)))*('Option1 (base case)'!AE36-AE36)</f>
        <v>6276497.3956468226</v>
      </c>
      <c r="AF64" s="132">
        <f>(1-INDEX(Data!$C$9:$C$13, MATCH($A$3, options,0)))*('Option1 (base case)'!AF36-AF36)</f>
        <v>6276497.3956468226</v>
      </c>
      <c r="AG64" s="132">
        <f>(1-INDEX(Data!$C$9:$C$13, MATCH($A$3, options,0)))*('Option1 (base case)'!AG36-AG36)</f>
        <v>0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4">-I14</f>
        <v>-3512986</v>
      </c>
      <c r="J67" s="119">
        <f t="shared" si="4"/>
        <v>-3512986</v>
      </c>
      <c r="K67" s="119">
        <f t="shared" si="4"/>
        <v>-3512986</v>
      </c>
      <c r="L67" s="119">
        <f t="shared" si="4"/>
        <v>-3512986</v>
      </c>
      <c r="M67" s="119">
        <f t="shared" si="4"/>
        <v>-3512986</v>
      </c>
      <c r="N67" s="119">
        <f t="shared" si="4"/>
        <v>-3512986</v>
      </c>
      <c r="O67" s="119">
        <f t="shared" si="4"/>
        <v>-3512986</v>
      </c>
      <c r="P67" s="119">
        <f t="shared" si="4"/>
        <v>-3512986</v>
      </c>
      <c r="Q67" s="119">
        <f t="shared" si="4"/>
        <v>-3512986</v>
      </c>
      <c r="R67" s="119">
        <f t="shared" si="4"/>
        <v>-3235645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-3512986</v>
      </c>
      <c r="J72" s="119" cm="1">
        <f t="array" ref="J72">SUMPRODUCT(($I67:J67))-SUMPRODUCT(($I67:J67)*($I$6:J$6&lt;=(J$6-$E14)))</f>
        <v>-7025972</v>
      </c>
      <c r="K72" s="119" cm="1">
        <f t="array" ref="K72">SUMPRODUCT(($I67:K67))-SUMPRODUCT(($I67:K67)*($I$6:K$6&lt;=(K$6-$E14)))</f>
        <v>-10538958</v>
      </c>
      <c r="L72" s="119" cm="1">
        <f t="array" ref="L72">SUMPRODUCT(($I67:L67))-SUMPRODUCT(($I67:L67)*($I$6:L$6&lt;=(L$6-$E14)))</f>
        <v>-14051944</v>
      </c>
      <c r="M72" s="119" cm="1">
        <f t="array" ref="M72">SUMPRODUCT(($I67:M67))-SUMPRODUCT(($I67:M67)*($I$6:M$6&lt;=(M$6-$E14)))</f>
        <v>-17564930</v>
      </c>
      <c r="N72" s="119" cm="1">
        <f t="array" ref="N72">SUMPRODUCT(($I67:N67))-SUMPRODUCT(($I67:N67)*($I$6:N$6&lt;=(N$6-$E14)))</f>
        <v>-21077916</v>
      </c>
      <c r="O72" s="119" cm="1">
        <f t="array" ref="O72">SUMPRODUCT(($I67:O67))-SUMPRODUCT(($I67:O67)*($I$6:O$6&lt;=(O$6-$E14)))</f>
        <v>-24590902</v>
      </c>
      <c r="P72" s="119" cm="1">
        <f t="array" ref="P72">SUMPRODUCT(($I67:P67))-SUMPRODUCT(($I67:P67)*($I$6:P$6&lt;=(P$6-$E14)))</f>
        <v>-28103888</v>
      </c>
      <c r="Q72" s="119" cm="1">
        <f t="array" ref="Q72">SUMPRODUCT(($I67:Q67))-SUMPRODUCT(($I67:Q67)*($I$6:Q$6&lt;=(Q$6-$E14)))</f>
        <v>-31616874</v>
      </c>
      <c r="R72" s="119" cm="1">
        <f t="array" ref="R72">SUMPRODUCT(($I67:R67))-SUMPRODUCT(($I67:R67)*($I$6:R$6&lt;=(R$6-$E14)))</f>
        <v>-34852519</v>
      </c>
      <c r="S72" s="119" cm="1">
        <f t="array" ref="S72">SUMPRODUCT(($I67:S67))-SUMPRODUCT(($I67:S67)*($I$6:S$6&lt;=(S$6-$E14)))</f>
        <v>-34852519</v>
      </c>
      <c r="T72" s="119" cm="1">
        <f t="array" ref="T72">SUMPRODUCT(($I67:T67))-SUMPRODUCT(($I67:T67)*($I$6:T$6&lt;=(T$6-$E14)))</f>
        <v>-34852519</v>
      </c>
      <c r="U72" s="119" cm="1">
        <f t="array" ref="U72">SUMPRODUCT(($I67:U67))-SUMPRODUCT(($I67:U67)*($I$6:U$6&lt;=(U$6-$E14)))</f>
        <v>-34852519</v>
      </c>
      <c r="V72" s="119" cm="1">
        <f t="array" ref="V72">SUMPRODUCT(($I67:V67))-SUMPRODUCT(($I67:V67)*($I$6:V$6&lt;=(V$6-$E14)))</f>
        <v>-34852519</v>
      </c>
      <c r="W72" s="119" cm="1">
        <f t="array" ref="W72">SUMPRODUCT(($I67:W67))-SUMPRODUCT(($I67:W67)*($I$6:W$6&lt;=(W$6-$E14)))</f>
        <v>-34852519</v>
      </c>
      <c r="X72" s="119" cm="1">
        <f t="array" ref="X72">SUMPRODUCT(($I67:X67))-SUMPRODUCT(($I67:X67)*($I$6:X$6&lt;=(X$6-$E14)))</f>
        <v>-34852519</v>
      </c>
      <c r="Y72" s="119" cm="1">
        <f t="array" ref="Y72">SUMPRODUCT(($I67:Y67))-SUMPRODUCT(($I67:Y67)*($I$6:Y$6&lt;=(Y$6-$E14)))</f>
        <v>-34852519</v>
      </c>
      <c r="Z72" s="119" cm="1">
        <f t="array" ref="Z72">SUMPRODUCT(($I67:Z67))-SUMPRODUCT(($I67:Z67)*($I$6:Z$6&lt;=(Z$6-$E14)))</f>
        <v>-34852519</v>
      </c>
      <c r="AA72" s="119" cm="1">
        <f t="array" ref="AA72">SUMPRODUCT(($I67:AA67))-SUMPRODUCT(($I67:AA67)*($I$6:AA$6&lt;=(AA$6-$E14)))</f>
        <v>-34852519</v>
      </c>
      <c r="AB72" s="119" cm="1">
        <f t="array" ref="AB72">SUMPRODUCT(($I67:AB67))-SUMPRODUCT(($I67:AB67)*($I$6:AB$6&lt;=(AB$6-$E14)))</f>
        <v>-34852519</v>
      </c>
      <c r="AC72" s="119" cm="1">
        <f t="array" ref="AC72">SUMPRODUCT(($I67:AC67))-SUMPRODUCT(($I67:AC67)*($I$6:AC$6&lt;=(AC$6-$E14)))</f>
        <v>-34852519</v>
      </c>
      <c r="AD72" s="119" cm="1">
        <f t="array" ref="AD72">SUMPRODUCT(($I67:AD67))-SUMPRODUCT(($I67:AD67)*($I$6:AD$6&lt;=(AD$6-$E14)))</f>
        <v>-34852519</v>
      </c>
      <c r="AE72" s="119" cm="1">
        <f t="array" ref="AE72">SUMPRODUCT(($I67:AE67))-SUMPRODUCT(($I67:AE67)*($I$6:AE$6&lt;=(AE$6-$E14)))</f>
        <v>-34852519</v>
      </c>
      <c r="AF72" s="119" cm="1">
        <f t="array" ref="AF72">SUMPRODUCT(($I67:AF67))-SUMPRODUCT(($I67:AF67)*($I$6:AF$6&lt;=(AF$6-$E14)))</f>
        <v>-34852519</v>
      </c>
      <c r="AG72" s="119" cm="1">
        <f t="array" ref="AG72">SUMPRODUCT(($I67:AG67))-SUMPRODUCT(($I67:AG67)*($I$6:AG$6&lt;=(AG$6-$E14)))</f>
        <v>-34852519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-144781.49903609266</v>
      </c>
      <c r="K77" s="119">
        <f t="shared" si="7"/>
        <v>-289562.99807218532</v>
      </c>
      <c r="L77" s="119">
        <f t="shared" si="7"/>
        <v>-434344.49710827804</v>
      </c>
      <c r="M77" s="119">
        <f t="shared" si="7"/>
        <v>-579125.99614437064</v>
      </c>
      <c r="N77" s="119">
        <f t="shared" si="7"/>
        <v>-723907.4951804633</v>
      </c>
      <c r="O77" s="119">
        <f t="shared" si="7"/>
        <v>-868688.99421655608</v>
      </c>
      <c r="P77" s="119">
        <f t="shared" si="7"/>
        <v>-1013470.4932526486</v>
      </c>
      <c r="Q77" s="119">
        <f t="shared" si="7"/>
        <v>-1158251.9922887413</v>
      </c>
      <c r="R77" s="119">
        <f t="shared" si="7"/>
        <v>-1303033.4913248341</v>
      </c>
      <c r="S77" s="119">
        <f t="shared" si="7"/>
        <v>-1436384.8720159719</v>
      </c>
      <c r="T77" s="119">
        <f t="shared" si="7"/>
        <v>-1436384.8720159719</v>
      </c>
      <c r="U77" s="119">
        <f t="shared" si="7"/>
        <v>-1436384.8720159719</v>
      </c>
      <c r="V77" s="119">
        <f t="shared" si="7"/>
        <v>-1436384.8720159719</v>
      </c>
      <c r="W77" s="119">
        <f t="shared" si="7"/>
        <v>-1436384.8720159719</v>
      </c>
      <c r="X77" s="119">
        <f t="shared" si="7"/>
        <v>-1436384.8720159719</v>
      </c>
      <c r="Y77" s="119">
        <f t="shared" si="7"/>
        <v>-1436384.8720159719</v>
      </c>
      <c r="Z77" s="119">
        <f t="shared" si="7"/>
        <v>-1436384.8720159719</v>
      </c>
      <c r="AA77" s="119">
        <f t="shared" si="7"/>
        <v>-1436384.8720159719</v>
      </c>
      <c r="AB77" s="119">
        <f t="shared" si="7"/>
        <v>-1436384.8720159719</v>
      </c>
      <c r="AC77" s="119">
        <f t="shared" si="7"/>
        <v>-1436384.8720159719</v>
      </c>
      <c r="AD77" s="119">
        <f t="shared" si="7"/>
        <v>-1436384.8720159719</v>
      </c>
      <c r="AE77" s="119">
        <f t="shared" si="7"/>
        <v>-1436384.8720159719</v>
      </c>
      <c r="AF77" s="119">
        <f t="shared" si="7"/>
        <v>-1436384.8720159719</v>
      </c>
      <c r="AG77" s="119">
        <f t="shared" si="7"/>
        <v>-1436384.8720159719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3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-144781.49903609266</v>
      </c>
      <c r="K80" s="176">
        <f t="shared" si="10"/>
        <v>-289562.99807218532</v>
      </c>
      <c r="L80" s="176">
        <f t="shared" si="10"/>
        <v>-434344.49710827804</v>
      </c>
      <c r="M80" s="176">
        <f t="shared" si="10"/>
        <v>-579125.99614437064</v>
      </c>
      <c r="N80" s="176">
        <f t="shared" si="10"/>
        <v>-723907.4951804633</v>
      </c>
      <c r="O80" s="176">
        <f t="shared" si="10"/>
        <v>-868688.99421655608</v>
      </c>
      <c r="P80" s="176">
        <f t="shared" si="10"/>
        <v>-1013470.4932526486</v>
      </c>
      <c r="Q80" s="176">
        <f t="shared" si="10"/>
        <v>-1158251.9922887413</v>
      </c>
      <c r="R80" s="176">
        <f t="shared" si="10"/>
        <v>-1303033.4913248341</v>
      </c>
      <c r="S80" s="176">
        <f t="shared" si="10"/>
        <v>-1436384.8720159719</v>
      </c>
      <c r="T80" s="176">
        <f t="shared" si="10"/>
        <v>-1436384.8720159719</v>
      </c>
      <c r="U80" s="176">
        <f t="shared" si="10"/>
        <v>-1436384.8720159719</v>
      </c>
      <c r="V80" s="176">
        <f t="shared" si="10"/>
        <v>-1436384.8720159719</v>
      </c>
      <c r="W80" s="176">
        <f t="shared" si="10"/>
        <v>-1436384.8720159719</v>
      </c>
      <c r="X80" s="176">
        <f t="shared" si="10"/>
        <v>-1436384.8720159719</v>
      </c>
      <c r="Y80" s="176">
        <f t="shared" si="10"/>
        <v>-1436384.8720159719</v>
      </c>
      <c r="Z80" s="176">
        <f t="shared" si="10"/>
        <v>-1436384.8720159719</v>
      </c>
      <c r="AA80" s="176">
        <f t="shared" si="10"/>
        <v>-1436384.8720159719</v>
      </c>
      <c r="AB80" s="176">
        <f t="shared" si="10"/>
        <v>-1436384.8720159719</v>
      </c>
      <c r="AC80" s="176">
        <f>SUM(AC77:AC79)</f>
        <v>-1436384.8720159719</v>
      </c>
      <c r="AD80" s="176">
        <f>SUM(AD77:AD79)</f>
        <v>-1436384.8720159719</v>
      </c>
      <c r="AE80" s="176">
        <f>SUM(AE77:AE79)</f>
        <v>-1436384.8720159719</v>
      </c>
      <c r="AF80" s="176">
        <f>SUM(AF77:AF79)</f>
        <v>-1436384.8720159719</v>
      </c>
      <c r="AG80" s="176">
        <f>SUM(AG77:AG79)</f>
        <v>-1436384.8720159719</v>
      </c>
    </row>
    <row r="81" spans="1:33" ht="13.5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-144781.49903609266</v>
      </c>
      <c r="K82" s="119">
        <f t="shared" si="12"/>
        <v>-289562.99807218532</v>
      </c>
      <c r="L82" s="119">
        <f t="shared" si="12"/>
        <v>-434344.49710827804</v>
      </c>
      <c r="M82" s="119">
        <f t="shared" si="12"/>
        <v>-579125.99614437064</v>
      </c>
      <c r="N82" s="119">
        <f t="shared" si="12"/>
        <v>-723907.4951804633</v>
      </c>
      <c r="O82" s="119">
        <f t="shared" si="12"/>
        <v>-868688.99421655608</v>
      </c>
      <c r="P82" s="119">
        <f t="shared" si="12"/>
        <v>-1013470.4932526486</v>
      </c>
      <c r="Q82" s="119">
        <f t="shared" si="12"/>
        <v>-1158251.9922887413</v>
      </c>
      <c r="R82" s="119">
        <f t="shared" si="12"/>
        <v>-1303033.4913248341</v>
      </c>
      <c r="S82" s="119">
        <f t="shared" si="12"/>
        <v>-1436384.8720159719</v>
      </c>
      <c r="T82" s="119">
        <f t="shared" si="12"/>
        <v>-1436384.8720159719</v>
      </c>
      <c r="U82" s="119">
        <f t="shared" si="12"/>
        <v>-1436384.8720159719</v>
      </c>
      <c r="V82" s="119">
        <f t="shared" si="12"/>
        <v>-1436384.8720159719</v>
      </c>
      <c r="W82" s="119">
        <f t="shared" si="12"/>
        <v>-1436384.8720159719</v>
      </c>
      <c r="X82" s="119">
        <f t="shared" si="12"/>
        <v>-1436384.8720159719</v>
      </c>
      <c r="Y82" s="119">
        <f t="shared" si="12"/>
        <v>-1436384.8720159719</v>
      </c>
      <c r="Z82" s="119">
        <f t="shared" si="12"/>
        <v>-1436384.8720159719</v>
      </c>
      <c r="AA82" s="119">
        <f t="shared" si="12"/>
        <v>-1436384.8720159719</v>
      </c>
      <c r="AB82" s="119">
        <f t="shared" si="12"/>
        <v>-1436384.8720159719</v>
      </c>
      <c r="AC82" s="119">
        <f>AC80</f>
        <v>-1436384.8720159719</v>
      </c>
      <c r="AD82" s="119">
        <f>AD80</f>
        <v>-1436384.8720159719</v>
      </c>
      <c r="AE82" s="119">
        <f>AE80</f>
        <v>-1436384.8720159719</v>
      </c>
      <c r="AF82" s="119">
        <f>AF80</f>
        <v>-1436384.8720159719</v>
      </c>
      <c r="AG82" s="119">
        <f>AG80</f>
        <v>-1436384.8720159719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3">
      <c r="A84" s="8"/>
      <c r="B84" s="8"/>
      <c r="C84" s="4" t="s">
        <v>137</v>
      </c>
      <c r="D84" s="38"/>
      <c r="F84" s="97"/>
      <c r="G84" s="210">
        <f t="shared" si="11"/>
        <v>45291</v>
      </c>
      <c r="H84" s="31"/>
      <c r="I84" s="31">
        <f>I64</f>
        <v>53976.536503128707</v>
      </c>
      <c r="J84" s="31">
        <f t="shared" ref="J84:AB84" si="14">J64</f>
        <v>540656.6281619966</v>
      </c>
      <c r="K84" s="31">
        <f t="shared" si="14"/>
        <v>1148013.2691173246</v>
      </c>
      <c r="L84" s="31">
        <f t="shared" si="14"/>
        <v>1876046.4593691137</v>
      </c>
      <c r="M84" s="31">
        <f t="shared" si="14"/>
        <v>2483403.1003244431</v>
      </c>
      <c r="N84" s="31">
        <f t="shared" si="14"/>
        <v>2970083.191983311</v>
      </c>
      <c r="O84" s="31">
        <f t="shared" si="14"/>
        <v>3698116.3822350991</v>
      </c>
      <c r="P84" s="31">
        <f t="shared" si="14"/>
        <v>4184796.4738939675</v>
      </c>
      <c r="Q84" s="31">
        <f t="shared" si="14"/>
        <v>4912829.6641457574</v>
      </c>
      <c r="R84" s="31">
        <f t="shared" si="14"/>
        <v>5414302.6422853982</v>
      </c>
      <c r="S84" s="31">
        <f t="shared" si="14"/>
        <v>6155820.8463503625</v>
      </c>
      <c r="T84" s="31">
        <f t="shared" si="14"/>
        <v>6155820.8463503625</v>
      </c>
      <c r="U84" s="31">
        <f t="shared" si="14"/>
        <v>6276497.3956468226</v>
      </c>
      <c r="V84" s="31">
        <f t="shared" si="14"/>
        <v>6276497.3956468226</v>
      </c>
      <c r="W84" s="31">
        <f t="shared" si="14"/>
        <v>6276497.3956468226</v>
      </c>
      <c r="X84" s="31">
        <f t="shared" si="14"/>
        <v>6276497.3956468226</v>
      </c>
      <c r="Y84" s="31">
        <f t="shared" si="14"/>
        <v>6276497.3956468226</v>
      </c>
      <c r="Z84" s="31">
        <f t="shared" si="14"/>
        <v>6276497.3956468226</v>
      </c>
      <c r="AA84" s="31">
        <f t="shared" si="14"/>
        <v>6276497.3956468226</v>
      </c>
      <c r="AB84" s="31">
        <f t="shared" si="14"/>
        <v>6276497.3956468226</v>
      </c>
      <c r="AC84" s="31">
        <f>AC64</f>
        <v>6276497.3956468226</v>
      </c>
      <c r="AD84" s="31">
        <f>AD64</f>
        <v>6276497.3956468226</v>
      </c>
      <c r="AE84" s="31">
        <f>AE64</f>
        <v>6276497.3956468226</v>
      </c>
      <c r="AF84" s="31">
        <f>AF64</f>
        <v>6276497.3956468226</v>
      </c>
      <c r="AG84" s="31">
        <f>AG64</f>
        <v>0</v>
      </c>
    </row>
    <row r="85" spans="1:33" x14ac:dyDescent="0.3">
      <c r="A85" s="8"/>
      <c r="B85" s="8"/>
      <c r="C85" s="4" t="s">
        <v>120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182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53976.536503128707</v>
      </c>
      <c r="J87" s="179">
        <f t="shared" si="16"/>
        <v>395875.12912590394</v>
      </c>
      <c r="K87" s="179">
        <f t="shared" si="16"/>
        <v>858450.27104513929</v>
      </c>
      <c r="L87" s="179">
        <f t="shared" si="16"/>
        <v>1441701.9622608356</v>
      </c>
      <c r="M87" s="179">
        <f t="shared" si="16"/>
        <v>1904277.1041800724</v>
      </c>
      <c r="N87" s="179">
        <f t="shared" si="16"/>
        <v>2246175.6968028476</v>
      </c>
      <c r="O87" s="179">
        <f t="shared" si="16"/>
        <v>2829427.3880185429</v>
      </c>
      <c r="P87" s="179">
        <f t="shared" si="16"/>
        <v>3171325.980641319</v>
      </c>
      <c r="Q87" s="179">
        <f t="shared" si="16"/>
        <v>3754577.6718570162</v>
      </c>
      <c r="R87" s="179">
        <f t="shared" si="16"/>
        <v>4111269.1509605641</v>
      </c>
      <c r="S87" s="179">
        <f t="shared" si="16"/>
        <v>4719435.9743343908</v>
      </c>
      <c r="T87" s="179">
        <f t="shared" si="16"/>
        <v>4719435.9743343908</v>
      </c>
      <c r="U87" s="179">
        <f t="shared" si="16"/>
        <v>4840112.5236308509</v>
      </c>
      <c r="V87" s="179">
        <f t="shared" si="16"/>
        <v>4840112.5236308509</v>
      </c>
      <c r="W87" s="179">
        <f t="shared" si="16"/>
        <v>4840112.5236308509</v>
      </c>
      <c r="X87" s="179">
        <f t="shared" si="16"/>
        <v>4840112.5236308509</v>
      </c>
      <c r="Y87" s="179">
        <f t="shared" si="16"/>
        <v>4840112.5236308509</v>
      </c>
      <c r="Z87" s="179">
        <f t="shared" si="16"/>
        <v>4840112.5236308509</v>
      </c>
      <c r="AA87" s="179">
        <f t="shared" si="16"/>
        <v>4840112.5236308509</v>
      </c>
      <c r="AB87" s="179">
        <f t="shared" si="16"/>
        <v>4840112.5236308509</v>
      </c>
      <c r="AC87" s="179">
        <f>SUM(AC82:AC86)</f>
        <v>4840112.5236308509</v>
      </c>
      <c r="AD87" s="179">
        <f>SUM(AD82:AD86)</f>
        <v>4840112.5236308509</v>
      </c>
      <c r="AE87" s="179">
        <f>SUM(AE82:AE86)</f>
        <v>4840112.5236308509</v>
      </c>
      <c r="AF87" s="179">
        <f>SUM(AF82:AF86)</f>
        <v>4840112.5236308509</v>
      </c>
      <c r="AG87" s="179">
        <f>SUM(AG82:AG86)</f>
        <v>-1436384.8720159719</v>
      </c>
    </row>
    <row r="88" spans="1:33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82"/>
      <c r="D91" s="234"/>
      <c r="E91" s="231"/>
      <c r="F91" s="232"/>
      <c r="G91" s="233"/>
    </row>
    <row r="92" spans="1:33" x14ac:dyDescent="0.3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3">
      <c r="G94" s="12"/>
    </row>
    <row r="102" spans="1:43" ht="14.5" x14ac:dyDescent="0.3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ht="13.5" x14ac:dyDescent="0.3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ht="13.5" x14ac:dyDescent="0.3">
      <c r="A106" s="1" t="s">
        <v>117</v>
      </c>
      <c r="C106" s="1" t="s">
        <v>182</v>
      </c>
      <c r="D106"/>
      <c r="E106"/>
      <c r="F106"/>
      <c r="G106" s="38" t="str">
        <f>PROPER($A$3)&amp;A106</f>
        <v>Option 4NPV</v>
      </c>
      <c r="I106" s="31">
        <f>I87</f>
        <v>53976.536503128707</v>
      </c>
      <c r="J106" s="31">
        <f t="shared" ref="J106:AG106" si="17">J87</f>
        <v>395875.12912590394</v>
      </c>
      <c r="K106" s="31">
        <f t="shared" si="17"/>
        <v>858450.27104513929</v>
      </c>
      <c r="L106" s="31">
        <f t="shared" si="17"/>
        <v>1441701.9622608356</v>
      </c>
      <c r="M106" s="31">
        <f t="shared" si="17"/>
        <v>1904277.1041800724</v>
      </c>
      <c r="N106" s="31">
        <f t="shared" si="17"/>
        <v>2246175.6968028476</v>
      </c>
      <c r="O106" s="31">
        <f t="shared" si="17"/>
        <v>2829427.3880185429</v>
      </c>
      <c r="P106" s="31">
        <f t="shared" si="17"/>
        <v>3171325.980641319</v>
      </c>
      <c r="Q106" s="31">
        <f t="shared" si="17"/>
        <v>3754577.6718570162</v>
      </c>
      <c r="R106" s="31">
        <f t="shared" si="17"/>
        <v>4111269.1509605641</v>
      </c>
      <c r="S106" s="31">
        <f t="shared" si="17"/>
        <v>4719435.9743343908</v>
      </c>
      <c r="T106" s="31">
        <f t="shared" si="17"/>
        <v>4719435.9743343908</v>
      </c>
      <c r="U106" s="31">
        <f t="shared" si="17"/>
        <v>4840112.5236308509</v>
      </c>
      <c r="V106" s="31">
        <f t="shared" si="17"/>
        <v>4840112.5236308509</v>
      </c>
      <c r="W106" s="31">
        <f t="shared" si="17"/>
        <v>4840112.5236308509</v>
      </c>
      <c r="X106" s="31">
        <f t="shared" si="17"/>
        <v>4840112.5236308509</v>
      </c>
      <c r="Y106" s="31">
        <f t="shared" si="17"/>
        <v>4840112.5236308509</v>
      </c>
      <c r="Z106" s="31">
        <f t="shared" si="17"/>
        <v>4840112.5236308509</v>
      </c>
      <c r="AA106" s="31">
        <f t="shared" si="17"/>
        <v>4840112.5236308509</v>
      </c>
      <c r="AB106" s="31">
        <f t="shared" si="17"/>
        <v>4840112.5236308509</v>
      </c>
      <c r="AC106" s="31">
        <f t="shared" si="17"/>
        <v>4840112.5236308509</v>
      </c>
      <c r="AD106" s="31">
        <f t="shared" si="17"/>
        <v>4840112.5236308509</v>
      </c>
      <c r="AE106" s="31">
        <f t="shared" si="17"/>
        <v>4840112.5236308509</v>
      </c>
      <c r="AF106" s="31">
        <f t="shared" si="17"/>
        <v>4840112.5236308509</v>
      </c>
      <c r="AG106" s="31">
        <f t="shared" si="17"/>
        <v>-1436384.8720159719</v>
      </c>
    </row>
    <row r="107" spans="1:43" ht="13.5" x14ac:dyDescent="0.3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8">J82</f>
        <v>-144781.49903609266</v>
      </c>
      <c r="K107" s="31">
        <f t="shared" si="18"/>
        <v>-289562.99807218532</v>
      </c>
      <c r="L107" s="31">
        <f t="shared" si="18"/>
        <v>-434344.49710827804</v>
      </c>
      <c r="M107" s="31">
        <f t="shared" si="18"/>
        <v>-579125.99614437064</v>
      </c>
      <c r="N107" s="31">
        <f t="shared" si="18"/>
        <v>-723907.4951804633</v>
      </c>
      <c r="O107" s="31">
        <f t="shared" si="18"/>
        <v>-868688.99421655608</v>
      </c>
      <c r="P107" s="31">
        <f t="shared" si="18"/>
        <v>-1013470.4932526486</v>
      </c>
      <c r="Q107" s="31">
        <f t="shared" si="18"/>
        <v>-1158251.9922887413</v>
      </c>
      <c r="R107" s="31">
        <f t="shared" si="18"/>
        <v>-1303033.4913248341</v>
      </c>
      <c r="S107" s="31">
        <f t="shared" si="18"/>
        <v>-1436384.8720159719</v>
      </c>
      <c r="T107" s="31">
        <f t="shared" si="18"/>
        <v>-1436384.8720159719</v>
      </c>
      <c r="U107" s="31">
        <f t="shared" si="18"/>
        <v>-1436384.8720159719</v>
      </c>
      <c r="V107" s="31">
        <f t="shared" si="18"/>
        <v>-1436384.8720159719</v>
      </c>
      <c r="W107" s="31">
        <f t="shared" si="18"/>
        <v>-1436384.8720159719</v>
      </c>
      <c r="X107" s="31">
        <f t="shared" si="18"/>
        <v>-1436384.8720159719</v>
      </c>
      <c r="Y107" s="31">
        <f t="shared" si="18"/>
        <v>-1436384.8720159719</v>
      </c>
      <c r="Z107" s="31">
        <f t="shared" si="18"/>
        <v>-1436384.8720159719</v>
      </c>
      <c r="AA107" s="31">
        <f t="shared" si="18"/>
        <v>-1436384.8720159719</v>
      </c>
      <c r="AB107" s="31">
        <f t="shared" si="18"/>
        <v>-1436384.8720159719</v>
      </c>
      <c r="AC107" s="31">
        <f t="shared" si="18"/>
        <v>-1436384.8720159719</v>
      </c>
      <c r="AD107" s="31">
        <f t="shared" si="18"/>
        <v>-1436384.8720159719</v>
      </c>
      <c r="AE107" s="31">
        <f t="shared" si="18"/>
        <v>-1436384.8720159719</v>
      </c>
      <c r="AF107" s="31">
        <f t="shared" si="18"/>
        <v>-1436384.8720159719</v>
      </c>
      <c r="AG107" s="31">
        <f t="shared" si="18"/>
        <v>-1436384.8720159719</v>
      </c>
    </row>
    <row r="108" spans="1:43" ht="13.5" x14ac:dyDescent="0.3">
      <c r="C108" s="1" t="s">
        <v>235</v>
      </c>
      <c r="D108"/>
      <c r="E108"/>
      <c r="G108"/>
      <c r="I108" s="31">
        <f>SUM(I84:I85)</f>
        <v>53976.536503128707</v>
      </c>
      <c r="J108" s="31">
        <f t="shared" ref="J108:AG108" si="19">SUM(J84:J85)</f>
        <v>540656.6281619966</v>
      </c>
      <c r="K108" s="31">
        <f t="shared" si="19"/>
        <v>1148013.2691173246</v>
      </c>
      <c r="L108" s="31">
        <f t="shared" si="19"/>
        <v>1876046.4593691137</v>
      </c>
      <c r="M108" s="31">
        <f t="shared" si="19"/>
        <v>2483403.1003244431</v>
      </c>
      <c r="N108" s="31">
        <f t="shared" si="19"/>
        <v>2970083.191983311</v>
      </c>
      <c r="O108" s="31">
        <f t="shared" si="19"/>
        <v>3698116.3822350991</v>
      </c>
      <c r="P108" s="31">
        <f t="shared" si="19"/>
        <v>4184796.4738939675</v>
      </c>
      <c r="Q108" s="31">
        <f t="shared" si="19"/>
        <v>4912829.6641457574</v>
      </c>
      <c r="R108" s="31">
        <f t="shared" si="19"/>
        <v>5414302.6422853982</v>
      </c>
      <c r="S108" s="31">
        <f t="shared" si="19"/>
        <v>6155820.8463503625</v>
      </c>
      <c r="T108" s="31">
        <f t="shared" si="19"/>
        <v>6155820.8463503625</v>
      </c>
      <c r="U108" s="31">
        <f t="shared" si="19"/>
        <v>6276497.3956468226</v>
      </c>
      <c r="V108" s="31">
        <f t="shared" si="19"/>
        <v>6276497.3956468226</v>
      </c>
      <c r="W108" s="31">
        <f t="shared" si="19"/>
        <v>6276497.3956468226</v>
      </c>
      <c r="X108" s="31">
        <f t="shared" si="19"/>
        <v>6276497.3956468226</v>
      </c>
      <c r="Y108" s="31">
        <f t="shared" si="19"/>
        <v>6276497.3956468226</v>
      </c>
      <c r="Z108" s="31">
        <f t="shared" si="19"/>
        <v>6276497.3956468226</v>
      </c>
      <c r="AA108" s="31">
        <f t="shared" si="19"/>
        <v>6276497.3956468226</v>
      </c>
      <c r="AB108" s="31">
        <f t="shared" si="19"/>
        <v>6276497.3956468226</v>
      </c>
      <c r="AC108" s="31">
        <f t="shared" si="19"/>
        <v>6276497.3956468226</v>
      </c>
      <c r="AD108" s="31">
        <f t="shared" si="19"/>
        <v>6276497.3956468226</v>
      </c>
      <c r="AE108" s="31">
        <f t="shared" si="19"/>
        <v>6276497.3956468226</v>
      </c>
      <c r="AF108" s="31">
        <f t="shared" si="19"/>
        <v>6276497.3956468226</v>
      </c>
      <c r="AG108" s="31">
        <f t="shared" si="19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53976.536503128707</v>
      </c>
      <c r="J110" s="31" cm="1">
        <f t="array" ref="J110">J$106+IF($C110&lt;&gt;0,SUMPRODUCT((J$107:J$108)*TRANSPOSE(($D110:$E110))),0)</f>
        <v>381396.9792222947</v>
      </c>
      <c r="K110" s="31" cm="1">
        <f t="array" ref="K110">K$106+IF($C110&lt;&gt;0,SUMPRODUCT((K$107:K$108)*TRANSPOSE(($D110:$E110))),0)</f>
        <v>829493.97123792081</v>
      </c>
      <c r="L110" s="31" cm="1">
        <f t="array" ref="L110">L$106+IF($C110&lt;&gt;0,SUMPRODUCT((L$107:L$108)*TRANSPOSE(($D110:$E110))),0)</f>
        <v>1398267.5125500078</v>
      </c>
      <c r="M110" s="31" cm="1">
        <f t="array" ref="M110">M$106+IF($C110&lt;&gt;0,SUMPRODUCT((M$107:M$108)*TRANSPOSE(($D110:$E110))),0)</f>
        <v>1846364.5045656355</v>
      </c>
      <c r="N110" s="31" cm="1">
        <f t="array" ref="N110">N$106+IF($C110&lt;&gt;0,SUMPRODUCT((N$107:N$108)*TRANSPOSE(($D110:$E110))),0)</f>
        <v>2173784.9472848014</v>
      </c>
      <c r="O110" s="31" cm="1">
        <f t="array" ref="O110">O$106+IF($C110&lt;&gt;0,SUMPRODUCT((O$107:O$108)*TRANSPOSE(($D110:$E110))),0)</f>
        <v>2742558.4885968873</v>
      </c>
      <c r="P110" s="31" cm="1">
        <f t="array" ref="P110">P$106+IF($C110&lt;&gt;0,SUMPRODUCT((P$107:P$108)*TRANSPOSE(($D110:$E110))),0)</f>
        <v>3069978.931316054</v>
      </c>
      <c r="Q110" s="31" cm="1">
        <f t="array" ref="Q110">Q$106+IF($C110&lt;&gt;0,SUMPRODUCT((Q$107:Q$108)*TRANSPOSE(($D110:$E110))),0)</f>
        <v>3638752.4726281422</v>
      </c>
      <c r="R110" s="31" cm="1">
        <f t="array" ref="R110">R$106+IF($C110&lt;&gt;0,SUMPRODUCT((R$107:R$108)*TRANSPOSE(($D110:$E110))),0)</f>
        <v>3980965.8018280808</v>
      </c>
      <c r="S110" s="31" cm="1">
        <f t="array" ref="S110">S$106+IF($C110&lt;&gt;0,SUMPRODUCT((S$107:S$108)*TRANSPOSE(($D110:$E110))),0)</f>
        <v>4575797.4871327933</v>
      </c>
      <c r="T110" s="31" cm="1">
        <f t="array" ref="T110">T$106+IF($C110&lt;&gt;0,SUMPRODUCT((T$107:T$108)*TRANSPOSE(($D110:$E110))),0)</f>
        <v>4575797.4871327933</v>
      </c>
      <c r="U110" s="31" cm="1">
        <f t="array" ref="U110">U$106+IF($C110&lt;&gt;0,SUMPRODUCT((U$107:U$108)*TRANSPOSE(($D110:$E110))),0)</f>
        <v>4696474.0364292534</v>
      </c>
      <c r="V110" s="31" cm="1">
        <f t="array" ref="V110">V$106+IF($C110&lt;&gt;0,SUMPRODUCT((V$107:V$108)*TRANSPOSE(($D110:$E110))),0)</f>
        <v>4696474.0364292534</v>
      </c>
      <c r="W110" s="31" cm="1">
        <f t="array" ref="W110">W$106+IF($C110&lt;&gt;0,SUMPRODUCT((W$107:W$108)*TRANSPOSE(($D110:$E110))),0)</f>
        <v>4696474.0364292534</v>
      </c>
      <c r="X110" s="31" cm="1">
        <f t="array" ref="X110">X$106+IF($C110&lt;&gt;0,SUMPRODUCT((X$107:X$108)*TRANSPOSE(($D110:$E110))),0)</f>
        <v>4696474.0364292534</v>
      </c>
      <c r="Y110" s="31" cm="1">
        <f t="array" ref="Y110">Y$106+IF($C110&lt;&gt;0,SUMPRODUCT((Y$107:Y$108)*TRANSPOSE(($D110:$E110))),0)</f>
        <v>4696474.0364292534</v>
      </c>
      <c r="Z110" s="31" cm="1">
        <f t="array" ref="Z110">Z$106+IF($C110&lt;&gt;0,SUMPRODUCT((Z$107:Z$108)*TRANSPOSE(($D110:$E110))),0)</f>
        <v>4696474.0364292534</v>
      </c>
      <c r="AA110" s="31" cm="1">
        <f t="array" ref="AA110">AA$106+IF($C110&lt;&gt;0,SUMPRODUCT((AA$107:AA$108)*TRANSPOSE(($D110:$E110))),0)</f>
        <v>4696474.0364292534</v>
      </c>
      <c r="AB110" s="31" cm="1">
        <f t="array" ref="AB110">AB$106+IF($C110&lt;&gt;0,SUMPRODUCT((AB$107:AB$108)*TRANSPOSE(($D110:$E110))),0)</f>
        <v>4696474.0364292534</v>
      </c>
      <c r="AC110" s="31" cm="1">
        <f t="array" ref="AC110">AC$106+IF($C110&lt;&gt;0,SUMPRODUCT((AC$107:AC$108)*TRANSPOSE(($D110:$E110))),0)</f>
        <v>4696474.0364292534</v>
      </c>
      <c r="AD110" s="31" cm="1">
        <f t="array" ref="AD110">AD$106+IF($C110&lt;&gt;0,SUMPRODUCT((AD$107:AD$108)*TRANSPOSE(($D110:$E110))),0)</f>
        <v>4696474.0364292534</v>
      </c>
      <c r="AE110" s="31" cm="1">
        <f t="array" ref="AE110">AE$106+IF($C110&lt;&gt;0,SUMPRODUCT((AE$107:AE$108)*TRANSPOSE(($D110:$E110))),0)</f>
        <v>4696474.0364292534</v>
      </c>
      <c r="AF110" s="31" cm="1">
        <f t="array" ref="AF110">AF$106+IF($C110&lt;&gt;0,SUMPRODUCT((AF$107:AF$108)*TRANSPOSE(($D110:$E110))),0)</f>
        <v>4696474.0364292534</v>
      </c>
      <c r="AG110" s="31" cm="1">
        <f t="array" ref="AG110">AG$106+IF($C110&lt;&gt;0,SUMPRODUCT((AG$107:AG$108)*TRANSPOSE(($D110:$E110))),0)</f>
        <v>-1580023.3592175692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0">PROPER($A$3)&amp;A111</f>
        <v>Option 4sens2</v>
      </c>
      <c r="I111" s="31" cm="1">
        <f t="array" ref="I111">I$106+IF($C111&lt;&gt;0,SUMPRODUCT((I$107:I$108)*TRANSPOSE(($D111:$E111))),0)</f>
        <v>53976.536503128707</v>
      </c>
      <c r="J111" s="31" cm="1">
        <f t="array" ref="J111">J$106+IF($C111&lt;&gt;0,SUMPRODUCT((J$107:J$108)*TRANSPOSE(($D111:$E111))),0)</f>
        <v>410353.27902951319</v>
      </c>
      <c r="K111" s="31" cm="1">
        <f t="array" ref="K111">K$106+IF($C111&lt;&gt;0,SUMPRODUCT((K$107:K$108)*TRANSPOSE(($D111:$E111))),0)</f>
        <v>887406.57085235778</v>
      </c>
      <c r="L111" s="31" cm="1">
        <f t="array" ref="L111">L$106+IF($C111&lt;&gt;0,SUMPRODUCT((L$107:L$108)*TRANSPOSE(($D111:$E111))),0)</f>
        <v>1485136.4119716634</v>
      </c>
      <c r="M111" s="31" cm="1">
        <f t="array" ref="M111">M$106+IF($C111&lt;&gt;0,SUMPRODUCT((M$107:M$108)*TRANSPOSE(($D111:$E111))),0)</f>
        <v>1962189.7037945094</v>
      </c>
      <c r="N111" s="31" cm="1">
        <f t="array" ref="N111">N$106+IF($C111&lt;&gt;0,SUMPRODUCT((N$107:N$108)*TRANSPOSE(($D111:$E111))),0)</f>
        <v>2318566.4463208937</v>
      </c>
      <c r="O111" s="31" cm="1">
        <f t="array" ref="O111">O$106+IF($C111&lt;&gt;0,SUMPRODUCT((O$107:O$108)*TRANSPOSE(($D111:$E111))),0)</f>
        <v>2916296.2874401985</v>
      </c>
      <c r="P111" s="31" cm="1">
        <f t="array" ref="P111">P$106+IF($C111&lt;&gt;0,SUMPRODUCT((P$107:P$108)*TRANSPOSE(($D111:$E111))),0)</f>
        <v>3272673.0299665839</v>
      </c>
      <c r="Q111" s="31" cm="1">
        <f t="array" ref="Q111">Q$106+IF($C111&lt;&gt;0,SUMPRODUCT((Q$107:Q$108)*TRANSPOSE(($D111:$E111))),0)</f>
        <v>3870402.8710858901</v>
      </c>
      <c r="R111" s="31" cm="1">
        <f t="array" ref="R111">R$106+IF($C111&lt;&gt;0,SUMPRODUCT((R$107:R$108)*TRANSPOSE(($D111:$E111))),0)</f>
        <v>4241572.5000930475</v>
      </c>
      <c r="S111" s="31" cm="1">
        <f t="array" ref="S111">S$106+IF($C111&lt;&gt;0,SUMPRODUCT((S$107:S$108)*TRANSPOSE(($D111:$E111))),0)</f>
        <v>4863074.4615359884</v>
      </c>
      <c r="T111" s="31" cm="1">
        <f t="array" ref="T111">T$106+IF($C111&lt;&gt;0,SUMPRODUCT((T$107:T$108)*TRANSPOSE(($D111:$E111))),0)</f>
        <v>4863074.4615359884</v>
      </c>
      <c r="U111" s="31" cm="1">
        <f t="array" ref="U111">U$106+IF($C111&lt;&gt;0,SUMPRODUCT((U$107:U$108)*TRANSPOSE(($D111:$E111))),0)</f>
        <v>4983751.0108324485</v>
      </c>
      <c r="V111" s="31" cm="1">
        <f t="array" ref="V111">V$106+IF($C111&lt;&gt;0,SUMPRODUCT((V$107:V$108)*TRANSPOSE(($D111:$E111))),0)</f>
        <v>4983751.0108324485</v>
      </c>
      <c r="W111" s="31" cm="1">
        <f t="array" ref="W111">W$106+IF($C111&lt;&gt;0,SUMPRODUCT((W$107:W$108)*TRANSPOSE(($D111:$E111))),0)</f>
        <v>4983751.0108324485</v>
      </c>
      <c r="X111" s="31" cm="1">
        <f t="array" ref="X111">X$106+IF($C111&lt;&gt;0,SUMPRODUCT((X$107:X$108)*TRANSPOSE(($D111:$E111))),0)</f>
        <v>4983751.0108324485</v>
      </c>
      <c r="Y111" s="31" cm="1">
        <f t="array" ref="Y111">Y$106+IF($C111&lt;&gt;0,SUMPRODUCT((Y$107:Y$108)*TRANSPOSE(($D111:$E111))),0)</f>
        <v>4983751.0108324485</v>
      </c>
      <c r="Z111" s="31" cm="1">
        <f t="array" ref="Z111">Z$106+IF($C111&lt;&gt;0,SUMPRODUCT((Z$107:Z$108)*TRANSPOSE(($D111:$E111))),0)</f>
        <v>4983751.0108324485</v>
      </c>
      <c r="AA111" s="31" cm="1">
        <f t="array" ref="AA111">AA$106+IF($C111&lt;&gt;0,SUMPRODUCT((AA$107:AA$108)*TRANSPOSE(($D111:$E111))),0)</f>
        <v>4983751.0108324485</v>
      </c>
      <c r="AB111" s="31" cm="1">
        <f t="array" ref="AB111">AB$106+IF($C111&lt;&gt;0,SUMPRODUCT((AB$107:AB$108)*TRANSPOSE(($D111:$E111))),0)</f>
        <v>4983751.0108324485</v>
      </c>
      <c r="AC111" s="31" cm="1">
        <f t="array" ref="AC111">AC$106+IF($C111&lt;&gt;0,SUMPRODUCT((AC$107:AC$108)*TRANSPOSE(($D111:$E111))),0)</f>
        <v>4983751.0108324485</v>
      </c>
      <c r="AD111" s="31" cm="1">
        <f t="array" ref="AD111">AD$106+IF($C111&lt;&gt;0,SUMPRODUCT((AD$107:AD$108)*TRANSPOSE(($D111:$E111))),0)</f>
        <v>4983751.0108324485</v>
      </c>
      <c r="AE111" s="31" cm="1">
        <f t="array" ref="AE111">AE$106+IF($C111&lt;&gt;0,SUMPRODUCT((AE$107:AE$108)*TRANSPOSE(($D111:$E111))),0)</f>
        <v>4983751.0108324485</v>
      </c>
      <c r="AF111" s="31" cm="1">
        <f t="array" ref="AF111">AF$106+IF($C111&lt;&gt;0,SUMPRODUCT((AF$107:AF$108)*TRANSPOSE(($D111:$E111))),0)</f>
        <v>4983751.0108324485</v>
      </c>
      <c r="AG111" s="31" cm="1">
        <f t="array" ref="AG111">AG$106+IF($C111&lt;&gt;0,SUMPRODUCT((AG$107:AG$108)*TRANSPOSE(($D111:$E111))),0)</f>
        <v>-1292746.3848143746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0"/>
        <v>Option 4sens3</v>
      </c>
      <c r="I112" s="31" cm="1">
        <f t="array" ref="I112">I$106+IF($C112&lt;&gt;0,SUMPRODUCT((I$107:I$108)*TRANSPOSE(($D112:$E112))),0)</f>
        <v>59374.190153441581</v>
      </c>
      <c r="J112" s="31" cm="1">
        <f t="array" ref="J112">J$106+IF($C112&lt;&gt;0,SUMPRODUCT((J$107:J$108)*TRANSPOSE(($D112:$E112))),0)</f>
        <v>449940.79194210359</v>
      </c>
      <c r="K112" s="31" cm="1">
        <f t="array" ref="K112">K$106+IF($C112&lt;&gt;0,SUMPRODUCT((K$107:K$108)*TRANSPOSE(($D112:$E112))),0)</f>
        <v>973251.59795687173</v>
      </c>
      <c r="L112" s="31" cm="1">
        <f t="array" ref="L112">L$106+IF($C112&lt;&gt;0,SUMPRODUCT((L$107:L$108)*TRANSPOSE(($D112:$E112))),0)</f>
        <v>1629306.608197747</v>
      </c>
      <c r="M112" s="31" cm="1">
        <f t="array" ref="M112">M$106+IF($C112&lt;&gt;0,SUMPRODUCT((M$107:M$108)*TRANSPOSE(($D112:$E112))),0)</f>
        <v>2152617.4142125165</v>
      </c>
      <c r="N112" s="31" cm="1">
        <f t="array" ref="N112">N$106+IF($C112&lt;&gt;0,SUMPRODUCT((N$107:N$108)*TRANSPOSE(($D112:$E112))),0)</f>
        <v>2543184.0160011789</v>
      </c>
      <c r="O112" s="31" cm="1">
        <f t="array" ref="O112">O$106+IF($C112&lt;&gt;0,SUMPRODUCT((O$107:O$108)*TRANSPOSE(($D112:$E112))),0)</f>
        <v>3199239.0262420527</v>
      </c>
      <c r="P112" s="31" cm="1">
        <f t="array" ref="P112">P$106+IF($C112&lt;&gt;0,SUMPRODUCT((P$107:P$108)*TRANSPOSE(($D112:$E112))),0)</f>
        <v>3589805.6280307155</v>
      </c>
      <c r="Q112" s="31" cm="1">
        <f t="array" ref="Q112">Q$106+IF($C112&lt;&gt;0,SUMPRODUCT((Q$107:Q$108)*TRANSPOSE(($D112:$E112))),0)</f>
        <v>4245860.6382715916</v>
      </c>
      <c r="R112" s="31" cm="1">
        <f t="array" ref="R112">R$106+IF($C112&lt;&gt;0,SUMPRODUCT((R$107:R$108)*TRANSPOSE(($D112:$E112))),0)</f>
        <v>4652699.4151891042</v>
      </c>
      <c r="S112" s="31" cm="1">
        <f t="array" ref="S112">S$106+IF($C112&lt;&gt;0,SUMPRODUCT((S$107:S$108)*TRANSPOSE(($D112:$E112))),0)</f>
        <v>5335018.0589694269</v>
      </c>
      <c r="T112" s="31" cm="1">
        <f t="array" ref="T112">T$106+IF($C112&lt;&gt;0,SUMPRODUCT((T$107:T$108)*TRANSPOSE(($D112:$E112))),0)</f>
        <v>5335018.0589694269</v>
      </c>
      <c r="U112" s="31" cm="1">
        <f t="array" ref="U112">U$106+IF($C112&lt;&gt;0,SUMPRODUCT((U$107:U$108)*TRANSPOSE(($D112:$E112))),0)</f>
        <v>5467762.2631955333</v>
      </c>
      <c r="V112" s="31" cm="1">
        <f t="array" ref="V112">V$106+IF($C112&lt;&gt;0,SUMPRODUCT((V$107:V$108)*TRANSPOSE(($D112:$E112))),0)</f>
        <v>5467762.2631955333</v>
      </c>
      <c r="W112" s="31" cm="1">
        <f t="array" ref="W112">W$106+IF($C112&lt;&gt;0,SUMPRODUCT((W$107:W$108)*TRANSPOSE(($D112:$E112))),0)</f>
        <v>5467762.2631955333</v>
      </c>
      <c r="X112" s="31" cm="1">
        <f t="array" ref="X112">X$106+IF($C112&lt;&gt;0,SUMPRODUCT((X$107:X$108)*TRANSPOSE(($D112:$E112))),0)</f>
        <v>5467762.2631955333</v>
      </c>
      <c r="Y112" s="31" cm="1">
        <f t="array" ref="Y112">Y$106+IF($C112&lt;&gt;0,SUMPRODUCT((Y$107:Y$108)*TRANSPOSE(($D112:$E112))),0)</f>
        <v>5467762.2631955333</v>
      </c>
      <c r="Z112" s="31" cm="1">
        <f t="array" ref="Z112">Z$106+IF($C112&lt;&gt;0,SUMPRODUCT((Z$107:Z$108)*TRANSPOSE(($D112:$E112))),0)</f>
        <v>5467762.2631955333</v>
      </c>
      <c r="AA112" s="31" cm="1">
        <f t="array" ref="AA112">AA$106+IF($C112&lt;&gt;0,SUMPRODUCT((AA$107:AA$108)*TRANSPOSE(($D112:$E112))),0)</f>
        <v>5467762.2631955333</v>
      </c>
      <c r="AB112" s="31" cm="1">
        <f t="array" ref="AB112">AB$106+IF($C112&lt;&gt;0,SUMPRODUCT((AB$107:AB$108)*TRANSPOSE(($D112:$E112))),0)</f>
        <v>5467762.2631955333</v>
      </c>
      <c r="AC112" s="31" cm="1">
        <f t="array" ref="AC112">AC$106+IF($C112&lt;&gt;0,SUMPRODUCT((AC$107:AC$108)*TRANSPOSE(($D112:$E112))),0)</f>
        <v>5467762.2631955333</v>
      </c>
      <c r="AD112" s="31" cm="1">
        <f t="array" ref="AD112">AD$106+IF($C112&lt;&gt;0,SUMPRODUCT((AD$107:AD$108)*TRANSPOSE(($D112:$E112))),0)</f>
        <v>5467762.2631955333</v>
      </c>
      <c r="AE112" s="31" cm="1">
        <f t="array" ref="AE112">AE$106+IF($C112&lt;&gt;0,SUMPRODUCT((AE$107:AE$108)*TRANSPOSE(($D112:$E112))),0)</f>
        <v>5467762.2631955333</v>
      </c>
      <c r="AF112" s="31" cm="1">
        <f t="array" ref="AF112">AF$106+IF($C112&lt;&gt;0,SUMPRODUCT((AF$107:AF$108)*TRANSPOSE(($D112:$E112))),0)</f>
        <v>5467762.2631955333</v>
      </c>
      <c r="AG112" s="31" cm="1">
        <f t="array" ref="AG112">AG$106+IF($C112&lt;&gt;0,SUMPRODUCT((AG$107:AG$108)*TRANSPOSE(($D112:$E112))),0)</f>
        <v>-1436384.8720159719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0"/>
        <v>Option 4sens4</v>
      </c>
      <c r="I113" s="31" cm="1">
        <f t="array" ref="I113">I$106+IF($C113&lt;&gt;0,SUMPRODUCT((I$107:I$108)*TRANSPOSE(($D113:$E113))),0)</f>
        <v>48578.882852815834</v>
      </c>
      <c r="J113" s="31" cm="1">
        <f t="array" ref="J113">J$106+IF($C113&lt;&gt;0,SUMPRODUCT((J$107:J$108)*TRANSPOSE(($D113:$E113))),0)</f>
        <v>341809.46630970429</v>
      </c>
      <c r="K113" s="31" cm="1">
        <f t="array" ref="K113">K$106+IF($C113&lt;&gt;0,SUMPRODUCT((K$107:K$108)*TRANSPOSE(($D113:$E113))),0)</f>
        <v>743648.94413340685</v>
      </c>
      <c r="L113" s="31" cm="1">
        <f t="array" ref="L113">L$106+IF($C113&lt;&gt;0,SUMPRODUCT((L$107:L$108)*TRANSPOSE(($D113:$E113))),0)</f>
        <v>1254097.3163239241</v>
      </c>
      <c r="M113" s="31" cm="1">
        <f t="array" ref="M113">M$106+IF($C113&lt;&gt;0,SUMPRODUCT((M$107:M$108)*TRANSPOSE(($D113:$E113))),0)</f>
        <v>1655936.7941476281</v>
      </c>
      <c r="N113" s="31" cm="1">
        <f t="array" ref="N113">N$106+IF($C113&lt;&gt;0,SUMPRODUCT((N$107:N$108)*TRANSPOSE(($D113:$E113))),0)</f>
        <v>1949167.3776045165</v>
      </c>
      <c r="O113" s="31" cm="1">
        <f t="array" ref="O113">O$106+IF($C113&lt;&gt;0,SUMPRODUCT((O$107:O$108)*TRANSPOSE(($D113:$E113))),0)</f>
        <v>2459615.7497950331</v>
      </c>
      <c r="P113" s="31" cm="1">
        <f t="array" ref="P113">P$106+IF($C113&lt;&gt;0,SUMPRODUCT((P$107:P$108)*TRANSPOSE(($D113:$E113))),0)</f>
        <v>2752846.3332519224</v>
      </c>
      <c r="Q113" s="31" cm="1">
        <f t="array" ref="Q113">Q$106+IF($C113&lt;&gt;0,SUMPRODUCT((Q$107:Q$108)*TRANSPOSE(($D113:$E113))),0)</f>
        <v>3263294.7054424402</v>
      </c>
      <c r="R113" s="31" cm="1">
        <f t="array" ref="R113">R$106+IF($C113&lt;&gt;0,SUMPRODUCT((R$107:R$108)*TRANSPOSE(($D113:$E113))),0)</f>
        <v>3569838.8867320241</v>
      </c>
      <c r="S113" s="31" cm="1">
        <f t="array" ref="S113">S$106+IF($C113&lt;&gt;0,SUMPRODUCT((S$107:S$108)*TRANSPOSE(($D113:$E113))),0)</f>
        <v>4103853.8896993548</v>
      </c>
      <c r="T113" s="31" cm="1">
        <f t="array" ref="T113">T$106+IF($C113&lt;&gt;0,SUMPRODUCT((T$107:T$108)*TRANSPOSE(($D113:$E113))),0)</f>
        <v>4103853.8896993548</v>
      </c>
      <c r="U113" s="31" cm="1">
        <f t="array" ref="U113">U$106+IF($C113&lt;&gt;0,SUMPRODUCT((U$107:U$108)*TRANSPOSE(($D113:$E113))),0)</f>
        <v>4212462.7840661686</v>
      </c>
      <c r="V113" s="31" cm="1">
        <f t="array" ref="V113">V$106+IF($C113&lt;&gt;0,SUMPRODUCT((V$107:V$108)*TRANSPOSE(($D113:$E113))),0)</f>
        <v>4212462.7840661686</v>
      </c>
      <c r="W113" s="31" cm="1">
        <f t="array" ref="W113">W$106+IF($C113&lt;&gt;0,SUMPRODUCT((W$107:W$108)*TRANSPOSE(($D113:$E113))),0)</f>
        <v>4212462.7840661686</v>
      </c>
      <c r="X113" s="31" cm="1">
        <f t="array" ref="X113">X$106+IF($C113&lt;&gt;0,SUMPRODUCT((X$107:X$108)*TRANSPOSE(($D113:$E113))),0)</f>
        <v>4212462.7840661686</v>
      </c>
      <c r="Y113" s="31" cm="1">
        <f t="array" ref="Y113">Y$106+IF($C113&lt;&gt;0,SUMPRODUCT((Y$107:Y$108)*TRANSPOSE(($D113:$E113))),0)</f>
        <v>4212462.7840661686</v>
      </c>
      <c r="Z113" s="31" cm="1">
        <f t="array" ref="Z113">Z$106+IF($C113&lt;&gt;0,SUMPRODUCT((Z$107:Z$108)*TRANSPOSE(($D113:$E113))),0)</f>
        <v>4212462.7840661686</v>
      </c>
      <c r="AA113" s="31" cm="1">
        <f t="array" ref="AA113">AA$106+IF($C113&lt;&gt;0,SUMPRODUCT((AA$107:AA$108)*TRANSPOSE(($D113:$E113))),0)</f>
        <v>4212462.7840661686</v>
      </c>
      <c r="AB113" s="31" cm="1">
        <f t="array" ref="AB113">AB$106+IF($C113&lt;&gt;0,SUMPRODUCT((AB$107:AB$108)*TRANSPOSE(($D113:$E113))),0)</f>
        <v>4212462.7840661686</v>
      </c>
      <c r="AC113" s="31" cm="1">
        <f t="array" ref="AC113">AC$106+IF($C113&lt;&gt;0,SUMPRODUCT((AC$107:AC$108)*TRANSPOSE(($D113:$E113))),0)</f>
        <v>4212462.7840661686</v>
      </c>
      <c r="AD113" s="31" cm="1">
        <f t="array" ref="AD113">AD$106+IF($C113&lt;&gt;0,SUMPRODUCT((AD$107:AD$108)*TRANSPOSE(($D113:$E113))),0)</f>
        <v>4212462.7840661686</v>
      </c>
      <c r="AE113" s="31" cm="1">
        <f t="array" ref="AE113">AE$106+IF($C113&lt;&gt;0,SUMPRODUCT((AE$107:AE$108)*TRANSPOSE(($D113:$E113))),0)</f>
        <v>4212462.7840661686</v>
      </c>
      <c r="AF113" s="31" cm="1">
        <f t="array" ref="AF113">AF$106+IF($C113&lt;&gt;0,SUMPRODUCT((AF$107:AF$108)*TRANSPOSE(($D113:$E113))),0)</f>
        <v>4212462.7840661686</v>
      </c>
      <c r="AG113" s="31" cm="1">
        <f t="array" ref="AG113">AG$106+IF($C113&lt;&gt;0,SUMPRODUCT((AG$107:AG$108)*TRANSPOSE(($D113:$E113))),0)</f>
        <v>-1436384.8720159719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0"/>
        <v>Option 4sens5</v>
      </c>
      <c r="I114" s="31" cm="1">
        <f t="array" ref="I114">I$106+IF($C114&lt;&gt;0,SUMPRODUCT((I$107:I$108)*TRANSPOSE(($D114:$E114))),0)</f>
        <v>48578.882852815834</v>
      </c>
      <c r="J114" s="31" cm="1">
        <f t="array" ref="J114">J$106+IF($C114&lt;&gt;0,SUMPRODUCT((J$107:J$108)*TRANSPOSE(($D114:$E114))),0)</f>
        <v>327331.31640609499</v>
      </c>
      <c r="K114" s="31" cm="1">
        <f t="array" ref="K114">K$106+IF($C114&lt;&gt;0,SUMPRODUCT((K$107:K$108)*TRANSPOSE(($D114:$E114))),0)</f>
        <v>714692.64432618825</v>
      </c>
      <c r="L114" s="31" cm="1">
        <f t="array" ref="L114">L$106+IF($C114&lt;&gt;0,SUMPRODUCT((L$107:L$108)*TRANSPOSE(($D114:$E114))),0)</f>
        <v>1210662.8666130963</v>
      </c>
      <c r="M114" s="31" cm="1">
        <f t="array" ref="M114">M$106+IF($C114&lt;&gt;0,SUMPRODUCT((M$107:M$108)*TRANSPOSE(($D114:$E114))),0)</f>
        <v>1598024.1945331912</v>
      </c>
      <c r="N114" s="31" cm="1">
        <f t="array" ref="N114">N$106+IF($C114&lt;&gt;0,SUMPRODUCT((N$107:N$108)*TRANSPOSE(($D114:$E114))),0)</f>
        <v>1876776.6280864701</v>
      </c>
      <c r="O114" s="31" cm="1">
        <f t="array" ref="O114">O$106+IF($C114&lt;&gt;0,SUMPRODUCT((O$107:O$108)*TRANSPOSE(($D114:$E114))),0)</f>
        <v>2372746.8503733771</v>
      </c>
      <c r="P114" s="31" cm="1">
        <f t="array" ref="P114">P$106+IF($C114&lt;&gt;0,SUMPRODUCT((P$107:P$108)*TRANSPOSE(($D114:$E114))),0)</f>
        <v>2651499.2839266574</v>
      </c>
      <c r="Q114" s="31" cm="1">
        <f t="array" ref="Q114">Q$106+IF($C114&lt;&gt;0,SUMPRODUCT((Q$107:Q$108)*TRANSPOSE(($D114:$E114))),0)</f>
        <v>3147469.5062135663</v>
      </c>
      <c r="R114" s="31" cm="1">
        <f t="array" ref="R114">R$106+IF($C114&lt;&gt;0,SUMPRODUCT((R$107:R$108)*TRANSPOSE(($D114:$E114))),0)</f>
        <v>3439535.5375995408</v>
      </c>
      <c r="S114" s="31" cm="1">
        <f t="array" ref="S114">S$106+IF($C114&lt;&gt;0,SUMPRODUCT((S$107:S$108)*TRANSPOSE(($D114:$E114))),0)</f>
        <v>3960215.4024977572</v>
      </c>
      <c r="T114" s="31" cm="1">
        <f t="array" ref="T114">T$106+IF($C114&lt;&gt;0,SUMPRODUCT((T$107:T$108)*TRANSPOSE(($D114:$E114))),0)</f>
        <v>3960215.4024977572</v>
      </c>
      <c r="U114" s="31" cm="1">
        <f t="array" ref="U114">U$106+IF($C114&lt;&gt;0,SUMPRODUCT((U$107:U$108)*TRANSPOSE(($D114:$E114))),0)</f>
        <v>4068824.2968645715</v>
      </c>
      <c r="V114" s="31" cm="1">
        <f t="array" ref="V114">V$106+IF($C114&lt;&gt;0,SUMPRODUCT((V$107:V$108)*TRANSPOSE(($D114:$E114))),0)</f>
        <v>4068824.2968645715</v>
      </c>
      <c r="W114" s="31" cm="1">
        <f t="array" ref="W114">W$106+IF($C114&lt;&gt;0,SUMPRODUCT((W$107:W$108)*TRANSPOSE(($D114:$E114))),0)</f>
        <v>4068824.2968645715</v>
      </c>
      <c r="X114" s="31" cm="1">
        <f t="array" ref="X114">X$106+IF($C114&lt;&gt;0,SUMPRODUCT((X$107:X$108)*TRANSPOSE(($D114:$E114))),0)</f>
        <v>4068824.2968645715</v>
      </c>
      <c r="Y114" s="31" cm="1">
        <f t="array" ref="Y114">Y$106+IF($C114&lt;&gt;0,SUMPRODUCT((Y$107:Y$108)*TRANSPOSE(($D114:$E114))),0)</f>
        <v>4068824.2968645715</v>
      </c>
      <c r="Z114" s="31" cm="1">
        <f t="array" ref="Z114">Z$106+IF($C114&lt;&gt;0,SUMPRODUCT((Z$107:Z$108)*TRANSPOSE(($D114:$E114))),0)</f>
        <v>4068824.2968645715</v>
      </c>
      <c r="AA114" s="31" cm="1">
        <f t="array" ref="AA114">AA$106+IF($C114&lt;&gt;0,SUMPRODUCT((AA$107:AA$108)*TRANSPOSE(($D114:$E114))),0)</f>
        <v>4068824.2968645715</v>
      </c>
      <c r="AB114" s="31" cm="1">
        <f t="array" ref="AB114">AB$106+IF($C114&lt;&gt;0,SUMPRODUCT((AB$107:AB$108)*TRANSPOSE(($D114:$E114))),0)</f>
        <v>4068824.2968645715</v>
      </c>
      <c r="AC114" s="31" cm="1">
        <f t="array" ref="AC114">AC$106+IF($C114&lt;&gt;0,SUMPRODUCT((AC$107:AC$108)*TRANSPOSE(($D114:$E114))),0)</f>
        <v>4068824.2968645715</v>
      </c>
      <c r="AD114" s="31" cm="1">
        <f t="array" ref="AD114">AD$106+IF($C114&lt;&gt;0,SUMPRODUCT((AD$107:AD$108)*TRANSPOSE(($D114:$E114))),0)</f>
        <v>4068824.2968645715</v>
      </c>
      <c r="AE114" s="31" cm="1">
        <f t="array" ref="AE114">AE$106+IF($C114&lt;&gt;0,SUMPRODUCT((AE$107:AE$108)*TRANSPOSE(($D114:$E114))),0)</f>
        <v>4068824.2968645715</v>
      </c>
      <c r="AF114" s="31" cm="1">
        <f t="array" ref="AF114">AF$106+IF($C114&lt;&gt;0,SUMPRODUCT((AF$107:AF$108)*TRANSPOSE(($D114:$E114))),0)</f>
        <v>4068824.2968645715</v>
      </c>
      <c r="AG114" s="31" cm="1">
        <f t="array" ref="AG114">AG$106+IF($C114&lt;&gt;0,SUMPRODUCT((AG$107:AG$108)*TRANSPOSE(($D114:$E114))),0)</f>
        <v>-1580023.3592175692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0"/>
        <v>Option 4sens</v>
      </c>
      <c r="I115" s="31" cm="1">
        <f t="array" ref="I115">I$106+IF($C115&lt;&gt;0,SUMPRODUCT((I$107:I$108)*TRANSPOSE(($D115:$E115))),0)</f>
        <v>53976.536503128707</v>
      </c>
      <c r="J115" s="31" cm="1">
        <f t="array" ref="J115">J$106+IF($C115&lt;&gt;0,SUMPRODUCT((J$107:J$108)*TRANSPOSE(($D115:$E115))),0)</f>
        <v>395875.12912590394</v>
      </c>
      <c r="K115" s="31" cm="1">
        <f t="array" ref="K115">K$106+IF($C115&lt;&gt;0,SUMPRODUCT((K$107:K$108)*TRANSPOSE(($D115:$E115))),0)</f>
        <v>858450.27104513929</v>
      </c>
      <c r="L115" s="31" cm="1">
        <f t="array" ref="L115">L$106+IF($C115&lt;&gt;0,SUMPRODUCT((L$107:L$108)*TRANSPOSE(($D115:$E115))),0)</f>
        <v>1441701.9622608356</v>
      </c>
      <c r="M115" s="31" cm="1">
        <f t="array" ref="M115">M$106+IF($C115&lt;&gt;0,SUMPRODUCT((M$107:M$108)*TRANSPOSE(($D115:$E115))),0)</f>
        <v>1904277.1041800724</v>
      </c>
      <c r="N115" s="31" cm="1">
        <f t="array" ref="N115">N$106+IF($C115&lt;&gt;0,SUMPRODUCT((N$107:N$108)*TRANSPOSE(($D115:$E115))),0)</f>
        <v>2246175.6968028476</v>
      </c>
      <c r="O115" s="31" cm="1">
        <f t="array" ref="O115">O$106+IF($C115&lt;&gt;0,SUMPRODUCT((O$107:O$108)*TRANSPOSE(($D115:$E115))),0)</f>
        <v>2829427.3880185429</v>
      </c>
      <c r="P115" s="31" cm="1">
        <f t="array" ref="P115">P$106+IF($C115&lt;&gt;0,SUMPRODUCT((P$107:P$108)*TRANSPOSE(($D115:$E115))),0)</f>
        <v>3171325.980641319</v>
      </c>
      <c r="Q115" s="31" cm="1">
        <f t="array" ref="Q115">Q$106+IF($C115&lt;&gt;0,SUMPRODUCT((Q$107:Q$108)*TRANSPOSE(($D115:$E115))),0)</f>
        <v>3754577.6718570162</v>
      </c>
      <c r="R115" s="31" cm="1">
        <f t="array" ref="R115">R$106+IF($C115&lt;&gt;0,SUMPRODUCT((R$107:R$108)*TRANSPOSE(($D115:$E115))),0)</f>
        <v>4111269.1509605641</v>
      </c>
      <c r="S115" s="31" cm="1">
        <f t="array" ref="S115">S$106+IF($C115&lt;&gt;0,SUMPRODUCT((S$107:S$108)*TRANSPOSE(($D115:$E115))),0)</f>
        <v>4719435.9743343908</v>
      </c>
      <c r="T115" s="31" cm="1">
        <f t="array" ref="T115">T$106+IF($C115&lt;&gt;0,SUMPRODUCT((T$107:T$108)*TRANSPOSE(($D115:$E115))),0)</f>
        <v>4719435.9743343908</v>
      </c>
      <c r="U115" s="31" cm="1">
        <f t="array" ref="U115">U$106+IF($C115&lt;&gt;0,SUMPRODUCT((U$107:U$108)*TRANSPOSE(($D115:$E115))),0)</f>
        <v>4840112.5236308509</v>
      </c>
      <c r="V115" s="31" cm="1">
        <f t="array" ref="V115">V$106+IF($C115&lt;&gt;0,SUMPRODUCT((V$107:V$108)*TRANSPOSE(($D115:$E115))),0)</f>
        <v>4840112.5236308509</v>
      </c>
      <c r="W115" s="31" cm="1">
        <f t="array" ref="W115">W$106+IF($C115&lt;&gt;0,SUMPRODUCT((W$107:W$108)*TRANSPOSE(($D115:$E115))),0)</f>
        <v>4840112.5236308509</v>
      </c>
      <c r="X115" s="31" cm="1">
        <f t="array" ref="X115">X$106+IF($C115&lt;&gt;0,SUMPRODUCT((X$107:X$108)*TRANSPOSE(($D115:$E115))),0)</f>
        <v>4840112.5236308509</v>
      </c>
      <c r="Y115" s="31" cm="1">
        <f t="array" ref="Y115">Y$106+IF($C115&lt;&gt;0,SUMPRODUCT((Y$107:Y$108)*TRANSPOSE(($D115:$E115))),0)</f>
        <v>4840112.5236308509</v>
      </c>
      <c r="Z115" s="31" cm="1">
        <f t="array" ref="Z115">Z$106+IF($C115&lt;&gt;0,SUMPRODUCT((Z$107:Z$108)*TRANSPOSE(($D115:$E115))),0)</f>
        <v>4840112.5236308509</v>
      </c>
      <c r="AA115" s="31" cm="1">
        <f t="array" ref="AA115">AA$106+IF($C115&lt;&gt;0,SUMPRODUCT((AA$107:AA$108)*TRANSPOSE(($D115:$E115))),0)</f>
        <v>4840112.5236308509</v>
      </c>
      <c r="AB115" s="31" cm="1">
        <f t="array" ref="AB115">AB$106+IF($C115&lt;&gt;0,SUMPRODUCT((AB$107:AB$108)*TRANSPOSE(($D115:$E115))),0)</f>
        <v>4840112.5236308509</v>
      </c>
      <c r="AC115" s="31" cm="1">
        <f t="array" ref="AC115">AC$106+IF($C115&lt;&gt;0,SUMPRODUCT((AC$107:AC$108)*TRANSPOSE(($D115:$E115))),0)</f>
        <v>4840112.5236308509</v>
      </c>
      <c r="AD115" s="31" cm="1">
        <f t="array" ref="AD115">AD$106+IF($C115&lt;&gt;0,SUMPRODUCT((AD$107:AD$108)*TRANSPOSE(($D115:$E115))),0)</f>
        <v>4840112.5236308509</v>
      </c>
      <c r="AE115" s="31" cm="1">
        <f t="array" ref="AE115">AE$106+IF($C115&lt;&gt;0,SUMPRODUCT((AE$107:AE$108)*TRANSPOSE(($D115:$E115))),0)</f>
        <v>4840112.5236308509</v>
      </c>
      <c r="AF115" s="31" cm="1">
        <f t="array" ref="AF115">AF$106+IF($C115&lt;&gt;0,SUMPRODUCT((AF$107:AF$108)*TRANSPOSE(($D115:$E115))),0)</f>
        <v>4840112.5236308509</v>
      </c>
      <c r="AG115" s="31" cm="1">
        <f t="array" ref="AG115">AG$106+IF($C115&lt;&gt;0,SUMPRODUCT((AG$107:AG$108)*TRANSPOSE(($D115:$E115))),0)</f>
        <v>-1436384.8720159719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0"/>
        <v>Option 4sens</v>
      </c>
      <c r="I116" s="31" cm="1">
        <f t="array" ref="I116">I$106+IF($C116&lt;&gt;0,SUMPRODUCT((I$107:I$108)*TRANSPOSE(($D116:$E116))),0)</f>
        <v>53976.536503128707</v>
      </c>
      <c r="J116" s="31" cm="1">
        <f t="array" ref="J116">J$106+IF($C116&lt;&gt;0,SUMPRODUCT((J$107:J$108)*TRANSPOSE(($D116:$E116))),0)</f>
        <v>395875.12912590394</v>
      </c>
      <c r="K116" s="31" cm="1">
        <f t="array" ref="K116">K$106+IF($C116&lt;&gt;0,SUMPRODUCT((K$107:K$108)*TRANSPOSE(($D116:$E116))),0)</f>
        <v>858450.27104513929</v>
      </c>
      <c r="L116" s="31" cm="1">
        <f t="array" ref="L116">L$106+IF($C116&lt;&gt;0,SUMPRODUCT((L$107:L$108)*TRANSPOSE(($D116:$E116))),0)</f>
        <v>1441701.9622608356</v>
      </c>
      <c r="M116" s="31" cm="1">
        <f t="array" ref="M116">M$106+IF($C116&lt;&gt;0,SUMPRODUCT((M$107:M$108)*TRANSPOSE(($D116:$E116))),0)</f>
        <v>1904277.1041800724</v>
      </c>
      <c r="N116" s="31" cm="1">
        <f t="array" ref="N116">N$106+IF($C116&lt;&gt;0,SUMPRODUCT((N$107:N$108)*TRANSPOSE(($D116:$E116))),0)</f>
        <v>2246175.6968028476</v>
      </c>
      <c r="O116" s="31" cm="1">
        <f t="array" ref="O116">O$106+IF($C116&lt;&gt;0,SUMPRODUCT((O$107:O$108)*TRANSPOSE(($D116:$E116))),0)</f>
        <v>2829427.3880185429</v>
      </c>
      <c r="P116" s="31" cm="1">
        <f t="array" ref="P116">P$106+IF($C116&lt;&gt;0,SUMPRODUCT((P$107:P$108)*TRANSPOSE(($D116:$E116))),0)</f>
        <v>3171325.980641319</v>
      </c>
      <c r="Q116" s="31" cm="1">
        <f t="array" ref="Q116">Q$106+IF($C116&lt;&gt;0,SUMPRODUCT((Q$107:Q$108)*TRANSPOSE(($D116:$E116))),0)</f>
        <v>3754577.6718570162</v>
      </c>
      <c r="R116" s="31" cm="1">
        <f t="array" ref="R116">R$106+IF($C116&lt;&gt;0,SUMPRODUCT((R$107:R$108)*TRANSPOSE(($D116:$E116))),0)</f>
        <v>4111269.1509605641</v>
      </c>
      <c r="S116" s="31" cm="1">
        <f t="array" ref="S116">S$106+IF($C116&lt;&gt;0,SUMPRODUCT((S$107:S$108)*TRANSPOSE(($D116:$E116))),0)</f>
        <v>4719435.9743343908</v>
      </c>
      <c r="T116" s="31" cm="1">
        <f t="array" ref="T116">T$106+IF($C116&lt;&gt;0,SUMPRODUCT((T$107:T$108)*TRANSPOSE(($D116:$E116))),0)</f>
        <v>4719435.9743343908</v>
      </c>
      <c r="U116" s="31" cm="1">
        <f t="array" ref="U116">U$106+IF($C116&lt;&gt;0,SUMPRODUCT((U$107:U$108)*TRANSPOSE(($D116:$E116))),0)</f>
        <v>4840112.5236308509</v>
      </c>
      <c r="V116" s="31" cm="1">
        <f t="array" ref="V116">V$106+IF($C116&lt;&gt;0,SUMPRODUCT((V$107:V$108)*TRANSPOSE(($D116:$E116))),0)</f>
        <v>4840112.5236308509</v>
      </c>
      <c r="W116" s="31" cm="1">
        <f t="array" ref="W116">W$106+IF($C116&lt;&gt;0,SUMPRODUCT((W$107:W$108)*TRANSPOSE(($D116:$E116))),0)</f>
        <v>4840112.5236308509</v>
      </c>
      <c r="X116" s="31" cm="1">
        <f t="array" ref="X116">X$106+IF($C116&lt;&gt;0,SUMPRODUCT((X$107:X$108)*TRANSPOSE(($D116:$E116))),0)</f>
        <v>4840112.5236308509</v>
      </c>
      <c r="Y116" s="31" cm="1">
        <f t="array" ref="Y116">Y$106+IF($C116&lt;&gt;0,SUMPRODUCT((Y$107:Y$108)*TRANSPOSE(($D116:$E116))),0)</f>
        <v>4840112.5236308509</v>
      </c>
      <c r="Z116" s="31" cm="1">
        <f t="array" ref="Z116">Z$106+IF($C116&lt;&gt;0,SUMPRODUCT((Z$107:Z$108)*TRANSPOSE(($D116:$E116))),0)</f>
        <v>4840112.5236308509</v>
      </c>
      <c r="AA116" s="31" cm="1">
        <f t="array" ref="AA116">AA$106+IF($C116&lt;&gt;0,SUMPRODUCT((AA$107:AA$108)*TRANSPOSE(($D116:$E116))),0)</f>
        <v>4840112.5236308509</v>
      </c>
      <c r="AB116" s="31" cm="1">
        <f t="array" ref="AB116">AB$106+IF($C116&lt;&gt;0,SUMPRODUCT((AB$107:AB$108)*TRANSPOSE(($D116:$E116))),0)</f>
        <v>4840112.5236308509</v>
      </c>
      <c r="AC116" s="31" cm="1">
        <f t="array" ref="AC116">AC$106+IF($C116&lt;&gt;0,SUMPRODUCT((AC$107:AC$108)*TRANSPOSE(($D116:$E116))),0)</f>
        <v>4840112.5236308509</v>
      </c>
      <c r="AD116" s="31" cm="1">
        <f t="array" ref="AD116">AD$106+IF($C116&lt;&gt;0,SUMPRODUCT((AD$107:AD$108)*TRANSPOSE(($D116:$E116))),0)</f>
        <v>4840112.5236308509</v>
      </c>
      <c r="AE116" s="31" cm="1">
        <f t="array" ref="AE116">AE$106+IF($C116&lt;&gt;0,SUMPRODUCT((AE$107:AE$108)*TRANSPOSE(($D116:$E116))),0)</f>
        <v>4840112.5236308509</v>
      </c>
      <c r="AF116" s="31" cm="1">
        <f t="array" ref="AF116">AF$106+IF($C116&lt;&gt;0,SUMPRODUCT((AF$107:AF$108)*TRANSPOSE(($D116:$E116))),0)</f>
        <v>4840112.5236308509</v>
      </c>
      <c r="AG116" s="31" cm="1">
        <f t="array" ref="AG116">AG$106+IF($C116&lt;&gt;0,SUMPRODUCT((AG$107:AG$108)*TRANSPOSE(($D116:$E116))),0)</f>
        <v>-1436384.8720159719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0"/>
        <v>Option 4sens</v>
      </c>
      <c r="I117" s="31" cm="1">
        <f t="array" ref="I117">I$106+IF($C117&lt;&gt;0,SUMPRODUCT((I$107:I$108)*TRANSPOSE(($D117:$E117))),0)</f>
        <v>53976.536503128707</v>
      </c>
      <c r="J117" s="31" cm="1">
        <f t="array" ref="J117">J$106+IF($C117&lt;&gt;0,SUMPRODUCT((J$107:J$108)*TRANSPOSE(($D117:$E117))),0)</f>
        <v>395875.12912590394</v>
      </c>
      <c r="K117" s="31" cm="1">
        <f t="array" ref="K117">K$106+IF($C117&lt;&gt;0,SUMPRODUCT((K$107:K$108)*TRANSPOSE(($D117:$E117))),0)</f>
        <v>858450.27104513929</v>
      </c>
      <c r="L117" s="31" cm="1">
        <f t="array" ref="L117">L$106+IF($C117&lt;&gt;0,SUMPRODUCT((L$107:L$108)*TRANSPOSE(($D117:$E117))),0)</f>
        <v>1441701.9622608356</v>
      </c>
      <c r="M117" s="31" cm="1">
        <f t="array" ref="M117">M$106+IF($C117&lt;&gt;0,SUMPRODUCT((M$107:M$108)*TRANSPOSE(($D117:$E117))),0)</f>
        <v>1904277.1041800724</v>
      </c>
      <c r="N117" s="31" cm="1">
        <f t="array" ref="N117">N$106+IF($C117&lt;&gt;0,SUMPRODUCT((N$107:N$108)*TRANSPOSE(($D117:$E117))),0)</f>
        <v>2246175.6968028476</v>
      </c>
      <c r="O117" s="31" cm="1">
        <f t="array" ref="O117">O$106+IF($C117&lt;&gt;0,SUMPRODUCT((O$107:O$108)*TRANSPOSE(($D117:$E117))),0)</f>
        <v>2829427.3880185429</v>
      </c>
      <c r="P117" s="31" cm="1">
        <f t="array" ref="P117">P$106+IF($C117&lt;&gt;0,SUMPRODUCT((P$107:P$108)*TRANSPOSE(($D117:$E117))),0)</f>
        <v>3171325.980641319</v>
      </c>
      <c r="Q117" s="31" cm="1">
        <f t="array" ref="Q117">Q$106+IF($C117&lt;&gt;0,SUMPRODUCT((Q$107:Q$108)*TRANSPOSE(($D117:$E117))),0)</f>
        <v>3754577.6718570162</v>
      </c>
      <c r="R117" s="31" cm="1">
        <f t="array" ref="R117">R$106+IF($C117&lt;&gt;0,SUMPRODUCT((R$107:R$108)*TRANSPOSE(($D117:$E117))),0)</f>
        <v>4111269.1509605641</v>
      </c>
      <c r="S117" s="31" cm="1">
        <f t="array" ref="S117">S$106+IF($C117&lt;&gt;0,SUMPRODUCT((S$107:S$108)*TRANSPOSE(($D117:$E117))),0)</f>
        <v>4719435.9743343908</v>
      </c>
      <c r="T117" s="31" cm="1">
        <f t="array" ref="T117">T$106+IF($C117&lt;&gt;0,SUMPRODUCT((T$107:T$108)*TRANSPOSE(($D117:$E117))),0)</f>
        <v>4719435.9743343908</v>
      </c>
      <c r="U117" s="31" cm="1">
        <f t="array" ref="U117">U$106+IF($C117&lt;&gt;0,SUMPRODUCT((U$107:U$108)*TRANSPOSE(($D117:$E117))),0)</f>
        <v>4840112.5236308509</v>
      </c>
      <c r="V117" s="31" cm="1">
        <f t="array" ref="V117">V$106+IF($C117&lt;&gt;0,SUMPRODUCT((V$107:V$108)*TRANSPOSE(($D117:$E117))),0)</f>
        <v>4840112.5236308509</v>
      </c>
      <c r="W117" s="31" cm="1">
        <f t="array" ref="W117">W$106+IF($C117&lt;&gt;0,SUMPRODUCT((W$107:W$108)*TRANSPOSE(($D117:$E117))),0)</f>
        <v>4840112.5236308509</v>
      </c>
      <c r="X117" s="31" cm="1">
        <f t="array" ref="X117">X$106+IF($C117&lt;&gt;0,SUMPRODUCT((X$107:X$108)*TRANSPOSE(($D117:$E117))),0)</f>
        <v>4840112.5236308509</v>
      </c>
      <c r="Y117" s="31" cm="1">
        <f t="array" ref="Y117">Y$106+IF($C117&lt;&gt;0,SUMPRODUCT((Y$107:Y$108)*TRANSPOSE(($D117:$E117))),0)</f>
        <v>4840112.5236308509</v>
      </c>
      <c r="Z117" s="31" cm="1">
        <f t="array" ref="Z117">Z$106+IF($C117&lt;&gt;0,SUMPRODUCT((Z$107:Z$108)*TRANSPOSE(($D117:$E117))),0)</f>
        <v>4840112.5236308509</v>
      </c>
      <c r="AA117" s="31" cm="1">
        <f t="array" ref="AA117">AA$106+IF($C117&lt;&gt;0,SUMPRODUCT((AA$107:AA$108)*TRANSPOSE(($D117:$E117))),0)</f>
        <v>4840112.5236308509</v>
      </c>
      <c r="AB117" s="31" cm="1">
        <f t="array" ref="AB117">AB$106+IF($C117&lt;&gt;0,SUMPRODUCT((AB$107:AB$108)*TRANSPOSE(($D117:$E117))),0)</f>
        <v>4840112.5236308509</v>
      </c>
      <c r="AC117" s="31" cm="1">
        <f t="array" ref="AC117">AC$106+IF($C117&lt;&gt;0,SUMPRODUCT((AC$107:AC$108)*TRANSPOSE(($D117:$E117))),0)</f>
        <v>4840112.5236308509</v>
      </c>
      <c r="AD117" s="31" cm="1">
        <f t="array" ref="AD117">AD$106+IF($C117&lt;&gt;0,SUMPRODUCT((AD$107:AD$108)*TRANSPOSE(($D117:$E117))),0)</f>
        <v>4840112.5236308509</v>
      </c>
      <c r="AE117" s="31" cm="1">
        <f t="array" ref="AE117">AE$106+IF($C117&lt;&gt;0,SUMPRODUCT((AE$107:AE$108)*TRANSPOSE(($D117:$E117))),0)</f>
        <v>4840112.5236308509</v>
      </c>
      <c r="AF117" s="31" cm="1">
        <f t="array" ref="AF117">AF$106+IF($C117&lt;&gt;0,SUMPRODUCT((AF$107:AF$108)*TRANSPOSE(($D117:$E117))),0)</f>
        <v>4840112.5236308509</v>
      </c>
      <c r="AG117" s="31" cm="1">
        <f t="array" ref="AG117">AG$106+IF($C117&lt;&gt;0,SUMPRODUCT((AG$107:AG$108)*TRANSPOSE(($D117:$E117))),0)</f>
        <v>-1436384.8720159719</v>
      </c>
    </row>
  </sheetData>
  <conditionalFormatting sqref="E14">
    <cfRule type="expression" dxfId="6" priority="1">
      <formula>AND(SUM($I14:$AB14)&lt;&gt;0, E14=0)</formula>
    </cfRule>
  </conditionalFormatting>
  <conditionalFormatting sqref="E15:E16">
    <cfRule type="expression" dxfId="5" priority="54">
      <formula>AND(SUM($I15:$AB15)&lt;&gt;0, E15=0)</formula>
    </cfRule>
  </conditionalFormatting>
  <conditionalFormatting sqref="E28">
    <cfRule type="expression" dxfId="4" priority="2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3" outlineLevelRow="1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7.76562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5" x14ac:dyDescent="0.45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5" x14ac:dyDescent="0.35">
      <c r="A3" s="203" t="s">
        <v>179</v>
      </c>
      <c r="B3" s="5"/>
      <c r="C3" s="200" t="str">
        <f>INDEX(Assumptions!$E$14:$E$18, MATCH(A3,_xlfn.ANCHORARRAY( Assumptions!$C$14),0))</f>
        <v>Replace all CRO inoperatble RMUs over 15 years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5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5" x14ac:dyDescent="0.3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ht="13.5" x14ac:dyDescent="0.3">
      <c r="A12" s="3"/>
      <c r="B12" s="3"/>
      <c r="C12" s="3"/>
      <c r="D12" s="3"/>
      <c r="G12" s="205"/>
      <c r="AH12"/>
      <c r="AI12"/>
      <c r="AJ12"/>
      <c r="AK12"/>
    </row>
    <row r="13" spans="1:43" ht="13.5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7" t="s">
        <v>301</v>
      </c>
      <c r="D14"/>
      <c r="E14" s="148">
        <v>55</v>
      </c>
      <c r="F14" s="350" t="s">
        <v>17</v>
      </c>
      <c r="G14" s="207">
        <f>input_dollars</f>
        <v>45291</v>
      </c>
      <c r="H14" s="149"/>
      <c r="I14" s="32">
        <f>INDEX(Workings_costs!K$27:K$79, MATCH($A$3&amp;$F14, Workings_costs!$G$27:$G$79,0))</f>
        <v>2311175</v>
      </c>
      <c r="J14" s="32">
        <f>INDEX(Workings_costs!L$27:L$79, MATCH($A$3&amp;$F14, Workings_costs!$G$27:$G$79,0))</f>
        <v>2311175</v>
      </c>
      <c r="K14" s="32">
        <f>INDEX(Workings_costs!M$27:M$79, MATCH($A$3&amp;$F14, Workings_costs!$G$27:$G$79,0))</f>
        <v>2311175</v>
      </c>
      <c r="L14" s="32">
        <f>INDEX(Workings_costs!N$27:N$79, MATCH($A$3&amp;$F14, Workings_costs!$G$27:$G$79,0))</f>
        <v>2311175</v>
      </c>
      <c r="M14" s="32">
        <f>INDEX(Workings_costs!O$27:O$79, MATCH($A$3&amp;$F14, Workings_costs!$G$27:$G$79,0))</f>
        <v>2311175</v>
      </c>
      <c r="N14" s="32">
        <f>INDEX(Workings_costs!P$27:P$79, MATCH($A$3&amp;$F14, Workings_costs!$G$27:$G$79,0))</f>
        <v>2311175</v>
      </c>
      <c r="O14" s="32">
        <f>INDEX(Workings_costs!Q$27:Q$79, MATCH($A$3&amp;$F14, Workings_costs!$G$27:$G$79,0))</f>
        <v>2311175</v>
      </c>
      <c r="P14" s="32">
        <f>INDEX(Workings_costs!R$27:R$79, MATCH($A$3&amp;$F14, Workings_costs!$G$27:$G$79,0))</f>
        <v>2311175</v>
      </c>
      <c r="Q14" s="32">
        <f>INDEX(Workings_costs!S$27:S$79, MATCH($A$3&amp;$F14, Workings_costs!$G$27:$G$79,0))</f>
        <v>2311175</v>
      </c>
      <c r="R14" s="32">
        <f>INDEX(Workings_costs!T$27:T$79, MATCH($A$3&amp;$F14, Workings_costs!$G$27:$G$79,0))</f>
        <v>2311175</v>
      </c>
      <c r="S14" s="32">
        <f>INDEX(Workings_costs!U$27:U$79, MATCH($A$3&amp;$F14, Workings_costs!$G$27:$G$79,0))</f>
        <v>2311175</v>
      </c>
      <c r="T14" s="32">
        <f>INDEX(Workings_costs!V$27:V$79, MATCH($A$3&amp;$F14, Workings_costs!$G$27:$G$79,0))</f>
        <v>2311175</v>
      </c>
      <c r="U14" s="32">
        <f>INDEX(Workings_costs!W$27:W$79, MATCH($A$3&amp;$F14, Workings_costs!$G$27:$G$79,0))</f>
        <v>2311175</v>
      </c>
      <c r="V14" s="32">
        <f>INDEX(Workings_costs!X$27:X$79, MATCH($A$3&amp;$F14, Workings_costs!$G$27:$G$79,0))</f>
        <v>2311175</v>
      </c>
      <c r="W14" s="32">
        <f>INDEX(Workings_costs!Y$27:Y$79, MATCH($A$3&amp;$F14, Workings_costs!$G$27:$G$79,0))</f>
        <v>2311175</v>
      </c>
      <c r="X14" s="32">
        <f>INDEX(Workings_costs!Z$27:Z$79, MATCH($A$3&amp;$F14, Workings_costs!$G$27:$G$79,0))</f>
        <v>184894</v>
      </c>
      <c r="Y14" s="32">
        <f>INDEX(Workings_costs!AA$27:AA$79, MATCH($A$3&amp;$F14, Workings_costs!$G$27:$G$79,0))</f>
        <v>0</v>
      </c>
      <c r="Z14" s="32">
        <f>INDEX(Workings_costs!AB$27:AB$79, MATCH($A$3&amp;$F14, Workings_costs!$G$27:$G$79,0))</f>
        <v>0</v>
      </c>
      <c r="AA14" s="32">
        <f>INDEX(Workings_costs!AC$27:AC$79, MATCH($A$3&amp;$F14, Workings_costs!$G$27:$G$79,0))</f>
        <v>0</v>
      </c>
      <c r="AB14" s="32">
        <f>INDEX(Workings_costs!AD$27:AD$79, MATCH($A$3&amp;$F14, Workings_costs!$G$27:$G$79,0))</f>
        <v>0</v>
      </c>
      <c r="AC14" s="32">
        <f>INDEX(Workings_costs!AE$27:AE$79, MATCH($A$3&amp;$F14, Workings_costs!$G$27:$G$79,0))</f>
        <v>0</v>
      </c>
      <c r="AD14" s="32">
        <f>INDEX(Workings_costs!AF$27:AF$79, MATCH($A$3&amp;$F14, Workings_costs!$G$27:$G$79,0))</f>
        <v>0</v>
      </c>
      <c r="AE14" s="32">
        <f>INDEX(Workings_costs!AG$27:AG$79, MATCH($A$3&amp;$F14, Workings_costs!$G$27:$G$79,0))</f>
        <v>0</v>
      </c>
      <c r="AF14" s="32">
        <f>INDEX(Workings_costs!AH$27:AH$79, MATCH($A$3&amp;$F14, Workings_costs!$G$27:$G$79,0))</f>
        <v>0</v>
      </c>
      <c r="AG14" s="32">
        <f>INDEX(Workings_costs!AI$27:AI$79, MATCH($A$3&amp;$F14, Workings_costs!$G$27:$G$79,0))</f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ht="13.5" x14ac:dyDescent="0.3">
      <c r="C17" s="1" t="s">
        <v>30</v>
      </c>
      <c r="F17" s="350"/>
      <c r="G17" s="207">
        <f>input_dollars</f>
        <v>45291</v>
      </c>
      <c r="H17" s="107"/>
      <c r="I17" s="106">
        <f t="shared" ref="I17:Q17" si="0">SUM(I14:I16)</f>
        <v>2311175</v>
      </c>
      <c r="J17" s="106">
        <f t="shared" si="0"/>
        <v>2311175</v>
      </c>
      <c r="K17" s="106">
        <f>SUM(K14:K16)</f>
        <v>2311175</v>
      </c>
      <c r="L17" s="106">
        <f t="shared" si="0"/>
        <v>2311175</v>
      </c>
      <c r="M17" s="106">
        <f t="shared" si="0"/>
        <v>2311175</v>
      </c>
      <c r="N17" s="106">
        <f t="shared" si="0"/>
        <v>2311175</v>
      </c>
      <c r="O17" s="106">
        <f t="shared" si="0"/>
        <v>2311175</v>
      </c>
      <c r="P17" s="106">
        <f t="shared" si="0"/>
        <v>2311175</v>
      </c>
      <c r="Q17" s="106">
        <f t="shared" si="0"/>
        <v>2311175</v>
      </c>
      <c r="R17" s="106">
        <f t="shared" ref="R17:AG17" si="1">SUM(R14:R16)</f>
        <v>2311175</v>
      </c>
      <c r="S17" s="106">
        <f t="shared" si="1"/>
        <v>2311175</v>
      </c>
      <c r="T17" s="106">
        <f t="shared" si="1"/>
        <v>2311175</v>
      </c>
      <c r="U17" s="106">
        <f t="shared" si="1"/>
        <v>2311175</v>
      </c>
      <c r="V17" s="106">
        <f t="shared" si="1"/>
        <v>2311175</v>
      </c>
      <c r="W17" s="106">
        <f t="shared" si="1"/>
        <v>2311175</v>
      </c>
      <c r="X17" s="106">
        <f t="shared" si="1"/>
        <v>184894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ht="13.5" x14ac:dyDescent="0.3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3.5" x14ac:dyDescent="0.3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ht="13.5" x14ac:dyDescent="0.3">
      <c r="G20" s="205"/>
      <c r="AH20"/>
      <c r="AI20"/>
      <c r="AJ20"/>
      <c r="AK20"/>
    </row>
    <row r="21" spans="1:43" ht="13.5" x14ac:dyDescent="0.3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3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3">
      <c r="A24" s="111"/>
      <c r="B24" s="111"/>
      <c r="C24" s="1" t="s">
        <v>148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3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3.5" x14ac:dyDescent="0.3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ht="13.5" x14ac:dyDescent="0.3">
      <c r="C28" s="1" t="s">
        <v>122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ht="13.5" x14ac:dyDescent="0.3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3.5" x14ac:dyDescent="0.3">
      <c r="C30" s="1" t="s">
        <v>114</v>
      </c>
      <c r="D30" s="205" t="s">
        <v>202</v>
      </c>
      <c r="F30" s="350" t="s">
        <v>97</v>
      </c>
      <c r="G30" s="207">
        <f>input_dollars</f>
        <v>45291</v>
      </c>
      <c r="H30" s="149"/>
      <c r="I30" s="32">
        <f>INDEX(Workings_risks!I$22:I$233, MATCH($A$3&amp;$F30, Workings_risks!$G$22:$G$233,0))</f>
        <v>541745.71947908204</v>
      </c>
      <c r="J30" s="32">
        <f>INDEX(Workings_risks!J$22:J$233, MATCH($A$3&amp;$F30, Workings_risks!$G$22:$G$233,0))</f>
        <v>541745.71947908204</v>
      </c>
      <c r="K30" s="32">
        <f>INDEX(Workings_risks!K$22:K$233, MATCH($A$3&amp;$F30, Workings_risks!$G$22:$G$233,0))</f>
        <v>541745.71947908204</v>
      </c>
      <c r="L30" s="32">
        <f>INDEX(Workings_risks!L$22:L$233, MATCH($A$3&amp;$F30, Workings_risks!$G$22:$G$233,0))</f>
        <v>433396.57558326563</v>
      </c>
      <c r="M30" s="32">
        <f>INDEX(Workings_risks!M$22:M$233, MATCH($A$3&amp;$F30, Workings_risks!$G$22:$G$233,0))</f>
        <v>325047.43168744922</v>
      </c>
      <c r="N30" s="32">
        <f>INDEX(Workings_risks!N$22:N$233, MATCH($A$3&amp;$F30, Workings_risks!$G$22:$G$233,0))</f>
        <v>325047.43168744922</v>
      </c>
      <c r="O30" s="32">
        <f>INDEX(Workings_risks!O$22:O$233, MATCH($A$3&amp;$F30, Workings_risks!$G$22:$G$233,0))</f>
        <v>216698.28779163281</v>
      </c>
      <c r="P30" s="32">
        <f>INDEX(Workings_risks!P$22:P$233, MATCH($A$3&amp;$F30, Workings_risks!$G$22:$G$233,0))</f>
        <v>216698.28779163281</v>
      </c>
      <c r="Q30" s="32">
        <f>INDEX(Workings_risks!Q$22:Q$233, MATCH($A$3&amp;$F30, Workings_risks!$G$22:$G$233,0))</f>
        <v>216698.28779163281</v>
      </c>
      <c r="R30" s="32">
        <f>INDEX(Workings_risks!R$22:R$233, MATCH($A$3&amp;$F30, Workings_risks!$G$22:$G$233,0))</f>
        <v>108349.14389581641</v>
      </c>
      <c r="S30" s="32">
        <f>INDEX(Workings_risks!S$22:S$233, MATCH($A$3&amp;$F30, Workings_risks!$G$22:$G$233,0))</f>
        <v>108349.14389581641</v>
      </c>
      <c r="T30" s="32">
        <f>INDEX(Workings_risks!T$22:T$233, MATCH($A$3&amp;$F30, Workings_risks!$G$22:$G$233,0))</f>
        <v>0</v>
      </c>
      <c r="U30" s="32">
        <f>INDEX(Workings_risks!U$22:U$233, MATCH($A$3&amp;$F30, Workings_risks!$G$22:$G$233,0))</f>
        <v>0</v>
      </c>
      <c r="V30" s="32">
        <f>INDEX(Workings_risks!V$22:V$233, MATCH($A$3&amp;$F30, Workings_risks!$G$22:$G$233,0))</f>
        <v>0</v>
      </c>
      <c r="W30" s="32">
        <f>INDEX(Workings_risks!W$22:W$233, MATCH($A$3&amp;$F30, Workings_risks!$G$22:$G$233,0))</f>
        <v>0</v>
      </c>
      <c r="X30" s="32">
        <f>INDEX(Workings_risks!X$22:X$233, MATCH($A$3&amp;$F30, Workings_risks!$G$22:$G$233,0))</f>
        <v>0</v>
      </c>
      <c r="Y30" s="32">
        <f>INDEX(Workings_risks!Y$22:Y$233, MATCH($A$3&amp;$F30, Workings_risks!$G$22:$G$233,0))</f>
        <v>0</v>
      </c>
      <c r="Z30" s="32">
        <f>INDEX(Workings_risks!Z$22:Z$233, MATCH($A$3&amp;$F30, Workings_risks!$G$22:$G$233,0))</f>
        <v>0</v>
      </c>
      <c r="AA30" s="32">
        <f>INDEX(Workings_risks!AA$22:AA$233, MATCH($A$3&amp;$F30, Workings_risks!$G$22:$G$233,0))</f>
        <v>0</v>
      </c>
      <c r="AB30" s="32">
        <f>INDEX(Workings_risks!AB$22:AB$233, MATCH($A$3&amp;$F30, Workings_risks!$G$22:$G$233,0))</f>
        <v>0</v>
      </c>
      <c r="AC30" s="32">
        <f>INDEX(Workings_risks!AC$22:AC$233, MATCH($A$3&amp;$F30, Workings_risks!$G$22:$G$233,0))</f>
        <v>0</v>
      </c>
      <c r="AD30" s="32">
        <f>INDEX(Workings_risks!AD$22:AD$233, MATCH($A$3&amp;$F30, Workings_risks!$G$22:$G$233,0))</f>
        <v>0</v>
      </c>
      <c r="AE30" s="32">
        <f>INDEX(Workings_risks!AE$22:AE$233, MATCH($A$3&amp;$F30, Workings_risks!$G$22:$G$233,0))</f>
        <v>0</v>
      </c>
      <c r="AF30" s="32">
        <f>INDEX(Workings_risks!AF$22:AF$233, MATCH($A$3&amp;$F30, Workings_risks!$G$22:$G$233,0))</f>
        <v>0</v>
      </c>
      <c r="AG30" s="32">
        <f>INDEX(Workings_risks!AG$22:AG$233, MATCH($A$3&amp;$F30, Workings_risks!$G$22:$G$233,0))</f>
        <v>0</v>
      </c>
      <c r="AH30"/>
      <c r="AI30"/>
      <c r="AJ30"/>
      <c r="AK30"/>
      <c r="AL30"/>
      <c r="AM30"/>
      <c r="AN30"/>
      <c r="AO30"/>
      <c r="AP30"/>
      <c r="AQ30"/>
    </row>
    <row r="31" spans="1:43" ht="13.5" x14ac:dyDescent="0.3">
      <c r="C31" s="1" t="s">
        <v>243</v>
      </c>
      <c r="D31" s="206"/>
      <c r="E31"/>
      <c r="F31" s="350" t="s">
        <v>243</v>
      </c>
      <c r="G31" s="207">
        <f>input_dollars</f>
        <v>45291</v>
      </c>
      <c r="H31" s="149"/>
      <c r="I31" s="32">
        <f>INDEX(Workings_risks!I$22:I$233, MATCH($A$3&amp;$F31, Workings_risks!$G$22:$G$233,0))</f>
        <v>4828378.8040892947</v>
      </c>
      <c r="J31" s="32">
        <f>INDEX(Workings_risks!J$22:J$233, MATCH($A$3&amp;$F31, Workings_risks!$G$22:$G$233,0))</f>
        <v>4508194.5332610924</v>
      </c>
      <c r="K31" s="32">
        <f>INDEX(Workings_risks!K$22:K$233, MATCH($A$3&amp;$F31, Workings_risks!$G$22:$G$233,0))</f>
        <v>4188010.2624328891</v>
      </c>
      <c r="L31" s="32">
        <f>INDEX(Workings_risks!L$22:L$233, MATCH($A$3&amp;$F31, Workings_risks!$G$22:$G$233,0))</f>
        <v>3867825.9916046867</v>
      </c>
      <c r="M31" s="32">
        <f>INDEX(Workings_risks!M$22:M$233, MATCH($A$3&amp;$F31, Workings_risks!$G$22:$G$233,0))</f>
        <v>3547641.7207764843</v>
      </c>
      <c r="N31" s="32">
        <f>INDEX(Workings_risks!N$22:N$233, MATCH($A$3&amp;$F31, Workings_risks!$G$22:$G$233,0))</f>
        <v>3227457.4499482815</v>
      </c>
      <c r="O31" s="32">
        <f>INDEX(Workings_risks!O$22:O$233, MATCH($A$3&amp;$F31, Workings_risks!$G$22:$G$233,0))</f>
        <v>2907273.1791200791</v>
      </c>
      <c r="P31" s="32">
        <f>INDEX(Workings_risks!P$22:P$233, MATCH($A$3&amp;$F31, Workings_risks!$G$22:$G$233,0))</f>
        <v>2587088.9082918763</v>
      </c>
      <c r="Q31" s="32">
        <f>INDEX(Workings_risks!Q$22:Q$233, MATCH($A$3&amp;$F31, Workings_risks!$G$22:$G$233,0))</f>
        <v>2266904.6374636739</v>
      </c>
      <c r="R31" s="32">
        <f>INDEX(Workings_risks!R$22:R$233, MATCH($A$3&amp;$F31, Workings_risks!$G$22:$G$233,0))</f>
        <v>1946720.3666354716</v>
      </c>
      <c r="S31" s="32">
        <f>INDEX(Workings_risks!S$22:S$233, MATCH($A$3&amp;$F31, Workings_risks!$G$22:$G$233,0))</f>
        <v>1626536.0958072692</v>
      </c>
      <c r="T31" s="32">
        <f>INDEX(Workings_risks!T$22:T$233, MATCH($A$3&amp;$F31, Workings_risks!$G$22:$G$233,0))</f>
        <v>1306351.8249790664</v>
      </c>
      <c r="U31" s="32">
        <f>INDEX(Workings_risks!U$22:U$233, MATCH($A$3&amp;$F31, Workings_risks!$G$22:$G$233,0))</f>
        <v>986167.55415086378</v>
      </c>
      <c r="V31" s="32">
        <f>INDEX(Workings_risks!V$22:V$233, MATCH($A$3&amp;$F31, Workings_risks!$G$22:$G$233,0))</f>
        <v>665983.2833226613</v>
      </c>
      <c r="W31" s="32">
        <f>INDEX(Workings_risks!W$22:W$233, MATCH($A$3&amp;$F31, Workings_risks!$G$22:$G$233,0))</f>
        <v>345799.0124944587</v>
      </c>
      <c r="X31" s="32">
        <f>INDEX(Workings_risks!X$22:X$233, MATCH($A$3&amp;$F31, Workings_risks!$G$22:$G$233,0))</f>
        <v>25614.741666256203</v>
      </c>
      <c r="Y31" s="32">
        <f>INDEX(Workings_risks!Y$22:Y$233, MATCH($A$3&amp;$F31, Workings_risks!$G$22:$G$233,0))</f>
        <v>0</v>
      </c>
      <c r="Z31" s="32">
        <f>INDEX(Workings_risks!Z$22:Z$233, MATCH($A$3&amp;$F31, Workings_risks!$G$22:$G$233,0))</f>
        <v>0</v>
      </c>
      <c r="AA31" s="32">
        <f>INDEX(Workings_risks!AA$22:AA$233, MATCH($A$3&amp;$F31, Workings_risks!$G$22:$G$233,0))</f>
        <v>0</v>
      </c>
      <c r="AB31" s="32">
        <f>INDEX(Workings_risks!AB$22:AB$233, MATCH($A$3&amp;$F31, Workings_risks!$G$22:$G$233,0))</f>
        <v>0</v>
      </c>
      <c r="AC31" s="32">
        <f>INDEX(Workings_risks!AC$22:AC$233, MATCH($A$3&amp;$F31, Workings_risks!$G$22:$G$233,0))</f>
        <v>0</v>
      </c>
      <c r="AD31" s="32">
        <f>INDEX(Workings_risks!AD$22:AD$233, MATCH($A$3&amp;$F31, Workings_risks!$G$22:$G$233,0))</f>
        <v>0</v>
      </c>
      <c r="AE31" s="32">
        <f>INDEX(Workings_risks!AE$22:AE$233, MATCH($A$3&amp;$F31, Workings_risks!$G$22:$G$233,0))</f>
        <v>0</v>
      </c>
      <c r="AF31" s="32">
        <f>INDEX(Workings_risks!AF$22:AF$233, MATCH($A$3&amp;$F31, Workings_risks!$G$22:$G$233,0))</f>
        <v>0</v>
      </c>
      <c r="AG31" s="32">
        <f>INDEX(Workings_risks!AG$22:AG$233, MATCH($A$3&amp;$F31, Workings_risks!$G$22:$G$233,0))</f>
        <v>0</v>
      </c>
      <c r="AH31"/>
      <c r="AI31"/>
      <c r="AJ31"/>
      <c r="AK31"/>
      <c r="AL31"/>
      <c r="AM31"/>
      <c r="AN31"/>
      <c r="AO31"/>
      <c r="AP31"/>
      <c r="AQ31"/>
    </row>
    <row r="32" spans="1:43" ht="13.5" x14ac:dyDescent="0.3">
      <c r="C32" s="1" t="s">
        <v>288</v>
      </c>
      <c r="D32" s="205" t="s">
        <v>202</v>
      </c>
      <c r="E32"/>
      <c r="F32" s="350" t="s">
        <v>302</v>
      </c>
      <c r="G32" s="207">
        <f>input_dollars</f>
        <v>45291</v>
      </c>
      <c r="H32"/>
      <c r="I32" s="32">
        <f>INDEX(Workings_risks!I$22:I$233, MATCH($A$3&amp;$F32, Workings_risks!$G$22:$G$233,0))</f>
        <v>61637.027003221519</v>
      </c>
      <c r="J32" s="32">
        <f>INDEX(Workings_risks!J$22:J$233, MATCH($A$3&amp;$F32, Workings_risks!$G$22:$G$233,0))</f>
        <v>61637.027003221519</v>
      </c>
      <c r="K32" s="32">
        <f>INDEX(Workings_risks!K$22:K$233, MATCH($A$3&amp;$F32, Workings_risks!$G$22:$G$233,0))</f>
        <v>61637.027003221519</v>
      </c>
      <c r="L32" s="32">
        <f>INDEX(Workings_risks!L$22:L$233, MATCH($A$3&amp;$F32, Workings_risks!$G$22:$G$233,0))</f>
        <v>49309.621602577223</v>
      </c>
      <c r="M32" s="32">
        <f>INDEX(Workings_risks!M$22:M$233, MATCH($A$3&amp;$F32, Workings_risks!$G$22:$G$233,0))</f>
        <v>36982.216201932919</v>
      </c>
      <c r="N32" s="32">
        <f>INDEX(Workings_risks!N$22:N$233, MATCH($A$3&amp;$F32, Workings_risks!$G$22:$G$233,0))</f>
        <v>36982.216201932919</v>
      </c>
      <c r="O32" s="32">
        <f>INDEX(Workings_risks!O$22:O$233, MATCH($A$3&amp;$F32, Workings_risks!$G$22:$G$233,0))</f>
        <v>24654.810801288611</v>
      </c>
      <c r="P32" s="32">
        <f>INDEX(Workings_risks!P$22:P$233, MATCH($A$3&amp;$F32, Workings_risks!$G$22:$G$233,0))</f>
        <v>24654.810801288611</v>
      </c>
      <c r="Q32" s="32">
        <f>INDEX(Workings_risks!Q$22:Q$233, MATCH($A$3&amp;$F32, Workings_risks!$G$22:$G$233,0))</f>
        <v>24654.810801288611</v>
      </c>
      <c r="R32" s="32">
        <f>INDEX(Workings_risks!R$22:R$233, MATCH($A$3&amp;$F32, Workings_risks!$G$22:$G$233,0))</f>
        <v>12327.405400644306</v>
      </c>
      <c r="S32" s="32">
        <f>INDEX(Workings_risks!S$22:S$233, MATCH($A$3&amp;$F32, Workings_risks!$G$22:$G$233,0))</f>
        <v>12327.405400644306</v>
      </c>
      <c r="T32" s="32">
        <f>INDEX(Workings_risks!T$22:T$233, MATCH($A$3&amp;$F32, Workings_risks!$G$22:$G$233,0))</f>
        <v>0</v>
      </c>
      <c r="U32" s="32">
        <f>INDEX(Workings_risks!U$22:U$233, MATCH($A$3&amp;$F32, Workings_risks!$G$22:$G$233,0))</f>
        <v>0</v>
      </c>
      <c r="V32" s="32">
        <f>INDEX(Workings_risks!V$22:V$233, MATCH($A$3&amp;$F32, Workings_risks!$G$22:$G$233,0))</f>
        <v>0</v>
      </c>
      <c r="W32" s="32">
        <f>INDEX(Workings_risks!W$22:W$233, MATCH($A$3&amp;$F32, Workings_risks!$G$22:$G$233,0))</f>
        <v>0</v>
      </c>
      <c r="X32" s="32">
        <f>INDEX(Workings_risks!X$22:X$233, MATCH($A$3&amp;$F32, Workings_risks!$G$22:$G$233,0))</f>
        <v>0</v>
      </c>
      <c r="Y32" s="32">
        <f>INDEX(Workings_risks!Y$22:Y$233, MATCH($A$3&amp;$F32, Workings_risks!$G$22:$G$233,0))</f>
        <v>0</v>
      </c>
      <c r="Z32" s="32">
        <f>INDEX(Workings_risks!Z$22:Z$233, MATCH($A$3&amp;$F32, Workings_risks!$G$22:$G$233,0))</f>
        <v>0</v>
      </c>
      <c r="AA32" s="32">
        <f>INDEX(Workings_risks!AA$22:AA$233, MATCH($A$3&amp;$F32, Workings_risks!$G$22:$G$233,0))</f>
        <v>0</v>
      </c>
      <c r="AB32" s="32">
        <f>INDEX(Workings_risks!AB$22:AB$233, MATCH($A$3&amp;$F32, Workings_risks!$G$22:$G$233,0))</f>
        <v>0</v>
      </c>
      <c r="AC32" s="32">
        <f>INDEX(Workings_risks!AC$22:AC$233, MATCH($A$3&amp;$F32, Workings_risks!$G$22:$G$233,0))</f>
        <v>0</v>
      </c>
      <c r="AD32" s="32">
        <f>INDEX(Workings_risks!AD$22:AD$233, MATCH($A$3&amp;$F32, Workings_risks!$G$22:$G$233,0))</f>
        <v>0</v>
      </c>
      <c r="AE32" s="32">
        <f>INDEX(Workings_risks!AE$22:AE$233, MATCH($A$3&amp;$F32, Workings_risks!$G$22:$G$233,0))</f>
        <v>0</v>
      </c>
      <c r="AF32" s="32">
        <f>INDEX(Workings_risks!AF$22:AF$233, MATCH($A$3&amp;$F32, Workings_risks!$G$22:$G$233,0))</f>
        <v>0</v>
      </c>
      <c r="AG32" s="32">
        <f>INDEX(Workings_risks!AG$22:AG$233, MATCH($A$3&amp;$F32, Workings_risks!$G$22:$G$233,0))</f>
        <v>0</v>
      </c>
      <c r="AH32"/>
      <c r="AI32"/>
      <c r="AJ32"/>
      <c r="AK32"/>
      <c r="AL32"/>
      <c r="AM32"/>
      <c r="AN32"/>
      <c r="AO32"/>
      <c r="AP32"/>
      <c r="AQ32"/>
    </row>
    <row r="33" spans="1:16372" ht="13.5" x14ac:dyDescent="0.3">
      <c r="C33" s="1" t="s">
        <v>289</v>
      </c>
      <c r="D33" s="219"/>
      <c r="E33"/>
      <c r="F33" s="350" t="s">
        <v>245</v>
      </c>
      <c r="G33" s="207">
        <f>input_dollars</f>
        <v>45291</v>
      </c>
      <c r="H33"/>
      <c r="I33" s="32">
        <f>INDEX(Workings_risks!I$22:I$233, MATCH($A$3&amp;$F33, Workings_risks!$G$22:$G$233,0))</f>
        <v>123274.05400644307</v>
      </c>
      <c r="J33" s="32">
        <f>INDEX(Workings_risks!J$22:J$233, MATCH($A$3&amp;$F33, Workings_risks!$G$22:$G$233,0))</f>
        <v>123274.05400644307</v>
      </c>
      <c r="K33" s="32">
        <f>INDEX(Workings_risks!K$22:K$233, MATCH($A$3&amp;$F33, Workings_risks!$G$22:$G$233,0))</f>
        <v>123274.05400644307</v>
      </c>
      <c r="L33" s="32">
        <f>INDEX(Workings_risks!L$22:L$233, MATCH($A$3&amp;$F33, Workings_risks!$G$22:$G$233,0))</f>
        <v>123274.05400644307</v>
      </c>
      <c r="M33" s="32">
        <f>INDEX(Workings_risks!M$22:M$233, MATCH($A$3&amp;$F33, Workings_risks!$G$22:$G$233,0))</f>
        <v>123274.05400644307</v>
      </c>
      <c r="N33" s="32">
        <f>INDEX(Workings_risks!N$22:N$233, MATCH($A$3&amp;$F33, Workings_risks!$G$22:$G$233,0))</f>
        <v>123274.05400644307</v>
      </c>
      <c r="O33" s="32">
        <f>INDEX(Workings_risks!O$22:O$233, MATCH($A$3&amp;$F33, Workings_risks!$G$22:$G$233,0))</f>
        <v>123274.05400644307</v>
      </c>
      <c r="P33" s="32">
        <f>INDEX(Workings_risks!P$22:P$233, MATCH($A$3&amp;$F33, Workings_risks!$G$22:$G$233,0))</f>
        <v>123274.05400644307</v>
      </c>
      <c r="Q33" s="32">
        <f>INDEX(Workings_risks!Q$22:Q$233, MATCH($A$3&amp;$F33, Workings_risks!$G$22:$G$233,0))</f>
        <v>123274.05400644307</v>
      </c>
      <c r="R33" s="32">
        <f>INDEX(Workings_risks!R$22:R$233, MATCH($A$3&amp;$F33, Workings_risks!$G$22:$G$233,0))</f>
        <v>123274.05400644307</v>
      </c>
      <c r="S33" s="32">
        <f>INDEX(Workings_risks!S$22:S$233, MATCH($A$3&amp;$F33, Workings_risks!$G$22:$G$233,0))</f>
        <v>123274.05400644307</v>
      </c>
      <c r="T33" s="32">
        <f>INDEX(Workings_risks!T$22:T$233, MATCH($A$3&amp;$F33, Workings_risks!$G$22:$G$233,0))</f>
        <v>123274.05400644307</v>
      </c>
      <c r="U33" s="32">
        <f>INDEX(Workings_risks!U$22:U$233, MATCH($A$3&amp;$F33, Workings_risks!$G$22:$G$233,0))</f>
        <v>123274.05400644307</v>
      </c>
      <c r="V33" s="32">
        <f>INDEX(Workings_risks!V$22:V$233, MATCH($A$3&amp;$F33, Workings_risks!$G$22:$G$233,0))</f>
        <v>0</v>
      </c>
      <c r="W33" s="32">
        <f>INDEX(Workings_risks!W$22:W$233, MATCH($A$3&amp;$F33, Workings_risks!$G$22:$G$233,0))</f>
        <v>0</v>
      </c>
      <c r="X33" s="32">
        <f>INDEX(Workings_risks!X$22:X$233, MATCH($A$3&amp;$F33, Workings_risks!$G$22:$G$233,0))</f>
        <v>0</v>
      </c>
      <c r="Y33" s="32">
        <f>INDEX(Workings_risks!Y$22:Y$233, MATCH($A$3&amp;$F33, Workings_risks!$G$22:$G$233,0))</f>
        <v>0</v>
      </c>
      <c r="Z33" s="32">
        <f>INDEX(Workings_risks!Z$22:Z$233, MATCH($A$3&amp;$F33, Workings_risks!$G$22:$G$233,0))</f>
        <v>0</v>
      </c>
      <c r="AA33" s="32">
        <f>INDEX(Workings_risks!AA$22:AA$233, MATCH($A$3&amp;$F33, Workings_risks!$G$22:$G$233,0))</f>
        <v>0</v>
      </c>
      <c r="AB33" s="32">
        <f>INDEX(Workings_risks!AB$22:AB$233, MATCH($A$3&amp;$F33, Workings_risks!$G$22:$G$233,0))</f>
        <v>0</v>
      </c>
      <c r="AC33" s="32">
        <f>INDEX(Workings_risks!AC$22:AC$233, MATCH($A$3&amp;$F33, Workings_risks!$G$22:$G$233,0))</f>
        <v>0</v>
      </c>
      <c r="AD33" s="32">
        <f>INDEX(Workings_risks!AD$22:AD$233, MATCH($A$3&amp;$F33, Workings_risks!$G$22:$G$233,0))</f>
        <v>0</v>
      </c>
      <c r="AE33" s="32">
        <f>INDEX(Workings_risks!AE$22:AE$233, MATCH($A$3&amp;$F33, Workings_risks!$G$22:$G$233,0))</f>
        <v>0</v>
      </c>
      <c r="AF33" s="32">
        <f>INDEX(Workings_risks!AF$22:AF$233, MATCH($A$3&amp;$F33, Workings_risks!$G$22:$G$233,0))</f>
        <v>0</v>
      </c>
      <c r="AG33" s="32">
        <f>INDEX(Workings_risks!AG$22:AG$233, MATCH($A$3&amp;$F33, Workings_risks!$G$22:$G$233,0))</f>
        <v>0</v>
      </c>
      <c r="AH33"/>
      <c r="AI33"/>
      <c r="AJ33"/>
      <c r="AK33"/>
      <c r="AL33"/>
      <c r="AM33"/>
      <c r="AN33"/>
      <c r="AO33"/>
      <c r="AP33"/>
      <c r="AQ33"/>
    </row>
    <row r="34" spans="1:16372" ht="13.5" x14ac:dyDescent="0.3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ht="13.5" x14ac:dyDescent="0.3">
      <c r="C36" s="3" t="s">
        <v>167</v>
      </c>
      <c r="D36" s="218"/>
      <c r="E36" s="107"/>
      <c r="F36" s="3"/>
      <c r="G36" s="209"/>
      <c r="H36" s="107"/>
      <c r="I36" s="170">
        <f>SUM(I28:I34)</f>
        <v>5555035.6045780415</v>
      </c>
      <c r="J36" s="170">
        <f t="shared" ref="J36:AG36" si="3">SUM(J28:J34)</f>
        <v>5234851.3337498391</v>
      </c>
      <c r="K36" s="170">
        <f t="shared" si="3"/>
        <v>4914667.0629216358</v>
      </c>
      <c r="L36" s="170">
        <f t="shared" si="3"/>
        <v>4473806.2427969724</v>
      </c>
      <c r="M36" s="170">
        <f t="shared" si="3"/>
        <v>4032945.4226723094</v>
      </c>
      <c r="N36" s="170">
        <f t="shared" si="3"/>
        <v>3712761.1518441066</v>
      </c>
      <c r="O36" s="170">
        <f t="shared" si="3"/>
        <v>3271900.3317194432</v>
      </c>
      <c r="P36" s="170">
        <f t="shared" si="3"/>
        <v>2951716.0608912408</v>
      </c>
      <c r="Q36" s="170">
        <f t="shared" si="3"/>
        <v>2631531.7900630385</v>
      </c>
      <c r="R36" s="170">
        <f t="shared" si="3"/>
        <v>2190670.9699383755</v>
      </c>
      <c r="S36" s="170">
        <f t="shared" si="3"/>
        <v>1870486.6991101732</v>
      </c>
      <c r="T36" s="170">
        <f t="shared" si="3"/>
        <v>1429625.8789855095</v>
      </c>
      <c r="U36" s="170">
        <f t="shared" si="3"/>
        <v>1109441.6081573069</v>
      </c>
      <c r="V36" s="170">
        <f t="shared" si="3"/>
        <v>665983.2833226613</v>
      </c>
      <c r="W36" s="170">
        <f t="shared" si="3"/>
        <v>345799.0124944587</v>
      </c>
      <c r="X36" s="170">
        <f t="shared" si="3"/>
        <v>25614.741666256203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3.5" x14ac:dyDescent="0.3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4.5" x14ac:dyDescent="0.3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ht="13.5" x14ac:dyDescent="0.3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4" x14ac:dyDescent="0.3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4" x14ac:dyDescent="0.35">
      <c r="C42" s="1" t="s">
        <v>127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ht="13.5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ht="13.5" x14ac:dyDescent="0.3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3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3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3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3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3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5"/>
    </row>
    <row r="57" spans="1:43" ht="13.5" x14ac:dyDescent="0.3">
      <c r="C57" s="3" t="s">
        <v>123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3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3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4.5" x14ac:dyDescent="0.3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4.5" x14ac:dyDescent="0.3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3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3">
      <c r="F63" s="2"/>
      <c r="G63" s="212"/>
    </row>
    <row r="64" spans="1:43" x14ac:dyDescent="0.3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118079.04458647873</v>
      </c>
      <c r="J64" s="132">
        <f>(1-INDEX(Data!$C$9:$C$13, MATCH($A$3, options,0)))*('Option1 (base case)'!J36-J36)</f>
        <v>438263.3154146811</v>
      </c>
      <c r="K64" s="132">
        <f>(1-INDEX(Data!$C$9:$C$13, MATCH($A$3, options,0)))*('Option1 (base case)'!K36-K36)</f>
        <v>758447.5862428844</v>
      </c>
      <c r="L64" s="132">
        <f>(1-INDEX(Data!$C$9:$C$13, MATCH($A$3, options,0)))*('Option1 (base case)'!L36-L36)</f>
        <v>1319984.9556640079</v>
      </c>
      <c r="M64" s="132">
        <f>(1-INDEX(Data!$C$9:$C$13, MATCH($A$3, options,0)))*('Option1 (base case)'!M36-M36)</f>
        <v>1760845.7757886709</v>
      </c>
      <c r="N64" s="132">
        <f>(1-INDEX(Data!$C$9:$C$13, MATCH($A$3, options,0)))*('Option1 (base case)'!N36-N36)</f>
        <v>2081030.0466168737</v>
      </c>
      <c r="O64" s="132">
        <f>(1-INDEX(Data!$C$9:$C$13, MATCH($A$3, options,0)))*('Option1 (base case)'!O36-O36)</f>
        <v>2642567.4160379972</v>
      </c>
      <c r="P64" s="132">
        <f>(1-INDEX(Data!$C$9:$C$13, MATCH($A$3, options,0)))*('Option1 (base case)'!P36-P36)</f>
        <v>2962751.6868661996</v>
      </c>
      <c r="Q64" s="132">
        <f>(1-INDEX(Data!$C$9:$C$13, MATCH($A$3, options,0)))*('Option1 (base case)'!Q36-Q36)</f>
        <v>3403612.5069908639</v>
      </c>
      <c r="R64" s="132">
        <f>(1-INDEX(Data!$C$9:$C$13, MATCH($A$3, options,0)))*('Option1 (base case)'!R36-R36)</f>
        <v>3844473.3271155269</v>
      </c>
      <c r="S64" s="132">
        <f>(1-INDEX(Data!$C$9:$C$13, MATCH($A$3, options,0)))*('Option1 (base case)'!S36-S36)</f>
        <v>4285334.1472401898</v>
      </c>
      <c r="T64" s="132">
        <f>(1-INDEX(Data!$C$9:$C$13, MATCH($A$3, options,0)))*('Option1 (base case)'!T36-T36)</f>
        <v>4726194.9673648532</v>
      </c>
      <c r="U64" s="132">
        <f>(1-INDEX(Data!$C$9:$C$13, MATCH($A$3, options,0)))*('Option1 (base case)'!U36-U36)</f>
        <v>5167055.7874895157</v>
      </c>
      <c r="V64" s="132">
        <f>(1-INDEX(Data!$C$9:$C$13, MATCH($A$3, options,0)))*('Option1 (base case)'!V36-V36)</f>
        <v>5610514.1123241615</v>
      </c>
      <c r="W64" s="132">
        <f>(1-INDEX(Data!$C$9:$C$13, MATCH($A$3, options,0)))*('Option1 (base case)'!W36-W36)</f>
        <v>5930698.3831523638</v>
      </c>
      <c r="X64" s="132">
        <f>(1-INDEX(Data!$C$9:$C$13, MATCH($A$3, options,0)))*('Option1 (base case)'!X36-X36)</f>
        <v>6250882.6539805662</v>
      </c>
      <c r="Y64" s="132">
        <f>(1-INDEX(Data!$C$9:$C$13, MATCH($A$3, options,0)))*('Option1 (base case)'!Y36-Y36)</f>
        <v>6276497.3956468226</v>
      </c>
      <c r="Z64" s="132">
        <f>(1-INDEX(Data!$C$9:$C$13, MATCH($A$3, options,0)))*('Option1 (base case)'!Z36-Z36)</f>
        <v>6276497.3956468226</v>
      </c>
      <c r="AA64" s="132">
        <f>(1-INDEX(Data!$C$9:$C$13, MATCH($A$3, options,0)))*('Option1 (base case)'!AA36-AA36)</f>
        <v>6276497.3956468226</v>
      </c>
      <c r="AB64" s="132">
        <f>(1-INDEX(Data!$C$9:$C$13, MATCH($A$3, options,0)))*('Option1 (base case)'!AB36-AB36)</f>
        <v>6276497.3956468226</v>
      </c>
      <c r="AC64" s="132">
        <f>(1-INDEX(Data!$C$9:$C$13, MATCH($A$3, options,0)))*('Option1 (base case)'!AC36-AC36)</f>
        <v>6276497.3956468226</v>
      </c>
      <c r="AD64" s="132">
        <f>(1-INDEX(Data!$C$9:$C$13, MATCH($A$3, options,0)))*('Option1 (base case)'!AD36-AD36)</f>
        <v>6276497.3956468226</v>
      </c>
      <c r="AE64" s="132">
        <f>(1-INDEX(Data!$C$9:$C$13, MATCH($A$3, options,0)))*('Option1 (base case)'!AE36-AE36)</f>
        <v>6276497.3956468226</v>
      </c>
      <c r="AF64" s="132">
        <f>(1-INDEX(Data!$C$9:$C$13, MATCH($A$3, options,0)))*('Option1 (base case)'!AF36-AF36)</f>
        <v>6276497.3956468226</v>
      </c>
      <c r="AG64" s="132">
        <f>(1-INDEX(Data!$C$9:$C$13, MATCH($A$3, options,0)))*('Option1 (base case)'!AG36-AG36)</f>
        <v>0</v>
      </c>
    </row>
    <row r="65" spans="1:33" x14ac:dyDescent="0.3">
      <c r="G65" s="212"/>
    </row>
    <row r="66" spans="1:33" x14ac:dyDescent="0.3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3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5">-I14</f>
        <v>-2311175</v>
      </c>
      <c r="J67" s="119">
        <f t="shared" si="5"/>
        <v>-2311175</v>
      </c>
      <c r="K67" s="119">
        <f t="shared" si="5"/>
        <v>-2311175</v>
      </c>
      <c r="L67" s="119">
        <f t="shared" si="5"/>
        <v>-2311175</v>
      </c>
      <c r="M67" s="119">
        <f t="shared" si="5"/>
        <v>-2311175</v>
      </c>
      <c r="N67" s="119">
        <f t="shared" si="5"/>
        <v>-2311175</v>
      </c>
      <c r="O67" s="119">
        <f t="shared" si="5"/>
        <v>-2311175</v>
      </c>
      <c r="P67" s="119">
        <f t="shared" si="5"/>
        <v>-2311175</v>
      </c>
      <c r="Q67" s="119">
        <f t="shared" si="5"/>
        <v>-2311175</v>
      </c>
      <c r="R67" s="119">
        <f t="shared" si="5"/>
        <v>-2311175</v>
      </c>
      <c r="S67" s="119">
        <f t="shared" si="5"/>
        <v>-2311175</v>
      </c>
      <c r="T67" s="119">
        <f t="shared" si="5"/>
        <v>-2311175</v>
      </c>
      <c r="U67" s="119">
        <f t="shared" si="5"/>
        <v>-2311175</v>
      </c>
      <c r="V67" s="119">
        <f t="shared" si="5"/>
        <v>-2311175</v>
      </c>
      <c r="W67" s="119">
        <f t="shared" si="5"/>
        <v>-2311175</v>
      </c>
      <c r="X67" s="119">
        <f t="shared" si="5"/>
        <v>-184894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3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3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3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3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3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-2311175</v>
      </c>
      <c r="J72" s="119" cm="1">
        <f t="array" ref="J72">SUMPRODUCT(($I67:J67))-SUMPRODUCT(($I67:J67)*($I$6:J$6&lt;=(J$6-$E14)))</f>
        <v>-4622350</v>
      </c>
      <c r="K72" s="119" cm="1">
        <f t="array" ref="K72">SUMPRODUCT(($I67:K67))-SUMPRODUCT(($I67:K67)*($I$6:K$6&lt;=(K$6-$E14)))</f>
        <v>-6933525</v>
      </c>
      <c r="L72" s="119" cm="1">
        <f t="array" ref="L72">SUMPRODUCT(($I67:L67))-SUMPRODUCT(($I67:L67)*($I$6:L$6&lt;=(L$6-$E14)))</f>
        <v>-9244700</v>
      </c>
      <c r="M72" s="119" cm="1">
        <f t="array" ref="M72">SUMPRODUCT(($I67:M67))-SUMPRODUCT(($I67:M67)*($I$6:M$6&lt;=(M$6-$E14)))</f>
        <v>-11555875</v>
      </c>
      <c r="N72" s="119" cm="1">
        <f t="array" ref="N72">SUMPRODUCT(($I67:N67))-SUMPRODUCT(($I67:N67)*($I$6:N$6&lt;=(N$6-$E14)))</f>
        <v>-13867050</v>
      </c>
      <c r="O72" s="119" cm="1">
        <f t="array" ref="O72">SUMPRODUCT(($I67:O67))-SUMPRODUCT(($I67:O67)*($I$6:O$6&lt;=(O$6-$E14)))</f>
        <v>-16178225</v>
      </c>
      <c r="P72" s="119" cm="1">
        <f t="array" ref="P72">SUMPRODUCT(($I67:P67))-SUMPRODUCT(($I67:P67)*($I$6:P$6&lt;=(P$6-$E14)))</f>
        <v>-18489400</v>
      </c>
      <c r="Q72" s="119" cm="1">
        <f t="array" ref="Q72">SUMPRODUCT(($I67:Q67))-SUMPRODUCT(($I67:Q67)*($I$6:Q$6&lt;=(Q$6-$E14)))</f>
        <v>-20800575</v>
      </c>
      <c r="R72" s="119" cm="1">
        <f t="array" ref="R72">SUMPRODUCT(($I67:R67))-SUMPRODUCT(($I67:R67)*($I$6:R$6&lt;=(R$6-$E14)))</f>
        <v>-23111750</v>
      </c>
      <c r="S72" s="119" cm="1">
        <f t="array" ref="S72">SUMPRODUCT(($I67:S67))-SUMPRODUCT(($I67:S67)*($I$6:S$6&lt;=(S$6-$E14)))</f>
        <v>-25422925</v>
      </c>
      <c r="T72" s="119" cm="1">
        <f t="array" ref="T72">SUMPRODUCT(($I67:T67))-SUMPRODUCT(($I67:T67)*($I$6:T$6&lt;=(T$6-$E14)))</f>
        <v>-27734100</v>
      </c>
      <c r="U72" s="119" cm="1">
        <f t="array" ref="U72">SUMPRODUCT(($I67:U67))-SUMPRODUCT(($I67:U67)*($I$6:U$6&lt;=(U$6-$E14)))</f>
        <v>-30045275</v>
      </c>
      <c r="V72" s="119" cm="1">
        <f t="array" ref="V72">SUMPRODUCT(($I67:V67))-SUMPRODUCT(($I67:V67)*($I$6:V$6&lt;=(V$6-$E14)))</f>
        <v>-32356450</v>
      </c>
      <c r="W72" s="119" cm="1">
        <f t="array" ref="W72">SUMPRODUCT(($I67:W67))-SUMPRODUCT(($I67:W67)*($I$6:W$6&lt;=(W$6-$E14)))</f>
        <v>-34667625</v>
      </c>
      <c r="X72" s="119" cm="1">
        <f t="array" ref="X72">SUMPRODUCT(($I67:X67))-SUMPRODUCT(($I67:X67)*($I$6:X$6&lt;=(X$6-$E14)))</f>
        <v>-34852519</v>
      </c>
      <c r="Y72" s="119" cm="1">
        <f t="array" ref="Y72">SUMPRODUCT(($I67:Y67))-SUMPRODUCT(($I67:Y67)*($I$6:Y$6&lt;=(Y$6-$E14)))</f>
        <v>-34852519</v>
      </c>
      <c r="Z72" s="119" cm="1">
        <f t="array" ref="Z72">SUMPRODUCT(($I67:Z67))-SUMPRODUCT(($I67:Z67)*($I$6:Z$6&lt;=(Z$6-$E14)))</f>
        <v>-34852519</v>
      </c>
      <c r="AA72" s="119" cm="1">
        <f t="array" ref="AA72">SUMPRODUCT(($I67:AA67))-SUMPRODUCT(($I67:AA67)*($I$6:AA$6&lt;=(AA$6-$E14)))</f>
        <v>-34852519</v>
      </c>
      <c r="AB72" s="119" cm="1">
        <f t="array" ref="AB72">SUMPRODUCT(($I67:AB67))-SUMPRODUCT(($I67:AB67)*($I$6:AB$6&lt;=(AB$6-$E14)))</f>
        <v>-34852519</v>
      </c>
      <c r="AC72" s="119" cm="1">
        <f t="array" ref="AC72">SUMPRODUCT(($I67:AC67))-SUMPRODUCT(($I67:AC67)*($I$6:AC$6&lt;=(AC$6-$E14)))</f>
        <v>-34852519</v>
      </c>
      <c r="AD72" s="119" cm="1">
        <f t="array" ref="AD72">SUMPRODUCT(($I67:AD67))-SUMPRODUCT(($I67:AD67)*($I$6:AD$6&lt;=(AD$6-$E14)))</f>
        <v>-34852519</v>
      </c>
      <c r="AE72" s="119" cm="1">
        <f t="array" ref="AE72">SUMPRODUCT(($I67:AE67))-SUMPRODUCT(($I67:AE67)*($I$6:AE$6&lt;=(AE$6-$E14)))</f>
        <v>-34852519</v>
      </c>
      <c r="AF72" s="119" cm="1">
        <f t="array" ref="AF72">SUMPRODUCT(($I67:AF67))-SUMPRODUCT(($I67:AF67)*($I$6:AF$6&lt;=(AF$6-$E14)))</f>
        <v>-34852519</v>
      </c>
      <c r="AG72" s="119" cm="1">
        <f t="array" ref="AG72">SUMPRODUCT(($I67:AG67))-SUMPRODUCT(($I67:AG67)*($I$6:AG$6&lt;=(AG$6-$E14)))</f>
        <v>-34852519</v>
      </c>
    </row>
    <row r="73" spans="1:33" x14ac:dyDescent="0.3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3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3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3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3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-95250.986207955706</v>
      </c>
      <c r="K77" s="119">
        <f t="shared" si="8"/>
        <v>-190501.97241591141</v>
      </c>
      <c r="L77" s="119">
        <f t="shared" si="8"/>
        <v>-285752.95862386713</v>
      </c>
      <c r="M77" s="119">
        <f t="shared" si="8"/>
        <v>-381003.94483182282</v>
      </c>
      <c r="N77" s="119">
        <f t="shared" si="8"/>
        <v>-476254.93103977846</v>
      </c>
      <c r="O77" s="119">
        <f t="shared" si="8"/>
        <v>-571505.91724773427</v>
      </c>
      <c r="P77" s="119">
        <f t="shared" si="8"/>
        <v>-666756.9034556899</v>
      </c>
      <c r="Q77" s="119">
        <f t="shared" si="8"/>
        <v>-762007.88966364565</v>
      </c>
      <c r="R77" s="119">
        <f t="shared" si="8"/>
        <v>-857258.8758716014</v>
      </c>
      <c r="S77" s="119">
        <f t="shared" si="8"/>
        <v>-952509.86207955691</v>
      </c>
      <c r="T77" s="119">
        <f t="shared" si="8"/>
        <v>-1047760.8482875127</v>
      </c>
      <c r="U77" s="119">
        <f t="shared" si="8"/>
        <v>-1143011.8344954685</v>
      </c>
      <c r="V77" s="119">
        <f t="shared" si="8"/>
        <v>-1238262.8207034243</v>
      </c>
      <c r="W77" s="119">
        <f t="shared" si="8"/>
        <v>-1333513.8069113798</v>
      </c>
      <c r="X77" s="119">
        <f t="shared" si="8"/>
        <v>-1428764.7931193355</v>
      </c>
      <c r="Y77" s="119">
        <f t="shared" si="8"/>
        <v>-1436384.8720159719</v>
      </c>
      <c r="Z77" s="119">
        <f t="shared" si="8"/>
        <v>-1436384.8720159719</v>
      </c>
      <c r="AA77" s="119">
        <f t="shared" si="8"/>
        <v>-1436384.8720159719</v>
      </c>
      <c r="AB77" s="119">
        <f t="shared" si="8"/>
        <v>-1436384.8720159719</v>
      </c>
      <c r="AC77" s="119">
        <f t="shared" si="8"/>
        <v>-1436384.8720159719</v>
      </c>
      <c r="AD77" s="119">
        <f t="shared" si="8"/>
        <v>-1436384.8720159719</v>
      </c>
      <c r="AE77" s="119">
        <f t="shared" si="8"/>
        <v>-1436384.8720159719</v>
      </c>
      <c r="AF77" s="119">
        <f t="shared" si="8"/>
        <v>-1436384.8720159719</v>
      </c>
      <c r="AG77" s="119">
        <f t="shared" si="8"/>
        <v>-1436384.8720159719</v>
      </c>
    </row>
    <row r="78" spans="1:33" x14ac:dyDescent="0.3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3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3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-95250.986207955706</v>
      </c>
      <c r="K80" s="176">
        <f t="shared" si="11"/>
        <v>-190501.97241591141</v>
      </c>
      <c r="L80" s="176">
        <f t="shared" si="11"/>
        <v>-285752.95862386713</v>
      </c>
      <c r="M80" s="176">
        <f t="shared" si="11"/>
        <v>-381003.94483182282</v>
      </c>
      <c r="N80" s="176">
        <f t="shared" si="11"/>
        <v>-476254.93103977846</v>
      </c>
      <c r="O80" s="176">
        <f t="shared" si="11"/>
        <v>-571505.91724773427</v>
      </c>
      <c r="P80" s="176">
        <f t="shared" si="11"/>
        <v>-666756.9034556899</v>
      </c>
      <c r="Q80" s="176">
        <f t="shared" si="11"/>
        <v>-762007.88966364565</v>
      </c>
      <c r="R80" s="176">
        <f t="shared" si="11"/>
        <v>-857258.8758716014</v>
      </c>
      <c r="S80" s="176">
        <f t="shared" si="11"/>
        <v>-952509.86207955691</v>
      </c>
      <c r="T80" s="176">
        <f t="shared" si="11"/>
        <v>-1047760.8482875127</v>
      </c>
      <c r="U80" s="176">
        <f t="shared" si="11"/>
        <v>-1143011.8344954685</v>
      </c>
      <c r="V80" s="176">
        <f t="shared" si="11"/>
        <v>-1238262.8207034243</v>
      </c>
      <c r="W80" s="176">
        <f t="shared" si="11"/>
        <v>-1333513.8069113798</v>
      </c>
      <c r="X80" s="176">
        <f t="shared" si="11"/>
        <v>-1428764.7931193355</v>
      </c>
      <c r="Y80" s="176">
        <f t="shared" si="11"/>
        <v>-1436384.8720159719</v>
      </c>
      <c r="Z80" s="176">
        <f t="shared" si="11"/>
        <v>-1436384.8720159719</v>
      </c>
      <c r="AA80" s="176">
        <f t="shared" si="11"/>
        <v>-1436384.8720159719</v>
      </c>
      <c r="AB80" s="176">
        <f t="shared" si="11"/>
        <v>-1436384.8720159719</v>
      </c>
      <c r="AC80" s="176">
        <f>SUM(AC77:AC79)</f>
        <v>-1436384.8720159719</v>
      </c>
      <c r="AD80" s="176">
        <f>SUM(AD77:AD79)</f>
        <v>-1436384.8720159719</v>
      </c>
      <c r="AE80" s="176">
        <f>SUM(AE77:AE79)</f>
        <v>-1436384.8720159719</v>
      </c>
      <c r="AF80" s="176">
        <f>SUM(AF77:AF79)</f>
        <v>-1436384.8720159719</v>
      </c>
      <c r="AG80" s="176">
        <f>SUM(AG77:AG79)</f>
        <v>-1436384.8720159719</v>
      </c>
    </row>
    <row r="81" spans="1:33" ht="13.5" x14ac:dyDescent="0.3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3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-95250.986207955706</v>
      </c>
      <c r="K82" s="119">
        <f t="shared" si="13"/>
        <v>-190501.97241591141</v>
      </c>
      <c r="L82" s="119">
        <f t="shared" si="13"/>
        <v>-285752.95862386713</v>
      </c>
      <c r="M82" s="119">
        <f t="shared" si="13"/>
        <v>-381003.94483182282</v>
      </c>
      <c r="N82" s="119">
        <f t="shared" si="13"/>
        <v>-476254.93103977846</v>
      </c>
      <c r="O82" s="119">
        <f t="shared" si="13"/>
        <v>-571505.91724773427</v>
      </c>
      <c r="P82" s="119">
        <f t="shared" si="13"/>
        <v>-666756.9034556899</v>
      </c>
      <c r="Q82" s="119">
        <f t="shared" si="13"/>
        <v>-762007.88966364565</v>
      </c>
      <c r="R82" s="119">
        <f t="shared" si="13"/>
        <v>-857258.8758716014</v>
      </c>
      <c r="S82" s="119">
        <f t="shared" si="13"/>
        <v>-952509.86207955691</v>
      </c>
      <c r="T82" s="119">
        <f t="shared" si="13"/>
        <v>-1047760.8482875127</v>
      </c>
      <c r="U82" s="119">
        <f t="shared" si="13"/>
        <v>-1143011.8344954685</v>
      </c>
      <c r="V82" s="119">
        <f t="shared" si="13"/>
        <v>-1238262.8207034243</v>
      </c>
      <c r="W82" s="119">
        <f t="shared" si="13"/>
        <v>-1333513.8069113798</v>
      </c>
      <c r="X82" s="119">
        <f t="shared" si="13"/>
        <v>-1428764.7931193355</v>
      </c>
      <c r="Y82" s="119">
        <f t="shared" si="13"/>
        <v>-1436384.8720159719</v>
      </c>
      <c r="Z82" s="119">
        <f t="shared" si="13"/>
        <v>-1436384.8720159719</v>
      </c>
      <c r="AA82" s="119">
        <f t="shared" si="13"/>
        <v>-1436384.8720159719</v>
      </c>
      <c r="AB82" s="119">
        <f t="shared" si="13"/>
        <v>-1436384.8720159719</v>
      </c>
      <c r="AC82" s="119">
        <f>AC80</f>
        <v>-1436384.8720159719</v>
      </c>
      <c r="AD82" s="119">
        <f>AD80</f>
        <v>-1436384.8720159719</v>
      </c>
      <c r="AE82" s="119">
        <f>AE80</f>
        <v>-1436384.8720159719</v>
      </c>
      <c r="AF82" s="119">
        <f>AF80</f>
        <v>-1436384.8720159719</v>
      </c>
      <c r="AG82" s="119">
        <f>AG80</f>
        <v>-1436384.8720159719</v>
      </c>
    </row>
    <row r="83" spans="1:33" x14ac:dyDescent="0.3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3">
      <c r="A84" s="8"/>
      <c r="B84" s="8"/>
      <c r="C84" s="4" t="s">
        <v>137</v>
      </c>
      <c r="D84" s="38"/>
      <c r="F84" s="97"/>
      <c r="G84" s="210">
        <f t="shared" si="12"/>
        <v>45291</v>
      </c>
      <c r="H84" s="31"/>
      <c r="I84" s="31">
        <f>I64</f>
        <v>118079.04458647873</v>
      </c>
      <c r="J84" s="31">
        <f t="shared" ref="J84:AB84" si="15">J64</f>
        <v>438263.3154146811</v>
      </c>
      <c r="K84" s="31">
        <f t="shared" si="15"/>
        <v>758447.5862428844</v>
      </c>
      <c r="L84" s="31">
        <f t="shared" si="15"/>
        <v>1319984.9556640079</v>
      </c>
      <c r="M84" s="31">
        <f t="shared" si="15"/>
        <v>1760845.7757886709</v>
      </c>
      <c r="N84" s="31">
        <f t="shared" si="15"/>
        <v>2081030.0466168737</v>
      </c>
      <c r="O84" s="31">
        <f t="shared" si="15"/>
        <v>2642567.4160379972</v>
      </c>
      <c r="P84" s="31">
        <f t="shared" si="15"/>
        <v>2962751.6868661996</v>
      </c>
      <c r="Q84" s="31">
        <f t="shared" si="15"/>
        <v>3403612.5069908639</v>
      </c>
      <c r="R84" s="31">
        <f t="shared" si="15"/>
        <v>3844473.3271155269</v>
      </c>
      <c r="S84" s="31">
        <f t="shared" si="15"/>
        <v>4285334.1472401898</v>
      </c>
      <c r="T84" s="31">
        <f t="shared" si="15"/>
        <v>4726194.9673648532</v>
      </c>
      <c r="U84" s="31">
        <f t="shared" si="15"/>
        <v>5167055.7874895157</v>
      </c>
      <c r="V84" s="31">
        <f t="shared" si="15"/>
        <v>5610514.1123241615</v>
      </c>
      <c r="W84" s="31">
        <f t="shared" si="15"/>
        <v>5930698.3831523638</v>
      </c>
      <c r="X84" s="31">
        <f t="shared" si="15"/>
        <v>6250882.6539805662</v>
      </c>
      <c r="Y84" s="31">
        <f t="shared" si="15"/>
        <v>6276497.3956468226</v>
      </c>
      <c r="Z84" s="31">
        <f t="shared" si="15"/>
        <v>6276497.3956468226</v>
      </c>
      <c r="AA84" s="31">
        <f t="shared" si="15"/>
        <v>6276497.3956468226</v>
      </c>
      <c r="AB84" s="31">
        <f t="shared" si="15"/>
        <v>6276497.3956468226</v>
      </c>
      <c r="AC84" s="31">
        <f>AC64</f>
        <v>6276497.3956468226</v>
      </c>
      <c r="AD84" s="31">
        <f>AD64</f>
        <v>6276497.3956468226</v>
      </c>
      <c r="AE84" s="31">
        <f>AE64</f>
        <v>6276497.3956468226</v>
      </c>
      <c r="AF84" s="31">
        <f>AF64</f>
        <v>6276497.3956468226</v>
      </c>
      <c r="AG84" s="31">
        <f>AG64</f>
        <v>0</v>
      </c>
    </row>
    <row r="85" spans="1:33" x14ac:dyDescent="0.3">
      <c r="A85" s="8"/>
      <c r="B85" s="8"/>
      <c r="C85" s="4" t="s">
        <v>120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3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3">
      <c r="A87" s="8"/>
      <c r="B87" s="8"/>
      <c r="C87" s="177" t="s">
        <v>182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118079.04458647873</v>
      </c>
      <c r="J87" s="179">
        <f t="shared" si="17"/>
        <v>343012.32920672541</v>
      </c>
      <c r="K87" s="179">
        <f t="shared" si="17"/>
        <v>567945.61382697301</v>
      </c>
      <c r="L87" s="179">
        <f t="shared" si="17"/>
        <v>1034231.9970401408</v>
      </c>
      <c r="M87" s="179">
        <f t="shared" si="17"/>
        <v>1379841.8309568481</v>
      </c>
      <c r="N87" s="179">
        <f t="shared" si="17"/>
        <v>1604775.1155770952</v>
      </c>
      <c r="O87" s="179">
        <f t="shared" si="17"/>
        <v>2071061.498790263</v>
      </c>
      <c r="P87" s="179">
        <f t="shared" si="17"/>
        <v>2295994.7834105096</v>
      </c>
      <c r="Q87" s="179">
        <f t="shared" si="17"/>
        <v>2641604.6173272184</v>
      </c>
      <c r="R87" s="179">
        <f t="shared" si="17"/>
        <v>2987214.4512439254</v>
      </c>
      <c r="S87" s="179">
        <f t="shared" si="17"/>
        <v>3332824.2851606328</v>
      </c>
      <c r="T87" s="179">
        <f t="shared" si="17"/>
        <v>3678434.1190773407</v>
      </c>
      <c r="U87" s="179">
        <f t="shared" si="17"/>
        <v>4024043.9529940472</v>
      </c>
      <c r="V87" s="179">
        <f t="shared" si="17"/>
        <v>4372251.2916207369</v>
      </c>
      <c r="W87" s="179">
        <f t="shared" si="17"/>
        <v>4597184.5762409838</v>
      </c>
      <c r="X87" s="179">
        <f t="shared" si="17"/>
        <v>4822117.8608612306</v>
      </c>
      <c r="Y87" s="179">
        <f t="shared" si="17"/>
        <v>4840112.5236308509</v>
      </c>
      <c r="Z87" s="179">
        <f t="shared" si="17"/>
        <v>4840112.5236308509</v>
      </c>
      <c r="AA87" s="179">
        <f t="shared" si="17"/>
        <v>4840112.5236308509</v>
      </c>
      <c r="AB87" s="179">
        <f t="shared" si="17"/>
        <v>4840112.5236308509</v>
      </c>
      <c r="AC87" s="179">
        <f>SUM(AC82:AC86)</f>
        <v>4840112.5236308509</v>
      </c>
      <c r="AD87" s="179">
        <f>SUM(AD82:AD86)</f>
        <v>4840112.5236308509</v>
      </c>
      <c r="AE87" s="179">
        <f>SUM(AE82:AE86)</f>
        <v>4840112.5236308509</v>
      </c>
      <c r="AF87" s="179">
        <f>SUM(AF82:AF86)</f>
        <v>4840112.5236308509</v>
      </c>
      <c r="AG87" s="179">
        <f>SUM(AG82:AG86)</f>
        <v>-1436384.8720159719</v>
      </c>
    </row>
    <row r="88" spans="1:33" x14ac:dyDescent="0.3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3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3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C91" s="82"/>
      <c r="D91" s="234"/>
      <c r="E91" s="231"/>
      <c r="F91" s="232"/>
      <c r="G91" s="233"/>
    </row>
    <row r="92" spans="1:33" x14ac:dyDescent="0.3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3">
      <c r="G94" s="12"/>
    </row>
    <row r="102" spans="1:43" ht="14.5" x14ac:dyDescent="0.3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ht="13.5" x14ac:dyDescent="0.3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ht="13.5" x14ac:dyDescent="0.3">
      <c r="A106" s="1" t="s">
        <v>117</v>
      </c>
      <c r="C106" s="1" t="s">
        <v>182</v>
      </c>
      <c r="D106"/>
      <c r="E106"/>
      <c r="F106"/>
      <c r="G106" s="38" t="str">
        <f>PROPER($A$3)&amp;A106</f>
        <v>Option 5NPV</v>
      </c>
      <c r="I106" s="31">
        <f>I87</f>
        <v>118079.04458647873</v>
      </c>
      <c r="J106" s="31">
        <f t="shared" ref="J106:AG106" si="18">J87</f>
        <v>343012.32920672541</v>
      </c>
      <c r="K106" s="31">
        <f t="shared" si="18"/>
        <v>567945.61382697301</v>
      </c>
      <c r="L106" s="31">
        <f t="shared" si="18"/>
        <v>1034231.9970401408</v>
      </c>
      <c r="M106" s="31">
        <f t="shared" si="18"/>
        <v>1379841.8309568481</v>
      </c>
      <c r="N106" s="31">
        <f t="shared" si="18"/>
        <v>1604775.1155770952</v>
      </c>
      <c r="O106" s="31">
        <f t="shared" si="18"/>
        <v>2071061.498790263</v>
      </c>
      <c r="P106" s="31">
        <f t="shared" si="18"/>
        <v>2295994.7834105096</v>
      </c>
      <c r="Q106" s="31">
        <f t="shared" si="18"/>
        <v>2641604.6173272184</v>
      </c>
      <c r="R106" s="31">
        <f t="shared" si="18"/>
        <v>2987214.4512439254</v>
      </c>
      <c r="S106" s="31">
        <f t="shared" si="18"/>
        <v>3332824.2851606328</v>
      </c>
      <c r="T106" s="31">
        <f t="shared" si="18"/>
        <v>3678434.1190773407</v>
      </c>
      <c r="U106" s="31">
        <f t="shared" si="18"/>
        <v>4024043.9529940472</v>
      </c>
      <c r="V106" s="31">
        <f t="shared" si="18"/>
        <v>4372251.2916207369</v>
      </c>
      <c r="W106" s="31">
        <f t="shared" si="18"/>
        <v>4597184.5762409838</v>
      </c>
      <c r="X106" s="31">
        <f t="shared" si="18"/>
        <v>4822117.8608612306</v>
      </c>
      <c r="Y106" s="31">
        <f t="shared" si="18"/>
        <v>4840112.5236308509</v>
      </c>
      <c r="Z106" s="31">
        <f t="shared" si="18"/>
        <v>4840112.5236308509</v>
      </c>
      <c r="AA106" s="31">
        <f t="shared" si="18"/>
        <v>4840112.5236308509</v>
      </c>
      <c r="AB106" s="31">
        <f t="shared" si="18"/>
        <v>4840112.5236308509</v>
      </c>
      <c r="AC106" s="31">
        <f t="shared" si="18"/>
        <v>4840112.5236308509</v>
      </c>
      <c r="AD106" s="31">
        <f t="shared" si="18"/>
        <v>4840112.5236308509</v>
      </c>
      <c r="AE106" s="31">
        <f t="shared" si="18"/>
        <v>4840112.5236308509</v>
      </c>
      <c r="AF106" s="31">
        <f t="shared" si="18"/>
        <v>4840112.5236308509</v>
      </c>
      <c r="AG106" s="31">
        <f t="shared" si="18"/>
        <v>-1436384.8720159719</v>
      </c>
    </row>
    <row r="107" spans="1:43" ht="13.5" x14ac:dyDescent="0.3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9">J82</f>
        <v>-95250.986207955706</v>
      </c>
      <c r="K107" s="31">
        <f t="shared" si="19"/>
        <v>-190501.97241591141</v>
      </c>
      <c r="L107" s="31">
        <f t="shared" si="19"/>
        <v>-285752.95862386713</v>
      </c>
      <c r="M107" s="31">
        <f t="shared" si="19"/>
        <v>-381003.94483182282</v>
      </c>
      <c r="N107" s="31">
        <f t="shared" si="19"/>
        <v>-476254.93103977846</v>
      </c>
      <c r="O107" s="31">
        <f t="shared" si="19"/>
        <v>-571505.91724773427</v>
      </c>
      <c r="P107" s="31">
        <f t="shared" si="19"/>
        <v>-666756.9034556899</v>
      </c>
      <c r="Q107" s="31">
        <f t="shared" si="19"/>
        <v>-762007.88966364565</v>
      </c>
      <c r="R107" s="31">
        <f t="shared" si="19"/>
        <v>-857258.8758716014</v>
      </c>
      <c r="S107" s="31">
        <f t="shared" si="19"/>
        <v>-952509.86207955691</v>
      </c>
      <c r="T107" s="31">
        <f t="shared" si="19"/>
        <v>-1047760.8482875127</v>
      </c>
      <c r="U107" s="31">
        <f t="shared" si="19"/>
        <v>-1143011.8344954685</v>
      </c>
      <c r="V107" s="31">
        <f t="shared" si="19"/>
        <v>-1238262.8207034243</v>
      </c>
      <c r="W107" s="31">
        <f t="shared" si="19"/>
        <v>-1333513.8069113798</v>
      </c>
      <c r="X107" s="31">
        <f t="shared" si="19"/>
        <v>-1428764.7931193355</v>
      </c>
      <c r="Y107" s="31">
        <f t="shared" si="19"/>
        <v>-1436384.8720159719</v>
      </c>
      <c r="Z107" s="31">
        <f t="shared" si="19"/>
        <v>-1436384.8720159719</v>
      </c>
      <c r="AA107" s="31">
        <f t="shared" si="19"/>
        <v>-1436384.8720159719</v>
      </c>
      <c r="AB107" s="31">
        <f t="shared" si="19"/>
        <v>-1436384.8720159719</v>
      </c>
      <c r="AC107" s="31">
        <f t="shared" si="19"/>
        <v>-1436384.8720159719</v>
      </c>
      <c r="AD107" s="31">
        <f t="shared" si="19"/>
        <v>-1436384.8720159719</v>
      </c>
      <c r="AE107" s="31">
        <f t="shared" si="19"/>
        <v>-1436384.8720159719</v>
      </c>
      <c r="AF107" s="31">
        <f t="shared" si="19"/>
        <v>-1436384.8720159719</v>
      </c>
      <c r="AG107" s="31">
        <f t="shared" si="19"/>
        <v>-1436384.8720159719</v>
      </c>
    </row>
    <row r="108" spans="1:43" ht="13.5" x14ac:dyDescent="0.3">
      <c r="C108" s="1" t="s">
        <v>235</v>
      </c>
      <c r="D108"/>
      <c r="E108"/>
      <c r="G108"/>
      <c r="I108" s="31">
        <f>SUM(I84:I85)</f>
        <v>118079.04458647873</v>
      </c>
      <c r="J108" s="31">
        <f t="shared" ref="J108:AG108" si="20">SUM(J84:J85)</f>
        <v>438263.3154146811</v>
      </c>
      <c r="K108" s="31">
        <f t="shared" si="20"/>
        <v>758447.5862428844</v>
      </c>
      <c r="L108" s="31">
        <f t="shared" si="20"/>
        <v>1319984.9556640079</v>
      </c>
      <c r="M108" s="31">
        <f t="shared" si="20"/>
        <v>1760845.7757886709</v>
      </c>
      <c r="N108" s="31">
        <f t="shared" si="20"/>
        <v>2081030.0466168737</v>
      </c>
      <c r="O108" s="31">
        <f t="shared" si="20"/>
        <v>2642567.4160379972</v>
      </c>
      <c r="P108" s="31">
        <f t="shared" si="20"/>
        <v>2962751.6868661996</v>
      </c>
      <c r="Q108" s="31">
        <f t="shared" si="20"/>
        <v>3403612.5069908639</v>
      </c>
      <c r="R108" s="31">
        <f t="shared" si="20"/>
        <v>3844473.3271155269</v>
      </c>
      <c r="S108" s="31">
        <f t="shared" si="20"/>
        <v>4285334.1472401898</v>
      </c>
      <c r="T108" s="31">
        <f t="shared" si="20"/>
        <v>4726194.9673648532</v>
      </c>
      <c r="U108" s="31">
        <f t="shared" si="20"/>
        <v>5167055.7874895157</v>
      </c>
      <c r="V108" s="31">
        <f t="shared" si="20"/>
        <v>5610514.1123241615</v>
      </c>
      <c r="W108" s="31">
        <f t="shared" si="20"/>
        <v>5930698.3831523638</v>
      </c>
      <c r="X108" s="31">
        <f t="shared" si="20"/>
        <v>6250882.6539805662</v>
      </c>
      <c r="Y108" s="31">
        <f t="shared" si="20"/>
        <v>6276497.3956468226</v>
      </c>
      <c r="Z108" s="31">
        <f t="shared" si="20"/>
        <v>6276497.3956468226</v>
      </c>
      <c r="AA108" s="31">
        <f t="shared" si="20"/>
        <v>6276497.3956468226</v>
      </c>
      <c r="AB108" s="31">
        <f t="shared" si="20"/>
        <v>6276497.3956468226</v>
      </c>
      <c r="AC108" s="31">
        <f t="shared" si="20"/>
        <v>6276497.3956468226</v>
      </c>
      <c r="AD108" s="31">
        <f t="shared" si="20"/>
        <v>6276497.3956468226</v>
      </c>
      <c r="AE108" s="31">
        <f t="shared" si="20"/>
        <v>6276497.3956468226</v>
      </c>
      <c r="AF108" s="31">
        <f t="shared" si="20"/>
        <v>6276497.3956468226</v>
      </c>
      <c r="AG108" s="31">
        <f t="shared" si="20"/>
        <v>0</v>
      </c>
    </row>
    <row r="109" spans="1:43" x14ac:dyDescent="0.3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3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118079.04458647873</v>
      </c>
      <c r="J110" s="31" cm="1">
        <f t="array" ref="J110">J$106+IF($C110&lt;&gt;0,SUMPRODUCT((J$107:J$108)*TRANSPOSE(($D110:$E110))),0)</f>
        <v>333487.23058592982</v>
      </c>
      <c r="K110" s="31" cm="1">
        <f t="array" ref="K110">K$106+IF($C110&lt;&gt;0,SUMPRODUCT((K$107:K$108)*TRANSPOSE(($D110:$E110))),0)</f>
        <v>548895.41658538184</v>
      </c>
      <c r="L110" s="31" cm="1">
        <f t="array" ref="L110">L$106+IF($C110&lt;&gt;0,SUMPRODUCT((L$107:L$108)*TRANSPOSE(($D110:$E110))),0)</f>
        <v>1005656.7011777541</v>
      </c>
      <c r="M110" s="31" cm="1">
        <f t="array" ref="M110">M$106+IF($C110&lt;&gt;0,SUMPRODUCT((M$107:M$108)*TRANSPOSE(($D110:$E110))),0)</f>
        <v>1341741.4364736658</v>
      </c>
      <c r="N110" s="31" cm="1">
        <f t="array" ref="N110">N$106+IF($C110&lt;&gt;0,SUMPRODUCT((N$107:N$108)*TRANSPOSE(($D110:$E110))),0)</f>
        <v>1557149.6224731174</v>
      </c>
      <c r="O110" s="31" cm="1">
        <f t="array" ref="O110">O$106+IF($C110&lt;&gt;0,SUMPRODUCT((O$107:O$108)*TRANSPOSE(($D110:$E110))),0)</f>
        <v>2013910.9070654896</v>
      </c>
      <c r="P110" s="31" cm="1">
        <f t="array" ref="P110">P$106+IF($C110&lt;&gt;0,SUMPRODUCT((P$107:P$108)*TRANSPOSE(($D110:$E110))),0)</f>
        <v>2229319.0930649405</v>
      </c>
      <c r="Q110" s="31" cm="1">
        <f t="array" ref="Q110">Q$106+IF($C110&lt;&gt;0,SUMPRODUCT((Q$107:Q$108)*TRANSPOSE(($D110:$E110))),0)</f>
        <v>2565403.8283608537</v>
      </c>
      <c r="R110" s="31" cm="1">
        <f t="array" ref="R110">R$106+IF($C110&lt;&gt;0,SUMPRODUCT((R$107:R$108)*TRANSPOSE(($D110:$E110))),0)</f>
        <v>2901488.563656765</v>
      </c>
      <c r="S110" s="31" cm="1">
        <f t="array" ref="S110">S$106+IF($C110&lt;&gt;0,SUMPRODUCT((S$107:S$108)*TRANSPOSE(($D110:$E110))),0)</f>
        <v>3237573.2989526773</v>
      </c>
      <c r="T110" s="31" cm="1">
        <f t="array" ref="T110">T$106+IF($C110&lt;&gt;0,SUMPRODUCT((T$107:T$108)*TRANSPOSE(($D110:$E110))),0)</f>
        <v>3573658.0342485895</v>
      </c>
      <c r="U110" s="31" cm="1">
        <f t="array" ref="U110">U$106+IF($C110&lt;&gt;0,SUMPRODUCT((U$107:U$108)*TRANSPOSE(($D110:$E110))),0)</f>
        <v>3909742.7695445004</v>
      </c>
      <c r="V110" s="31" cm="1">
        <f t="array" ref="V110">V$106+IF($C110&lt;&gt;0,SUMPRODUCT((V$107:V$108)*TRANSPOSE(($D110:$E110))),0)</f>
        <v>4248425.0095503945</v>
      </c>
      <c r="W110" s="31" cm="1">
        <f t="array" ref="W110">W$106+IF($C110&lt;&gt;0,SUMPRODUCT((W$107:W$108)*TRANSPOSE(($D110:$E110))),0)</f>
        <v>4463833.1955498457</v>
      </c>
      <c r="X110" s="31" cm="1">
        <f t="array" ref="X110">X$106+IF($C110&lt;&gt;0,SUMPRODUCT((X$107:X$108)*TRANSPOSE(($D110:$E110))),0)</f>
        <v>4679241.3815492969</v>
      </c>
      <c r="Y110" s="31" cm="1">
        <f t="array" ref="Y110">Y$106+IF($C110&lt;&gt;0,SUMPRODUCT((Y$107:Y$108)*TRANSPOSE(($D110:$E110))),0)</f>
        <v>4696474.0364292534</v>
      </c>
      <c r="Z110" s="31" cm="1">
        <f t="array" ref="Z110">Z$106+IF($C110&lt;&gt;0,SUMPRODUCT((Z$107:Z$108)*TRANSPOSE(($D110:$E110))),0)</f>
        <v>4696474.0364292534</v>
      </c>
      <c r="AA110" s="31" cm="1">
        <f t="array" ref="AA110">AA$106+IF($C110&lt;&gt;0,SUMPRODUCT((AA$107:AA$108)*TRANSPOSE(($D110:$E110))),0)</f>
        <v>4696474.0364292534</v>
      </c>
      <c r="AB110" s="31" cm="1">
        <f t="array" ref="AB110">AB$106+IF($C110&lt;&gt;0,SUMPRODUCT((AB$107:AB$108)*TRANSPOSE(($D110:$E110))),0)</f>
        <v>4696474.0364292534</v>
      </c>
      <c r="AC110" s="31" cm="1">
        <f t="array" ref="AC110">AC$106+IF($C110&lt;&gt;0,SUMPRODUCT((AC$107:AC$108)*TRANSPOSE(($D110:$E110))),0)</f>
        <v>4696474.0364292534</v>
      </c>
      <c r="AD110" s="31" cm="1">
        <f t="array" ref="AD110">AD$106+IF($C110&lt;&gt;0,SUMPRODUCT((AD$107:AD$108)*TRANSPOSE(($D110:$E110))),0)</f>
        <v>4696474.0364292534</v>
      </c>
      <c r="AE110" s="31" cm="1">
        <f t="array" ref="AE110">AE$106+IF($C110&lt;&gt;0,SUMPRODUCT((AE$107:AE$108)*TRANSPOSE(($D110:$E110))),0)</f>
        <v>4696474.0364292534</v>
      </c>
      <c r="AF110" s="31" cm="1">
        <f t="array" ref="AF110">AF$106+IF($C110&lt;&gt;0,SUMPRODUCT((AF$107:AF$108)*TRANSPOSE(($D110:$E110))),0)</f>
        <v>4696474.0364292534</v>
      </c>
      <c r="AG110" s="31" cm="1">
        <f t="array" ref="AG110">AG$106+IF($C110&lt;&gt;0,SUMPRODUCT((AG$107:AG$108)*TRANSPOSE(($D110:$E110))),0)</f>
        <v>-1580023.3592175692</v>
      </c>
    </row>
    <row r="111" spans="1:43" x14ac:dyDescent="0.3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118079.04458647873</v>
      </c>
      <c r="J111" s="31" cm="1">
        <f t="array" ref="J111">J$106+IF($C111&lt;&gt;0,SUMPRODUCT((J$107:J$108)*TRANSPOSE(($D111:$E111))),0)</f>
        <v>352537.42782752099</v>
      </c>
      <c r="K111" s="31" cm="1">
        <f t="array" ref="K111">K$106+IF($C111&lt;&gt;0,SUMPRODUCT((K$107:K$108)*TRANSPOSE(($D111:$E111))),0)</f>
        <v>586995.81106856419</v>
      </c>
      <c r="L111" s="31" cm="1">
        <f t="array" ref="L111">L$106+IF($C111&lt;&gt;0,SUMPRODUCT((L$107:L$108)*TRANSPOSE(($D111:$E111))),0)</f>
        <v>1062807.2929025276</v>
      </c>
      <c r="M111" s="31" cm="1">
        <f t="array" ref="M111">M$106+IF($C111&lt;&gt;0,SUMPRODUCT((M$107:M$108)*TRANSPOSE(($D111:$E111))),0)</f>
        <v>1417942.2254400305</v>
      </c>
      <c r="N111" s="31" cm="1">
        <f t="array" ref="N111">N$106+IF($C111&lt;&gt;0,SUMPRODUCT((N$107:N$108)*TRANSPOSE(($D111:$E111))),0)</f>
        <v>1652400.6086810729</v>
      </c>
      <c r="O111" s="31" cm="1">
        <f t="array" ref="O111">O$106+IF($C111&lt;&gt;0,SUMPRODUCT((O$107:O$108)*TRANSPOSE(($D111:$E111))),0)</f>
        <v>2128212.0905150366</v>
      </c>
      <c r="P111" s="31" cm="1">
        <f t="array" ref="P111">P$106+IF($C111&lt;&gt;0,SUMPRODUCT((P$107:P$108)*TRANSPOSE(($D111:$E111))),0)</f>
        <v>2362670.4737560786</v>
      </c>
      <c r="Q111" s="31" cm="1">
        <f t="array" ref="Q111">Q$106+IF($C111&lt;&gt;0,SUMPRODUCT((Q$107:Q$108)*TRANSPOSE(($D111:$E111))),0)</f>
        <v>2717805.4062935831</v>
      </c>
      <c r="R111" s="31" cm="1">
        <f t="array" ref="R111">R$106+IF($C111&lt;&gt;0,SUMPRODUCT((R$107:R$108)*TRANSPOSE(($D111:$E111))),0)</f>
        <v>3072940.3388310857</v>
      </c>
      <c r="S111" s="31" cm="1">
        <f t="array" ref="S111">S$106+IF($C111&lt;&gt;0,SUMPRODUCT((S$107:S$108)*TRANSPOSE(($D111:$E111))),0)</f>
        <v>3428075.2713685883</v>
      </c>
      <c r="T111" s="31" cm="1">
        <f t="array" ref="T111">T$106+IF($C111&lt;&gt;0,SUMPRODUCT((T$107:T$108)*TRANSPOSE(($D111:$E111))),0)</f>
        <v>3783210.2039060919</v>
      </c>
      <c r="U111" s="31" cm="1">
        <f t="array" ref="U111">U$106+IF($C111&lt;&gt;0,SUMPRODUCT((U$107:U$108)*TRANSPOSE(($D111:$E111))),0)</f>
        <v>4138345.136443594</v>
      </c>
      <c r="V111" s="31" cm="1">
        <f t="array" ref="V111">V$106+IF($C111&lt;&gt;0,SUMPRODUCT((V$107:V$108)*TRANSPOSE(($D111:$E111))),0)</f>
        <v>4496077.5736910794</v>
      </c>
      <c r="W111" s="31" cm="1">
        <f t="array" ref="W111">W$106+IF($C111&lt;&gt;0,SUMPRODUCT((W$107:W$108)*TRANSPOSE(($D111:$E111))),0)</f>
        <v>4730535.9569321219</v>
      </c>
      <c r="X111" s="31" cm="1">
        <f t="array" ref="X111">X$106+IF($C111&lt;&gt;0,SUMPRODUCT((X$107:X$108)*TRANSPOSE(($D111:$E111))),0)</f>
        <v>4964994.3401731644</v>
      </c>
      <c r="Y111" s="31" cm="1">
        <f t="array" ref="Y111">Y$106+IF($C111&lt;&gt;0,SUMPRODUCT((Y$107:Y$108)*TRANSPOSE(($D111:$E111))),0)</f>
        <v>4983751.0108324485</v>
      </c>
      <c r="Z111" s="31" cm="1">
        <f t="array" ref="Z111">Z$106+IF($C111&lt;&gt;0,SUMPRODUCT((Z$107:Z$108)*TRANSPOSE(($D111:$E111))),0)</f>
        <v>4983751.0108324485</v>
      </c>
      <c r="AA111" s="31" cm="1">
        <f t="array" ref="AA111">AA$106+IF($C111&lt;&gt;0,SUMPRODUCT((AA$107:AA$108)*TRANSPOSE(($D111:$E111))),0)</f>
        <v>4983751.0108324485</v>
      </c>
      <c r="AB111" s="31" cm="1">
        <f t="array" ref="AB111">AB$106+IF($C111&lt;&gt;0,SUMPRODUCT((AB$107:AB$108)*TRANSPOSE(($D111:$E111))),0)</f>
        <v>4983751.0108324485</v>
      </c>
      <c r="AC111" s="31" cm="1">
        <f t="array" ref="AC111">AC$106+IF($C111&lt;&gt;0,SUMPRODUCT((AC$107:AC$108)*TRANSPOSE(($D111:$E111))),0)</f>
        <v>4983751.0108324485</v>
      </c>
      <c r="AD111" s="31" cm="1">
        <f t="array" ref="AD111">AD$106+IF($C111&lt;&gt;0,SUMPRODUCT((AD$107:AD$108)*TRANSPOSE(($D111:$E111))),0)</f>
        <v>4983751.0108324485</v>
      </c>
      <c r="AE111" s="31" cm="1">
        <f t="array" ref="AE111">AE$106+IF($C111&lt;&gt;0,SUMPRODUCT((AE$107:AE$108)*TRANSPOSE(($D111:$E111))),0)</f>
        <v>4983751.0108324485</v>
      </c>
      <c r="AF111" s="31" cm="1">
        <f t="array" ref="AF111">AF$106+IF($C111&lt;&gt;0,SUMPRODUCT((AF$107:AF$108)*TRANSPOSE(($D111:$E111))),0)</f>
        <v>4983751.0108324485</v>
      </c>
      <c r="AG111" s="31" cm="1">
        <f t="array" ref="AG111">AG$106+IF($C111&lt;&gt;0,SUMPRODUCT((AG$107:AG$108)*TRANSPOSE(($D111:$E111))),0)</f>
        <v>-1292746.3848143746</v>
      </c>
    </row>
    <row r="112" spans="1:43" x14ac:dyDescent="0.3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129886.9490451266</v>
      </c>
      <c r="J112" s="31" cm="1">
        <f t="array" ref="J112">J$106+IF($C112&lt;&gt;0,SUMPRODUCT((J$107:J$108)*TRANSPOSE(($D112:$E112))),0)</f>
        <v>386838.66074819351</v>
      </c>
      <c r="K112" s="31" cm="1">
        <f t="array" ref="K112">K$106+IF($C112&lt;&gt;0,SUMPRODUCT((K$107:K$108)*TRANSPOSE(($D112:$E112))),0)</f>
        <v>643790.3724512615</v>
      </c>
      <c r="L112" s="31" cm="1">
        <f t="array" ref="L112">L$106+IF($C112&lt;&gt;0,SUMPRODUCT((L$107:L$108)*TRANSPOSE(($D112:$E112))),0)</f>
        <v>1166230.4926065416</v>
      </c>
      <c r="M112" s="31" cm="1">
        <f t="array" ref="M112">M$106+IF($C112&lt;&gt;0,SUMPRODUCT((M$107:M$108)*TRANSPOSE(($D112:$E112))),0)</f>
        <v>1555926.4085357152</v>
      </c>
      <c r="N112" s="31" cm="1">
        <f t="array" ref="N112">N$106+IF($C112&lt;&gt;0,SUMPRODUCT((N$107:N$108)*TRANSPOSE(($D112:$E112))),0)</f>
        <v>1812878.1202387826</v>
      </c>
      <c r="O112" s="31" cm="1">
        <f t="array" ref="O112">O$106+IF($C112&lt;&gt;0,SUMPRODUCT((O$107:O$108)*TRANSPOSE(($D112:$E112))),0)</f>
        <v>2335318.2403940628</v>
      </c>
      <c r="P112" s="31" cm="1">
        <f t="array" ref="P112">P$106+IF($C112&lt;&gt;0,SUMPRODUCT((P$107:P$108)*TRANSPOSE(($D112:$E112))),0)</f>
        <v>2592269.9520971295</v>
      </c>
      <c r="Q112" s="31" cm="1">
        <f t="array" ref="Q112">Q$106+IF($C112&lt;&gt;0,SUMPRODUCT((Q$107:Q$108)*TRANSPOSE(($D112:$E112))),0)</f>
        <v>2981965.868026305</v>
      </c>
      <c r="R112" s="31" cm="1">
        <f t="array" ref="R112">R$106+IF($C112&lt;&gt;0,SUMPRODUCT((R$107:R$108)*TRANSPOSE(($D112:$E112))),0)</f>
        <v>3371661.7839554781</v>
      </c>
      <c r="S112" s="31" cm="1">
        <f t="array" ref="S112">S$106+IF($C112&lt;&gt;0,SUMPRODUCT((S$107:S$108)*TRANSPOSE(($D112:$E112))),0)</f>
        <v>3761357.6998846517</v>
      </c>
      <c r="T112" s="31" cm="1">
        <f t="array" ref="T112">T$106+IF($C112&lt;&gt;0,SUMPRODUCT((T$107:T$108)*TRANSPOSE(($D112:$E112))),0)</f>
        <v>4151053.6158138262</v>
      </c>
      <c r="U112" s="31" cm="1">
        <f t="array" ref="U112">U$106+IF($C112&lt;&gt;0,SUMPRODUCT((U$107:U$108)*TRANSPOSE(($D112:$E112))),0)</f>
        <v>4540749.5317429984</v>
      </c>
      <c r="V112" s="31" cm="1">
        <f t="array" ref="V112">V$106+IF($C112&lt;&gt;0,SUMPRODUCT((V$107:V$108)*TRANSPOSE(($D112:$E112))),0)</f>
        <v>4933302.7028531535</v>
      </c>
      <c r="W112" s="31" cm="1">
        <f t="array" ref="W112">W$106+IF($C112&lt;&gt;0,SUMPRODUCT((W$107:W$108)*TRANSPOSE(($D112:$E112))),0)</f>
        <v>5190254.4145562202</v>
      </c>
      <c r="X112" s="31" cm="1">
        <f t="array" ref="X112">X$106+IF($C112&lt;&gt;0,SUMPRODUCT((X$107:X$108)*TRANSPOSE(($D112:$E112))),0)</f>
        <v>5447206.1262592869</v>
      </c>
      <c r="Y112" s="31" cm="1">
        <f t="array" ref="Y112">Y$106+IF($C112&lt;&gt;0,SUMPRODUCT((Y$107:Y$108)*TRANSPOSE(($D112:$E112))),0)</f>
        <v>5467762.2631955333</v>
      </c>
      <c r="Z112" s="31" cm="1">
        <f t="array" ref="Z112">Z$106+IF($C112&lt;&gt;0,SUMPRODUCT((Z$107:Z$108)*TRANSPOSE(($D112:$E112))),0)</f>
        <v>5467762.2631955333</v>
      </c>
      <c r="AA112" s="31" cm="1">
        <f t="array" ref="AA112">AA$106+IF($C112&lt;&gt;0,SUMPRODUCT((AA$107:AA$108)*TRANSPOSE(($D112:$E112))),0)</f>
        <v>5467762.2631955333</v>
      </c>
      <c r="AB112" s="31" cm="1">
        <f t="array" ref="AB112">AB$106+IF($C112&lt;&gt;0,SUMPRODUCT((AB$107:AB$108)*TRANSPOSE(($D112:$E112))),0)</f>
        <v>5467762.2631955333</v>
      </c>
      <c r="AC112" s="31" cm="1">
        <f t="array" ref="AC112">AC$106+IF($C112&lt;&gt;0,SUMPRODUCT((AC$107:AC$108)*TRANSPOSE(($D112:$E112))),0)</f>
        <v>5467762.2631955333</v>
      </c>
      <c r="AD112" s="31" cm="1">
        <f t="array" ref="AD112">AD$106+IF($C112&lt;&gt;0,SUMPRODUCT((AD$107:AD$108)*TRANSPOSE(($D112:$E112))),0)</f>
        <v>5467762.2631955333</v>
      </c>
      <c r="AE112" s="31" cm="1">
        <f t="array" ref="AE112">AE$106+IF($C112&lt;&gt;0,SUMPRODUCT((AE$107:AE$108)*TRANSPOSE(($D112:$E112))),0)</f>
        <v>5467762.2631955333</v>
      </c>
      <c r="AF112" s="31" cm="1">
        <f t="array" ref="AF112">AF$106+IF($C112&lt;&gt;0,SUMPRODUCT((AF$107:AF$108)*TRANSPOSE(($D112:$E112))),0)</f>
        <v>5467762.2631955333</v>
      </c>
      <c r="AG112" s="31" cm="1">
        <f t="array" ref="AG112">AG$106+IF($C112&lt;&gt;0,SUMPRODUCT((AG$107:AG$108)*TRANSPOSE(($D112:$E112))),0)</f>
        <v>-1436384.8720159719</v>
      </c>
    </row>
    <row r="113" spans="1:33" x14ac:dyDescent="0.3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106271.14012783086</v>
      </c>
      <c r="J113" s="31" cm="1">
        <f t="array" ref="J113">J$106+IF($C113&lt;&gt;0,SUMPRODUCT((J$107:J$108)*TRANSPOSE(($D113:$E113))),0)</f>
        <v>299185.99766525731</v>
      </c>
      <c r="K113" s="31" cm="1">
        <f t="array" ref="K113">K$106+IF($C113&lt;&gt;0,SUMPRODUCT((K$107:K$108)*TRANSPOSE(($D113:$E113))),0)</f>
        <v>492100.85520268459</v>
      </c>
      <c r="L113" s="31" cm="1">
        <f t="array" ref="L113">L$106+IF($C113&lt;&gt;0,SUMPRODUCT((L$107:L$108)*TRANSPOSE(($D113:$E113))),0)</f>
        <v>902233.50147373998</v>
      </c>
      <c r="M113" s="31" cm="1">
        <f t="array" ref="M113">M$106+IF($C113&lt;&gt;0,SUMPRODUCT((M$107:M$108)*TRANSPOSE(($D113:$E113))),0)</f>
        <v>1203757.253377981</v>
      </c>
      <c r="N113" s="31" cm="1">
        <f t="array" ref="N113">N$106+IF($C113&lt;&gt;0,SUMPRODUCT((N$107:N$108)*TRANSPOSE(($D113:$E113))),0)</f>
        <v>1396672.1109154078</v>
      </c>
      <c r="O113" s="31" cm="1">
        <f t="array" ref="O113">O$106+IF($C113&lt;&gt;0,SUMPRODUCT((O$107:O$108)*TRANSPOSE(($D113:$E113))),0)</f>
        <v>1806804.7571864631</v>
      </c>
      <c r="P113" s="31" cm="1">
        <f t="array" ref="P113">P$106+IF($C113&lt;&gt;0,SUMPRODUCT((P$107:P$108)*TRANSPOSE(($D113:$E113))),0)</f>
        <v>1999719.6147238896</v>
      </c>
      <c r="Q113" s="31" cm="1">
        <f t="array" ref="Q113">Q$106+IF($C113&lt;&gt;0,SUMPRODUCT((Q$107:Q$108)*TRANSPOSE(($D113:$E113))),0)</f>
        <v>2301243.3666281318</v>
      </c>
      <c r="R113" s="31" cm="1">
        <f t="array" ref="R113">R$106+IF($C113&lt;&gt;0,SUMPRODUCT((R$107:R$108)*TRANSPOSE(($D113:$E113))),0)</f>
        <v>2602767.1185323726</v>
      </c>
      <c r="S113" s="31" cm="1">
        <f t="array" ref="S113">S$106+IF($C113&lt;&gt;0,SUMPRODUCT((S$107:S$108)*TRANSPOSE(($D113:$E113))),0)</f>
        <v>2904290.8704366139</v>
      </c>
      <c r="T113" s="31" cm="1">
        <f t="array" ref="T113">T$106+IF($C113&lt;&gt;0,SUMPRODUCT((T$107:T$108)*TRANSPOSE(($D113:$E113))),0)</f>
        <v>3205814.6223408552</v>
      </c>
      <c r="U113" s="31" cm="1">
        <f t="array" ref="U113">U$106+IF($C113&lt;&gt;0,SUMPRODUCT((U$107:U$108)*TRANSPOSE(($D113:$E113))),0)</f>
        <v>3507338.3742450955</v>
      </c>
      <c r="V113" s="31" cm="1">
        <f t="array" ref="V113">V$106+IF($C113&lt;&gt;0,SUMPRODUCT((V$107:V$108)*TRANSPOSE(($D113:$E113))),0)</f>
        <v>3811199.8803883209</v>
      </c>
      <c r="W113" s="31" cm="1">
        <f t="array" ref="W113">W$106+IF($C113&lt;&gt;0,SUMPRODUCT((W$107:W$108)*TRANSPOSE(($D113:$E113))),0)</f>
        <v>4004114.7379257474</v>
      </c>
      <c r="X113" s="31" cm="1">
        <f t="array" ref="X113">X$106+IF($C113&lt;&gt;0,SUMPRODUCT((X$107:X$108)*TRANSPOSE(($D113:$E113))),0)</f>
        <v>4197029.5954631744</v>
      </c>
      <c r="Y113" s="31" cm="1">
        <f t="array" ref="Y113">Y$106+IF($C113&lt;&gt;0,SUMPRODUCT((Y$107:Y$108)*TRANSPOSE(($D113:$E113))),0)</f>
        <v>4212462.7840661686</v>
      </c>
      <c r="Z113" s="31" cm="1">
        <f t="array" ref="Z113">Z$106+IF($C113&lt;&gt;0,SUMPRODUCT((Z$107:Z$108)*TRANSPOSE(($D113:$E113))),0)</f>
        <v>4212462.7840661686</v>
      </c>
      <c r="AA113" s="31" cm="1">
        <f t="array" ref="AA113">AA$106+IF($C113&lt;&gt;0,SUMPRODUCT((AA$107:AA$108)*TRANSPOSE(($D113:$E113))),0)</f>
        <v>4212462.7840661686</v>
      </c>
      <c r="AB113" s="31" cm="1">
        <f t="array" ref="AB113">AB$106+IF($C113&lt;&gt;0,SUMPRODUCT((AB$107:AB$108)*TRANSPOSE(($D113:$E113))),0)</f>
        <v>4212462.7840661686</v>
      </c>
      <c r="AC113" s="31" cm="1">
        <f t="array" ref="AC113">AC$106+IF($C113&lt;&gt;0,SUMPRODUCT((AC$107:AC$108)*TRANSPOSE(($D113:$E113))),0)</f>
        <v>4212462.7840661686</v>
      </c>
      <c r="AD113" s="31" cm="1">
        <f t="array" ref="AD113">AD$106+IF($C113&lt;&gt;0,SUMPRODUCT((AD$107:AD$108)*TRANSPOSE(($D113:$E113))),0)</f>
        <v>4212462.7840661686</v>
      </c>
      <c r="AE113" s="31" cm="1">
        <f t="array" ref="AE113">AE$106+IF($C113&lt;&gt;0,SUMPRODUCT((AE$107:AE$108)*TRANSPOSE(($D113:$E113))),0)</f>
        <v>4212462.7840661686</v>
      </c>
      <c r="AF113" s="31" cm="1">
        <f t="array" ref="AF113">AF$106+IF($C113&lt;&gt;0,SUMPRODUCT((AF$107:AF$108)*TRANSPOSE(($D113:$E113))),0)</f>
        <v>4212462.7840661686</v>
      </c>
      <c r="AG113" s="31" cm="1">
        <f t="array" ref="AG113">AG$106+IF($C113&lt;&gt;0,SUMPRODUCT((AG$107:AG$108)*TRANSPOSE(($D113:$E113))),0)</f>
        <v>-1436384.8720159719</v>
      </c>
    </row>
    <row r="114" spans="1:33" x14ac:dyDescent="0.3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106271.14012783086</v>
      </c>
      <c r="J114" s="31" cm="1">
        <f t="array" ref="J114">J$106+IF($C114&lt;&gt;0,SUMPRODUCT((J$107:J$108)*TRANSPOSE(($D114:$E114))),0)</f>
        <v>289660.89904446172</v>
      </c>
      <c r="K114" s="31" cm="1">
        <f t="array" ref="K114">K$106+IF($C114&lt;&gt;0,SUMPRODUCT((K$107:K$108)*TRANSPOSE(($D114:$E114))),0)</f>
        <v>473050.65796109341</v>
      </c>
      <c r="L114" s="31" cm="1">
        <f t="array" ref="L114">L$106+IF($C114&lt;&gt;0,SUMPRODUCT((L$107:L$108)*TRANSPOSE(($D114:$E114))),0)</f>
        <v>873658.20561135327</v>
      </c>
      <c r="M114" s="31" cm="1">
        <f t="array" ref="M114">M$106+IF($C114&lt;&gt;0,SUMPRODUCT((M$107:M$108)*TRANSPOSE(($D114:$E114))),0)</f>
        <v>1165656.8588947987</v>
      </c>
      <c r="N114" s="31" cm="1">
        <f t="array" ref="N114">N$106+IF($C114&lt;&gt;0,SUMPRODUCT((N$107:N$108)*TRANSPOSE(($D114:$E114))),0)</f>
        <v>1349046.61781143</v>
      </c>
      <c r="O114" s="31" cm="1">
        <f t="array" ref="O114">O$106+IF($C114&lt;&gt;0,SUMPRODUCT((O$107:O$108)*TRANSPOSE(($D114:$E114))),0)</f>
        <v>1749654.1654616897</v>
      </c>
      <c r="P114" s="31" cm="1">
        <f t="array" ref="P114">P$106+IF($C114&lt;&gt;0,SUMPRODUCT((P$107:P$108)*TRANSPOSE(($D114:$E114))),0)</f>
        <v>1933043.9243783206</v>
      </c>
      <c r="Q114" s="31" cm="1">
        <f t="array" ref="Q114">Q$106+IF($C114&lt;&gt;0,SUMPRODUCT((Q$107:Q$108)*TRANSPOSE(($D114:$E114))),0)</f>
        <v>2225042.5776617676</v>
      </c>
      <c r="R114" s="31" cm="1">
        <f t="array" ref="R114">R$106+IF($C114&lt;&gt;0,SUMPRODUCT((R$107:R$108)*TRANSPOSE(($D114:$E114))),0)</f>
        <v>2517041.2309452123</v>
      </c>
      <c r="S114" s="31" cm="1">
        <f t="array" ref="S114">S$106+IF($C114&lt;&gt;0,SUMPRODUCT((S$107:S$108)*TRANSPOSE(($D114:$E114))),0)</f>
        <v>2809039.8842286579</v>
      </c>
      <c r="T114" s="31" cm="1">
        <f t="array" ref="T114">T$106+IF($C114&lt;&gt;0,SUMPRODUCT((T$107:T$108)*TRANSPOSE(($D114:$E114))),0)</f>
        <v>3101038.537512104</v>
      </c>
      <c r="U114" s="31" cm="1">
        <f t="array" ref="U114">U$106+IF($C114&lt;&gt;0,SUMPRODUCT((U$107:U$108)*TRANSPOSE(($D114:$E114))),0)</f>
        <v>3393037.1907955487</v>
      </c>
      <c r="V114" s="31" cm="1">
        <f t="array" ref="V114">V$106+IF($C114&lt;&gt;0,SUMPRODUCT((V$107:V$108)*TRANSPOSE(($D114:$E114))),0)</f>
        <v>3687373.5983179784</v>
      </c>
      <c r="W114" s="31" cm="1">
        <f t="array" ref="W114">W$106+IF($C114&lt;&gt;0,SUMPRODUCT((W$107:W$108)*TRANSPOSE(($D114:$E114))),0)</f>
        <v>3870763.3572346093</v>
      </c>
      <c r="X114" s="31" cm="1">
        <f t="array" ref="X114">X$106+IF($C114&lt;&gt;0,SUMPRODUCT((X$107:X$108)*TRANSPOSE(($D114:$E114))),0)</f>
        <v>4054153.1161512407</v>
      </c>
      <c r="Y114" s="31" cm="1">
        <f t="array" ref="Y114">Y$106+IF($C114&lt;&gt;0,SUMPRODUCT((Y$107:Y$108)*TRANSPOSE(($D114:$E114))),0)</f>
        <v>4068824.2968645715</v>
      </c>
      <c r="Z114" s="31" cm="1">
        <f t="array" ref="Z114">Z$106+IF($C114&lt;&gt;0,SUMPRODUCT((Z$107:Z$108)*TRANSPOSE(($D114:$E114))),0)</f>
        <v>4068824.2968645715</v>
      </c>
      <c r="AA114" s="31" cm="1">
        <f t="array" ref="AA114">AA$106+IF($C114&lt;&gt;0,SUMPRODUCT((AA$107:AA$108)*TRANSPOSE(($D114:$E114))),0)</f>
        <v>4068824.2968645715</v>
      </c>
      <c r="AB114" s="31" cm="1">
        <f t="array" ref="AB114">AB$106+IF($C114&lt;&gt;0,SUMPRODUCT((AB$107:AB$108)*TRANSPOSE(($D114:$E114))),0)</f>
        <v>4068824.2968645715</v>
      </c>
      <c r="AC114" s="31" cm="1">
        <f t="array" ref="AC114">AC$106+IF($C114&lt;&gt;0,SUMPRODUCT((AC$107:AC$108)*TRANSPOSE(($D114:$E114))),0)</f>
        <v>4068824.2968645715</v>
      </c>
      <c r="AD114" s="31" cm="1">
        <f t="array" ref="AD114">AD$106+IF($C114&lt;&gt;0,SUMPRODUCT((AD$107:AD$108)*TRANSPOSE(($D114:$E114))),0)</f>
        <v>4068824.2968645715</v>
      </c>
      <c r="AE114" s="31" cm="1">
        <f t="array" ref="AE114">AE$106+IF($C114&lt;&gt;0,SUMPRODUCT((AE$107:AE$108)*TRANSPOSE(($D114:$E114))),0)</f>
        <v>4068824.2968645715</v>
      </c>
      <c r="AF114" s="31" cm="1">
        <f t="array" ref="AF114">AF$106+IF($C114&lt;&gt;0,SUMPRODUCT((AF$107:AF$108)*TRANSPOSE(($D114:$E114))),0)</f>
        <v>4068824.2968645715</v>
      </c>
      <c r="AG114" s="31" cm="1">
        <f t="array" ref="AG114">AG$106+IF($C114&lt;&gt;0,SUMPRODUCT((AG$107:AG$108)*TRANSPOSE(($D114:$E114))),0)</f>
        <v>-1580023.3592175692</v>
      </c>
    </row>
    <row r="115" spans="1:33" x14ac:dyDescent="0.3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118079.04458647873</v>
      </c>
      <c r="J115" s="31" cm="1">
        <f t="array" ref="J115">J$106+IF($C115&lt;&gt;0,SUMPRODUCT((J$107:J$108)*TRANSPOSE(($D115:$E115))),0)</f>
        <v>343012.32920672541</v>
      </c>
      <c r="K115" s="31" cm="1">
        <f t="array" ref="K115">K$106+IF($C115&lt;&gt;0,SUMPRODUCT((K$107:K$108)*TRANSPOSE(($D115:$E115))),0)</f>
        <v>567945.61382697301</v>
      </c>
      <c r="L115" s="31" cm="1">
        <f t="array" ref="L115">L$106+IF($C115&lt;&gt;0,SUMPRODUCT((L$107:L$108)*TRANSPOSE(($D115:$E115))),0)</f>
        <v>1034231.9970401408</v>
      </c>
      <c r="M115" s="31" cm="1">
        <f t="array" ref="M115">M$106+IF($C115&lt;&gt;0,SUMPRODUCT((M$107:M$108)*TRANSPOSE(($D115:$E115))),0)</f>
        <v>1379841.8309568481</v>
      </c>
      <c r="N115" s="31" cm="1">
        <f t="array" ref="N115">N$106+IF($C115&lt;&gt;0,SUMPRODUCT((N$107:N$108)*TRANSPOSE(($D115:$E115))),0)</f>
        <v>1604775.1155770952</v>
      </c>
      <c r="O115" s="31" cm="1">
        <f t="array" ref="O115">O$106+IF($C115&lt;&gt;0,SUMPRODUCT((O$107:O$108)*TRANSPOSE(($D115:$E115))),0)</f>
        <v>2071061.498790263</v>
      </c>
      <c r="P115" s="31" cm="1">
        <f t="array" ref="P115">P$106+IF($C115&lt;&gt;0,SUMPRODUCT((P$107:P$108)*TRANSPOSE(($D115:$E115))),0)</f>
        <v>2295994.7834105096</v>
      </c>
      <c r="Q115" s="31" cm="1">
        <f t="array" ref="Q115">Q$106+IF($C115&lt;&gt;0,SUMPRODUCT((Q$107:Q$108)*TRANSPOSE(($D115:$E115))),0)</f>
        <v>2641604.6173272184</v>
      </c>
      <c r="R115" s="31" cm="1">
        <f t="array" ref="R115">R$106+IF($C115&lt;&gt;0,SUMPRODUCT((R$107:R$108)*TRANSPOSE(($D115:$E115))),0)</f>
        <v>2987214.4512439254</v>
      </c>
      <c r="S115" s="31" cm="1">
        <f t="array" ref="S115">S$106+IF($C115&lt;&gt;0,SUMPRODUCT((S$107:S$108)*TRANSPOSE(($D115:$E115))),0)</f>
        <v>3332824.2851606328</v>
      </c>
      <c r="T115" s="31" cm="1">
        <f t="array" ref="T115">T$106+IF($C115&lt;&gt;0,SUMPRODUCT((T$107:T$108)*TRANSPOSE(($D115:$E115))),0)</f>
        <v>3678434.1190773407</v>
      </c>
      <c r="U115" s="31" cm="1">
        <f t="array" ref="U115">U$106+IF($C115&lt;&gt;0,SUMPRODUCT((U$107:U$108)*TRANSPOSE(($D115:$E115))),0)</f>
        <v>4024043.9529940472</v>
      </c>
      <c r="V115" s="31" cm="1">
        <f t="array" ref="V115">V$106+IF($C115&lt;&gt;0,SUMPRODUCT((V$107:V$108)*TRANSPOSE(($D115:$E115))),0)</f>
        <v>4372251.2916207369</v>
      </c>
      <c r="W115" s="31" cm="1">
        <f t="array" ref="W115">W$106+IF($C115&lt;&gt;0,SUMPRODUCT((W$107:W$108)*TRANSPOSE(($D115:$E115))),0)</f>
        <v>4597184.5762409838</v>
      </c>
      <c r="X115" s="31" cm="1">
        <f t="array" ref="X115">X$106+IF($C115&lt;&gt;0,SUMPRODUCT((X$107:X$108)*TRANSPOSE(($D115:$E115))),0)</f>
        <v>4822117.8608612306</v>
      </c>
      <c r="Y115" s="31" cm="1">
        <f t="array" ref="Y115">Y$106+IF($C115&lt;&gt;0,SUMPRODUCT((Y$107:Y$108)*TRANSPOSE(($D115:$E115))),0)</f>
        <v>4840112.5236308509</v>
      </c>
      <c r="Z115" s="31" cm="1">
        <f t="array" ref="Z115">Z$106+IF($C115&lt;&gt;0,SUMPRODUCT((Z$107:Z$108)*TRANSPOSE(($D115:$E115))),0)</f>
        <v>4840112.5236308509</v>
      </c>
      <c r="AA115" s="31" cm="1">
        <f t="array" ref="AA115">AA$106+IF($C115&lt;&gt;0,SUMPRODUCT((AA$107:AA$108)*TRANSPOSE(($D115:$E115))),0)</f>
        <v>4840112.5236308509</v>
      </c>
      <c r="AB115" s="31" cm="1">
        <f t="array" ref="AB115">AB$106+IF($C115&lt;&gt;0,SUMPRODUCT((AB$107:AB$108)*TRANSPOSE(($D115:$E115))),0)</f>
        <v>4840112.5236308509</v>
      </c>
      <c r="AC115" s="31" cm="1">
        <f t="array" ref="AC115">AC$106+IF($C115&lt;&gt;0,SUMPRODUCT((AC$107:AC$108)*TRANSPOSE(($D115:$E115))),0)</f>
        <v>4840112.5236308509</v>
      </c>
      <c r="AD115" s="31" cm="1">
        <f t="array" ref="AD115">AD$106+IF($C115&lt;&gt;0,SUMPRODUCT((AD$107:AD$108)*TRANSPOSE(($D115:$E115))),0)</f>
        <v>4840112.5236308509</v>
      </c>
      <c r="AE115" s="31" cm="1">
        <f t="array" ref="AE115">AE$106+IF($C115&lt;&gt;0,SUMPRODUCT((AE$107:AE$108)*TRANSPOSE(($D115:$E115))),0)</f>
        <v>4840112.5236308509</v>
      </c>
      <c r="AF115" s="31" cm="1">
        <f t="array" ref="AF115">AF$106+IF($C115&lt;&gt;0,SUMPRODUCT((AF$107:AF$108)*TRANSPOSE(($D115:$E115))),0)</f>
        <v>4840112.5236308509</v>
      </c>
      <c r="AG115" s="31" cm="1">
        <f t="array" ref="AG115">AG$106+IF($C115&lt;&gt;0,SUMPRODUCT((AG$107:AG$108)*TRANSPOSE(($D115:$E115))),0)</f>
        <v>-1436384.8720159719</v>
      </c>
    </row>
    <row r="116" spans="1:33" x14ac:dyDescent="0.3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118079.04458647873</v>
      </c>
      <c r="J116" s="31" cm="1">
        <f t="array" ref="J116">J$106+IF($C116&lt;&gt;0,SUMPRODUCT((J$107:J$108)*TRANSPOSE(($D116:$E116))),0)</f>
        <v>343012.32920672541</v>
      </c>
      <c r="K116" s="31" cm="1">
        <f t="array" ref="K116">K$106+IF($C116&lt;&gt;0,SUMPRODUCT((K$107:K$108)*TRANSPOSE(($D116:$E116))),0)</f>
        <v>567945.61382697301</v>
      </c>
      <c r="L116" s="31" cm="1">
        <f t="array" ref="L116">L$106+IF($C116&lt;&gt;0,SUMPRODUCT((L$107:L$108)*TRANSPOSE(($D116:$E116))),0)</f>
        <v>1034231.9970401408</v>
      </c>
      <c r="M116" s="31" cm="1">
        <f t="array" ref="M116">M$106+IF($C116&lt;&gt;0,SUMPRODUCT((M$107:M$108)*TRANSPOSE(($D116:$E116))),0)</f>
        <v>1379841.8309568481</v>
      </c>
      <c r="N116" s="31" cm="1">
        <f t="array" ref="N116">N$106+IF($C116&lt;&gt;0,SUMPRODUCT((N$107:N$108)*TRANSPOSE(($D116:$E116))),0)</f>
        <v>1604775.1155770952</v>
      </c>
      <c r="O116" s="31" cm="1">
        <f t="array" ref="O116">O$106+IF($C116&lt;&gt;0,SUMPRODUCT((O$107:O$108)*TRANSPOSE(($D116:$E116))),0)</f>
        <v>2071061.498790263</v>
      </c>
      <c r="P116" s="31" cm="1">
        <f t="array" ref="P116">P$106+IF($C116&lt;&gt;0,SUMPRODUCT((P$107:P$108)*TRANSPOSE(($D116:$E116))),0)</f>
        <v>2295994.7834105096</v>
      </c>
      <c r="Q116" s="31" cm="1">
        <f t="array" ref="Q116">Q$106+IF($C116&lt;&gt;0,SUMPRODUCT((Q$107:Q$108)*TRANSPOSE(($D116:$E116))),0)</f>
        <v>2641604.6173272184</v>
      </c>
      <c r="R116" s="31" cm="1">
        <f t="array" ref="R116">R$106+IF($C116&lt;&gt;0,SUMPRODUCT((R$107:R$108)*TRANSPOSE(($D116:$E116))),0)</f>
        <v>2987214.4512439254</v>
      </c>
      <c r="S116" s="31" cm="1">
        <f t="array" ref="S116">S$106+IF($C116&lt;&gt;0,SUMPRODUCT((S$107:S$108)*TRANSPOSE(($D116:$E116))),0)</f>
        <v>3332824.2851606328</v>
      </c>
      <c r="T116" s="31" cm="1">
        <f t="array" ref="T116">T$106+IF($C116&lt;&gt;0,SUMPRODUCT((T$107:T$108)*TRANSPOSE(($D116:$E116))),0)</f>
        <v>3678434.1190773407</v>
      </c>
      <c r="U116" s="31" cm="1">
        <f t="array" ref="U116">U$106+IF($C116&lt;&gt;0,SUMPRODUCT((U$107:U$108)*TRANSPOSE(($D116:$E116))),0)</f>
        <v>4024043.9529940472</v>
      </c>
      <c r="V116" s="31" cm="1">
        <f t="array" ref="V116">V$106+IF($C116&lt;&gt;0,SUMPRODUCT((V$107:V$108)*TRANSPOSE(($D116:$E116))),0)</f>
        <v>4372251.2916207369</v>
      </c>
      <c r="W116" s="31" cm="1">
        <f t="array" ref="W116">W$106+IF($C116&lt;&gt;0,SUMPRODUCT((W$107:W$108)*TRANSPOSE(($D116:$E116))),0)</f>
        <v>4597184.5762409838</v>
      </c>
      <c r="X116" s="31" cm="1">
        <f t="array" ref="X116">X$106+IF($C116&lt;&gt;0,SUMPRODUCT((X$107:X$108)*TRANSPOSE(($D116:$E116))),0)</f>
        <v>4822117.8608612306</v>
      </c>
      <c r="Y116" s="31" cm="1">
        <f t="array" ref="Y116">Y$106+IF($C116&lt;&gt;0,SUMPRODUCT((Y$107:Y$108)*TRANSPOSE(($D116:$E116))),0)</f>
        <v>4840112.5236308509</v>
      </c>
      <c r="Z116" s="31" cm="1">
        <f t="array" ref="Z116">Z$106+IF($C116&lt;&gt;0,SUMPRODUCT((Z$107:Z$108)*TRANSPOSE(($D116:$E116))),0)</f>
        <v>4840112.5236308509</v>
      </c>
      <c r="AA116" s="31" cm="1">
        <f t="array" ref="AA116">AA$106+IF($C116&lt;&gt;0,SUMPRODUCT((AA$107:AA$108)*TRANSPOSE(($D116:$E116))),0)</f>
        <v>4840112.5236308509</v>
      </c>
      <c r="AB116" s="31" cm="1">
        <f t="array" ref="AB116">AB$106+IF($C116&lt;&gt;0,SUMPRODUCT((AB$107:AB$108)*TRANSPOSE(($D116:$E116))),0)</f>
        <v>4840112.5236308509</v>
      </c>
      <c r="AC116" s="31" cm="1">
        <f t="array" ref="AC116">AC$106+IF($C116&lt;&gt;0,SUMPRODUCT((AC$107:AC$108)*TRANSPOSE(($D116:$E116))),0)</f>
        <v>4840112.5236308509</v>
      </c>
      <c r="AD116" s="31" cm="1">
        <f t="array" ref="AD116">AD$106+IF($C116&lt;&gt;0,SUMPRODUCT((AD$107:AD$108)*TRANSPOSE(($D116:$E116))),0)</f>
        <v>4840112.5236308509</v>
      </c>
      <c r="AE116" s="31" cm="1">
        <f t="array" ref="AE116">AE$106+IF($C116&lt;&gt;0,SUMPRODUCT((AE$107:AE$108)*TRANSPOSE(($D116:$E116))),0)</f>
        <v>4840112.5236308509</v>
      </c>
      <c r="AF116" s="31" cm="1">
        <f t="array" ref="AF116">AF$106+IF($C116&lt;&gt;0,SUMPRODUCT((AF$107:AF$108)*TRANSPOSE(($D116:$E116))),0)</f>
        <v>4840112.5236308509</v>
      </c>
      <c r="AG116" s="31" cm="1">
        <f t="array" ref="AG116">AG$106+IF($C116&lt;&gt;0,SUMPRODUCT((AG$107:AG$108)*TRANSPOSE(($D116:$E116))),0)</f>
        <v>-1436384.8720159719</v>
      </c>
    </row>
    <row r="117" spans="1:33" x14ac:dyDescent="0.3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118079.04458647873</v>
      </c>
      <c r="J117" s="31" cm="1">
        <f t="array" ref="J117">J$106+IF($C117&lt;&gt;0,SUMPRODUCT((J$107:J$108)*TRANSPOSE(($D117:$E117))),0)</f>
        <v>343012.32920672541</v>
      </c>
      <c r="K117" s="31" cm="1">
        <f t="array" ref="K117">K$106+IF($C117&lt;&gt;0,SUMPRODUCT((K$107:K$108)*TRANSPOSE(($D117:$E117))),0)</f>
        <v>567945.61382697301</v>
      </c>
      <c r="L117" s="31" cm="1">
        <f t="array" ref="L117">L$106+IF($C117&lt;&gt;0,SUMPRODUCT((L$107:L$108)*TRANSPOSE(($D117:$E117))),0)</f>
        <v>1034231.9970401408</v>
      </c>
      <c r="M117" s="31" cm="1">
        <f t="array" ref="M117">M$106+IF($C117&lt;&gt;0,SUMPRODUCT((M$107:M$108)*TRANSPOSE(($D117:$E117))),0)</f>
        <v>1379841.8309568481</v>
      </c>
      <c r="N117" s="31" cm="1">
        <f t="array" ref="N117">N$106+IF($C117&lt;&gt;0,SUMPRODUCT((N$107:N$108)*TRANSPOSE(($D117:$E117))),0)</f>
        <v>1604775.1155770952</v>
      </c>
      <c r="O117" s="31" cm="1">
        <f t="array" ref="O117">O$106+IF($C117&lt;&gt;0,SUMPRODUCT((O$107:O$108)*TRANSPOSE(($D117:$E117))),0)</f>
        <v>2071061.498790263</v>
      </c>
      <c r="P117" s="31" cm="1">
        <f t="array" ref="P117">P$106+IF($C117&lt;&gt;0,SUMPRODUCT((P$107:P$108)*TRANSPOSE(($D117:$E117))),0)</f>
        <v>2295994.7834105096</v>
      </c>
      <c r="Q117" s="31" cm="1">
        <f t="array" ref="Q117">Q$106+IF($C117&lt;&gt;0,SUMPRODUCT((Q$107:Q$108)*TRANSPOSE(($D117:$E117))),0)</f>
        <v>2641604.6173272184</v>
      </c>
      <c r="R117" s="31" cm="1">
        <f t="array" ref="R117">R$106+IF($C117&lt;&gt;0,SUMPRODUCT((R$107:R$108)*TRANSPOSE(($D117:$E117))),0)</f>
        <v>2987214.4512439254</v>
      </c>
      <c r="S117" s="31" cm="1">
        <f t="array" ref="S117">S$106+IF($C117&lt;&gt;0,SUMPRODUCT((S$107:S$108)*TRANSPOSE(($D117:$E117))),0)</f>
        <v>3332824.2851606328</v>
      </c>
      <c r="T117" s="31" cm="1">
        <f t="array" ref="T117">T$106+IF($C117&lt;&gt;0,SUMPRODUCT((T$107:T$108)*TRANSPOSE(($D117:$E117))),0)</f>
        <v>3678434.1190773407</v>
      </c>
      <c r="U117" s="31" cm="1">
        <f t="array" ref="U117">U$106+IF($C117&lt;&gt;0,SUMPRODUCT((U$107:U$108)*TRANSPOSE(($D117:$E117))),0)</f>
        <v>4024043.9529940472</v>
      </c>
      <c r="V117" s="31" cm="1">
        <f t="array" ref="V117">V$106+IF($C117&lt;&gt;0,SUMPRODUCT((V$107:V$108)*TRANSPOSE(($D117:$E117))),0)</f>
        <v>4372251.2916207369</v>
      </c>
      <c r="W117" s="31" cm="1">
        <f t="array" ref="W117">W$106+IF($C117&lt;&gt;0,SUMPRODUCT((W$107:W$108)*TRANSPOSE(($D117:$E117))),0)</f>
        <v>4597184.5762409838</v>
      </c>
      <c r="X117" s="31" cm="1">
        <f t="array" ref="X117">X$106+IF($C117&lt;&gt;0,SUMPRODUCT((X$107:X$108)*TRANSPOSE(($D117:$E117))),0)</f>
        <v>4822117.8608612306</v>
      </c>
      <c r="Y117" s="31" cm="1">
        <f t="array" ref="Y117">Y$106+IF($C117&lt;&gt;0,SUMPRODUCT((Y$107:Y$108)*TRANSPOSE(($D117:$E117))),0)</f>
        <v>4840112.5236308509</v>
      </c>
      <c r="Z117" s="31" cm="1">
        <f t="array" ref="Z117">Z$106+IF($C117&lt;&gt;0,SUMPRODUCT((Z$107:Z$108)*TRANSPOSE(($D117:$E117))),0)</f>
        <v>4840112.5236308509</v>
      </c>
      <c r="AA117" s="31" cm="1">
        <f t="array" ref="AA117">AA$106+IF($C117&lt;&gt;0,SUMPRODUCT((AA$107:AA$108)*TRANSPOSE(($D117:$E117))),0)</f>
        <v>4840112.5236308509</v>
      </c>
      <c r="AB117" s="31" cm="1">
        <f t="array" ref="AB117">AB$106+IF($C117&lt;&gt;0,SUMPRODUCT((AB$107:AB$108)*TRANSPOSE(($D117:$E117))),0)</f>
        <v>4840112.5236308509</v>
      </c>
      <c r="AC117" s="31" cm="1">
        <f t="array" ref="AC117">AC$106+IF($C117&lt;&gt;0,SUMPRODUCT((AC$107:AC$108)*TRANSPOSE(($D117:$E117))),0)</f>
        <v>4840112.5236308509</v>
      </c>
      <c r="AD117" s="31" cm="1">
        <f t="array" ref="AD117">AD$106+IF($C117&lt;&gt;0,SUMPRODUCT((AD$107:AD$108)*TRANSPOSE(($D117:$E117))),0)</f>
        <v>4840112.5236308509</v>
      </c>
      <c r="AE117" s="31" cm="1">
        <f t="array" ref="AE117">AE$106+IF($C117&lt;&gt;0,SUMPRODUCT((AE$107:AE$108)*TRANSPOSE(($D117:$E117))),0)</f>
        <v>4840112.5236308509</v>
      </c>
      <c r="AF117" s="31" cm="1">
        <f t="array" ref="AF117">AF$106+IF($C117&lt;&gt;0,SUMPRODUCT((AF$107:AF$108)*TRANSPOSE(($D117:$E117))),0)</f>
        <v>4840112.5236308509</v>
      </c>
      <c r="AG117" s="31" cm="1">
        <f t="array" ref="AG117">AG$106+IF($C117&lt;&gt;0,SUMPRODUCT((AG$107:AG$108)*TRANSPOSE(($D117:$E117))),0)</f>
        <v>-1436384.8720159719</v>
      </c>
    </row>
  </sheetData>
  <conditionalFormatting sqref="E14">
    <cfRule type="expression" dxfId="2" priority="1">
      <formula>AND(SUM($I14:$AB14)&lt;&gt;0, E14=0)</formula>
    </cfRule>
  </conditionalFormatting>
  <conditionalFormatting sqref="E15:E16">
    <cfRule type="expression" dxfId="1" priority="39">
      <formula>AND(SUM($I15:$AB15)&lt;&gt;0, E15=0)</formula>
    </cfRule>
  </conditionalFormatting>
  <conditionalFormatting sqref="E28">
    <cfRule type="expression" dxfId="0" priority="2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5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3.5" zeroHeight="1" outlineLevelRow="1" x14ac:dyDescent="0.3"/>
  <cols>
    <col min="1" max="1" width="8.15234375" style="10" customWidth="1"/>
    <col min="2" max="2" width="5.4609375" style="10" customWidth="1"/>
    <col min="3" max="3" width="16.84375" style="10" bestFit="1" customWidth="1"/>
    <col min="4" max="4" width="12.3828125" style="10" customWidth="1"/>
    <col min="5" max="5" width="14.23046875" customWidth="1"/>
    <col min="6" max="6" width="12.3828125" style="10" customWidth="1"/>
    <col min="7" max="7" width="11.61328125" style="10" customWidth="1"/>
    <col min="8" max="8" width="8.613281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5" x14ac:dyDescent="0.4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5" x14ac:dyDescent="0.45">
      <c r="A2" s="56" t="str">
        <f>proj</f>
        <v>Recplacement of CRO inoperable RMUs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5" x14ac:dyDescent="0.45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3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t="13" hidden="1" outlineLevel="1" x14ac:dyDescent="0.3">
      <c r="A5" s="116" t="s">
        <v>188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t="13" hidden="1" outlineLevel="1" x14ac:dyDescent="0.3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t="13" hidden="1" outlineLevel="1" x14ac:dyDescent="0.3">
      <c r="A7" s="116" t="s">
        <v>189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3"/>
    <row r="9" spans="1:34" s="2" customFormat="1" ht="14.5" x14ac:dyDescent="0.3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ht="13" x14ac:dyDescent="0.3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4.5" x14ac:dyDescent="0.3">
      <c r="A11" s="120" t="s">
        <v>39</v>
      </c>
      <c r="B11" s="120"/>
      <c r="C11" s="121"/>
      <c r="D11" s="121"/>
      <c r="E11" s="121"/>
      <c r="F11" s="70" t="s">
        <v>150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ht="13" x14ac:dyDescent="0.3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ht="13" x14ac:dyDescent="0.3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ht="13" x14ac:dyDescent="0.3">
      <c r="A14" s="268" t="str">
        <f>A15</f>
        <v>Option 1 (base case)</v>
      </c>
      <c r="B14" s="268"/>
      <c r="C14" s="268" t="s">
        <v>122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ht="13" x14ac:dyDescent="0.3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ht="13" x14ac:dyDescent="0.3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96492080.814512074</v>
      </c>
      <c r="G16" s="225">
        <f>output_dollars</f>
        <v>46203</v>
      </c>
      <c r="H16" s="31"/>
      <c r="I16" s="31">
        <f>'Option1 (base case)'!I$36*conv_2026</f>
        <v>6313681.037626449</v>
      </c>
      <c r="J16" s="31">
        <f>'Option1 (base case)'!J$36*conv_2026</f>
        <v>6313681.037626449</v>
      </c>
      <c r="K16" s="31">
        <f>'Option1 (base case)'!K$36*conv_2026</f>
        <v>6313681.037626449</v>
      </c>
      <c r="L16" s="31">
        <f>'Option1 (base case)'!L$36*conv_2026</f>
        <v>6447983.4954643957</v>
      </c>
      <c r="M16" s="31">
        <f>'Option1 (base case)'!M$36*conv_2026</f>
        <v>6447983.4954643957</v>
      </c>
      <c r="N16" s="31">
        <f>'Option1 (base case)'!N$36*conv_2026</f>
        <v>6447983.4954643957</v>
      </c>
      <c r="O16" s="31">
        <f>'Option1 (base case)'!O$36*conv_2026</f>
        <v>6582285.9533023424</v>
      </c>
      <c r="P16" s="31">
        <f>'Option1 (base case)'!P$36*conv_2026</f>
        <v>6582285.9533023424</v>
      </c>
      <c r="Q16" s="31">
        <f>'Option1 (base case)'!Q$36*conv_2026</f>
        <v>6716588.4111402901</v>
      </c>
      <c r="R16" s="31">
        <f>'Option1 (base case)'!R$36*conv_2026</f>
        <v>6716588.4111402901</v>
      </c>
      <c r="S16" s="31">
        <f>'Option1 (base case)'!S$36*conv_2026</f>
        <v>6850890.8689782368</v>
      </c>
      <c r="T16" s="31">
        <f>'Option1 (base case)'!T$36*conv_2026</f>
        <v>6850890.8689782368</v>
      </c>
      <c r="U16" s="31">
        <f>'Option1 (base case)'!U$36*conv_2026</f>
        <v>6985193.3268161835</v>
      </c>
      <c r="V16" s="31">
        <f>'Option1 (base case)'!V$36*conv_2026</f>
        <v>6985193.3268161835</v>
      </c>
      <c r="W16" s="31">
        <f>'Option1 (base case)'!W$36*conv_2026</f>
        <v>6985193.3268161835</v>
      </c>
      <c r="X16" s="31">
        <f>'Option1 (base case)'!X$36*conv_2026</f>
        <v>6985193.3268161835</v>
      </c>
      <c r="Y16" s="31">
        <f>'Option1 (base case)'!Y$36*conv_2026</f>
        <v>6985193.3268161835</v>
      </c>
      <c r="Z16" s="31">
        <f>'Option1 (base case)'!Z$36*conv_2026</f>
        <v>6985193.3268161835</v>
      </c>
      <c r="AA16" s="31">
        <f>'Option1 (base case)'!AA$36*conv_2026</f>
        <v>6985193.3268161835</v>
      </c>
      <c r="AB16" s="31">
        <f>'Option1 (base case)'!AB$36*conv_2026</f>
        <v>6985193.3268161835</v>
      </c>
      <c r="AC16" s="31">
        <f>'Option1 (base case)'!AC$36*conv_2026</f>
        <v>6985193.3268161835</v>
      </c>
      <c r="AD16" s="31">
        <f>'Option1 (base case)'!AD$36*conv_2026</f>
        <v>6985193.3268161835</v>
      </c>
      <c r="AE16" s="31">
        <f>'Option1 (base case)'!AE$36*conv_2026</f>
        <v>6985193.3268161835</v>
      </c>
      <c r="AF16" s="31">
        <f>'Option1 (base case)'!AF$36*conv_2026</f>
        <v>6985193.3268161835</v>
      </c>
      <c r="AG16" s="31">
        <f>'Option1 (base case)'!AG$36*conv_2026</f>
        <v>0</v>
      </c>
    </row>
    <row r="17" spans="1:33" s="1" customFormat="1" x14ac:dyDescent="0.3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3" x14ac:dyDescent="0.3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ht="13" x14ac:dyDescent="0.3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ht="13" x14ac:dyDescent="0.3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ht="13" x14ac:dyDescent="0.3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ht="13" x14ac:dyDescent="0.3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ht="13" x14ac:dyDescent="0.3">
      <c r="A23" s="135" t="str">
        <f t="shared" si="3"/>
        <v>Option 1 (base case)</v>
      </c>
      <c r="B23" s="135"/>
      <c r="C23" s="8" t="s">
        <v>117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ht="13" x14ac:dyDescent="0.3">
      <c r="A24" s="135" t="str">
        <f t="shared" si="3"/>
        <v>Option 1 (base case)</v>
      </c>
      <c r="B24" s="135"/>
      <c r="C24" s="8" t="s">
        <v>183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ht="13" x14ac:dyDescent="0.3">
      <c r="A25" s="135" t="str">
        <f t="shared" si="3"/>
        <v>Option 1 (base case)</v>
      </c>
      <c r="B25" s="135"/>
      <c r="C25" s="8" t="s">
        <v>184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ht="13" x14ac:dyDescent="0.3">
      <c r="D26" s="38" t="str">
        <f t="shared" ref="D26:D39" si="6">A26&amp;C26</f>
        <v/>
      </c>
      <c r="G26" s="228"/>
    </row>
    <row r="27" spans="1:33" s="2" customFormat="1" ht="13" x14ac:dyDescent="0.3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ht="13" x14ac:dyDescent="0.3">
      <c r="A28" s="268" t="str">
        <f>A29</f>
        <v>Option 2</v>
      </c>
      <c r="B28" s="268"/>
      <c r="C28" s="268" t="s">
        <v>122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ht="13" x14ac:dyDescent="0.3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-38126336.378088824</v>
      </c>
      <c r="G29" s="225">
        <f>output_dollars</f>
        <v>46203</v>
      </c>
      <c r="H29" s="31"/>
      <c r="I29" s="31">
        <f>SUM(Option2!I$67:I$69)*conv_2026*I$7</f>
        <v>-38787809.154574722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ht="13" x14ac:dyDescent="0.3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7406360.3501711637</v>
      </c>
      <c r="G30" s="225">
        <f>output_dollars</f>
        <v>46203</v>
      </c>
      <c r="H30" s="31"/>
      <c r="I30" s="31">
        <f>Option2!I$36*conv_2026*I$7</f>
        <v>7442438.0982373198</v>
      </c>
      <c r="J30" s="31">
        <f>Option2!J$36*conv_2026*J$7</f>
        <v>95653.542954960139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3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ht="13" x14ac:dyDescent="0.3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-21542397.225022491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-1598570.8891880601</v>
      </c>
      <c r="K32" s="31">
        <f>Option2!K$82*conv_2026*K$7</f>
        <v>-1598570.8891880601</v>
      </c>
      <c r="L32" s="31">
        <f>Option2!L$82*conv_2026*L$7</f>
        <v>-1598570.8891880601</v>
      </c>
      <c r="M32" s="31">
        <f>Option2!M$82*conv_2026*M$7</f>
        <v>-1598570.8891880601</v>
      </c>
      <c r="N32" s="31">
        <f>Option2!N$82*conv_2026*N$7</f>
        <v>-1598570.8891880601</v>
      </c>
      <c r="O32" s="31">
        <f>Option2!O$82*conv_2026*O$7</f>
        <v>-1598570.8891880601</v>
      </c>
      <c r="P32" s="31">
        <f>Option2!P$82*conv_2026*P$7</f>
        <v>-1598570.8891880601</v>
      </c>
      <c r="Q32" s="31">
        <f>Option2!Q$82*conv_2026*Q$7</f>
        <v>-1598570.8891880601</v>
      </c>
      <c r="R32" s="31">
        <f>Option2!R$82*conv_2026*R$7</f>
        <v>-1598570.8891880601</v>
      </c>
      <c r="S32" s="31">
        <f>Option2!S$82*conv_2026*S$7</f>
        <v>-1598570.8891880601</v>
      </c>
      <c r="T32" s="31">
        <f>Option2!T$82*conv_2026*T$7</f>
        <v>-1598570.8891880601</v>
      </c>
      <c r="U32" s="31">
        <f>Option2!U$82*conv_2026*U$7</f>
        <v>-1598570.8891880601</v>
      </c>
      <c r="V32" s="31">
        <f>Option2!V$82*conv_2026*V$7</f>
        <v>-1598570.8891880601</v>
      </c>
      <c r="W32" s="31">
        <f>Option2!W$82*conv_2026*W$7</f>
        <v>-1598570.8891880601</v>
      </c>
      <c r="X32" s="31">
        <f>Option2!X$82*conv_2026*X$7</f>
        <v>-1598570.8891880601</v>
      </c>
      <c r="Y32" s="31">
        <f>Option2!Y$82*conv_2026*Y$7</f>
        <v>-1598570.8891880601</v>
      </c>
      <c r="Z32" s="31">
        <f>Option2!Z$82*conv_2026*Z$7</f>
        <v>-1598570.8891880601</v>
      </c>
      <c r="AA32" s="31">
        <f>Option2!AA$82*conv_2026*AA$7</f>
        <v>-1598570.8891880601</v>
      </c>
      <c r="AB32" s="31">
        <f>Option2!AB$82*conv_2026*AB$7</f>
        <v>-1598570.8891880601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ht="13" x14ac:dyDescent="0.3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ht="13" x14ac:dyDescent="0.3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89085720.464340925</v>
      </c>
      <c r="G34" s="225">
        <f t="shared" si="8"/>
        <v>46203</v>
      </c>
      <c r="H34" s="31"/>
      <c r="I34" s="31">
        <f>Option2!I$84*conv_2026*I$7</f>
        <v>-1128757.0606108706</v>
      </c>
      <c r="J34" s="31">
        <f>Option2!J$84*conv_2026*J$7</f>
        <v>6218027.4946714891</v>
      </c>
      <c r="K34" s="31">
        <f>Option2!K$84*conv_2026*K$7</f>
        <v>6313681.037626449</v>
      </c>
      <c r="L34" s="31">
        <f>Option2!L$84*conv_2026*L$7</f>
        <v>6447983.4954643957</v>
      </c>
      <c r="M34" s="31">
        <f>Option2!M$84*conv_2026*M$7</f>
        <v>6447983.4954643957</v>
      </c>
      <c r="N34" s="31">
        <f>Option2!N$84*conv_2026*N$7</f>
        <v>6447983.4954643957</v>
      </c>
      <c r="O34" s="31">
        <f>Option2!O$84*conv_2026*O$7</f>
        <v>6582285.9533023424</v>
      </c>
      <c r="P34" s="31">
        <f>Option2!P$84*conv_2026*P$7</f>
        <v>6582285.9533023424</v>
      </c>
      <c r="Q34" s="31">
        <f>Option2!Q$84*conv_2026*Q$7</f>
        <v>6716588.4111402901</v>
      </c>
      <c r="R34" s="31">
        <f>Option2!R$84*conv_2026*R$7</f>
        <v>6716588.4111402901</v>
      </c>
      <c r="S34" s="31">
        <f>Option2!S$84*conv_2026*S$7</f>
        <v>6850890.8689782368</v>
      </c>
      <c r="T34" s="31">
        <f>Option2!T$84*conv_2026*T$7</f>
        <v>6850890.8689782368</v>
      </c>
      <c r="U34" s="31">
        <f>Option2!U$84*conv_2026*U$7</f>
        <v>6985193.3268161835</v>
      </c>
      <c r="V34" s="31">
        <f>Option2!V$84*conv_2026*V$7</f>
        <v>6985193.3268161835</v>
      </c>
      <c r="W34" s="31">
        <f>Option2!W$84*conv_2026*W$7</f>
        <v>6985193.3268161835</v>
      </c>
      <c r="X34" s="31">
        <f>Option2!X$84*conv_2026*X$7</f>
        <v>6985193.3268161835</v>
      </c>
      <c r="Y34" s="31">
        <f>Option2!Y$84*conv_2026*Y$7</f>
        <v>6985193.3268161835</v>
      </c>
      <c r="Z34" s="31">
        <f>Option2!Z$84*conv_2026*Z$7</f>
        <v>6985193.3268161835</v>
      </c>
      <c r="AA34" s="31">
        <f>Option2!AA$84*conv_2026*AA$7</f>
        <v>6985193.3268161835</v>
      </c>
      <c r="AB34" s="31">
        <f>Option2!AB$84*conv_2026*AB$7</f>
        <v>6985193.3268161835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ht="13" x14ac:dyDescent="0.3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ht="13" x14ac:dyDescent="0.3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-1128757.0606108706</v>
      </c>
      <c r="J36" s="52">
        <f t="shared" ref="J36:AG36" si="9">SUM(J32:J35)</f>
        <v>4619456.6054834295</v>
      </c>
      <c r="K36" s="52">
        <f t="shared" si="9"/>
        <v>4715110.1484383885</v>
      </c>
      <c r="L36" s="52">
        <f t="shared" si="9"/>
        <v>4849412.6062763352</v>
      </c>
      <c r="M36" s="52">
        <f t="shared" si="9"/>
        <v>4849412.6062763352</v>
      </c>
      <c r="N36" s="52">
        <f t="shared" si="9"/>
        <v>4849412.6062763352</v>
      </c>
      <c r="O36" s="52">
        <f t="shared" si="9"/>
        <v>4983715.0641142819</v>
      </c>
      <c r="P36" s="52">
        <f t="shared" si="9"/>
        <v>4983715.0641142819</v>
      </c>
      <c r="Q36" s="52">
        <f t="shared" si="9"/>
        <v>5118017.5219522305</v>
      </c>
      <c r="R36" s="52">
        <f t="shared" si="9"/>
        <v>5118017.5219522305</v>
      </c>
      <c r="S36" s="52">
        <f t="shared" si="9"/>
        <v>5252319.9797901772</v>
      </c>
      <c r="T36" s="52">
        <f t="shared" si="9"/>
        <v>5252319.9797901772</v>
      </c>
      <c r="U36" s="52">
        <f t="shared" si="9"/>
        <v>5386622.4376281239</v>
      </c>
      <c r="V36" s="52">
        <f t="shared" si="9"/>
        <v>5386622.4376281239</v>
      </c>
      <c r="W36" s="52">
        <f t="shared" si="9"/>
        <v>5386622.4376281239</v>
      </c>
      <c r="X36" s="52">
        <f t="shared" si="9"/>
        <v>5386622.4376281239</v>
      </c>
      <c r="Y36" s="52">
        <f t="shared" si="9"/>
        <v>5386622.4376281239</v>
      </c>
      <c r="Z36" s="52">
        <f t="shared" si="9"/>
        <v>5386622.4376281239</v>
      </c>
      <c r="AA36" s="52">
        <f t="shared" si="9"/>
        <v>5386622.4376281239</v>
      </c>
      <c r="AB36" s="52">
        <f t="shared" si="9"/>
        <v>5386622.4376281239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ht="13" x14ac:dyDescent="0.3">
      <c r="A37" s="135" t="str">
        <f t="shared" si="7"/>
        <v>Option 2</v>
      </c>
      <c r="B37" s="135"/>
      <c r="C37" s="8" t="s">
        <v>117</v>
      </c>
      <c r="D37" s="38" t="str">
        <f t="shared" si="6"/>
        <v>Option 2NPV</v>
      </c>
      <c r="E37" s="1"/>
      <c r="F37" s="108" cm="1">
        <f t="array" ref="F37">SUMPRODUCT(($H36:$AG36)*($H$5:$AG$5)*($H$7:$AG$7))</f>
        <v>67543323.23931843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ht="13" x14ac:dyDescent="0.3">
      <c r="A38" s="135" t="str">
        <f t="shared" si="7"/>
        <v>Option 2</v>
      </c>
      <c r="B38" s="135"/>
      <c r="C38" s="8" t="s">
        <v>183</v>
      </c>
      <c r="D38" s="38" t="str">
        <f t="shared" si="6"/>
        <v>Option 2PV of costs</v>
      </c>
      <c r="E38" s="1"/>
      <c r="F38" s="108">
        <f>SUM(F32:F33)</f>
        <v>-21542397.225022491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ht="13" x14ac:dyDescent="0.3">
      <c r="A39" s="135" t="str">
        <f t="shared" si="7"/>
        <v>Option 2</v>
      </c>
      <c r="B39" s="135"/>
      <c r="C39" s="8" t="s">
        <v>184</v>
      </c>
      <c r="D39" s="38" t="str">
        <f t="shared" si="6"/>
        <v>Option 2PV of benefits</v>
      </c>
      <c r="E39" s="1"/>
      <c r="F39" s="108">
        <f>SUM(F34:F35)</f>
        <v>89085720.464340925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ht="13" x14ac:dyDescent="0.3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ht="13" x14ac:dyDescent="0.3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ht="13" x14ac:dyDescent="0.3">
      <c r="A42" s="268" t="str">
        <f>A43</f>
        <v>Option 3</v>
      </c>
      <c r="B42" s="268"/>
      <c r="C42" s="268" t="s">
        <v>122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ht="13" x14ac:dyDescent="0.3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-35614739.897976533</v>
      </c>
      <c r="G43" s="225">
        <f>output_dollars</f>
        <v>46203</v>
      </c>
      <c r="H43" s="31"/>
      <c r="I43" s="31">
        <f>SUM(Option3!I$67:I$69)*conv_2026*I$7</f>
        <v>-7716407.656745634</v>
      </c>
      <c r="J43" s="31">
        <f>SUM(Option3!J$67:J$69)*conv_2026*J$7</f>
        <v>-7716407.656745634</v>
      </c>
      <c r="K43" s="31">
        <f>SUM(Option3!K$67:K$69)*conv_2026*K$7</f>
        <v>-7716407.656745634</v>
      </c>
      <c r="L43" s="31">
        <f>SUM(Option3!L$67:L$69)*conv_2026*L$7</f>
        <v>-7716407.656745634</v>
      </c>
      <c r="M43" s="31">
        <f>SUM(Option3!M$67:M$69)*conv_2026*M$7</f>
        <v>-7716407.656745634</v>
      </c>
      <c r="N43" s="31">
        <f>SUM(Option3!N$67:N$69)*conv_2026*N$7</f>
        <v>-205770.87084655024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ht="13" x14ac:dyDescent="0.3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22496529.288436867</v>
      </c>
      <c r="G44" s="225">
        <f>output_dollars</f>
        <v>46203</v>
      </c>
      <c r="H44" s="31"/>
      <c r="I44" s="31">
        <f>Option3!I$36*conv_2026*I$7</f>
        <v>8347488.9178673374</v>
      </c>
      <c r="J44" s="31">
        <f>Option3!J$36*conv_2026*J$7</f>
        <v>6253539.4156741556</v>
      </c>
      <c r="K44" s="31">
        <f>Option3!K$36*conv_2026*K$7</f>
        <v>4672058.9782949891</v>
      </c>
      <c r="L44" s="31">
        <f>Option3!L$36*conv_2026*L$7</f>
        <v>3090578.5409158249</v>
      </c>
      <c r="M44" s="31">
        <f>Option3!M$36*conv_2026*M$7</f>
        <v>1509098.1035366594</v>
      </c>
      <c r="N44" s="31">
        <f>Option3!N$36*conv_2026*N$7</f>
        <v>39482.430229375706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ht="13" x14ac:dyDescent="0.3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ht="13" x14ac:dyDescent="0.3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-18584940.004751097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-318018.08140346024</v>
      </c>
      <c r="K46" s="31">
        <f>Option3!K$82*conv_2026*K$7</f>
        <v>-636036.16280692047</v>
      </c>
      <c r="L46" s="31">
        <f>Option3!L$82*conv_2026*L$7</f>
        <v>-954054.24421038083</v>
      </c>
      <c r="M46" s="31">
        <f>Option3!M$82*conv_2026*M$7</f>
        <v>-1272072.3256138409</v>
      </c>
      <c r="N46" s="31">
        <f>Option3!N$82*conv_2026*N$7</f>
        <v>-1590090.4070173011</v>
      </c>
      <c r="O46" s="31">
        <f>Option3!O$82*conv_2026*O$7</f>
        <v>-1598570.8891880601</v>
      </c>
      <c r="P46" s="31">
        <f>Option3!P$82*conv_2026*P$7</f>
        <v>-1598570.8891880601</v>
      </c>
      <c r="Q46" s="31">
        <f>Option3!Q$82*conv_2026*Q$7</f>
        <v>-1598570.8891880601</v>
      </c>
      <c r="R46" s="31">
        <f>Option3!R$82*conv_2026*R$7</f>
        <v>-1598570.8891880601</v>
      </c>
      <c r="S46" s="31">
        <f>Option3!S$82*conv_2026*S$7</f>
        <v>-1598570.8891880601</v>
      </c>
      <c r="T46" s="31">
        <f>Option3!T$82*conv_2026*T$7</f>
        <v>-1598570.8891880601</v>
      </c>
      <c r="U46" s="31">
        <f>Option3!U$82*conv_2026*U$7</f>
        <v>-1598570.8891880601</v>
      </c>
      <c r="V46" s="31">
        <f>Option3!V$82*conv_2026*V$7</f>
        <v>-1598570.8891880601</v>
      </c>
      <c r="W46" s="31">
        <f>Option3!W$82*conv_2026*W$7</f>
        <v>-1598570.8891880601</v>
      </c>
      <c r="X46" s="31">
        <f>Option3!X$82*conv_2026*X$7</f>
        <v>-1598570.8891880601</v>
      </c>
      <c r="Y46" s="31">
        <f>Option3!Y$82*conv_2026*Y$7</f>
        <v>-1598570.8891880601</v>
      </c>
      <c r="Z46" s="31">
        <f>Option3!Z$82*conv_2026*Z$7</f>
        <v>-1598570.8891880601</v>
      </c>
      <c r="AA46" s="31">
        <f>Option3!AA$82*conv_2026*AA$7</f>
        <v>-1598570.8891880601</v>
      </c>
      <c r="AB46" s="31">
        <f>Option3!AB$82*conv_2026*AB$7</f>
        <v>-1598570.8891880601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ht="13" x14ac:dyDescent="0.3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ht="13" x14ac:dyDescent="0.3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73995551.526075214</v>
      </c>
      <c r="G48" s="225">
        <f t="shared" si="12"/>
        <v>46203</v>
      </c>
      <c r="H48" s="31"/>
      <c r="I48" s="31">
        <f>Option3!I$84*conv_2026*I$7</f>
        <v>-2033807.8802408879</v>
      </c>
      <c r="J48" s="31">
        <f>Option3!J$84*conv_2026*J$7</f>
        <v>60141.621952294248</v>
      </c>
      <c r="K48" s="31">
        <f>Option3!K$84*conv_2026*K$7</f>
        <v>1641622.0593314599</v>
      </c>
      <c r="L48" s="31">
        <f>Option3!L$84*conv_2026*L$7</f>
        <v>3357404.9545485708</v>
      </c>
      <c r="M48" s="31">
        <f>Option3!M$84*conv_2026*M$7</f>
        <v>4938885.3919277368</v>
      </c>
      <c r="N48" s="31">
        <f>Option3!N$84*conv_2026*N$7</f>
        <v>6408501.0652350197</v>
      </c>
      <c r="O48" s="31">
        <f>Option3!O$84*conv_2026*O$7</f>
        <v>6582285.9533023424</v>
      </c>
      <c r="P48" s="31">
        <f>Option3!P$84*conv_2026*P$7</f>
        <v>6582285.9533023424</v>
      </c>
      <c r="Q48" s="31">
        <f>Option3!Q$84*conv_2026*Q$7</f>
        <v>6716588.4111402901</v>
      </c>
      <c r="R48" s="31">
        <f>Option3!R$84*conv_2026*R$7</f>
        <v>6716588.4111402901</v>
      </c>
      <c r="S48" s="31">
        <f>Option3!S$84*conv_2026*S$7</f>
        <v>6850890.8689782368</v>
      </c>
      <c r="T48" s="31">
        <f>Option3!T$84*conv_2026*T$7</f>
        <v>6850890.8689782368</v>
      </c>
      <c r="U48" s="31">
        <f>Option3!U$84*conv_2026*U$7</f>
        <v>6985193.3268161835</v>
      </c>
      <c r="V48" s="31">
        <f>Option3!V$84*conv_2026*V$7</f>
        <v>6985193.3268161835</v>
      </c>
      <c r="W48" s="31">
        <f>Option3!W$84*conv_2026*W$7</f>
        <v>6985193.3268161835</v>
      </c>
      <c r="X48" s="31">
        <f>Option3!X$84*conv_2026*X$7</f>
        <v>6985193.3268161835</v>
      </c>
      <c r="Y48" s="31">
        <f>Option3!Y$84*conv_2026*Y$7</f>
        <v>6985193.3268161835</v>
      </c>
      <c r="Z48" s="31">
        <f>Option3!Z$84*conv_2026*Z$7</f>
        <v>6985193.3268161835</v>
      </c>
      <c r="AA48" s="31">
        <f>Option3!AA$84*conv_2026*AA$7</f>
        <v>6985193.3268161835</v>
      </c>
      <c r="AB48" s="31">
        <f>Option3!AB$84*conv_2026*AB$7</f>
        <v>6985193.3268161835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ht="13" x14ac:dyDescent="0.3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ht="13" x14ac:dyDescent="0.3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-2033807.8802408879</v>
      </c>
      <c r="J50" s="52">
        <f t="shared" si="13"/>
        <v>-257876.45945116598</v>
      </c>
      <c r="K50" s="52">
        <f t="shared" si="13"/>
        <v>1005585.8965245395</v>
      </c>
      <c r="L50" s="52">
        <f t="shared" si="13"/>
        <v>2403350.7103381902</v>
      </c>
      <c r="M50" s="52">
        <f t="shared" si="13"/>
        <v>3666813.0663138959</v>
      </c>
      <c r="N50" s="52">
        <f t="shared" si="13"/>
        <v>4818410.6582177188</v>
      </c>
      <c r="O50" s="52">
        <f t="shared" si="13"/>
        <v>4983715.0641142819</v>
      </c>
      <c r="P50" s="52">
        <f t="shared" si="13"/>
        <v>4983715.0641142819</v>
      </c>
      <c r="Q50" s="52">
        <f t="shared" si="13"/>
        <v>5118017.5219522305</v>
      </c>
      <c r="R50" s="52">
        <f t="shared" si="13"/>
        <v>5118017.5219522305</v>
      </c>
      <c r="S50" s="52">
        <f t="shared" si="13"/>
        <v>5252319.9797901772</v>
      </c>
      <c r="T50" s="52">
        <f t="shared" si="13"/>
        <v>5252319.9797901772</v>
      </c>
      <c r="U50" s="52">
        <f t="shared" si="13"/>
        <v>5386622.4376281239</v>
      </c>
      <c r="V50" s="52">
        <f t="shared" si="13"/>
        <v>5386622.4376281239</v>
      </c>
      <c r="W50" s="52">
        <f t="shared" si="13"/>
        <v>5386622.4376281239</v>
      </c>
      <c r="X50" s="52">
        <f t="shared" si="13"/>
        <v>5386622.4376281239</v>
      </c>
      <c r="Y50" s="52">
        <f t="shared" si="13"/>
        <v>5386622.4376281239</v>
      </c>
      <c r="Z50" s="52">
        <f t="shared" si="13"/>
        <v>5386622.4376281239</v>
      </c>
      <c r="AA50" s="52">
        <f t="shared" si="13"/>
        <v>5386622.4376281239</v>
      </c>
      <c r="AB50" s="52">
        <f t="shared" si="13"/>
        <v>5386622.4376281239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ht="13" x14ac:dyDescent="0.3">
      <c r="A51" s="135" t="str">
        <f t="shared" si="10"/>
        <v>Option 3</v>
      </c>
      <c r="B51" s="135"/>
      <c r="C51" s="8" t="s">
        <v>117</v>
      </c>
      <c r="D51" s="38" t="str">
        <f t="shared" si="11"/>
        <v>Option 3NPV</v>
      </c>
      <c r="E51" s="1"/>
      <c r="F51" s="108" cm="1">
        <f t="array" ref="F51">SUMPRODUCT(($H50:$AG50)*($H$5:$AG$5)*($H$7:$AG$7))</f>
        <v>55410611.521324106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ht="13" x14ac:dyDescent="0.3">
      <c r="A52" s="135" t="str">
        <f t="shared" si="10"/>
        <v>Option 3</v>
      </c>
      <c r="B52" s="135"/>
      <c r="C52" s="8" t="s">
        <v>183</v>
      </c>
      <c r="D52" s="38" t="str">
        <f t="shared" si="11"/>
        <v>Option 3PV of costs</v>
      </c>
      <c r="E52" s="1"/>
      <c r="F52" s="108">
        <f>SUM(F46:F47)</f>
        <v>-18584940.004751097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ht="13" x14ac:dyDescent="0.3">
      <c r="A53" s="135" t="str">
        <f t="shared" si="10"/>
        <v>Option 3</v>
      </c>
      <c r="B53" s="135"/>
      <c r="C53" s="8" t="s">
        <v>184</v>
      </c>
      <c r="D53" s="38" t="str">
        <f t="shared" si="11"/>
        <v>Option 3PV of benefits</v>
      </c>
      <c r="E53" s="1"/>
      <c r="F53" s="108">
        <f>SUM(F48:F49)</f>
        <v>73995551.526075214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ht="13" x14ac:dyDescent="0.3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ht="13" x14ac:dyDescent="0.3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ht="13" x14ac:dyDescent="0.3">
      <c r="A56" s="268" t="str">
        <f>A57</f>
        <v>Option 4</v>
      </c>
      <c r="B56" s="268"/>
      <c r="C56" s="268" t="s">
        <v>122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ht="13" x14ac:dyDescent="0.3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-32856497.41870334</v>
      </c>
      <c r="G57" s="225">
        <f>output_dollars</f>
        <v>46203</v>
      </c>
      <c r="H57" s="31"/>
      <c r="I57" s="31">
        <f>SUM(Option4!I$67:I$69)*conv_2026*I$7</f>
        <v>-3909646.5460844547</v>
      </c>
      <c r="J57" s="31">
        <f>SUM(Option4!J$67:J$69)*conv_2026*J$7</f>
        <v>-3909646.5460844547</v>
      </c>
      <c r="K57" s="31">
        <f>SUM(Option4!K$67:K$69)*conv_2026*K$7</f>
        <v>-3909646.5460844547</v>
      </c>
      <c r="L57" s="31">
        <f>SUM(Option4!L$67:L$69)*conv_2026*L$7</f>
        <v>-3909646.5460844547</v>
      </c>
      <c r="M57" s="31">
        <f>SUM(Option4!M$67:M$69)*conv_2026*M$7</f>
        <v>-3909646.5460844547</v>
      </c>
      <c r="N57" s="31">
        <f>SUM(Option4!N$67:N$69)*conv_2026*N$7</f>
        <v>-3909646.5460844547</v>
      </c>
      <c r="O57" s="31">
        <f>SUM(Option4!O$67:O$69)*conv_2026*O$7</f>
        <v>-3909646.5460844547</v>
      </c>
      <c r="P57" s="31">
        <f>SUM(Option4!P$67:P$69)*conv_2026*P$7</f>
        <v>-3909646.5460844547</v>
      </c>
      <c r="Q57" s="31">
        <f>SUM(Option4!Q$67:Q$69)*conv_2026*Q$7</f>
        <v>-3909646.5460844547</v>
      </c>
      <c r="R57" s="31">
        <f>SUM(Option4!R$67:R$69)*conv_2026*R$7</f>
        <v>-3600990.2398146293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ht="13" x14ac:dyDescent="0.3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30705053.181983404</v>
      </c>
      <c r="G58" s="225">
        <f>output_dollars</f>
        <v>46203</v>
      </c>
      <c r="H58" s="31"/>
      <c r="I58" s="31">
        <f>Option4!I$36*conv_2026*I$7</f>
        <v>6253609.8675423507</v>
      </c>
      <c r="J58" s="31">
        <f>Option4!J$36*conv_2026*J$7</f>
        <v>5711977.4387760079</v>
      </c>
      <c r="K58" s="31">
        <f>Option4!K$36*conv_2026*K$7</f>
        <v>5036042.5521717193</v>
      </c>
      <c r="L58" s="31">
        <f>Option4!L$36*conv_2026*L$7</f>
        <v>4360107.6655674288</v>
      </c>
      <c r="M58" s="31">
        <f>Option4!M$36*conv_2026*M$7</f>
        <v>3684172.7789631383</v>
      </c>
      <c r="N58" s="31">
        <f>Option4!N$36*conv_2026*N$7</f>
        <v>3142540.350196796</v>
      </c>
      <c r="O58" s="31">
        <f>Option4!O$36*conv_2026*O$7</f>
        <v>2466605.4635925069</v>
      </c>
      <c r="P58" s="31">
        <f>Option4!P$36*conv_2026*P$7</f>
        <v>1924973.0348261641</v>
      </c>
      <c r="Q58" s="31">
        <f>Option4!Q$36*conv_2026*Q$7</f>
        <v>1249038.1482218748</v>
      </c>
      <c r="R58" s="31">
        <f>Option4!R$36*conv_2026*R$7</f>
        <v>690942.52901407483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3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ht="13" x14ac:dyDescent="0.3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-15337051.978080066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-161129.16124441984</v>
      </c>
      <c r="K60" s="31">
        <f>Option4!K$82*conv_2026*K$7</f>
        <v>-322258.32248883968</v>
      </c>
      <c r="L60" s="31">
        <f>Option4!L$82*conv_2026*L$7</f>
        <v>-483387.48373325961</v>
      </c>
      <c r="M60" s="31">
        <f>Option4!M$82*conv_2026*M$7</f>
        <v>-644516.64497767936</v>
      </c>
      <c r="N60" s="31">
        <f>Option4!N$82*conv_2026*N$7</f>
        <v>-805645.80622209923</v>
      </c>
      <c r="O60" s="31">
        <f>Option4!O$82*conv_2026*O$7</f>
        <v>-966774.96746651921</v>
      </c>
      <c r="P60" s="31">
        <f>Option4!P$82*conv_2026*P$7</f>
        <v>-1127904.1287109389</v>
      </c>
      <c r="Q60" s="31">
        <f>Option4!Q$82*conv_2026*Q$7</f>
        <v>-1289033.2899553587</v>
      </c>
      <c r="R60" s="31">
        <f>Option4!R$82*conv_2026*R$7</f>
        <v>-1450162.4511997788</v>
      </c>
      <c r="S60" s="31">
        <f>Option4!S$82*conv_2026*S$7</f>
        <v>-1598570.8891880601</v>
      </c>
      <c r="T60" s="31">
        <f>Option4!T$82*conv_2026*T$7</f>
        <v>-1598570.8891880601</v>
      </c>
      <c r="U60" s="31">
        <f>Option4!U$82*conv_2026*U$7</f>
        <v>-1598570.8891880601</v>
      </c>
      <c r="V60" s="31">
        <f>Option4!V$82*conv_2026*V$7</f>
        <v>-1598570.8891880601</v>
      </c>
      <c r="W60" s="31">
        <f>Option4!W$82*conv_2026*W$7</f>
        <v>-1598570.8891880601</v>
      </c>
      <c r="X60" s="31">
        <f>Option4!X$82*conv_2026*X$7</f>
        <v>-1598570.8891880601</v>
      </c>
      <c r="Y60" s="31">
        <f>Option4!Y$82*conv_2026*Y$7</f>
        <v>-1598570.8891880601</v>
      </c>
      <c r="Z60" s="31">
        <f>Option4!Z$82*conv_2026*Z$7</f>
        <v>-1598570.8891880601</v>
      </c>
      <c r="AA60" s="31">
        <f>Option4!AA$82*conv_2026*AA$7</f>
        <v>-1598570.8891880601</v>
      </c>
      <c r="AB60" s="31">
        <f>Option4!AB$82*conv_2026*AB$7</f>
        <v>-1598570.8891880601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ht="13" x14ac:dyDescent="0.3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ht="13" x14ac:dyDescent="0.3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65787027.632528678</v>
      </c>
      <c r="G62" s="225">
        <f t="shared" si="16"/>
        <v>46203</v>
      </c>
      <c r="H62" s="31"/>
      <c r="I62" s="31">
        <f>Option4!I$84*conv_2026*I$7</f>
        <v>60071.170084099009</v>
      </c>
      <c r="J62" s="31">
        <f>Option4!J$84*conv_2026*J$7</f>
        <v>601703.59885044163</v>
      </c>
      <c r="K62" s="31">
        <f>Option4!K$84*conv_2026*K$7</f>
        <v>1277638.4854547305</v>
      </c>
      <c r="L62" s="31">
        <f>Option4!L$84*conv_2026*L$7</f>
        <v>2087875.8298969667</v>
      </c>
      <c r="M62" s="31">
        <f>Option4!M$84*conv_2026*M$7</f>
        <v>2763810.7165012574</v>
      </c>
      <c r="N62" s="31">
        <f>Option4!N$84*conv_2026*N$7</f>
        <v>3305443.1452675997</v>
      </c>
      <c r="O62" s="31">
        <f>Option4!O$84*conv_2026*O$7</f>
        <v>4115680.489709835</v>
      </c>
      <c r="P62" s="31">
        <f>Option4!P$84*conv_2026*P$7</f>
        <v>4657312.9184761783</v>
      </c>
      <c r="Q62" s="31">
        <f>Option4!Q$84*conv_2026*Q$7</f>
        <v>5467550.2629184155</v>
      </c>
      <c r="R62" s="31">
        <f>Option4!R$84*conv_2026*R$7</f>
        <v>6025645.8821262149</v>
      </c>
      <c r="S62" s="31">
        <f>Option4!S$84*conv_2026*S$7</f>
        <v>6850890.8689782368</v>
      </c>
      <c r="T62" s="31">
        <f>Option4!T$84*conv_2026*T$7</f>
        <v>6850890.8689782368</v>
      </c>
      <c r="U62" s="31">
        <f>Option4!U$84*conv_2026*U$7</f>
        <v>6985193.3268161835</v>
      </c>
      <c r="V62" s="31">
        <f>Option4!V$84*conv_2026*V$7</f>
        <v>6985193.3268161835</v>
      </c>
      <c r="W62" s="31">
        <f>Option4!W$84*conv_2026*W$7</f>
        <v>6985193.3268161835</v>
      </c>
      <c r="X62" s="31">
        <f>Option4!X$84*conv_2026*X$7</f>
        <v>6985193.3268161835</v>
      </c>
      <c r="Y62" s="31">
        <f>Option4!Y$84*conv_2026*Y$7</f>
        <v>6985193.3268161835</v>
      </c>
      <c r="Z62" s="31">
        <f>Option4!Z$84*conv_2026*Z$7</f>
        <v>6985193.3268161835</v>
      </c>
      <c r="AA62" s="31">
        <f>Option4!AA$84*conv_2026*AA$7</f>
        <v>6985193.3268161835</v>
      </c>
      <c r="AB62" s="31">
        <f>Option4!AB$84*conv_2026*AB$7</f>
        <v>6985193.3268161835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ht="13" x14ac:dyDescent="0.3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ht="13" x14ac:dyDescent="0.3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60071.170084099009</v>
      </c>
      <c r="J64" s="52">
        <f t="shared" si="17"/>
        <v>440574.43760602176</v>
      </c>
      <c r="K64" s="52">
        <f t="shared" si="17"/>
        <v>955380.16296589072</v>
      </c>
      <c r="L64" s="52">
        <f t="shared" si="17"/>
        <v>1604488.3461637071</v>
      </c>
      <c r="M64" s="52">
        <f t="shared" si="17"/>
        <v>2119294.0715235779</v>
      </c>
      <c r="N64" s="52">
        <f t="shared" si="17"/>
        <v>2499797.3390455004</v>
      </c>
      <c r="O64" s="52">
        <f t="shared" si="17"/>
        <v>3148905.5222433158</v>
      </c>
      <c r="P64" s="52">
        <f t="shared" si="17"/>
        <v>3529408.7897652397</v>
      </c>
      <c r="Q64" s="52">
        <f t="shared" si="17"/>
        <v>4178516.9729630565</v>
      </c>
      <c r="R64" s="52">
        <f t="shared" si="17"/>
        <v>4575483.4309264366</v>
      </c>
      <c r="S64" s="52">
        <f t="shared" si="17"/>
        <v>5252319.9797901772</v>
      </c>
      <c r="T64" s="52">
        <f t="shared" si="17"/>
        <v>5252319.9797901772</v>
      </c>
      <c r="U64" s="52">
        <f t="shared" si="17"/>
        <v>5386622.4376281239</v>
      </c>
      <c r="V64" s="52">
        <f t="shared" si="17"/>
        <v>5386622.4376281239</v>
      </c>
      <c r="W64" s="52">
        <f t="shared" si="17"/>
        <v>5386622.4376281239</v>
      </c>
      <c r="X64" s="52">
        <f t="shared" si="17"/>
        <v>5386622.4376281239</v>
      </c>
      <c r="Y64" s="52">
        <f t="shared" si="17"/>
        <v>5386622.4376281239</v>
      </c>
      <c r="Z64" s="52">
        <f t="shared" si="17"/>
        <v>5386622.4376281239</v>
      </c>
      <c r="AA64" s="52">
        <f t="shared" si="17"/>
        <v>5386622.4376281239</v>
      </c>
      <c r="AB64" s="52">
        <f t="shared" si="17"/>
        <v>5386622.4376281239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ht="13" x14ac:dyDescent="0.3">
      <c r="A65" s="135" t="str">
        <f t="shared" si="15"/>
        <v>Option 4</v>
      </c>
      <c r="B65" s="135"/>
      <c r="C65" s="8" t="s">
        <v>117</v>
      </c>
      <c r="D65" s="38" t="str">
        <f t="shared" si="14"/>
        <v>Option 4NPV</v>
      </c>
      <c r="E65" s="1"/>
      <c r="F65" s="108" cm="1">
        <f t="array" ref="F65">SUMPRODUCT(($H64:$AG64)*($H$5:$AG$5)*($H$7:$AG$7))</f>
        <v>50449975.654448606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ht="13" x14ac:dyDescent="0.3">
      <c r="A66" s="135" t="str">
        <f t="shared" si="15"/>
        <v>Option 4</v>
      </c>
      <c r="B66" s="135"/>
      <c r="C66" s="8" t="s">
        <v>183</v>
      </c>
      <c r="D66" s="38" t="str">
        <f t="shared" si="14"/>
        <v>Option 4PV of costs</v>
      </c>
      <c r="E66" s="1"/>
      <c r="F66" s="108">
        <f>SUM(F60:F61)</f>
        <v>-15337051.978080066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ht="13" x14ac:dyDescent="0.3">
      <c r="A67" s="135" t="str">
        <f t="shared" si="15"/>
        <v>Option 4</v>
      </c>
      <c r="B67" s="135"/>
      <c r="C67" s="8" t="s">
        <v>184</v>
      </c>
      <c r="D67" s="38" t="str">
        <f t="shared" si="14"/>
        <v>Option 4PV of benefits</v>
      </c>
      <c r="E67" s="1"/>
      <c r="F67" s="108">
        <f>SUM(F62:F63)</f>
        <v>65787027.632528678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ht="13" x14ac:dyDescent="0.3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ht="13" x14ac:dyDescent="0.3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ht="13" x14ac:dyDescent="0.3">
      <c r="A70" s="268" t="str">
        <f>A71</f>
        <v>Option 5</v>
      </c>
      <c r="B70" s="268"/>
      <c r="C70" s="268" t="s">
        <v>122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ht="13" x14ac:dyDescent="0.3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-30259041.519503832</v>
      </c>
      <c r="G71" s="225">
        <f>output_dollars</f>
        <v>46203</v>
      </c>
      <c r="H71" s="31"/>
      <c r="I71" s="31">
        <f>SUM(Option5!I$67:I$69)*conv_2026*I$7</f>
        <v>-2572135.885581878</v>
      </c>
      <c r="J71" s="31">
        <f>SUM(Option5!J$67:J$69)*conv_2026*J$7</f>
        <v>-2572135.885581878</v>
      </c>
      <c r="K71" s="31">
        <f>SUM(Option5!K$67:K$69)*conv_2026*K$7</f>
        <v>-2572135.885581878</v>
      </c>
      <c r="L71" s="31">
        <f>SUM(Option5!L$67:L$69)*conv_2026*L$7</f>
        <v>-2572135.885581878</v>
      </c>
      <c r="M71" s="31">
        <f>SUM(Option5!M$67:M$69)*conv_2026*M$7</f>
        <v>-2572135.885581878</v>
      </c>
      <c r="N71" s="31">
        <f>SUM(Option5!N$67:N$69)*conv_2026*N$7</f>
        <v>-2572135.885581878</v>
      </c>
      <c r="O71" s="31">
        <f>SUM(Option5!O$67:O$69)*conv_2026*O$7</f>
        <v>-2572135.885581878</v>
      </c>
      <c r="P71" s="31">
        <f>SUM(Option5!P$67:P$69)*conv_2026*P$7</f>
        <v>-2572135.885581878</v>
      </c>
      <c r="Q71" s="31">
        <f>SUM(Option5!Q$67:Q$69)*conv_2026*Q$7</f>
        <v>-2572135.885581878</v>
      </c>
      <c r="R71" s="31">
        <f>SUM(Option5!R$67:R$69)*conv_2026*R$7</f>
        <v>-2572135.885581878</v>
      </c>
      <c r="S71" s="31">
        <f>SUM(Option5!S$67:S$69)*conv_2026*S$7</f>
        <v>-2572135.885581878</v>
      </c>
      <c r="T71" s="31">
        <f>SUM(Option5!T$67:T$69)*conv_2026*T$7</f>
        <v>-2572135.885581878</v>
      </c>
      <c r="U71" s="31">
        <f>SUM(Option5!U$67:U$69)*conv_2026*U$7</f>
        <v>-2572135.885581878</v>
      </c>
      <c r="V71" s="31">
        <f>SUM(Option5!V$67:V$69)*conv_2026*V$7</f>
        <v>-2572135.885581878</v>
      </c>
      <c r="W71" s="31">
        <f>SUM(Option5!W$67:W$69)*conv_2026*W$7</f>
        <v>-2572135.885581878</v>
      </c>
      <c r="X71" s="31">
        <f>SUM(Option5!X$67:X$69)*conv_2026*X$7</f>
        <v>-205770.87084655024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ht="13" x14ac:dyDescent="0.3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41742412.836745836</v>
      </c>
      <c r="G72" s="225">
        <f>output_dollars</f>
        <v>46203</v>
      </c>
      <c r="H72" s="31"/>
      <c r="I72" s="31">
        <f>Option5!I$36*conv_2026*I$7</f>
        <v>6182269.3756293682</v>
      </c>
      <c r="J72" s="31">
        <f>Option5!J$36*conv_2026*J$7</f>
        <v>5825932.2514409851</v>
      </c>
      <c r="K72" s="31">
        <f>Option5!K$36*conv_2026*K$7</f>
        <v>5469595.1272526011</v>
      </c>
      <c r="L72" s="31">
        <f>Option5!L$36*conv_2026*L$7</f>
        <v>4978955.5452262703</v>
      </c>
      <c r="M72" s="31">
        <f>Option5!M$36*conv_2026*M$7</f>
        <v>4488315.9631999405</v>
      </c>
      <c r="N72" s="31">
        <f>Option5!N$36*conv_2026*N$7</f>
        <v>4131978.8390115569</v>
      </c>
      <c r="O72" s="31">
        <f>Option5!O$36*conv_2026*O$7</f>
        <v>3641339.2569852266</v>
      </c>
      <c r="P72" s="31">
        <f>Option5!P$36*conv_2026*P$7</f>
        <v>3285002.1327968435</v>
      </c>
      <c r="Q72" s="31">
        <f>Option5!Q$36*conv_2026*Q$7</f>
        <v>2928665.0086084604</v>
      </c>
      <c r="R72" s="31">
        <f>Option5!R$36*conv_2026*R$7</f>
        <v>2438025.4265821306</v>
      </c>
      <c r="S72" s="31">
        <f>Option5!S$36*conv_2026*S$7</f>
        <v>2081688.3023937475</v>
      </c>
      <c r="T72" s="31">
        <f>Option5!T$36*conv_2026*T$7</f>
        <v>1591048.7203674167</v>
      </c>
      <c r="U72" s="31">
        <f>Option5!U$36*conv_2026*U$7</f>
        <v>1234711.5961790334</v>
      </c>
      <c r="V72" s="31">
        <f>Option5!V$36*conv_2026*V$7</f>
        <v>741181.21831183718</v>
      </c>
      <c r="W72" s="31">
        <f>Option5!W$36*conv_2026*W$7</f>
        <v>384844.09412345383</v>
      </c>
      <c r="X72" s="31">
        <f>Option5!X$36*conv_2026*X$7</f>
        <v>28506.969935070658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3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ht="13" x14ac:dyDescent="0.3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-12278493.501727741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-106006.02713448675</v>
      </c>
      <c r="K74" s="31">
        <f>Option5!K$82*conv_2026*K$7</f>
        <v>-212012.0542689735</v>
      </c>
      <c r="L74" s="31">
        <f>Option5!L$82*conv_2026*L$7</f>
        <v>-318018.08140346024</v>
      </c>
      <c r="M74" s="31">
        <f>Option5!M$82*conv_2026*M$7</f>
        <v>-424024.108537947</v>
      </c>
      <c r="N74" s="31">
        <f>Option5!N$82*conv_2026*N$7</f>
        <v>-530030.13567243365</v>
      </c>
      <c r="O74" s="31">
        <f>Option5!O$82*conv_2026*O$7</f>
        <v>-636036.16280692047</v>
      </c>
      <c r="P74" s="31">
        <f>Option5!P$82*conv_2026*P$7</f>
        <v>-742042.18994140718</v>
      </c>
      <c r="Q74" s="31">
        <f>Option5!Q$82*conv_2026*Q$7</f>
        <v>-848048.217075894</v>
      </c>
      <c r="R74" s="31">
        <f>Option5!R$82*conv_2026*R$7</f>
        <v>-954054.24421038083</v>
      </c>
      <c r="S74" s="31">
        <f>Option5!S$82*conv_2026*S$7</f>
        <v>-1060060.2713448673</v>
      </c>
      <c r="T74" s="31">
        <f>Option5!T$82*conv_2026*T$7</f>
        <v>-1166066.298479354</v>
      </c>
      <c r="U74" s="31">
        <f>Option5!U$82*conv_2026*U$7</f>
        <v>-1272072.3256138409</v>
      </c>
      <c r="V74" s="31">
        <f>Option5!V$82*conv_2026*V$7</f>
        <v>-1378078.3527483279</v>
      </c>
      <c r="W74" s="31">
        <f>Option5!W$82*conv_2026*W$7</f>
        <v>-1484084.3798828144</v>
      </c>
      <c r="X74" s="31">
        <f>Option5!X$82*conv_2026*X$7</f>
        <v>-1590090.4070173011</v>
      </c>
      <c r="Y74" s="31">
        <f>Option5!Y$82*conv_2026*Y$7</f>
        <v>-1598570.8891880601</v>
      </c>
      <c r="Z74" s="31">
        <f>Option5!Z$82*conv_2026*Z$7</f>
        <v>-1598570.8891880601</v>
      </c>
      <c r="AA74" s="31">
        <f>Option5!AA$82*conv_2026*AA$7</f>
        <v>-1598570.8891880601</v>
      </c>
      <c r="AB74" s="31">
        <f>Option5!AB$82*conv_2026*AB$7</f>
        <v>-1598570.8891880601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ht="13" x14ac:dyDescent="0.3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ht="13" x14ac:dyDescent="0.3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54749667.977766246</v>
      </c>
      <c r="G76" s="225">
        <f t="shared" si="20"/>
        <v>46203</v>
      </c>
      <c r="H76" s="31"/>
      <c r="I76" s="31">
        <f>Option5!I$84*conv_2026*I$7</f>
        <v>131411.66199708136</v>
      </c>
      <c r="J76" s="31">
        <f>Option5!J$84*conv_2026*J$7</f>
        <v>487748.78618546441</v>
      </c>
      <c r="K76" s="31">
        <f>Option5!K$84*conv_2026*K$7</f>
        <v>844085.91037384851</v>
      </c>
      <c r="L76" s="31">
        <f>Option5!L$84*conv_2026*L$7</f>
        <v>1469027.9502381252</v>
      </c>
      <c r="M76" s="31">
        <f>Option5!M$84*conv_2026*M$7</f>
        <v>1959667.5322644552</v>
      </c>
      <c r="N76" s="31">
        <f>Option5!N$84*conv_2026*N$7</f>
        <v>2316004.6564528388</v>
      </c>
      <c r="O76" s="31">
        <f>Option5!O$84*conv_2026*O$7</f>
        <v>2940946.6963171153</v>
      </c>
      <c r="P76" s="31">
        <f>Option5!P$84*conv_2026*P$7</f>
        <v>3297283.8205054984</v>
      </c>
      <c r="Q76" s="31">
        <f>Option5!Q$84*conv_2026*Q$7</f>
        <v>3787923.4025318301</v>
      </c>
      <c r="R76" s="31">
        <f>Option5!R$84*conv_2026*R$7</f>
        <v>4278562.9845581595</v>
      </c>
      <c r="S76" s="31">
        <f>Option5!S$84*conv_2026*S$7</f>
        <v>4769202.5665844902</v>
      </c>
      <c r="T76" s="31">
        <f>Option5!T$84*conv_2026*T$7</f>
        <v>5259842.1486108201</v>
      </c>
      <c r="U76" s="31">
        <f>Option5!U$84*conv_2026*U$7</f>
        <v>5750481.7306371499</v>
      </c>
      <c r="V76" s="31">
        <f>Option5!V$84*conv_2026*V$7</f>
        <v>6244012.1085043456</v>
      </c>
      <c r="W76" s="31">
        <f>Option5!W$84*conv_2026*W$7</f>
        <v>6600349.2326927288</v>
      </c>
      <c r="X76" s="31">
        <f>Option5!X$84*conv_2026*X$7</f>
        <v>6956686.3568811119</v>
      </c>
      <c r="Y76" s="31">
        <f>Option5!Y$84*conv_2026*Y$7</f>
        <v>6985193.3268161835</v>
      </c>
      <c r="Z76" s="31">
        <f>Option5!Z$84*conv_2026*Z$7</f>
        <v>6985193.3268161835</v>
      </c>
      <c r="AA76" s="31">
        <f>Option5!AA$84*conv_2026*AA$7</f>
        <v>6985193.3268161835</v>
      </c>
      <c r="AB76" s="31">
        <f>Option5!AB$84*conv_2026*AB$7</f>
        <v>6985193.3268161835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ht="13" x14ac:dyDescent="0.3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ht="13" x14ac:dyDescent="0.3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131411.66199708136</v>
      </c>
      <c r="J78" s="52">
        <f t="shared" si="21"/>
        <v>381742.75905097765</v>
      </c>
      <c r="K78" s="52">
        <f t="shared" si="21"/>
        <v>632073.85610487498</v>
      </c>
      <c r="L78" s="52">
        <f t="shared" si="21"/>
        <v>1151009.868834665</v>
      </c>
      <c r="M78" s="52">
        <f t="shared" si="21"/>
        <v>1535643.4237265082</v>
      </c>
      <c r="N78" s="52">
        <f t="shared" si="21"/>
        <v>1785974.520780405</v>
      </c>
      <c r="O78" s="52">
        <f t="shared" si="21"/>
        <v>2304910.5335101951</v>
      </c>
      <c r="P78" s="52">
        <f t="shared" si="21"/>
        <v>2555241.6305640913</v>
      </c>
      <c r="Q78" s="52">
        <f t="shared" si="21"/>
        <v>2939875.185455936</v>
      </c>
      <c r="R78" s="52">
        <f t="shared" si="21"/>
        <v>3324508.7403477784</v>
      </c>
      <c r="S78" s="52">
        <f t="shared" si="21"/>
        <v>3709142.2952396227</v>
      </c>
      <c r="T78" s="52">
        <f t="shared" si="21"/>
        <v>4093775.8501314661</v>
      </c>
      <c r="U78" s="52">
        <f t="shared" si="21"/>
        <v>4478409.4050233085</v>
      </c>
      <c r="V78" s="52">
        <f t="shared" si="21"/>
        <v>4865933.7557560178</v>
      </c>
      <c r="W78" s="52">
        <f t="shared" si="21"/>
        <v>5116264.8528099144</v>
      </c>
      <c r="X78" s="52">
        <f t="shared" si="21"/>
        <v>5366595.949863811</v>
      </c>
      <c r="Y78" s="52">
        <f t="shared" si="21"/>
        <v>5386622.4376281239</v>
      </c>
      <c r="Z78" s="52">
        <f t="shared" si="21"/>
        <v>5386622.4376281239</v>
      </c>
      <c r="AA78" s="52">
        <f t="shared" si="21"/>
        <v>5386622.4376281239</v>
      </c>
      <c r="AB78" s="52">
        <f t="shared" si="21"/>
        <v>5386622.4376281239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ht="13" x14ac:dyDescent="0.3">
      <c r="A79" s="135" t="str">
        <f t="shared" si="19"/>
        <v>Option 5</v>
      </c>
      <c r="B79" s="135"/>
      <c r="C79" s="8" t="s">
        <v>117</v>
      </c>
      <c r="D79" s="38" t="str">
        <f t="shared" si="18"/>
        <v>Option 5NPV</v>
      </c>
      <c r="E79" s="1"/>
      <c r="F79" s="108" cm="1">
        <f t="array" ref="F79">SUMPRODUCT(($H78:$AG78)*($H$5:$AG$5)*($H$7:$AG$7))</f>
        <v>42471174.476038493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ht="13" x14ac:dyDescent="0.3">
      <c r="A80" s="135" t="str">
        <f t="shared" si="19"/>
        <v>Option 5</v>
      </c>
      <c r="B80" s="135"/>
      <c r="C80" s="8" t="s">
        <v>183</v>
      </c>
      <c r="D80" s="38" t="str">
        <f t="shared" si="18"/>
        <v>Option 5PV of costs</v>
      </c>
      <c r="E80" s="1"/>
      <c r="F80" s="108">
        <f>SUM(F74:F75)</f>
        <v>-12278493.501727741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ht="13" x14ac:dyDescent="0.3">
      <c r="A81" s="135" t="str">
        <f t="shared" si="19"/>
        <v>Option 5</v>
      </c>
      <c r="B81" s="135"/>
      <c r="C81" s="8" t="s">
        <v>184</v>
      </c>
      <c r="D81" s="38" t="str">
        <f t="shared" si="18"/>
        <v>Option 5PV of benefits</v>
      </c>
      <c r="E81" s="1"/>
      <c r="F81" s="108">
        <f>SUM(F76:F77)</f>
        <v>54749667.977766246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ht="13" x14ac:dyDescent="0.3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3">
      <c r="E83" s="84"/>
      <c r="G83" s="229"/>
    </row>
    <row r="84" spans="1:33" ht="12" x14ac:dyDescent="0.3">
      <c r="E84" s="84"/>
      <c r="G84" s="229"/>
    </row>
    <row r="85" spans="1:33" ht="12" x14ac:dyDescent="0.3">
      <c r="E85" s="84"/>
      <c r="G85" s="229"/>
    </row>
    <row r="86" spans="1:33" ht="12" x14ac:dyDescent="0.3">
      <c r="E86" s="84"/>
      <c r="G86" s="229"/>
    </row>
    <row r="87" spans="1:33" ht="12" x14ac:dyDescent="0.3">
      <c r="E87" s="10"/>
      <c r="G87" s="229"/>
    </row>
    <row r="88" spans="1:33" ht="14.5" x14ac:dyDescent="0.35">
      <c r="A88" s="202" t="s">
        <v>196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3">
      <c r="E89" s="84"/>
      <c r="G89" s="229"/>
    </row>
    <row r="90" spans="1:33" ht="12" x14ac:dyDescent="0.3">
      <c r="E90" s="84"/>
    </row>
    <row r="91" spans="1:33" ht="13" x14ac:dyDescent="0.3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1.5985708891880601</v>
      </c>
      <c r="J91" s="297" cm="1">
        <f t="array" ref="J91">MAX($D91*INDEX(J$15:X$81, MATCH($A91&amp;$C91, $D$15:$D$81,0),))/mill_conv</f>
        <v>1.5985708891880601</v>
      </c>
      <c r="K91" s="297" cm="1">
        <f t="array" ref="K91">MAX($D91*INDEX(K$15:Y$81, MATCH($A91&amp;$C91, $D$15:$D$81,0),))/mill_conv</f>
        <v>1.5985708891880601</v>
      </c>
      <c r="L91" s="297" cm="1">
        <f t="array" ref="L91">MAX($D91*INDEX(L$15:Z$81, MATCH($A91&amp;$C91, $D$15:$D$81,0),))/mill_conv</f>
        <v>1.5985708891880601</v>
      </c>
      <c r="M91" s="297" cm="1">
        <f t="array" ref="M91">MAX($D91*INDEX(M$15:AA$81, MATCH($A91&amp;$C91, $D$15:$D$81,0),))/mill_conv</f>
        <v>1.5985708891880601</v>
      </c>
      <c r="N91" s="297" cm="1">
        <f t="array" ref="N91">MAX($D91*INDEX(N$15:AB$81, MATCH($A91&amp;$C91, $D$15:$D$81,0),))/mill_conv</f>
        <v>1.5985708891880601</v>
      </c>
      <c r="O91" s="297" cm="1">
        <f t="array" ref="O91">MAX($D91*INDEX(O$15:AC$81, MATCH($A91&amp;$C91, $D$15:$D$81,0),))/mill_conv</f>
        <v>1.5985708891880601</v>
      </c>
      <c r="P91" s="297" cm="1">
        <f t="array" ref="P91">MAX($D91*INDEX(P$15:AD$81, MATCH($A91&amp;$C91, $D$15:$D$81,0),))/mill_conv</f>
        <v>1.5985708891880601</v>
      </c>
      <c r="Q91" s="297" cm="1">
        <f t="array" ref="Q91">MAX($D91*INDEX(Q$15:AE$81, MATCH($A91&amp;$C91, $D$15:$D$81,0),))/mill_conv</f>
        <v>1.5985708891880601</v>
      </c>
      <c r="R91" s="297" cm="1">
        <f t="array" ref="R91">MAX($D91*INDEX(R$15:AF$81, MATCH($A91&amp;$C91, $D$15:$D$81,0),))/mill_conv</f>
        <v>1.5985708891880601</v>
      </c>
      <c r="S91" s="297" cm="1">
        <f t="array" ref="S91">MAX($D91*INDEX(S$15:AG$81, MATCH($A91&amp;$C91, $D$15:$D$81,0),))/mill_conv</f>
        <v>1.5985708891880601</v>
      </c>
      <c r="T91" s="297" cm="1">
        <f t="array" ref="T91">MAX($D91*INDEX(T$15:AH$81, MATCH($A91&amp;$C91, $D$15:$D$81,0),))/mill_conv</f>
        <v>1.5985708891880601</v>
      </c>
      <c r="U91" s="297" cm="1">
        <f t="array" ref="U91">MAX($D91*INDEX(U$15:AI$81, MATCH($A91&amp;$C91, $D$15:$D$81,0),))/mill_conv</f>
        <v>1.5985708891880601</v>
      </c>
      <c r="V91" s="297" cm="1">
        <f t="array" ref="V91">MAX($D91*INDEX(V$15:AJ$81, MATCH($A91&amp;$C91, $D$15:$D$81,0),))/mill_conv</f>
        <v>1.5985708891880601</v>
      </c>
      <c r="W91" s="297" cm="1">
        <f t="array" ref="W91">MAX($D91*INDEX(W$15:AK$81, MATCH($A91&amp;$C91, $D$15:$D$81,0),))/mill_conv</f>
        <v>1.5985708891880601</v>
      </c>
      <c r="X91" s="297" cm="1">
        <f t="array" ref="X91">MAX($D91*INDEX(X$15:AL$81, MATCH($A91&amp;$C91, $D$15:$D$81,0),))/mill_conv</f>
        <v>1.5985708891880601</v>
      </c>
      <c r="Y91" s="297" cm="1">
        <f t="array" ref="Y91">MAX($D91*INDEX(Y$15:AM$81, MATCH($A91&amp;$C91, $D$15:$D$81,0),))/mill_conv</f>
        <v>1.5985708891880601</v>
      </c>
      <c r="Z91" s="297" cm="1">
        <f t="array" ref="Z91">MAX($D91*INDEX(Z$15:AN$81, MATCH($A91&amp;$C91, $D$15:$D$81,0),))/mill_conv</f>
        <v>1.5985708891880601</v>
      </c>
      <c r="AA91" s="297" cm="1">
        <f t="array" ref="AA91">MAX($D91*INDEX(AA$15:AO$81, MATCH($A91&amp;$C91, $D$15:$D$81,0),))/mill_conv</f>
        <v>1.5985708891880601</v>
      </c>
      <c r="AB91" s="297" cm="1">
        <f t="array" ref="AB91">MAX($D91*INDEX(AB$15:AP$81, MATCH($A91&amp;$C91, $D$15:$D$81,0),))/mill_conv</f>
        <v>1.5985708891880601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ht="13" x14ac:dyDescent="0.3">
      <c r="A92" s="197" t="str">
        <f>A16</f>
        <v>Option 1 (base case)</v>
      </c>
      <c r="B92" s="139"/>
      <c r="C92" s="197" t="s">
        <v>167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6.3136810376264494</v>
      </c>
      <c r="J92" s="297">
        <f t="shared" si="23"/>
        <v>6.3136810376264494</v>
      </c>
      <c r="K92" s="297">
        <f t="shared" si="23"/>
        <v>6.3136810376264494</v>
      </c>
      <c r="L92" s="297">
        <f t="shared" si="23"/>
        <v>6.4479834954643955</v>
      </c>
      <c r="M92" s="297">
        <f t="shared" si="23"/>
        <v>6.4479834954643955</v>
      </c>
      <c r="N92" s="297">
        <f t="shared" si="23"/>
        <v>6.4479834954643955</v>
      </c>
      <c r="O92" s="297">
        <f t="shared" si="23"/>
        <v>6.5822859533023426</v>
      </c>
      <c r="P92" s="297">
        <f t="shared" si="23"/>
        <v>6.5822859533023426</v>
      </c>
      <c r="Q92" s="297">
        <f t="shared" si="23"/>
        <v>6.7165884111402905</v>
      </c>
      <c r="R92" s="297">
        <f t="shared" si="23"/>
        <v>6.7165884111402905</v>
      </c>
      <c r="S92" s="297">
        <f t="shared" ref="S92:AG92" si="24">$D92*INDEX(S$15:S$81, MATCH($A92&amp;$C92, $D$15:$D$81,0))/mill_conv</f>
        <v>6.8508908689782366</v>
      </c>
      <c r="T92" s="297">
        <f t="shared" si="24"/>
        <v>6.8508908689782366</v>
      </c>
      <c r="U92" s="297">
        <f t="shared" si="24"/>
        <v>6.9851933268161837</v>
      </c>
      <c r="V92" s="297">
        <f t="shared" si="24"/>
        <v>6.9851933268161837</v>
      </c>
      <c r="W92" s="297">
        <f t="shared" si="24"/>
        <v>6.9851933268161837</v>
      </c>
      <c r="X92" s="297">
        <f t="shared" si="24"/>
        <v>6.9851933268161837</v>
      </c>
      <c r="Y92" s="297">
        <f t="shared" si="24"/>
        <v>6.9851933268161837</v>
      </c>
      <c r="Z92" s="297">
        <f t="shared" si="24"/>
        <v>6.9851933268161837</v>
      </c>
      <c r="AA92" s="297">
        <f t="shared" si="24"/>
        <v>6.9851933268161837</v>
      </c>
      <c r="AB92" s="297">
        <f t="shared" si="24"/>
        <v>6.9851933268161837</v>
      </c>
      <c r="AC92" s="297">
        <f t="shared" si="24"/>
        <v>6.9851933268161837</v>
      </c>
      <c r="AD92" s="297">
        <f t="shared" si="24"/>
        <v>6.9851933268161837</v>
      </c>
      <c r="AE92" s="297">
        <f t="shared" si="24"/>
        <v>6.9851933268161837</v>
      </c>
      <c r="AF92" s="297">
        <f t="shared" si="24"/>
        <v>6.9851933268161837</v>
      </c>
      <c r="AG92" s="297">
        <f t="shared" si="24"/>
        <v>0</v>
      </c>
    </row>
    <row r="93" spans="1:33" ht="12" x14ac:dyDescent="0.3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3">
      <c r="E94" s="84"/>
    </row>
    <row r="95" spans="1:33" ht="12" x14ac:dyDescent="0.3">
      <c r="E95" s="84"/>
    </row>
    <row r="96" spans="1:33" ht="12" x14ac:dyDescent="0.3">
      <c r="E96" s="84"/>
    </row>
    <row r="97" spans="1:33" ht="12" x14ac:dyDescent="0.3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ht="13" x14ac:dyDescent="0.3">
      <c r="A98" s="198" t="s">
        <v>229</v>
      </c>
      <c r="B98" s="139"/>
      <c r="C98" s="196" t="s">
        <v>121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ht="13" x14ac:dyDescent="0.3">
      <c r="A99" s="197" t="str">
        <f>A23</f>
        <v>Option 1 (base case)</v>
      </c>
      <c r="B99" s="139"/>
      <c r="C99" s="197" t="s">
        <v>122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3">
      <c r="E100" s="10"/>
    </row>
    <row r="101" spans="1:33" s="295" customFormat="1" ht="12" x14ac:dyDescent="0.3"/>
    <row r="102" spans="1:33" ht="12" x14ac:dyDescent="0.3">
      <c r="E102" s="10"/>
    </row>
    <row r="103" spans="1:33" ht="12" x14ac:dyDescent="0.3">
      <c r="E103" s="10"/>
      <c r="I103" s="295"/>
    </row>
    <row r="104" spans="1:33" ht="12" x14ac:dyDescent="0.3">
      <c r="E104" s="10"/>
      <c r="H104" s="150"/>
    </row>
    <row r="105" spans="1:33" ht="12" x14ac:dyDescent="0.3">
      <c r="E105" s="10"/>
      <c r="H105" s="150"/>
    </row>
    <row r="106" spans="1:33" ht="12" x14ac:dyDescent="0.3">
      <c r="D106" s="190"/>
      <c r="E106" s="10"/>
    </row>
    <row r="107" spans="1:33" ht="12" x14ac:dyDescent="0.3">
      <c r="D107" s="190"/>
      <c r="E107" s="10"/>
    </row>
    <row r="108" spans="1:33" ht="12" x14ac:dyDescent="0.3">
      <c r="D108" s="190"/>
      <c r="E108" s="84"/>
    </row>
    <row r="109" spans="1:33" ht="12" x14ac:dyDescent="0.3">
      <c r="C109" s="124"/>
      <c r="D109" s="190"/>
      <c r="E109" s="190"/>
    </row>
    <row r="110" spans="1:33" ht="12" x14ac:dyDescent="0.3">
      <c r="D110" s="190"/>
      <c r="E110" s="84"/>
    </row>
    <row r="111" spans="1:33" ht="12" x14ac:dyDescent="0.3">
      <c r="D111" s="190"/>
      <c r="E111" s="84"/>
    </row>
    <row r="112" spans="1:33" ht="12" x14ac:dyDescent="0.3">
      <c r="D112" s="190"/>
      <c r="E112" s="84"/>
    </row>
    <row r="113" spans="4:5" ht="12" x14ac:dyDescent="0.3">
      <c r="D113" s="190"/>
      <c r="E113" s="84"/>
    </row>
    <row r="114" spans="4:5" ht="12" x14ac:dyDescent="0.3">
      <c r="D114" s="190"/>
      <c r="E114" s="84"/>
    </row>
    <row r="115" spans="4:5" ht="12" x14ac:dyDescent="0.3">
      <c r="D115" s="190"/>
      <c r="E115" s="84"/>
    </row>
    <row r="116" spans="4:5" ht="12" x14ac:dyDescent="0.3">
      <c r="D116" s="190"/>
      <c r="E116" s="84"/>
    </row>
    <row r="117" spans="4:5" ht="12" x14ac:dyDescent="0.3">
      <c r="D117" s="190"/>
      <c r="E117" s="84"/>
    </row>
    <row r="118" spans="4:5" ht="12" x14ac:dyDescent="0.3">
      <c r="D118" s="190"/>
      <c r="E118" s="84"/>
    </row>
    <row r="119" spans="4:5" ht="12" x14ac:dyDescent="0.3">
      <c r="D119" s="190"/>
      <c r="E119" s="84"/>
    </row>
    <row r="120" spans="4:5" ht="12" x14ac:dyDescent="0.3">
      <c r="D120" s="190"/>
      <c r="E120" s="84"/>
    </row>
    <row r="121" spans="4:5" ht="12" x14ac:dyDescent="0.3">
      <c r="D121" s="190"/>
      <c r="E121" s="84"/>
    </row>
    <row r="122" spans="4:5" ht="12" x14ac:dyDescent="0.3">
      <c r="D122" s="190"/>
      <c r="E122" s="84"/>
    </row>
    <row r="123" spans="4:5" ht="12" x14ac:dyDescent="0.3">
      <c r="D123" s="190"/>
      <c r="E123" s="84"/>
    </row>
    <row r="124" spans="4:5" ht="12" x14ac:dyDescent="0.3">
      <c r="D124" s="190"/>
      <c r="E124" s="84"/>
    </row>
    <row r="125" spans="4:5" ht="12" x14ac:dyDescent="0.3">
      <c r="D125" s="190"/>
      <c r="E125" s="84"/>
    </row>
    <row r="126" spans="4:5" ht="12" x14ac:dyDescent="0.3">
      <c r="D126" s="190"/>
      <c r="E126" s="84"/>
    </row>
    <row r="127" spans="4:5" ht="12" x14ac:dyDescent="0.3">
      <c r="D127" s="190"/>
      <c r="E127" s="84"/>
    </row>
    <row r="128" spans="4:5" ht="12" x14ac:dyDescent="0.3">
      <c r="D128" s="190"/>
      <c r="E128" s="84"/>
    </row>
    <row r="129" spans="4:5" ht="12" x14ac:dyDescent="0.3">
      <c r="D129" s="190"/>
      <c r="E129" s="84"/>
    </row>
    <row r="130" spans="4:5" ht="12" x14ac:dyDescent="0.3">
      <c r="D130" s="190"/>
      <c r="E130" s="84"/>
    </row>
    <row r="131" spans="4:5" ht="12" x14ac:dyDescent="0.3">
      <c r="D131" s="190"/>
      <c r="E131" s="84"/>
    </row>
    <row r="132" spans="4:5" ht="12" x14ac:dyDescent="0.3">
      <c r="D132" s="190"/>
      <c r="E132" s="84"/>
    </row>
    <row r="133" spans="4:5" ht="12" x14ac:dyDescent="0.3">
      <c r="D133" s="190"/>
      <c r="E133" s="84"/>
    </row>
    <row r="134" spans="4:5" ht="12" x14ac:dyDescent="0.3">
      <c r="D134" s="190"/>
      <c r="E134" s="84"/>
    </row>
    <row r="135" spans="4:5" ht="12" x14ac:dyDescent="0.3">
      <c r="D135" s="190"/>
      <c r="E135" s="84"/>
    </row>
    <row r="136" spans="4:5" ht="12" x14ac:dyDescent="0.3">
      <c r="D136" s="190"/>
      <c r="E136" s="84"/>
    </row>
    <row r="137" spans="4:5" ht="12" x14ac:dyDescent="0.3">
      <c r="D137" s="190"/>
      <c r="E137" s="84"/>
    </row>
    <row r="138" spans="4:5" ht="12" x14ac:dyDescent="0.3">
      <c r="E138" s="84"/>
    </row>
    <row r="139" spans="4:5" ht="12" x14ac:dyDescent="0.3">
      <c r="E139" s="84"/>
    </row>
    <row r="140" spans="4:5" ht="12" x14ac:dyDescent="0.3">
      <c r="E140" s="84"/>
    </row>
    <row r="141" spans="4:5" ht="12" x14ac:dyDescent="0.3">
      <c r="E141" s="84"/>
    </row>
    <row r="142" spans="4:5" ht="12" x14ac:dyDescent="0.3">
      <c r="E142" s="84"/>
    </row>
    <row r="143" spans="4:5" ht="12" x14ac:dyDescent="0.3">
      <c r="E143" s="84"/>
    </row>
    <row r="144" spans="4:5" ht="12" x14ac:dyDescent="0.3">
      <c r="E144" s="84"/>
    </row>
    <row r="145" spans="5:5" ht="12" x14ac:dyDescent="0.3">
      <c r="E145" s="84"/>
    </row>
    <row r="146" spans="5:5" ht="12" x14ac:dyDescent="0.3">
      <c r="E146" s="84"/>
    </row>
    <row r="147" spans="5:5" ht="12" x14ac:dyDescent="0.3">
      <c r="E147" s="84"/>
    </row>
    <row r="148" spans="5:5" ht="12" x14ac:dyDescent="0.3">
      <c r="E148" s="84"/>
    </row>
    <row r="149" spans="5:5" ht="12" x14ac:dyDescent="0.3">
      <c r="E149" s="84"/>
    </row>
    <row r="150" spans="5:5" ht="12" x14ac:dyDescent="0.3">
      <c r="E150" s="84"/>
    </row>
    <row r="151" spans="5:5" ht="12" x14ac:dyDescent="0.3">
      <c r="E151" s="84"/>
    </row>
    <row r="152" spans="5:5" ht="12" x14ac:dyDescent="0.3">
      <c r="E152" s="84"/>
    </row>
    <row r="153" spans="5:5" ht="12" x14ac:dyDescent="0.3">
      <c r="E153" s="84"/>
    </row>
    <row r="154" spans="5:5" ht="12" x14ac:dyDescent="0.3">
      <c r="E154" s="84"/>
    </row>
    <row r="155" spans="5:5" ht="12" x14ac:dyDescent="0.3">
      <c r="E155" s="84"/>
    </row>
    <row r="156" spans="5:5" ht="12" x14ac:dyDescent="0.3">
      <c r="E156" s="84"/>
    </row>
    <row r="157" spans="5:5" ht="12" x14ac:dyDescent="0.3">
      <c r="E157" s="84"/>
    </row>
    <row r="158" spans="5:5" ht="12" x14ac:dyDescent="0.3">
      <c r="E158" s="84"/>
    </row>
    <row r="159" spans="5:5" ht="12" x14ac:dyDescent="0.3">
      <c r="E159" s="84"/>
    </row>
    <row r="160" spans="5:5" ht="12" x14ac:dyDescent="0.3">
      <c r="E160" s="84"/>
    </row>
    <row r="161" spans="5:5" ht="12" x14ac:dyDescent="0.3">
      <c r="E161" s="84"/>
    </row>
    <row r="162" spans="5:5" ht="12" x14ac:dyDescent="0.3">
      <c r="E162" s="84"/>
    </row>
    <row r="163" spans="5:5" ht="12" x14ac:dyDescent="0.3">
      <c r="E163" s="84"/>
    </row>
    <row r="164" spans="5:5" ht="12" x14ac:dyDescent="0.3">
      <c r="E164" s="84"/>
    </row>
    <row r="165" spans="5:5" ht="12" x14ac:dyDescent="0.3">
      <c r="E165" s="84"/>
    </row>
    <row r="166" spans="5:5" ht="12" x14ac:dyDescent="0.3">
      <c r="E166" s="84"/>
    </row>
    <row r="167" spans="5:5" ht="12" x14ac:dyDescent="0.3">
      <c r="E167" s="84"/>
    </row>
    <row r="168" spans="5:5" ht="12" x14ac:dyDescent="0.3">
      <c r="E168" s="84"/>
    </row>
    <row r="169" spans="5:5" ht="12" x14ac:dyDescent="0.3">
      <c r="E169" s="84"/>
    </row>
    <row r="170" spans="5:5" ht="12" x14ac:dyDescent="0.3">
      <c r="E170" s="84"/>
    </row>
    <row r="171" spans="5:5" ht="12" x14ac:dyDescent="0.3">
      <c r="E171" s="84"/>
    </row>
    <row r="172" spans="5:5" ht="12" x14ac:dyDescent="0.3">
      <c r="E172" s="84"/>
    </row>
    <row r="173" spans="5:5" ht="12" x14ac:dyDescent="0.3">
      <c r="E173" s="84"/>
    </row>
    <row r="174" spans="5:5" ht="12" x14ac:dyDescent="0.3">
      <c r="E174" s="84"/>
    </row>
    <row r="175" spans="5:5" ht="12" x14ac:dyDescent="0.3">
      <c r="E175" s="84"/>
    </row>
    <row r="176" spans="5:5" ht="12" x14ac:dyDescent="0.3">
      <c r="E176" s="84"/>
    </row>
    <row r="177" spans="5:5" ht="12" x14ac:dyDescent="0.3">
      <c r="E177" s="84"/>
    </row>
    <row r="178" spans="5:5" ht="12" x14ac:dyDescent="0.3">
      <c r="E178" s="84"/>
    </row>
    <row r="179" spans="5:5" ht="12" x14ac:dyDescent="0.3">
      <c r="E179" s="84"/>
    </row>
    <row r="180" spans="5:5" ht="12" x14ac:dyDescent="0.3">
      <c r="E180" s="84"/>
    </row>
    <row r="181" spans="5:5" ht="12" x14ac:dyDescent="0.3">
      <c r="E181" s="84"/>
    </row>
    <row r="182" spans="5:5" ht="12" x14ac:dyDescent="0.3">
      <c r="E182" s="84"/>
    </row>
    <row r="183" spans="5:5" ht="12" x14ac:dyDescent="0.3">
      <c r="E183" s="84"/>
    </row>
    <row r="184" spans="5:5" ht="12" x14ac:dyDescent="0.3">
      <c r="E184" s="84"/>
    </row>
    <row r="185" spans="5:5" ht="12" x14ac:dyDescent="0.3">
      <c r="E185" s="84"/>
    </row>
    <row r="186" spans="5:5" ht="12" x14ac:dyDescent="0.3">
      <c r="E186" s="84"/>
    </row>
    <row r="187" spans="5:5" ht="12" x14ac:dyDescent="0.3">
      <c r="E187" s="84"/>
    </row>
    <row r="188" spans="5:5" ht="12" x14ac:dyDescent="0.3">
      <c r="E188" s="84"/>
    </row>
    <row r="189" spans="5:5" ht="12" x14ac:dyDescent="0.3">
      <c r="E189" s="84"/>
    </row>
    <row r="190" spans="5:5" ht="12" x14ac:dyDescent="0.3">
      <c r="E190" s="84"/>
    </row>
    <row r="191" spans="5:5" ht="12" x14ac:dyDescent="0.3">
      <c r="E191" s="84"/>
    </row>
    <row r="192" spans="5:5" ht="12" x14ac:dyDescent="0.3">
      <c r="E192" s="84"/>
    </row>
    <row r="193" spans="5:5" ht="12" x14ac:dyDescent="0.3">
      <c r="E193" s="84"/>
    </row>
    <row r="194" spans="5:5" ht="12" x14ac:dyDescent="0.3">
      <c r="E194" s="84"/>
    </row>
    <row r="195" spans="5:5" ht="12" x14ac:dyDescent="0.3">
      <c r="E195" s="84"/>
    </row>
    <row r="196" spans="5:5" ht="12" x14ac:dyDescent="0.3">
      <c r="E196" s="84"/>
    </row>
    <row r="197" spans="5:5" ht="12" x14ac:dyDescent="0.3">
      <c r="E197" s="84"/>
    </row>
    <row r="198" spans="5:5" ht="12" x14ac:dyDescent="0.3">
      <c r="E198" s="84"/>
    </row>
    <row r="199" spans="5:5" ht="12" x14ac:dyDescent="0.3">
      <c r="E199" s="84"/>
    </row>
    <row r="200" spans="5:5" ht="12" x14ac:dyDescent="0.3">
      <c r="E200" s="84"/>
    </row>
    <row r="201" spans="5:5" ht="12" x14ac:dyDescent="0.3">
      <c r="E201" s="84"/>
    </row>
    <row r="202" spans="5:5" ht="12" x14ac:dyDescent="0.3">
      <c r="E202" s="84"/>
    </row>
    <row r="203" spans="5:5" ht="12" x14ac:dyDescent="0.3">
      <c r="E203" s="84"/>
    </row>
    <row r="204" spans="5:5" ht="12" x14ac:dyDescent="0.3">
      <c r="E204" s="84"/>
    </row>
    <row r="205" spans="5:5" ht="12" x14ac:dyDescent="0.3">
      <c r="E205" s="84"/>
    </row>
    <row r="206" spans="5:5" ht="12" x14ac:dyDescent="0.3">
      <c r="E206" s="84"/>
    </row>
    <row r="207" spans="5:5" ht="12" x14ac:dyDescent="0.3">
      <c r="E207" s="84"/>
    </row>
    <row r="208" spans="5:5" ht="12" x14ac:dyDescent="0.3">
      <c r="E208" s="84"/>
    </row>
    <row r="209" spans="5:5" ht="12" x14ac:dyDescent="0.3">
      <c r="E209" s="84"/>
    </row>
    <row r="210" spans="5:5" ht="12" x14ac:dyDescent="0.3">
      <c r="E210" s="84"/>
    </row>
    <row r="211" spans="5:5" ht="12" x14ac:dyDescent="0.3">
      <c r="E211" s="84"/>
    </row>
    <row r="212" spans="5:5" ht="12" x14ac:dyDescent="0.3">
      <c r="E212" s="84"/>
    </row>
    <row r="213" spans="5:5" ht="12" x14ac:dyDescent="0.3">
      <c r="E213" s="84"/>
    </row>
    <row r="214" spans="5:5" ht="12" x14ac:dyDescent="0.3">
      <c r="E214" s="84"/>
    </row>
    <row r="215" spans="5:5" ht="12" x14ac:dyDescent="0.3">
      <c r="E215" s="84"/>
    </row>
    <row r="216" spans="5:5" ht="12" x14ac:dyDescent="0.3">
      <c r="E216" s="84"/>
    </row>
    <row r="217" spans="5:5" ht="12" x14ac:dyDescent="0.3">
      <c r="E217" s="84"/>
    </row>
    <row r="218" spans="5:5" ht="12" x14ac:dyDescent="0.3">
      <c r="E218" s="84"/>
    </row>
    <row r="219" spans="5:5" ht="12" x14ac:dyDescent="0.3">
      <c r="E219" s="84"/>
    </row>
    <row r="220" spans="5:5" ht="12" x14ac:dyDescent="0.3">
      <c r="E220" s="84"/>
    </row>
    <row r="221" spans="5:5" ht="12" x14ac:dyDescent="0.3">
      <c r="E221" s="84"/>
    </row>
    <row r="222" spans="5:5" ht="12" x14ac:dyDescent="0.3">
      <c r="E222" s="84"/>
    </row>
    <row r="223" spans="5:5" ht="12" x14ac:dyDescent="0.3">
      <c r="E223" s="84"/>
    </row>
    <row r="224" spans="5:5" ht="12" x14ac:dyDescent="0.3">
      <c r="E224" s="84"/>
    </row>
    <row r="225" spans="5:5" ht="12" x14ac:dyDescent="0.3">
      <c r="E225" s="84"/>
    </row>
    <row r="226" spans="5:5" ht="12" x14ac:dyDescent="0.3">
      <c r="E226" s="84"/>
    </row>
    <row r="227" spans="5:5" ht="12" x14ac:dyDescent="0.3">
      <c r="E227" s="84"/>
    </row>
    <row r="228" spans="5:5" ht="12" x14ac:dyDescent="0.3">
      <c r="E228" s="84"/>
    </row>
    <row r="229" spans="5:5" ht="12" x14ac:dyDescent="0.3">
      <c r="E229" s="84"/>
    </row>
    <row r="230" spans="5:5" ht="12" x14ac:dyDescent="0.3">
      <c r="E230" s="84"/>
    </row>
    <row r="231" spans="5:5" ht="12" x14ac:dyDescent="0.3">
      <c r="E231" s="84"/>
    </row>
    <row r="232" spans="5:5" ht="12" x14ac:dyDescent="0.3">
      <c r="E232" s="84"/>
    </row>
    <row r="233" spans="5:5" ht="12" x14ac:dyDescent="0.3">
      <c r="E233" s="84"/>
    </row>
    <row r="234" spans="5:5" ht="12" x14ac:dyDescent="0.3">
      <c r="E234" s="84"/>
    </row>
    <row r="235" spans="5:5" ht="12" x14ac:dyDescent="0.3">
      <c r="E235" s="84"/>
    </row>
    <row r="236" spans="5:5" ht="12" x14ac:dyDescent="0.3">
      <c r="E236" s="84"/>
    </row>
    <row r="237" spans="5:5" ht="12" x14ac:dyDescent="0.3">
      <c r="E237" s="84"/>
    </row>
    <row r="238" spans="5:5" ht="12" x14ac:dyDescent="0.3">
      <c r="E238" s="84"/>
    </row>
    <row r="239" spans="5:5" ht="12" x14ac:dyDescent="0.3">
      <c r="E239" s="84"/>
    </row>
    <row r="240" spans="5:5" ht="12" x14ac:dyDescent="0.3">
      <c r="E240" s="84"/>
    </row>
    <row r="241" spans="5:5" ht="12" x14ac:dyDescent="0.3">
      <c r="E241" s="84"/>
    </row>
    <row r="242" spans="5:5" ht="12" x14ac:dyDescent="0.3">
      <c r="E242" s="84"/>
    </row>
    <row r="243" spans="5:5" ht="12" x14ac:dyDescent="0.3">
      <c r="E243" s="84"/>
    </row>
    <row r="244" spans="5:5" ht="12" x14ac:dyDescent="0.3">
      <c r="E244" s="84"/>
    </row>
    <row r="245" spans="5:5" ht="12" x14ac:dyDescent="0.3">
      <c r="E245" s="84"/>
    </row>
    <row r="246" spans="5:5" ht="12" x14ac:dyDescent="0.3">
      <c r="E246" s="84"/>
    </row>
    <row r="247" spans="5:5" ht="12" x14ac:dyDescent="0.3">
      <c r="E247" s="84"/>
    </row>
    <row r="248" spans="5:5" ht="12" x14ac:dyDescent="0.3">
      <c r="E248" s="84"/>
    </row>
    <row r="249" spans="5:5" ht="12" x14ac:dyDescent="0.3">
      <c r="E249" s="84"/>
    </row>
    <row r="250" spans="5:5" ht="12" x14ac:dyDescent="0.3">
      <c r="E250" s="84"/>
    </row>
    <row r="251" spans="5:5" ht="12" x14ac:dyDescent="0.3">
      <c r="E251" s="84"/>
    </row>
    <row r="252" spans="5:5" x14ac:dyDescent="0.3"/>
    <row r="253" spans="5:5" x14ac:dyDescent="0.3"/>
    <row r="254" spans="5:5" x14ac:dyDescent="0.3"/>
    <row r="255" spans="5:5" x14ac:dyDescent="0.3"/>
    <row r="256" spans="5:5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3.5" zeroHeight="1" outlineLevelRow="1" x14ac:dyDescent="0.3"/>
  <cols>
    <col min="1" max="1" width="8.15234375" style="10" customWidth="1"/>
    <col min="2" max="2" width="20.765625" style="10" customWidth="1"/>
    <col min="3" max="3" width="20.4609375" style="10" customWidth="1"/>
    <col min="4" max="4" width="16.84375" style="10" bestFit="1" customWidth="1"/>
    <col min="5" max="5" width="12.3828125" style="10" customWidth="1"/>
    <col min="6" max="6" width="14.23046875" customWidth="1"/>
    <col min="7" max="7" width="11.613281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5" x14ac:dyDescent="0.4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5" x14ac:dyDescent="0.45">
      <c r="A2" s="56" t="str">
        <f>proj</f>
        <v>Recplacement of CRO inoperable RMUs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5" x14ac:dyDescent="0.45">
      <c r="A3" s="203" t="s">
        <v>218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3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t="13" hidden="1" outlineLevel="1" x14ac:dyDescent="0.3">
      <c r="A5" s="116" t="s">
        <v>188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t="13" hidden="1" outlineLevel="1" x14ac:dyDescent="0.3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t="13" hidden="1" outlineLevel="1" x14ac:dyDescent="0.3">
      <c r="A7" s="116" t="s">
        <v>189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3"/>
    <row r="9" spans="1:33" s="2" customFormat="1" ht="14.5" x14ac:dyDescent="0.3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ht="13" x14ac:dyDescent="0.3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4.5" x14ac:dyDescent="0.3">
      <c r="A11" s="120"/>
      <c r="B11" s="120"/>
      <c r="C11" s="120"/>
      <c r="D11" s="121"/>
      <c r="E11" s="121"/>
      <c r="F11" s="70" t="s">
        <v>150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ht="13" x14ac:dyDescent="0.3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5386622.4376281239</v>
      </c>
      <c r="AA12" s="31">
        <f>Consol!AB36</f>
        <v>5386622.4376281239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ht="13" x14ac:dyDescent="0.3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ht="13" x14ac:dyDescent="0.3">
      <c r="A14" s="253" t="s">
        <v>139</v>
      </c>
      <c r="B14" s="253" t="s">
        <v>117</v>
      </c>
      <c r="C14" s="253" t="s">
        <v>182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ht="13" x14ac:dyDescent="0.3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ht="13" x14ac:dyDescent="0.3">
      <c r="A16" s="253" t="s">
        <v>139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ht="13" x14ac:dyDescent="0.3">
      <c r="A17" s="253" t="s">
        <v>139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ht="13" x14ac:dyDescent="0.3">
      <c r="A18" s="253" t="s">
        <v>139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ht="13" x14ac:dyDescent="0.3">
      <c r="A19" s="253" t="s">
        <v>139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ht="13" x14ac:dyDescent="0.3">
      <c r="A20" s="253" t="s">
        <v>139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ht="13" x14ac:dyDescent="0.3">
      <c r="A21" s="253" t="s">
        <v>139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ht="13" x14ac:dyDescent="0.3">
      <c r="A22" s="253" t="s">
        <v>139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ht="13" x14ac:dyDescent="0.3">
      <c r="A23" s="253" t="s">
        <v>139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ht="13" x14ac:dyDescent="0.3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ht="13" x14ac:dyDescent="0.3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ht="13" x14ac:dyDescent="0.3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ht="13" x14ac:dyDescent="0.3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ht="13" x14ac:dyDescent="0.3">
      <c r="A28" s="253" t="s">
        <v>129</v>
      </c>
      <c r="B28" s="253" t="s">
        <v>117</v>
      </c>
      <c r="C28" s="253" t="s">
        <v>182</v>
      </c>
      <c r="D28" s="253" t="str">
        <f>A28&amp;B28</f>
        <v>Option 2NPV</v>
      </c>
      <c r="E28" s="254"/>
      <c r="F28" s="31">
        <f>SUMPRODUCT($H28:$AG28, $H$5:$AG$5)</f>
        <v>67543323.239318416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-1128757.0606108706</v>
      </c>
      <c r="J28" s="31">
        <f>(INDEX(Option2!J$106:J$117, MATCH($D28, Option2!$G$106:$G$117,0)))*conv_2026*J$7</f>
        <v>4619456.6054834295</v>
      </c>
      <c r="K28" s="31">
        <f>(INDEX(Option2!K$106:K$117, MATCH($D28, Option2!$G$106:$G$117,0)))*conv_2026*K$7</f>
        <v>4715110.1484383894</v>
      </c>
      <c r="L28" s="31">
        <f>(INDEX(Option2!L$106:L$117, MATCH($D28, Option2!$G$106:$G$117,0)))*conv_2026*L$7</f>
        <v>4849412.6062763361</v>
      </c>
      <c r="M28" s="31">
        <f>(INDEX(Option2!M$106:M$117, MATCH($D28, Option2!$G$106:$G$117,0)))*conv_2026*M$7</f>
        <v>4849412.6062763361</v>
      </c>
      <c r="N28" s="31">
        <f>(INDEX(Option2!N$106:N$117, MATCH($D28, Option2!$G$106:$G$117,0)))*conv_2026*N$7</f>
        <v>4849412.6062763361</v>
      </c>
      <c r="O28" s="31">
        <f>(INDEX(Option2!O$106:O$117, MATCH($D28, Option2!$G$106:$G$117,0)))*conv_2026*O$7</f>
        <v>4983715.0641142819</v>
      </c>
      <c r="P28" s="31">
        <f>(INDEX(Option2!P$106:P$117, MATCH($D28, Option2!$G$106:$G$117,0)))*conv_2026*P$7</f>
        <v>4983715.0641142819</v>
      </c>
      <c r="Q28" s="31">
        <f>(INDEX(Option2!Q$106:Q$117, MATCH($D28, Option2!$G$106:$G$117,0)))*conv_2026*Q$7</f>
        <v>5118017.5219522305</v>
      </c>
      <c r="R28" s="31">
        <f>(INDEX(Option2!R$106:R$117, MATCH($D28, Option2!$G$106:$G$117,0)))*conv_2026*R$7</f>
        <v>5118017.5219522305</v>
      </c>
      <c r="S28" s="31">
        <f>(INDEX(Option2!S$106:S$117, MATCH($D28, Option2!$G$106:$G$117,0)))*conv_2026*S$7</f>
        <v>5252319.9797901772</v>
      </c>
      <c r="T28" s="31">
        <f>(INDEX(Option2!T$106:T$117, MATCH($D28, Option2!$G$106:$G$117,0)))*conv_2026*T$7</f>
        <v>5252319.9797901772</v>
      </c>
      <c r="U28" s="31">
        <f>(INDEX(Option2!U$106:U$117, MATCH($D28, Option2!$G$106:$G$117,0)))*conv_2026*U$7</f>
        <v>5386622.437628123</v>
      </c>
      <c r="V28" s="31">
        <f>(INDEX(Option2!V$106:V$117, MATCH($D28, Option2!$G$106:$G$117,0)))*conv_2026*V$7</f>
        <v>5386622.437628123</v>
      </c>
      <c r="W28" s="31">
        <f>(INDEX(Option2!W$106:W$117, MATCH($D28, Option2!$G$106:$G$117,0)))*conv_2026*W$7</f>
        <v>5386622.437628123</v>
      </c>
      <c r="X28" s="31">
        <f>(INDEX(Option2!X$106:X$117, MATCH($D28, Option2!$G$106:$G$117,0)))*conv_2026*X$7</f>
        <v>5386622.437628123</v>
      </c>
      <c r="Y28" s="31">
        <f>(INDEX(Option2!Y$106:Y$117, MATCH($D28, Option2!$G$106:$G$117,0)))*conv_2026*Y$7</f>
        <v>5386622.437628123</v>
      </c>
      <c r="Z28" s="31">
        <f>(INDEX(Option2!Z$106:Z$117, MATCH($D28, Option2!$G$106:$G$117,0)))*conv_2026*Z$7</f>
        <v>5386622.437628123</v>
      </c>
      <c r="AA28" s="31">
        <f>(INDEX(Option2!AA$106:AA$117, MATCH($D28, Option2!$G$106:$G$117,0)))*conv_2026*AA$7</f>
        <v>5386622.437628123</v>
      </c>
      <c r="AB28" s="31">
        <f>(INDEX(Option2!AB$106:AB$117, MATCH($D28, Option2!$G$106:$G$117,0)))*conv_2026*AB$7</f>
        <v>5386622.437628123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ht="13" x14ac:dyDescent="0.3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ht="13" x14ac:dyDescent="0.3">
      <c r="A30" s="253" t="s">
        <v>129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65389083.516816162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-1128757.0606108706</v>
      </c>
      <c r="J30" s="31">
        <f>IF($B30=0,0, (INDEX(Option2!J$106:J$117, MATCH($D30, Option2!$G$106:$G$117,0)))*conv_2026*J$7)</f>
        <v>4459599.5165646235</v>
      </c>
      <c r="K30" s="31">
        <f>IF($B30=0,0, (INDEX(Option2!K$106:K$117, MATCH($D30, Option2!$G$106:$G$117,0)))*conv_2026*K$7)</f>
        <v>4555253.0595195834</v>
      </c>
      <c r="L30" s="31">
        <f>IF($B30=0,0, (INDEX(Option2!L$106:L$117, MATCH($D30, Option2!$G$106:$G$117,0)))*conv_2026*L$7)</f>
        <v>4689555.5173575291</v>
      </c>
      <c r="M30" s="31">
        <f>IF($B30=0,0, (INDEX(Option2!M$106:M$117, MATCH($D30, Option2!$G$106:$G$117,0)))*conv_2026*M$7)</f>
        <v>4689555.5173575291</v>
      </c>
      <c r="N30" s="31">
        <f>IF($B30=0,0, (INDEX(Option2!N$106:N$117, MATCH($D30, Option2!$G$106:$G$117,0)))*conv_2026*N$7)</f>
        <v>4689555.5173575291</v>
      </c>
      <c r="O30" s="31">
        <f>IF($B30=0,0, (INDEX(Option2!O$106:O$117, MATCH($D30, Option2!$G$106:$G$117,0)))*conv_2026*O$7)</f>
        <v>4823857.9751954759</v>
      </c>
      <c r="P30" s="31">
        <f>IF($B30=0,0, (INDEX(Option2!P$106:P$117, MATCH($D30, Option2!$G$106:$G$117,0)))*conv_2026*P$7)</f>
        <v>4823857.9751954759</v>
      </c>
      <c r="Q30" s="31">
        <f>IF($B30=0,0, (INDEX(Option2!Q$106:Q$117, MATCH($D30, Option2!$G$106:$G$117,0)))*conv_2026*Q$7)</f>
        <v>4958160.4330334244</v>
      </c>
      <c r="R30" s="31">
        <f>IF($B30=0,0, (INDEX(Option2!R$106:R$117, MATCH($D30, Option2!$G$106:$G$117,0)))*conv_2026*R$7)</f>
        <v>4958160.4330334244</v>
      </c>
      <c r="S30" s="31">
        <f>IF($B30=0,0, (INDEX(Option2!S$106:S$117, MATCH($D30, Option2!$G$106:$G$117,0)))*conv_2026*S$7)</f>
        <v>5092462.8908713702</v>
      </c>
      <c r="T30" s="31">
        <f>IF($B30=0,0, (INDEX(Option2!T$106:T$117, MATCH($D30, Option2!$G$106:$G$117,0)))*conv_2026*T$7)</f>
        <v>5092462.8908713702</v>
      </c>
      <c r="U30" s="31">
        <f>IF($B30=0,0, (INDEX(Option2!U$106:U$117, MATCH($D30, Option2!$G$106:$G$117,0)))*conv_2026*U$7)</f>
        <v>5226765.3487093169</v>
      </c>
      <c r="V30" s="31">
        <f>IF($B30=0,0, (INDEX(Option2!V$106:V$117, MATCH($D30, Option2!$G$106:$G$117,0)))*conv_2026*V$7)</f>
        <v>5226765.3487093169</v>
      </c>
      <c r="W30" s="31">
        <f>IF($B30=0,0, (INDEX(Option2!W$106:W$117, MATCH($D30, Option2!$G$106:$G$117,0)))*conv_2026*W$7)</f>
        <v>5226765.3487093169</v>
      </c>
      <c r="X30" s="31">
        <f>IF($B30=0,0, (INDEX(Option2!X$106:X$117, MATCH($D30, Option2!$G$106:$G$117,0)))*conv_2026*X$7)</f>
        <v>5226765.3487093169</v>
      </c>
      <c r="Y30" s="31">
        <f>IF($B30=0,0, (INDEX(Option2!Y$106:Y$117, MATCH($D30, Option2!$G$106:$G$117,0)))*conv_2026*Y$7)</f>
        <v>5226765.3487093169</v>
      </c>
      <c r="Z30" s="31">
        <f>IF($B30=0,0, (INDEX(Option2!Z$106:Z$117, MATCH($D30, Option2!$G$106:$G$117,0)))*conv_2026*Z$7)</f>
        <v>5226765.3487093169</v>
      </c>
      <c r="AA30" s="31">
        <f>IF($B30=0,0, (INDEX(Option2!AA$106:AA$117, MATCH($D30, Option2!$G$106:$G$117,0)))*conv_2026*AA$7)</f>
        <v>5226765.3487093169</v>
      </c>
      <c r="AB30" s="31">
        <f>IF($B30=0,0, (INDEX(Option2!AB$106:AB$117, MATCH($D30, Option2!$G$106:$G$117,0)))*conv_2026*AB$7)</f>
        <v>5226765.3487093169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ht="13" x14ac:dyDescent="0.3">
      <c r="A31" s="253" t="s">
        <v>129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69697562.961820692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-1128757.0606108706</v>
      </c>
      <c r="J31" s="31">
        <f>IF($B31=0,0, (INDEX(Option2!J$106:J$117, MATCH($D31, Option2!$G$106:$G$117,0)))*conv_2026*J$7)</f>
        <v>4779313.6944022356</v>
      </c>
      <c r="K31" s="31">
        <f>IF($B31=0,0, (INDEX(Option2!K$106:K$117, MATCH($D31, Option2!$G$106:$G$117,0)))*conv_2026*K$7)</f>
        <v>4874967.2373571964</v>
      </c>
      <c r="L31" s="31">
        <f>IF($B31=0,0, (INDEX(Option2!L$106:L$117, MATCH($D31, Option2!$G$106:$G$117,0)))*conv_2026*L$7)</f>
        <v>5009269.6951951422</v>
      </c>
      <c r="M31" s="31">
        <f>IF($B31=0,0, (INDEX(Option2!M$106:M$117, MATCH($D31, Option2!$G$106:$G$117,0)))*conv_2026*M$7)</f>
        <v>5009269.6951951422</v>
      </c>
      <c r="N31" s="31">
        <f>IF($B31=0,0, (INDEX(Option2!N$106:N$117, MATCH($D31, Option2!$G$106:$G$117,0)))*conv_2026*N$7)</f>
        <v>5009269.6951951422</v>
      </c>
      <c r="O31" s="31">
        <f>IF($B31=0,0, (INDEX(Option2!O$106:O$117, MATCH($D31, Option2!$G$106:$G$117,0)))*conv_2026*O$7)</f>
        <v>5143572.1530330889</v>
      </c>
      <c r="P31" s="31">
        <f>IF($B31=0,0, (INDEX(Option2!P$106:P$117, MATCH($D31, Option2!$G$106:$G$117,0)))*conv_2026*P$7)</f>
        <v>5143572.1530330889</v>
      </c>
      <c r="Q31" s="31">
        <f>IF($B31=0,0, (INDEX(Option2!Q$106:Q$117, MATCH($D31, Option2!$G$106:$G$117,0)))*conv_2026*Q$7)</f>
        <v>5277874.6108710375</v>
      </c>
      <c r="R31" s="31">
        <f>IF($B31=0,0, (INDEX(Option2!R$106:R$117, MATCH($D31, Option2!$G$106:$G$117,0)))*conv_2026*R$7)</f>
        <v>5277874.6108710375</v>
      </c>
      <c r="S31" s="31">
        <f>IF($B31=0,0, (INDEX(Option2!S$106:S$117, MATCH($D31, Option2!$G$106:$G$117,0)))*conv_2026*S$7)</f>
        <v>5412177.0687089832</v>
      </c>
      <c r="T31" s="31">
        <f>IF($B31=0,0, (INDEX(Option2!T$106:T$117, MATCH($D31, Option2!$G$106:$G$117,0)))*conv_2026*T$7)</f>
        <v>5412177.0687089832</v>
      </c>
      <c r="U31" s="31">
        <f>IF($B31=0,0, (INDEX(Option2!U$106:U$117, MATCH($D31, Option2!$G$106:$G$117,0)))*conv_2026*U$7)</f>
        <v>5546479.52654693</v>
      </c>
      <c r="V31" s="31">
        <f>IF($B31=0,0, (INDEX(Option2!V$106:V$117, MATCH($D31, Option2!$G$106:$G$117,0)))*conv_2026*V$7)</f>
        <v>5546479.52654693</v>
      </c>
      <c r="W31" s="31">
        <f>IF($B31=0,0, (INDEX(Option2!W$106:W$117, MATCH($D31, Option2!$G$106:$G$117,0)))*conv_2026*W$7)</f>
        <v>5546479.52654693</v>
      </c>
      <c r="X31" s="31">
        <f>IF($B31=0,0, (INDEX(Option2!X$106:X$117, MATCH($D31, Option2!$G$106:$G$117,0)))*conv_2026*X$7)</f>
        <v>5546479.52654693</v>
      </c>
      <c r="Y31" s="31">
        <f>IF($B31=0,0, (INDEX(Option2!Y$106:Y$117, MATCH($D31, Option2!$G$106:$G$117,0)))*conv_2026*Y$7)</f>
        <v>5546479.52654693</v>
      </c>
      <c r="Z31" s="31">
        <f>IF($B31=0,0, (INDEX(Option2!Z$106:Z$117, MATCH($D31, Option2!$G$106:$G$117,0)))*conv_2026*Z$7)</f>
        <v>5546479.52654693</v>
      </c>
      <c r="AA31" s="31">
        <f>IF($B31=0,0, (INDEX(Option2!AA$106:AA$117, MATCH($D31, Option2!$G$106:$G$117,0)))*conv_2026*AA$7)</f>
        <v>5546479.52654693</v>
      </c>
      <c r="AB31" s="31">
        <f>IF($B31=0,0, (INDEX(Option2!AB$106:AB$117, MATCH($D31, Option2!$G$106:$G$117,0)))*conv_2026*AB$7)</f>
        <v>5546479.52654693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ht="13" x14ac:dyDescent="0.3">
      <c r="A32" s="253" t="s">
        <v>129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76451895.285752505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-1241632.7666719574</v>
      </c>
      <c r="J32" s="31">
        <f>IF($B32=0,0, (INDEX(Option2!J$106:J$117, MATCH($D32, Option2!$G$106:$G$117,0)))*conv_2026*J$7)</f>
        <v>5241259.354950578</v>
      </c>
      <c r="K32" s="31">
        <f>IF($B32=0,0, (INDEX(Option2!K$106:K$117, MATCH($D32, Option2!$G$106:$G$117,0)))*conv_2026*K$7)</f>
        <v>5346478.2522010347</v>
      </c>
      <c r="L32" s="31">
        <f>IF($B32=0,0, (INDEX(Option2!L$106:L$117, MATCH($D32, Option2!$G$106:$G$117,0)))*conv_2026*L$7)</f>
        <v>5494210.9558227761</v>
      </c>
      <c r="M32" s="31">
        <f>IF($B32=0,0, (INDEX(Option2!M$106:M$117, MATCH($D32, Option2!$G$106:$G$117,0)))*conv_2026*M$7)</f>
        <v>5494210.9558227761</v>
      </c>
      <c r="N32" s="31">
        <f>IF($B32=0,0, (INDEX(Option2!N$106:N$117, MATCH($D32, Option2!$G$106:$G$117,0)))*conv_2026*N$7)</f>
        <v>5494210.9558227761</v>
      </c>
      <c r="O32" s="31">
        <f>IF($B32=0,0, (INDEX(Option2!O$106:O$117, MATCH($D32, Option2!$G$106:$G$117,0)))*conv_2026*O$7)</f>
        <v>5641943.6594445165</v>
      </c>
      <c r="P32" s="31">
        <f>IF($B32=0,0, (INDEX(Option2!P$106:P$117, MATCH($D32, Option2!$G$106:$G$117,0)))*conv_2026*P$7)</f>
        <v>5641943.6594445165</v>
      </c>
      <c r="Q32" s="31">
        <f>IF($B32=0,0, (INDEX(Option2!Q$106:Q$117, MATCH($D32, Option2!$G$106:$G$117,0)))*conv_2026*Q$7)</f>
        <v>5789676.3630662588</v>
      </c>
      <c r="R32" s="31">
        <f>IF($B32=0,0, (INDEX(Option2!R$106:R$117, MATCH($D32, Option2!$G$106:$G$117,0)))*conv_2026*R$7)</f>
        <v>5789676.3630662588</v>
      </c>
      <c r="S32" s="31">
        <f>IF($B32=0,0, (INDEX(Option2!S$106:S$117, MATCH($D32, Option2!$G$106:$G$117,0)))*conv_2026*S$7)</f>
        <v>5937409.0666880002</v>
      </c>
      <c r="T32" s="31">
        <f>IF($B32=0,0, (INDEX(Option2!T$106:T$117, MATCH($D32, Option2!$G$106:$G$117,0)))*conv_2026*T$7)</f>
        <v>5937409.0666880002</v>
      </c>
      <c r="U32" s="31">
        <f>IF($B32=0,0, (INDEX(Option2!U$106:U$117, MATCH($D32, Option2!$G$106:$G$117,0)))*conv_2026*U$7)</f>
        <v>6085141.7703097416</v>
      </c>
      <c r="V32" s="31">
        <f>IF($B32=0,0, (INDEX(Option2!V$106:V$117, MATCH($D32, Option2!$G$106:$G$117,0)))*conv_2026*V$7)</f>
        <v>6085141.7703097416</v>
      </c>
      <c r="W32" s="31">
        <f>IF($B32=0,0, (INDEX(Option2!W$106:W$117, MATCH($D32, Option2!$G$106:$G$117,0)))*conv_2026*W$7)</f>
        <v>6085141.7703097416</v>
      </c>
      <c r="X32" s="31">
        <f>IF($B32=0,0, (INDEX(Option2!X$106:X$117, MATCH($D32, Option2!$G$106:$G$117,0)))*conv_2026*X$7)</f>
        <v>6085141.7703097416</v>
      </c>
      <c r="Y32" s="31">
        <f>IF($B32=0,0, (INDEX(Option2!Y$106:Y$117, MATCH($D32, Option2!$G$106:$G$117,0)))*conv_2026*Y$7)</f>
        <v>6085141.7703097416</v>
      </c>
      <c r="Z32" s="31">
        <f>IF($B32=0,0, (INDEX(Option2!Z$106:Z$117, MATCH($D32, Option2!$G$106:$G$117,0)))*conv_2026*Z$7)</f>
        <v>6085141.7703097416</v>
      </c>
      <c r="AA32" s="31">
        <f>IF($B32=0,0, (INDEX(Option2!AA$106:AA$117, MATCH($D32, Option2!$G$106:$G$117,0)))*conv_2026*AA$7)</f>
        <v>6085141.7703097416</v>
      </c>
      <c r="AB32" s="31">
        <f>IF($B32=0,0, (INDEX(Option2!AB$106:AB$117, MATCH($D32, Option2!$G$106:$G$117,0)))*conv_2026*AB$7)</f>
        <v>6085141.7703097416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ht="13" x14ac:dyDescent="0.3">
      <c r="A33" s="253" t="s">
        <v>129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58634751.192884326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-1015881.3545497834</v>
      </c>
      <c r="J33" s="31">
        <f>IF($B33=0,0, (INDEX(Option2!J$106:J$117, MATCH($D33, Option2!$G$106:$G$117,0)))*conv_2026*J$7)</f>
        <v>3997653.8560162801</v>
      </c>
      <c r="K33" s="31">
        <f>IF($B33=0,0, (INDEX(Option2!K$106:K$117, MATCH($D33, Option2!$G$106:$G$117,0)))*conv_2026*K$7)</f>
        <v>4083742.0446757451</v>
      </c>
      <c r="L33" s="31">
        <f>IF($B33=0,0, (INDEX(Option2!L$106:L$117, MATCH($D33, Option2!$G$106:$G$117,0)))*conv_2026*L$7)</f>
        <v>4204614.2567298962</v>
      </c>
      <c r="M33" s="31">
        <f>IF($B33=0,0, (INDEX(Option2!M$106:M$117, MATCH($D33, Option2!$G$106:$G$117,0)))*conv_2026*M$7)</f>
        <v>4204614.2567298962</v>
      </c>
      <c r="N33" s="31">
        <f>IF($B33=0,0, (INDEX(Option2!N$106:N$117, MATCH($D33, Option2!$G$106:$G$117,0)))*conv_2026*N$7)</f>
        <v>4204614.2567298962</v>
      </c>
      <c r="O33" s="31">
        <f>IF($B33=0,0, (INDEX(Option2!O$106:O$117, MATCH($D33, Option2!$G$106:$G$117,0)))*conv_2026*O$7)</f>
        <v>4325486.4687840482</v>
      </c>
      <c r="P33" s="31">
        <f>IF($B33=0,0, (INDEX(Option2!P$106:P$117, MATCH($D33, Option2!$G$106:$G$117,0)))*conv_2026*P$7)</f>
        <v>4325486.4687840482</v>
      </c>
      <c r="Q33" s="31">
        <f>IF($B33=0,0, (INDEX(Option2!Q$106:Q$117, MATCH($D33, Option2!$G$106:$G$117,0)))*conv_2026*Q$7)</f>
        <v>4446358.6808382012</v>
      </c>
      <c r="R33" s="31">
        <f>IF($B33=0,0, (INDEX(Option2!R$106:R$117, MATCH($D33, Option2!$G$106:$G$117,0)))*conv_2026*R$7)</f>
        <v>4446358.6808382012</v>
      </c>
      <c r="S33" s="31">
        <f>IF($B33=0,0, (INDEX(Option2!S$106:S$117, MATCH($D33, Option2!$G$106:$G$117,0)))*conv_2026*S$7)</f>
        <v>4567230.8928923532</v>
      </c>
      <c r="T33" s="31">
        <f>IF($B33=0,0, (INDEX(Option2!T$106:T$117, MATCH($D33, Option2!$G$106:$G$117,0)))*conv_2026*T$7)</f>
        <v>4567230.8928923532</v>
      </c>
      <c r="U33" s="31">
        <f>IF($B33=0,0, (INDEX(Option2!U$106:U$117, MATCH($D33, Option2!$G$106:$G$117,0)))*conv_2026*U$7)</f>
        <v>4688103.1049465053</v>
      </c>
      <c r="V33" s="31">
        <f>IF($B33=0,0, (INDEX(Option2!V$106:V$117, MATCH($D33, Option2!$G$106:$G$117,0)))*conv_2026*V$7)</f>
        <v>4688103.1049465053</v>
      </c>
      <c r="W33" s="31">
        <f>IF($B33=0,0, (INDEX(Option2!W$106:W$117, MATCH($D33, Option2!$G$106:$G$117,0)))*conv_2026*W$7)</f>
        <v>4688103.1049465053</v>
      </c>
      <c r="X33" s="31">
        <f>IF($B33=0,0, (INDEX(Option2!X$106:X$117, MATCH($D33, Option2!$G$106:$G$117,0)))*conv_2026*X$7)</f>
        <v>4688103.1049465053</v>
      </c>
      <c r="Y33" s="31">
        <f>IF($B33=0,0, (INDEX(Option2!Y$106:Y$117, MATCH($D33, Option2!$G$106:$G$117,0)))*conv_2026*Y$7)</f>
        <v>4688103.1049465053</v>
      </c>
      <c r="Z33" s="31">
        <f>IF($B33=0,0, (INDEX(Option2!Z$106:Z$117, MATCH($D33, Option2!$G$106:$G$117,0)))*conv_2026*Z$7)</f>
        <v>4688103.1049465053</v>
      </c>
      <c r="AA33" s="31">
        <f>IF($B33=0,0, (INDEX(Option2!AA$106:AA$117, MATCH($D33, Option2!$G$106:$G$117,0)))*conv_2026*AA$7)</f>
        <v>4688103.1049465053</v>
      </c>
      <c r="AB33" s="31">
        <f>IF($B33=0,0, (INDEX(Option2!AB$106:AB$117, MATCH($D33, Option2!$G$106:$G$117,0)))*conv_2026*AB$7)</f>
        <v>4688103.1049465053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ht="13" x14ac:dyDescent="0.3">
      <c r="A34" s="253" t="s">
        <v>129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56480511.470382087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-1015881.3545497834</v>
      </c>
      <c r="J34" s="31">
        <f>IF($B34=0,0, (INDEX(Option2!J$106:J$117, MATCH($D34, Option2!$G$106:$G$117,0)))*conv_2026*J$7)</f>
        <v>3837796.7670974745</v>
      </c>
      <c r="K34" s="31">
        <f>IF($B34=0,0, (INDEX(Option2!K$106:K$117, MATCH($D34, Option2!$G$106:$G$117,0)))*conv_2026*K$7)</f>
        <v>3923884.9557569386</v>
      </c>
      <c r="L34" s="31">
        <f>IF($B34=0,0, (INDEX(Option2!L$106:L$117, MATCH($D34, Option2!$G$106:$G$117,0)))*conv_2026*L$7)</f>
        <v>4044757.1678110906</v>
      </c>
      <c r="M34" s="31">
        <f>IF($B34=0,0, (INDEX(Option2!M$106:M$117, MATCH($D34, Option2!$G$106:$G$117,0)))*conv_2026*M$7)</f>
        <v>4044757.1678110906</v>
      </c>
      <c r="N34" s="31">
        <f>IF($B34=0,0, (INDEX(Option2!N$106:N$117, MATCH($D34, Option2!$G$106:$G$117,0)))*conv_2026*N$7)</f>
        <v>4044757.1678110906</v>
      </c>
      <c r="O34" s="31">
        <f>IF($B34=0,0, (INDEX(Option2!O$106:O$117, MATCH($D34, Option2!$G$106:$G$117,0)))*conv_2026*O$7)</f>
        <v>4165629.3798652422</v>
      </c>
      <c r="P34" s="31">
        <f>IF($B34=0,0, (INDEX(Option2!P$106:P$117, MATCH($D34, Option2!$G$106:$G$117,0)))*conv_2026*P$7)</f>
        <v>4165629.3798652422</v>
      </c>
      <c r="Q34" s="31">
        <f>IF($B34=0,0, (INDEX(Option2!Q$106:Q$117, MATCH($D34, Option2!$G$106:$G$117,0)))*conv_2026*Q$7)</f>
        <v>4286501.5919193961</v>
      </c>
      <c r="R34" s="31">
        <f>IF($B34=0,0, (INDEX(Option2!R$106:R$117, MATCH($D34, Option2!$G$106:$G$117,0)))*conv_2026*R$7)</f>
        <v>4286501.5919193961</v>
      </c>
      <c r="S34" s="31">
        <f>IF($B34=0,0, (INDEX(Option2!S$106:S$117, MATCH($D34, Option2!$G$106:$G$117,0)))*conv_2026*S$7)</f>
        <v>4407373.8039735472</v>
      </c>
      <c r="T34" s="31">
        <f>IF($B34=0,0, (INDEX(Option2!T$106:T$117, MATCH($D34, Option2!$G$106:$G$117,0)))*conv_2026*T$7)</f>
        <v>4407373.8039735472</v>
      </c>
      <c r="U34" s="31">
        <f>IF($B34=0,0, (INDEX(Option2!U$106:U$117, MATCH($D34, Option2!$G$106:$G$117,0)))*conv_2026*U$7)</f>
        <v>4528246.0160276992</v>
      </c>
      <c r="V34" s="31">
        <f>IF($B34=0,0, (INDEX(Option2!V$106:V$117, MATCH($D34, Option2!$G$106:$G$117,0)))*conv_2026*V$7)</f>
        <v>4528246.0160276992</v>
      </c>
      <c r="W34" s="31">
        <f>IF($B34=0,0, (INDEX(Option2!W$106:W$117, MATCH($D34, Option2!$G$106:$G$117,0)))*conv_2026*W$7)</f>
        <v>4528246.0160276992</v>
      </c>
      <c r="X34" s="31">
        <f>IF($B34=0,0, (INDEX(Option2!X$106:X$117, MATCH($D34, Option2!$G$106:$G$117,0)))*conv_2026*X$7)</f>
        <v>4528246.0160276992</v>
      </c>
      <c r="Y34" s="31">
        <f>IF($B34=0,0, (INDEX(Option2!Y$106:Y$117, MATCH($D34, Option2!$G$106:$G$117,0)))*conv_2026*Y$7)</f>
        <v>4528246.0160276992</v>
      </c>
      <c r="Z34" s="31">
        <f>IF($B34=0,0, (INDEX(Option2!Z$106:Z$117, MATCH($D34, Option2!$G$106:$G$117,0)))*conv_2026*Z$7)</f>
        <v>4528246.0160276992</v>
      </c>
      <c r="AA34" s="31">
        <f>IF($B34=0,0, (INDEX(Option2!AA$106:AA$117, MATCH($D34, Option2!$G$106:$G$117,0)))*conv_2026*AA$7)</f>
        <v>4528246.0160276992</v>
      </c>
      <c r="AB34" s="31">
        <f>IF($B34=0,0, (INDEX(Option2!AB$106:AB$117, MATCH($D34, Option2!$G$106:$G$117,0)))*conv_2026*AB$7)</f>
        <v>4528246.0160276992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ht="13" x14ac:dyDescent="0.3">
      <c r="A35" s="253" t="s">
        <v>129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67543323.239318416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-1128757.0606108706</v>
      </c>
      <c r="J35" s="31">
        <f>IF($B35=0,0, (INDEX(Option2!J$106:J$117, MATCH($D35, Option2!$G$106:$G$117,0)))*conv_2026*J$7)</f>
        <v>4619456.6054834295</v>
      </c>
      <c r="K35" s="31">
        <f>IF($B35=0,0, (INDEX(Option2!K$106:K$117, MATCH($D35, Option2!$G$106:$G$117,0)))*conv_2026*K$7)</f>
        <v>4715110.1484383894</v>
      </c>
      <c r="L35" s="31">
        <f>IF($B35=0,0, (INDEX(Option2!L$106:L$117, MATCH($D35, Option2!$G$106:$G$117,0)))*conv_2026*L$7)</f>
        <v>4849412.6062763361</v>
      </c>
      <c r="M35" s="31">
        <f>IF($B35=0,0, (INDEX(Option2!M$106:M$117, MATCH($D35, Option2!$G$106:$G$117,0)))*conv_2026*M$7)</f>
        <v>4849412.6062763361</v>
      </c>
      <c r="N35" s="31">
        <f>IF($B35=0,0, (INDEX(Option2!N$106:N$117, MATCH($D35, Option2!$G$106:$G$117,0)))*conv_2026*N$7)</f>
        <v>4849412.6062763361</v>
      </c>
      <c r="O35" s="31">
        <f>IF($B35=0,0, (INDEX(Option2!O$106:O$117, MATCH($D35, Option2!$G$106:$G$117,0)))*conv_2026*O$7)</f>
        <v>4983715.0641142819</v>
      </c>
      <c r="P35" s="31">
        <f>IF($B35=0,0, (INDEX(Option2!P$106:P$117, MATCH($D35, Option2!$G$106:$G$117,0)))*conv_2026*P$7)</f>
        <v>4983715.0641142819</v>
      </c>
      <c r="Q35" s="31">
        <f>IF($B35=0,0, (INDEX(Option2!Q$106:Q$117, MATCH($D35, Option2!$G$106:$G$117,0)))*conv_2026*Q$7)</f>
        <v>5118017.5219522305</v>
      </c>
      <c r="R35" s="31">
        <f>IF($B35=0,0, (INDEX(Option2!R$106:R$117, MATCH($D35, Option2!$G$106:$G$117,0)))*conv_2026*R$7)</f>
        <v>5118017.5219522305</v>
      </c>
      <c r="S35" s="31">
        <f>IF($B35=0,0, (INDEX(Option2!S$106:S$117, MATCH($D35, Option2!$G$106:$G$117,0)))*conv_2026*S$7)</f>
        <v>5252319.9797901772</v>
      </c>
      <c r="T35" s="31">
        <f>IF($B35=0,0, (INDEX(Option2!T$106:T$117, MATCH($D35, Option2!$G$106:$G$117,0)))*conv_2026*T$7)</f>
        <v>5252319.9797901772</v>
      </c>
      <c r="U35" s="31">
        <f>IF($B35=0,0, (INDEX(Option2!U$106:U$117, MATCH($D35, Option2!$G$106:$G$117,0)))*conv_2026*U$7)</f>
        <v>5386622.437628123</v>
      </c>
      <c r="V35" s="31">
        <f>IF($B35=0,0, (INDEX(Option2!V$106:V$117, MATCH($D35, Option2!$G$106:$G$117,0)))*conv_2026*V$7)</f>
        <v>5386622.437628123</v>
      </c>
      <c r="W35" s="31">
        <f>IF($B35=0,0, (INDEX(Option2!W$106:W$117, MATCH($D35, Option2!$G$106:$G$117,0)))*conv_2026*W$7)</f>
        <v>5386622.437628123</v>
      </c>
      <c r="X35" s="31">
        <f>IF($B35=0,0, (INDEX(Option2!X$106:X$117, MATCH($D35, Option2!$G$106:$G$117,0)))*conv_2026*X$7)</f>
        <v>5386622.437628123</v>
      </c>
      <c r="Y35" s="31">
        <f>IF($B35=0,0, (INDEX(Option2!Y$106:Y$117, MATCH($D35, Option2!$G$106:$G$117,0)))*conv_2026*Y$7)</f>
        <v>5386622.437628123</v>
      </c>
      <c r="Z35" s="31">
        <f>IF($B35=0,0, (INDEX(Option2!Z$106:Z$117, MATCH($D35, Option2!$G$106:$G$117,0)))*conv_2026*Z$7)</f>
        <v>5386622.437628123</v>
      </c>
      <c r="AA35" s="31">
        <f>IF($B35=0,0, (INDEX(Option2!AA$106:AA$117, MATCH($D35, Option2!$G$106:$G$117,0)))*conv_2026*AA$7)</f>
        <v>5386622.437628123</v>
      </c>
      <c r="AB35" s="31">
        <f>IF($B35=0,0, (INDEX(Option2!AB$106:AB$117, MATCH($D35, Option2!$G$106:$G$117,0)))*conv_2026*AB$7)</f>
        <v>5386622.437628123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ht="13" x14ac:dyDescent="0.3">
      <c r="A36" s="253" t="s">
        <v>129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67543323.239318416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-1128757.0606108706</v>
      </c>
      <c r="J36" s="31">
        <f>IF($B36=0,0, (INDEX(Option2!J$106:J$117, MATCH($D36, Option2!$G$106:$G$117,0)))*conv_2026*J$7)</f>
        <v>4619456.6054834295</v>
      </c>
      <c r="K36" s="31">
        <f>IF($B36=0,0, (INDEX(Option2!K$106:K$117, MATCH($D36, Option2!$G$106:$G$117,0)))*conv_2026*K$7)</f>
        <v>4715110.1484383894</v>
      </c>
      <c r="L36" s="31">
        <f>IF($B36=0,0, (INDEX(Option2!L$106:L$117, MATCH($D36, Option2!$G$106:$G$117,0)))*conv_2026*L$7)</f>
        <v>4849412.6062763361</v>
      </c>
      <c r="M36" s="31">
        <f>IF($B36=0,0, (INDEX(Option2!M$106:M$117, MATCH($D36, Option2!$G$106:$G$117,0)))*conv_2026*M$7)</f>
        <v>4849412.6062763361</v>
      </c>
      <c r="N36" s="31">
        <f>IF($B36=0,0, (INDEX(Option2!N$106:N$117, MATCH($D36, Option2!$G$106:$G$117,0)))*conv_2026*N$7)</f>
        <v>4849412.6062763361</v>
      </c>
      <c r="O36" s="31">
        <f>IF($B36=0,0, (INDEX(Option2!O$106:O$117, MATCH($D36, Option2!$G$106:$G$117,0)))*conv_2026*O$7)</f>
        <v>4983715.0641142819</v>
      </c>
      <c r="P36" s="31">
        <f>IF($B36=0,0, (INDEX(Option2!P$106:P$117, MATCH($D36, Option2!$G$106:$G$117,0)))*conv_2026*P$7)</f>
        <v>4983715.0641142819</v>
      </c>
      <c r="Q36" s="31">
        <f>IF($B36=0,0, (INDEX(Option2!Q$106:Q$117, MATCH($D36, Option2!$G$106:$G$117,0)))*conv_2026*Q$7)</f>
        <v>5118017.5219522305</v>
      </c>
      <c r="R36" s="31">
        <f>IF($B36=0,0, (INDEX(Option2!R$106:R$117, MATCH($D36, Option2!$G$106:$G$117,0)))*conv_2026*R$7)</f>
        <v>5118017.5219522305</v>
      </c>
      <c r="S36" s="31">
        <f>IF($B36=0,0, (INDEX(Option2!S$106:S$117, MATCH($D36, Option2!$G$106:$G$117,0)))*conv_2026*S$7)</f>
        <v>5252319.9797901772</v>
      </c>
      <c r="T36" s="31">
        <f>IF($B36=0,0, (INDEX(Option2!T$106:T$117, MATCH($D36, Option2!$G$106:$G$117,0)))*conv_2026*T$7)</f>
        <v>5252319.9797901772</v>
      </c>
      <c r="U36" s="31">
        <f>IF($B36=0,0, (INDEX(Option2!U$106:U$117, MATCH($D36, Option2!$G$106:$G$117,0)))*conv_2026*U$7)</f>
        <v>5386622.437628123</v>
      </c>
      <c r="V36" s="31">
        <f>IF($B36=0,0, (INDEX(Option2!V$106:V$117, MATCH($D36, Option2!$G$106:$G$117,0)))*conv_2026*V$7)</f>
        <v>5386622.437628123</v>
      </c>
      <c r="W36" s="31">
        <f>IF($B36=0,0, (INDEX(Option2!W$106:W$117, MATCH($D36, Option2!$G$106:$G$117,0)))*conv_2026*W$7)</f>
        <v>5386622.437628123</v>
      </c>
      <c r="X36" s="31">
        <f>IF($B36=0,0, (INDEX(Option2!X$106:X$117, MATCH($D36, Option2!$G$106:$G$117,0)))*conv_2026*X$7)</f>
        <v>5386622.437628123</v>
      </c>
      <c r="Y36" s="31">
        <f>IF($B36=0,0, (INDEX(Option2!Y$106:Y$117, MATCH($D36, Option2!$G$106:$G$117,0)))*conv_2026*Y$7)</f>
        <v>5386622.437628123</v>
      </c>
      <c r="Z36" s="31">
        <f>IF($B36=0,0, (INDEX(Option2!Z$106:Z$117, MATCH($D36, Option2!$G$106:$G$117,0)))*conv_2026*Z$7)</f>
        <v>5386622.437628123</v>
      </c>
      <c r="AA36" s="31">
        <f>IF($B36=0,0, (INDEX(Option2!AA$106:AA$117, MATCH($D36, Option2!$G$106:$G$117,0)))*conv_2026*AA$7)</f>
        <v>5386622.437628123</v>
      </c>
      <c r="AB36" s="31">
        <f>IF($B36=0,0, (INDEX(Option2!AB$106:AB$117, MATCH($D36, Option2!$G$106:$G$117,0)))*conv_2026*AB$7)</f>
        <v>5386622.437628123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ht="13" x14ac:dyDescent="0.3">
      <c r="A37" s="253" t="s">
        <v>129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67543323.239318416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-1128757.0606108706</v>
      </c>
      <c r="J37" s="31">
        <f>IF($B37=0,0, (INDEX(Option2!J$106:J$117, MATCH($D37, Option2!$G$106:$G$117,0)))*conv_2026*J$7)</f>
        <v>4619456.6054834295</v>
      </c>
      <c r="K37" s="31">
        <f>IF($B37=0,0, (INDEX(Option2!K$106:K$117, MATCH($D37, Option2!$G$106:$G$117,0)))*conv_2026*K$7)</f>
        <v>4715110.1484383894</v>
      </c>
      <c r="L37" s="31">
        <f>IF($B37=0,0, (INDEX(Option2!L$106:L$117, MATCH($D37, Option2!$G$106:$G$117,0)))*conv_2026*L$7)</f>
        <v>4849412.6062763361</v>
      </c>
      <c r="M37" s="31">
        <f>IF($B37=0,0, (INDEX(Option2!M$106:M$117, MATCH($D37, Option2!$G$106:$G$117,0)))*conv_2026*M$7)</f>
        <v>4849412.6062763361</v>
      </c>
      <c r="N37" s="31">
        <f>IF($B37=0,0, (INDEX(Option2!N$106:N$117, MATCH($D37, Option2!$G$106:$G$117,0)))*conv_2026*N$7)</f>
        <v>4849412.6062763361</v>
      </c>
      <c r="O37" s="31">
        <f>IF($B37=0,0, (INDEX(Option2!O$106:O$117, MATCH($D37, Option2!$G$106:$G$117,0)))*conv_2026*O$7)</f>
        <v>4983715.0641142819</v>
      </c>
      <c r="P37" s="31">
        <f>IF($B37=0,0, (INDEX(Option2!P$106:P$117, MATCH($D37, Option2!$G$106:$G$117,0)))*conv_2026*P$7)</f>
        <v>4983715.0641142819</v>
      </c>
      <c r="Q37" s="31">
        <f>IF($B37=0,0, (INDEX(Option2!Q$106:Q$117, MATCH($D37, Option2!$G$106:$G$117,0)))*conv_2026*Q$7)</f>
        <v>5118017.5219522305</v>
      </c>
      <c r="R37" s="31">
        <f>IF($B37=0,0, (INDEX(Option2!R$106:R$117, MATCH($D37, Option2!$G$106:$G$117,0)))*conv_2026*R$7)</f>
        <v>5118017.5219522305</v>
      </c>
      <c r="S37" s="31">
        <f>IF($B37=0,0, (INDEX(Option2!S$106:S$117, MATCH($D37, Option2!$G$106:$G$117,0)))*conv_2026*S$7)</f>
        <v>5252319.9797901772</v>
      </c>
      <c r="T37" s="31">
        <f>IF($B37=0,0, (INDEX(Option2!T$106:T$117, MATCH($D37, Option2!$G$106:$G$117,0)))*conv_2026*T$7)</f>
        <v>5252319.9797901772</v>
      </c>
      <c r="U37" s="31">
        <f>IF($B37=0,0, (INDEX(Option2!U$106:U$117, MATCH($D37, Option2!$G$106:$G$117,0)))*conv_2026*U$7)</f>
        <v>5386622.437628123</v>
      </c>
      <c r="V37" s="31">
        <f>IF($B37=0,0, (INDEX(Option2!V$106:V$117, MATCH($D37, Option2!$G$106:$G$117,0)))*conv_2026*V$7)</f>
        <v>5386622.437628123</v>
      </c>
      <c r="W37" s="31">
        <f>IF($B37=0,0, (INDEX(Option2!W$106:W$117, MATCH($D37, Option2!$G$106:$G$117,0)))*conv_2026*W$7)</f>
        <v>5386622.437628123</v>
      </c>
      <c r="X37" s="31">
        <f>IF($B37=0,0, (INDEX(Option2!X$106:X$117, MATCH($D37, Option2!$G$106:$G$117,0)))*conv_2026*X$7)</f>
        <v>5386622.437628123</v>
      </c>
      <c r="Y37" s="31">
        <f>IF($B37=0,0, (INDEX(Option2!Y$106:Y$117, MATCH($D37, Option2!$G$106:$G$117,0)))*conv_2026*Y$7)</f>
        <v>5386622.437628123</v>
      </c>
      <c r="Z37" s="31">
        <f>IF($B37=0,0, (INDEX(Option2!Z$106:Z$117, MATCH($D37, Option2!$G$106:$G$117,0)))*conv_2026*Z$7)</f>
        <v>5386622.437628123</v>
      </c>
      <c r="AA37" s="31">
        <f>IF($B37=0,0, (INDEX(Option2!AA$106:AA$117, MATCH($D37, Option2!$G$106:$G$117,0)))*conv_2026*AA$7)</f>
        <v>5386622.437628123</v>
      </c>
      <c r="AB37" s="31">
        <f>IF($B37=0,0, (INDEX(Option2!AB$106:AB$117, MATCH($D37, Option2!$G$106:$G$117,0)))*conv_2026*AB$7)</f>
        <v>5386622.437628123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ht="13" x14ac:dyDescent="0.3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ht="13" x14ac:dyDescent="0.3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ht="13" x14ac:dyDescent="0.3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-2033807.8802408879</v>
      </c>
      <c r="J40" s="31">
        <f>Consol!J50</f>
        <v>-257876.45945116598</v>
      </c>
      <c r="K40" s="31">
        <f>Consol!K50</f>
        <v>1005585.8965245395</v>
      </c>
      <c r="L40" s="31">
        <f>Consol!L50</f>
        <v>2403350.7103381902</v>
      </c>
      <c r="M40" s="31">
        <f>Consol!M50</f>
        <v>3666813.0663138959</v>
      </c>
      <c r="N40" s="31">
        <f>Consol!N50</f>
        <v>4818410.6582177188</v>
      </c>
      <c r="O40" s="31">
        <f>Consol!O50</f>
        <v>4983715.0641142819</v>
      </c>
      <c r="P40" s="31">
        <f>Consol!P50</f>
        <v>4983715.0641142819</v>
      </c>
      <c r="Q40" s="31">
        <f>Consol!Q50</f>
        <v>5118017.5219522305</v>
      </c>
      <c r="R40" s="31">
        <f>Consol!R50</f>
        <v>5118017.5219522305</v>
      </c>
      <c r="S40" s="31">
        <f>Consol!S50</f>
        <v>5252319.9797901772</v>
      </c>
      <c r="T40" s="31">
        <f>Consol!T50</f>
        <v>5252319.9797901772</v>
      </c>
      <c r="U40" s="31">
        <f>Consol!U50</f>
        <v>5386622.4376281239</v>
      </c>
      <c r="V40" s="31">
        <f>Consol!V50</f>
        <v>5386622.4376281239</v>
      </c>
      <c r="W40" s="31">
        <f>Consol!W50</f>
        <v>5386622.4376281239</v>
      </c>
      <c r="X40" s="31">
        <f>Consol!X50</f>
        <v>5386622.4376281239</v>
      </c>
      <c r="Y40" s="31">
        <f>Consol!Y50</f>
        <v>5386622.4376281239</v>
      </c>
      <c r="Z40" s="31">
        <f>Consol!Z50</f>
        <v>5386622.4376281239</v>
      </c>
      <c r="AA40" s="31">
        <f>Consol!AA50</f>
        <v>5386622.4376281239</v>
      </c>
      <c r="AB40" s="31">
        <f>Consol!AB50</f>
        <v>5386622.4376281239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ht="13" x14ac:dyDescent="0.3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ht="13" x14ac:dyDescent="0.3">
      <c r="A42" s="253" t="s">
        <v>130</v>
      </c>
      <c r="B42" s="253" t="s">
        <v>117</v>
      </c>
      <c r="C42" s="253" t="s">
        <v>182</v>
      </c>
      <c r="D42" s="253" t="str">
        <f>A42&amp;B42</f>
        <v>Option 3NPV</v>
      </c>
      <c r="E42" s="254"/>
      <c r="F42" s="31">
        <f t="shared" ref="F42:F51" si="4">SUMPRODUCT($H42:$AG42, $H$5:$AG$5)</f>
        <v>55410611.521324098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-2033807.8802408879</v>
      </c>
      <c r="J42" s="31">
        <f>(INDEX(Option3!J$106:J$117, MATCH($D42, Option3!$G$106:$G$117,0)))*conv_2026*J$7</f>
        <v>-257876.45945116601</v>
      </c>
      <c r="K42" s="31">
        <f>(INDEX(Option3!K$106:K$117, MATCH($D42, Option3!$G$106:$G$117,0)))*conv_2026*K$7</f>
        <v>1005585.8965245395</v>
      </c>
      <c r="L42" s="31">
        <f>(INDEX(Option3!L$106:L$117, MATCH($D42, Option3!$G$106:$G$117,0)))*conv_2026*L$7</f>
        <v>2403350.7103381902</v>
      </c>
      <c r="M42" s="31">
        <f>(INDEX(Option3!M$106:M$117, MATCH($D42, Option3!$G$106:$G$117,0)))*conv_2026*M$7</f>
        <v>3666813.0663138954</v>
      </c>
      <c r="N42" s="31">
        <f>(INDEX(Option3!N$106:N$117, MATCH($D42, Option3!$G$106:$G$117,0)))*conv_2026*N$7</f>
        <v>4818410.6582177188</v>
      </c>
      <c r="O42" s="31">
        <f>(INDEX(Option3!O$106:O$117, MATCH($D42, Option3!$G$106:$G$117,0)))*conv_2026*O$7</f>
        <v>4983715.0641142819</v>
      </c>
      <c r="P42" s="31">
        <f>(INDEX(Option3!P$106:P$117, MATCH($D42, Option3!$G$106:$G$117,0)))*conv_2026*P$7</f>
        <v>4983715.0641142819</v>
      </c>
      <c r="Q42" s="31">
        <f>(INDEX(Option3!Q$106:Q$117, MATCH($D42, Option3!$G$106:$G$117,0)))*conv_2026*Q$7</f>
        <v>5118017.5219522305</v>
      </c>
      <c r="R42" s="31">
        <f>(INDEX(Option3!R$106:R$117, MATCH($D42, Option3!$G$106:$G$117,0)))*conv_2026*R$7</f>
        <v>5118017.5219522305</v>
      </c>
      <c r="S42" s="31">
        <f>(INDEX(Option3!S$106:S$117, MATCH($D42, Option3!$G$106:$G$117,0)))*conv_2026*S$7</f>
        <v>5252319.9797901772</v>
      </c>
      <c r="T42" s="31">
        <f>(INDEX(Option3!T$106:T$117, MATCH($D42, Option3!$G$106:$G$117,0)))*conv_2026*T$7</f>
        <v>5252319.9797901772</v>
      </c>
      <c r="U42" s="31">
        <f>(INDEX(Option3!U$106:U$117, MATCH($D42, Option3!$G$106:$G$117,0)))*conv_2026*U$7</f>
        <v>5386622.437628123</v>
      </c>
      <c r="V42" s="31">
        <f>(INDEX(Option3!V$106:V$117, MATCH($D42, Option3!$G$106:$G$117,0)))*conv_2026*V$7</f>
        <v>5386622.437628123</v>
      </c>
      <c r="W42" s="31">
        <f>(INDEX(Option3!W$106:W$117, MATCH($D42, Option3!$G$106:$G$117,0)))*conv_2026*W$7</f>
        <v>5386622.437628123</v>
      </c>
      <c r="X42" s="31">
        <f>(INDEX(Option3!X$106:X$117, MATCH($D42, Option3!$G$106:$G$117,0)))*conv_2026*X$7</f>
        <v>5386622.437628123</v>
      </c>
      <c r="Y42" s="31">
        <f>(INDEX(Option3!Y$106:Y$117, MATCH($D42, Option3!$G$106:$G$117,0)))*conv_2026*Y$7</f>
        <v>5386622.437628123</v>
      </c>
      <c r="Z42" s="31">
        <f>(INDEX(Option3!Z$106:Z$117, MATCH($D42, Option3!$G$106:$G$117,0)))*conv_2026*Z$7</f>
        <v>5386622.437628123</v>
      </c>
      <c r="AA42" s="31">
        <f>(INDEX(Option3!AA$106:AA$117, MATCH($D42, Option3!$G$106:$G$117,0)))*conv_2026*AA$7</f>
        <v>5386622.437628123</v>
      </c>
      <c r="AB42" s="31">
        <f>(INDEX(Option3!AB$106:AB$117, MATCH($D42, Option3!$G$106:$G$117,0)))*conv_2026*AB$7</f>
        <v>5386622.437628123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ht="13" x14ac:dyDescent="0.3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ht="13" x14ac:dyDescent="0.3">
      <c r="A44" s="253" t="s">
        <v>130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53552117.520848997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-2033807.8802408879</v>
      </c>
      <c r="J44" s="31">
        <f>(INDEX(Option3!J$106:J$117, MATCH($D44, Option3!$G$106:$G$117,0)))*conv_2026*J$7</f>
        <v>-289678.26759151201</v>
      </c>
      <c r="K44" s="31">
        <f>(INDEX(Option3!K$106:K$117, MATCH($D44, Option3!$G$106:$G$117,0)))*conv_2026*K$7</f>
        <v>941982.2802438474</v>
      </c>
      <c r="L44" s="31">
        <f>(INDEX(Option3!L$106:L$117, MATCH($D44, Option3!$G$106:$G$117,0)))*conv_2026*L$7</f>
        <v>2307945.2859171517</v>
      </c>
      <c r="M44" s="31">
        <f>(INDEX(Option3!M$106:M$117, MATCH($D44, Option3!$G$106:$G$117,0)))*conv_2026*M$7</f>
        <v>3539605.8337525115</v>
      </c>
      <c r="N44" s="31">
        <f>(INDEX(Option3!N$106:N$117, MATCH($D44, Option3!$G$106:$G$117,0)))*conv_2026*N$7</f>
        <v>4659401.6175159886</v>
      </c>
      <c r="O44" s="31">
        <f>(INDEX(Option3!O$106:O$117, MATCH($D44, Option3!$G$106:$G$117,0)))*conv_2026*O$7</f>
        <v>4823857.9751954759</v>
      </c>
      <c r="P44" s="31">
        <f>(INDEX(Option3!P$106:P$117, MATCH($D44, Option3!$G$106:$G$117,0)))*conv_2026*P$7</f>
        <v>4823857.9751954759</v>
      </c>
      <c r="Q44" s="31">
        <f>(INDEX(Option3!Q$106:Q$117, MATCH($D44, Option3!$G$106:$G$117,0)))*conv_2026*Q$7</f>
        <v>4958160.4330334244</v>
      </c>
      <c r="R44" s="31">
        <f>(INDEX(Option3!R$106:R$117, MATCH($D44, Option3!$G$106:$G$117,0)))*conv_2026*R$7</f>
        <v>4958160.4330334244</v>
      </c>
      <c r="S44" s="31">
        <f>(INDEX(Option3!S$106:S$117, MATCH($D44, Option3!$G$106:$G$117,0)))*conv_2026*S$7</f>
        <v>5092462.8908713702</v>
      </c>
      <c r="T44" s="31">
        <f>(INDEX(Option3!T$106:T$117, MATCH($D44, Option3!$G$106:$G$117,0)))*conv_2026*T$7</f>
        <v>5092462.8908713702</v>
      </c>
      <c r="U44" s="31">
        <f>(INDEX(Option3!U$106:U$117, MATCH($D44, Option3!$G$106:$G$117,0)))*conv_2026*U$7</f>
        <v>5226765.3487093169</v>
      </c>
      <c r="V44" s="31">
        <f>(INDEX(Option3!V$106:V$117, MATCH($D44, Option3!$G$106:$G$117,0)))*conv_2026*V$7</f>
        <v>5226765.3487093169</v>
      </c>
      <c r="W44" s="31">
        <f>(INDEX(Option3!W$106:W$117, MATCH($D44, Option3!$G$106:$G$117,0)))*conv_2026*W$7</f>
        <v>5226765.3487093169</v>
      </c>
      <c r="X44" s="31">
        <f>(INDEX(Option3!X$106:X$117, MATCH($D44, Option3!$G$106:$G$117,0)))*conv_2026*X$7</f>
        <v>5226765.3487093169</v>
      </c>
      <c r="Y44" s="31">
        <f>(INDEX(Option3!Y$106:Y$117, MATCH($D44, Option3!$G$106:$G$117,0)))*conv_2026*Y$7</f>
        <v>5226765.3487093169</v>
      </c>
      <c r="Z44" s="31">
        <f>(INDEX(Option3!Z$106:Z$117, MATCH($D44, Option3!$G$106:$G$117,0)))*conv_2026*Z$7</f>
        <v>5226765.3487093169</v>
      </c>
      <c r="AA44" s="31">
        <f>(INDEX(Option3!AA$106:AA$117, MATCH($D44, Option3!$G$106:$G$117,0)))*conv_2026*AA$7</f>
        <v>5226765.3487093169</v>
      </c>
      <c r="AB44" s="31">
        <f>(INDEX(Option3!AB$106:AB$117, MATCH($D44, Option3!$G$106:$G$117,0)))*conv_2026*AB$7</f>
        <v>5226765.3487093169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ht="13" x14ac:dyDescent="0.3">
      <c r="A45" s="253" t="s">
        <v>130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57269105.521799237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-2033807.8802408879</v>
      </c>
      <c r="J45" s="31">
        <f>(INDEX(Option3!J$106:J$117, MATCH($D45, Option3!$G$106:$G$117,0)))*conv_2026*J$7</f>
        <v>-226074.65131081999</v>
      </c>
      <c r="K45" s="31">
        <f>(INDEX(Option3!K$106:K$117, MATCH($D45, Option3!$G$106:$G$117,0)))*conv_2026*K$7</f>
        <v>1069189.5128052314</v>
      </c>
      <c r="L45" s="31">
        <f>(INDEX(Option3!L$106:L$117, MATCH($D45, Option3!$G$106:$G$117,0)))*conv_2026*L$7</f>
        <v>2498756.1347592282</v>
      </c>
      <c r="M45" s="31">
        <f>(INDEX(Option3!M$106:M$117, MATCH($D45, Option3!$G$106:$G$117,0)))*conv_2026*M$7</f>
        <v>3794020.2988752797</v>
      </c>
      <c r="N45" s="31">
        <f>(INDEX(Option3!N$106:N$117, MATCH($D45, Option3!$G$106:$G$117,0)))*conv_2026*N$7</f>
        <v>4977419.698919449</v>
      </c>
      <c r="O45" s="31">
        <f>(INDEX(Option3!O$106:O$117, MATCH($D45, Option3!$G$106:$G$117,0)))*conv_2026*O$7</f>
        <v>5143572.1530330889</v>
      </c>
      <c r="P45" s="31">
        <f>(INDEX(Option3!P$106:P$117, MATCH($D45, Option3!$G$106:$G$117,0)))*conv_2026*P$7</f>
        <v>5143572.1530330889</v>
      </c>
      <c r="Q45" s="31">
        <f>(INDEX(Option3!Q$106:Q$117, MATCH($D45, Option3!$G$106:$G$117,0)))*conv_2026*Q$7</f>
        <v>5277874.6108710375</v>
      </c>
      <c r="R45" s="31">
        <f>(INDEX(Option3!R$106:R$117, MATCH($D45, Option3!$G$106:$G$117,0)))*conv_2026*R$7</f>
        <v>5277874.6108710375</v>
      </c>
      <c r="S45" s="31">
        <f>(INDEX(Option3!S$106:S$117, MATCH($D45, Option3!$G$106:$G$117,0)))*conv_2026*S$7</f>
        <v>5412177.0687089832</v>
      </c>
      <c r="T45" s="31">
        <f>(INDEX(Option3!T$106:T$117, MATCH($D45, Option3!$G$106:$G$117,0)))*conv_2026*T$7</f>
        <v>5412177.0687089832</v>
      </c>
      <c r="U45" s="31">
        <f>(INDEX(Option3!U$106:U$117, MATCH($D45, Option3!$G$106:$G$117,0)))*conv_2026*U$7</f>
        <v>5546479.52654693</v>
      </c>
      <c r="V45" s="31">
        <f>(INDEX(Option3!V$106:V$117, MATCH($D45, Option3!$G$106:$G$117,0)))*conv_2026*V$7</f>
        <v>5546479.52654693</v>
      </c>
      <c r="W45" s="31">
        <f>(INDEX(Option3!W$106:W$117, MATCH($D45, Option3!$G$106:$G$117,0)))*conv_2026*W$7</f>
        <v>5546479.52654693</v>
      </c>
      <c r="X45" s="31">
        <f>(INDEX(Option3!X$106:X$117, MATCH($D45, Option3!$G$106:$G$117,0)))*conv_2026*X$7</f>
        <v>5546479.52654693</v>
      </c>
      <c r="Y45" s="31">
        <f>(INDEX(Option3!Y$106:Y$117, MATCH($D45, Option3!$G$106:$G$117,0)))*conv_2026*Y$7</f>
        <v>5546479.52654693</v>
      </c>
      <c r="Z45" s="31">
        <f>(INDEX(Option3!Z$106:Z$117, MATCH($D45, Option3!$G$106:$G$117,0)))*conv_2026*Z$7</f>
        <v>5546479.52654693</v>
      </c>
      <c r="AA45" s="31">
        <f>(INDEX(Option3!AA$106:AA$117, MATCH($D45, Option3!$G$106:$G$117,0)))*conv_2026*AA$7</f>
        <v>5546479.52654693</v>
      </c>
      <c r="AB45" s="31">
        <f>(INDEX(Option3!AB$106:AB$117, MATCH($D45, Option3!$G$106:$G$117,0)))*conv_2026*AB$7</f>
        <v>5546479.52654693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ht="13" x14ac:dyDescent="0.3">
      <c r="A46" s="253" t="s">
        <v>130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62810166.673931621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-2237188.6682649767</v>
      </c>
      <c r="J46" s="31">
        <f>(INDEX(Option3!J$106:J$117, MATCH($D46, Option3!$G$106:$G$117,0)))*conv_2026*J$7</f>
        <v>-251862.29725593657</v>
      </c>
      <c r="K46" s="31">
        <f>(INDEX(Option3!K$106:K$117, MATCH($D46, Option3!$G$106:$G$117,0)))*conv_2026*K$7</f>
        <v>1169748.1024576854</v>
      </c>
      <c r="L46" s="31">
        <f>(INDEX(Option3!L$106:L$117, MATCH($D46, Option3!$G$106:$G$117,0)))*conv_2026*L$7</f>
        <v>2739091.2057930473</v>
      </c>
      <c r="M46" s="31">
        <f>(INDEX(Option3!M$106:M$117, MATCH($D46, Option3!$G$106:$G$117,0)))*conv_2026*M$7</f>
        <v>4160701.6055066693</v>
      </c>
      <c r="N46" s="31">
        <f>(INDEX(Option3!N$106:N$117, MATCH($D46, Option3!$G$106:$G$117,0)))*conv_2026*N$7</f>
        <v>5459260.7647412205</v>
      </c>
      <c r="O46" s="31">
        <f>(INDEX(Option3!O$106:O$117, MATCH($D46, Option3!$G$106:$G$117,0)))*conv_2026*O$7</f>
        <v>5641943.6594445165</v>
      </c>
      <c r="P46" s="31">
        <f>(INDEX(Option3!P$106:P$117, MATCH($D46, Option3!$G$106:$G$117,0)))*conv_2026*P$7</f>
        <v>5641943.6594445165</v>
      </c>
      <c r="Q46" s="31">
        <f>(INDEX(Option3!Q$106:Q$117, MATCH($D46, Option3!$G$106:$G$117,0)))*conv_2026*Q$7</f>
        <v>5789676.3630662588</v>
      </c>
      <c r="R46" s="31">
        <f>(INDEX(Option3!R$106:R$117, MATCH($D46, Option3!$G$106:$G$117,0)))*conv_2026*R$7</f>
        <v>5789676.3630662588</v>
      </c>
      <c r="S46" s="31">
        <f>(INDEX(Option3!S$106:S$117, MATCH($D46, Option3!$G$106:$G$117,0)))*conv_2026*S$7</f>
        <v>5937409.0666880002</v>
      </c>
      <c r="T46" s="31">
        <f>(INDEX(Option3!T$106:T$117, MATCH($D46, Option3!$G$106:$G$117,0)))*conv_2026*T$7</f>
        <v>5937409.0666880002</v>
      </c>
      <c r="U46" s="31">
        <f>(INDEX(Option3!U$106:U$117, MATCH($D46, Option3!$G$106:$G$117,0)))*conv_2026*U$7</f>
        <v>6085141.7703097416</v>
      </c>
      <c r="V46" s="31">
        <f>(INDEX(Option3!V$106:V$117, MATCH($D46, Option3!$G$106:$G$117,0)))*conv_2026*V$7</f>
        <v>6085141.7703097416</v>
      </c>
      <c r="W46" s="31">
        <f>(INDEX(Option3!W$106:W$117, MATCH($D46, Option3!$G$106:$G$117,0)))*conv_2026*W$7</f>
        <v>6085141.7703097416</v>
      </c>
      <c r="X46" s="31">
        <f>(INDEX(Option3!X$106:X$117, MATCH($D46, Option3!$G$106:$G$117,0)))*conv_2026*X$7</f>
        <v>6085141.7703097416</v>
      </c>
      <c r="Y46" s="31">
        <f>(INDEX(Option3!Y$106:Y$117, MATCH($D46, Option3!$G$106:$G$117,0)))*conv_2026*Y$7</f>
        <v>6085141.7703097416</v>
      </c>
      <c r="Z46" s="31">
        <f>(INDEX(Option3!Z$106:Z$117, MATCH($D46, Option3!$G$106:$G$117,0)))*conv_2026*Z$7</f>
        <v>6085141.7703097416</v>
      </c>
      <c r="AA46" s="31">
        <f>(INDEX(Option3!AA$106:AA$117, MATCH($D46, Option3!$G$106:$G$117,0)))*conv_2026*AA$7</f>
        <v>6085141.7703097416</v>
      </c>
      <c r="AB46" s="31">
        <f>(INDEX(Option3!AB$106:AB$117, MATCH($D46, Option3!$G$106:$G$117,0)))*conv_2026*AB$7</f>
        <v>6085141.7703097416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ht="13" x14ac:dyDescent="0.3">
      <c r="A47" s="253" t="s">
        <v>130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48011056.36871659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-1830427.092216799</v>
      </c>
      <c r="J47" s="31">
        <f>(INDEX(Option3!J$106:J$117, MATCH($D47, Option3!$G$106:$G$117,0)))*conv_2026*J$7</f>
        <v>-263890.62164639542</v>
      </c>
      <c r="K47" s="31">
        <f>(INDEX(Option3!K$106:K$117, MATCH($D47, Option3!$G$106:$G$117,0)))*conv_2026*K$7</f>
        <v>841423.69059139339</v>
      </c>
      <c r="L47" s="31">
        <f>(INDEX(Option3!L$106:L$117, MATCH($D47, Option3!$G$106:$G$117,0)))*conv_2026*L$7</f>
        <v>2067610.2148833328</v>
      </c>
      <c r="M47" s="31">
        <f>(INDEX(Option3!M$106:M$117, MATCH($D47, Option3!$G$106:$G$117,0)))*conv_2026*M$7</f>
        <v>3172924.5271211215</v>
      </c>
      <c r="N47" s="31">
        <f>(INDEX(Option3!N$106:N$117, MATCH($D47, Option3!$G$106:$G$117,0)))*conv_2026*N$7</f>
        <v>4177560.5516942167</v>
      </c>
      <c r="O47" s="31">
        <f>(INDEX(Option3!O$106:O$117, MATCH($D47, Option3!$G$106:$G$117,0)))*conv_2026*O$7</f>
        <v>4325486.4687840482</v>
      </c>
      <c r="P47" s="31">
        <f>(INDEX(Option3!P$106:P$117, MATCH($D47, Option3!$G$106:$G$117,0)))*conv_2026*P$7</f>
        <v>4325486.4687840482</v>
      </c>
      <c r="Q47" s="31">
        <f>(INDEX(Option3!Q$106:Q$117, MATCH($D47, Option3!$G$106:$G$117,0)))*conv_2026*Q$7</f>
        <v>4446358.6808382012</v>
      </c>
      <c r="R47" s="31">
        <f>(INDEX(Option3!R$106:R$117, MATCH($D47, Option3!$G$106:$G$117,0)))*conv_2026*R$7</f>
        <v>4446358.6808382012</v>
      </c>
      <c r="S47" s="31">
        <f>(INDEX(Option3!S$106:S$117, MATCH($D47, Option3!$G$106:$G$117,0)))*conv_2026*S$7</f>
        <v>4567230.8928923532</v>
      </c>
      <c r="T47" s="31">
        <f>(INDEX(Option3!T$106:T$117, MATCH($D47, Option3!$G$106:$G$117,0)))*conv_2026*T$7</f>
        <v>4567230.8928923532</v>
      </c>
      <c r="U47" s="31">
        <f>(INDEX(Option3!U$106:U$117, MATCH($D47, Option3!$G$106:$G$117,0)))*conv_2026*U$7</f>
        <v>4688103.1049465053</v>
      </c>
      <c r="V47" s="31">
        <f>(INDEX(Option3!V$106:V$117, MATCH($D47, Option3!$G$106:$G$117,0)))*conv_2026*V$7</f>
        <v>4688103.1049465053</v>
      </c>
      <c r="W47" s="31">
        <f>(INDEX(Option3!W$106:W$117, MATCH($D47, Option3!$G$106:$G$117,0)))*conv_2026*W$7</f>
        <v>4688103.1049465053</v>
      </c>
      <c r="X47" s="31">
        <f>(INDEX(Option3!X$106:X$117, MATCH($D47, Option3!$G$106:$G$117,0)))*conv_2026*X$7</f>
        <v>4688103.1049465053</v>
      </c>
      <c r="Y47" s="31">
        <f>(INDEX(Option3!Y$106:Y$117, MATCH($D47, Option3!$G$106:$G$117,0)))*conv_2026*Y$7</f>
        <v>4688103.1049465053</v>
      </c>
      <c r="Z47" s="31">
        <f>(INDEX(Option3!Z$106:Z$117, MATCH($D47, Option3!$G$106:$G$117,0)))*conv_2026*Z$7</f>
        <v>4688103.1049465053</v>
      </c>
      <c r="AA47" s="31">
        <f>(INDEX(Option3!AA$106:AA$117, MATCH($D47, Option3!$G$106:$G$117,0)))*conv_2026*AA$7</f>
        <v>4688103.1049465053</v>
      </c>
      <c r="AB47" s="31">
        <f>(INDEX(Option3!AB$106:AB$117, MATCH($D47, Option3!$G$106:$G$117,0)))*conv_2026*AB$7</f>
        <v>4688103.1049465053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ht="13" x14ac:dyDescent="0.3">
      <c r="A48" s="253" t="s">
        <v>130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46152562.368241481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-1830427.092216799</v>
      </c>
      <c r="J48" s="31">
        <f>(INDEX(Option3!J$106:J$117, MATCH($D48, Option3!$G$106:$G$117,0)))*conv_2026*J$7</f>
        <v>-295692.42978674144</v>
      </c>
      <c r="K48" s="31">
        <f>(INDEX(Option3!K$106:K$117, MATCH($D48, Option3!$G$106:$G$117,0)))*conv_2026*K$7</f>
        <v>777820.07431070134</v>
      </c>
      <c r="L48" s="31">
        <f>(INDEX(Option3!L$106:L$117, MATCH($D48, Option3!$G$106:$G$117,0)))*conv_2026*L$7</f>
        <v>1972204.7904622948</v>
      </c>
      <c r="M48" s="31">
        <f>(INDEX(Option3!M$106:M$117, MATCH($D48, Option3!$G$106:$G$117,0)))*conv_2026*M$7</f>
        <v>3045717.2945597377</v>
      </c>
      <c r="N48" s="31">
        <f>(INDEX(Option3!N$106:N$117, MATCH($D48, Option3!$G$106:$G$117,0)))*conv_2026*N$7</f>
        <v>4018551.510992487</v>
      </c>
      <c r="O48" s="31">
        <f>(INDEX(Option3!O$106:O$117, MATCH($D48, Option3!$G$106:$G$117,0)))*conv_2026*O$7</f>
        <v>4165629.3798652422</v>
      </c>
      <c r="P48" s="31">
        <f>(INDEX(Option3!P$106:P$117, MATCH($D48, Option3!$G$106:$G$117,0)))*conv_2026*P$7</f>
        <v>4165629.3798652422</v>
      </c>
      <c r="Q48" s="31">
        <f>(INDEX(Option3!Q$106:Q$117, MATCH($D48, Option3!$G$106:$G$117,0)))*conv_2026*Q$7</f>
        <v>4286501.5919193961</v>
      </c>
      <c r="R48" s="31">
        <f>(INDEX(Option3!R$106:R$117, MATCH($D48, Option3!$G$106:$G$117,0)))*conv_2026*R$7</f>
        <v>4286501.5919193961</v>
      </c>
      <c r="S48" s="31">
        <f>(INDEX(Option3!S$106:S$117, MATCH($D48, Option3!$G$106:$G$117,0)))*conv_2026*S$7</f>
        <v>4407373.8039735472</v>
      </c>
      <c r="T48" s="31">
        <f>(INDEX(Option3!T$106:T$117, MATCH($D48, Option3!$G$106:$G$117,0)))*conv_2026*T$7</f>
        <v>4407373.8039735472</v>
      </c>
      <c r="U48" s="31">
        <f>(INDEX(Option3!U$106:U$117, MATCH($D48, Option3!$G$106:$G$117,0)))*conv_2026*U$7</f>
        <v>4528246.0160276992</v>
      </c>
      <c r="V48" s="31">
        <f>(INDEX(Option3!V$106:V$117, MATCH($D48, Option3!$G$106:$G$117,0)))*conv_2026*V$7</f>
        <v>4528246.0160276992</v>
      </c>
      <c r="W48" s="31">
        <f>(INDEX(Option3!W$106:W$117, MATCH($D48, Option3!$G$106:$G$117,0)))*conv_2026*W$7</f>
        <v>4528246.0160276992</v>
      </c>
      <c r="X48" s="31">
        <f>(INDEX(Option3!X$106:X$117, MATCH($D48, Option3!$G$106:$G$117,0)))*conv_2026*X$7</f>
        <v>4528246.0160276992</v>
      </c>
      <c r="Y48" s="31">
        <f>(INDEX(Option3!Y$106:Y$117, MATCH($D48, Option3!$G$106:$G$117,0)))*conv_2026*Y$7</f>
        <v>4528246.0160276992</v>
      </c>
      <c r="Z48" s="31">
        <f>(INDEX(Option3!Z$106:Z$117, MATCH($D48, Option3!$G$106:$G$117,0)))*conv_2026*Z$7</f>
        <v>4528246.0160276992</v>
      </c>
      <c r="AA48" s="31">
        <f>(INDEX(Option3!AA$106:AA$117, MATCH($D48, Option3!$G$106:$G$117,0)))*conv_2026*AA$7</f>
        <v>4528246.0160276992</v>
      </c>
      <c r="AB48" s="31">
        <f>(INDEX(Option3!AB$106:AB$117, MATCH($D48, Option3!$G$106:$G$117,0)))*conv_2026*AB$7</f>
        <v>4528246.0160276992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ht="13" x14ac:dyDescent="0.3">
      <c r="A49" s="253" t="s">
        <v>130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55410611.521324098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-2033807.8802408879</v>
      </c>
      <c r="J49" s="31">
        <f>(INDEX(Option3!J$106:J$117, MATCH($D49, Option3!$G$106:$G$117,0)))*conv_2026*J$7</f>
        <v>-257876.45945116601</v>
      </c>
      <c r="K49" s="31">
        <f>(INDEX(Option3!K$106:K$117, MATCH($D49, Option3!$G$106:$G$117,0)))*conv_2026*K$7</f>
        <v>1005585.8965245395</v>
      </c>
      <c r="L49" s="31">
        <f>(INDEX(Option3!L$106:L$117, MATCH($D49, Option3!$G$106:$G$117,0)))*conv_2026*L$7</f>
        <v>2403350.7103381902</v>
      </c>
      <c r="M49" s="31">
        <f>(INDEX(Option3!M$106:M$117, MATCH($D49, Option3!$G$106:$G$117,0)))*conv_2026*M$7</f>
        <v>3666813.0663138954</v>
      </c>
      <c r="N49" s="31">
        <f>(INDEX(Option3!N$106:N$117, MATCH($D49, Option3!$G$106:$G$117,0)))*conv_2026*N$7</f>
        <v>4818410.6582177188</v>
      </c>
      <c r="O49" s="31">
        <f>(INDEX(Option3!O$106:O$117, MATCH($D49, Option3!$G$106:$G$117,0)))*conv_2026*O$7</f>
        <v>4983715.0641142819</v>
      </c>
      <c r="P49" s="31">
        <f>(INDEX(Option3!P$106:P$117, MATCH($D49, Option3!$G$106:$G$117,0)))*conv_2026*P$7</f>
        <v>4983715.0641142819</v>
      </c>
      <c r="Q49" s="31">
        <f>(INDEX(Option3!Q$106:Q$117, MATCH($D49, Option3!$G$106:$G$117,0)))*conv_2026*Q$7</f>
        <v>5118017.5219522305</v>
      </c>
      <c r="R49" s="31">
        <f>(INDEX(Option3!R$106:R$117, MATCH($D49, Option3!$G$106:$G$117,0)))*conv_2026*R$7</f>
        <v>5118017.5219522305</v>
      </c>
      <c r="S49" s="31">
        <f>(INDEX(Option3!S$106:S$117, MATCH($D49, Option3!$G$106:$G$117,0)))*conv_2026*S$7</f>
        <v>5252319.9797901772</v>
      </c>
      <c r="T49" s="31">
        <f>(INDEX(Option3!T$106:T$117, MATCH($D49, Option3!$G$106:$G$117,0)))*conv_2026*T$7</f>
        <v>5252319.9797901772</v>
      </c>
      <c r="U49" s="31">
        <f>(INDEX(Option3!U$106:U$117, MATCH($D49, Option3!$G$106:$G$117,0)))*conv_2026*U$7</f>
        <v>5386622.437628123</v>
      </c>
      <c r="V49" s="31">
        <f>(INDEX(Option3!V$106:V$117, MATCH($D49, Option3!$G$106:$G$117,0)))*conv_2026*V$7</f>
        <v>5386622.437628123</v>
      </c>
      <c r="W49" s="31">
        <f>(INDEX(Option3!W$106:W$117, MATCH($D49, Option3!$G$106:$G$117,0)))*conv_2026*W$7</f>
        <v>5386622.437628123</v>
      </c>
      <c r="X49" s="31">
        <f>(INDEX(Option3!X$106:X$117, MATCH($D49, Option3!$G$106:$G$117,0)))*conv_2026*X$7</f>
        <v>5386622.437628123</v>
      </c>
      <c r="Y49" s="31">
        <f>(INDEX(Option3!Y$106:Y$117, MATCH($D49, Option3!$G$106:$G$117,0)))*conv_2026*Y$7</f>
        <v>5386622.437628123</v>
      </c>
      <c r="Z49" s="31">
        <f>(INDEX(Option3!Z$106:Z$117, MATCH($D49, Option3!$G$106:$G$117,0)))*conv_2026*Z$7</f>
        <v>5386622.437628123</v>
      </c>
      <c r="AA49" s="31">
        <f>(INDEX(Option3!AA$106:AA$117, MATCH($D49, Option3!$G$106:$G$117,0)))*conv_2026*AA$7</f>
        <v>5386622.437628123</v>
      </c>
      <c r="AB49" s="31">
        <f>(INDEX(Option3!AB$106:AB$117, MATCH($D49, Option3!$G$106:$G$117,0)))*conv_2026*AB$7</f>
        <v>5386622.437628123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ht="13" x14ac:dyDescent="0.3">
      <c r="A50" s="253" t="s">
        <v>130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55410611.521324098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-2033807.8802408879</v>
      </c>
      <c r="J50" s="31">
        <f>(INDEX(Option3!J$106:J$117, MATCH($D50, Option3!$G$106:$G$117,0)))*conv_2026*J$7</f>
        <v>-257876.45945116601</v>
      </c>
      <c r="K50" s="31">
        <f>(INDEX(Option3!K$106:K$117, MATCH($D50, Option3!$G$106:$G$117,0)))*conv_2026*K$7</f>
        <v>1005585.8965245395</v>
      </c>
      <c r="L50" s="31">
        <f>(INDEX(Option3!L$106:L$117, MATCH($D50, Option3!$G$106:$G$117,0)))*conv_2026*L$7</f>
        <v>2403350.7103381902</v>
      </c>
      <c r="M50" s="31">
        <f>(INDEX(Option3!M$106:M$117, MATCH($D50, Option3!$G$106:$G$117,0)))*conv_2026*M$7</f>
        <v>3666813.0663138954</v>
      </c>
      <c r="N50" s="31">
        <f>(INDEX(Option3!N$106:N$117, MATCH($D50, Option3!$G$106:$G$117,0)))*conv_2026*N$7</f>
        <v>4818410.6582177188</v>
      </c>
      <c r="O50" s="31">
        <f>(INDEX(Option3!O$106:O$117, MATCH($D50, Option3!$G$106:$G$117,0)))*conv_2026*O$7</f>
        <v>4983715.0641142819</v>
      </c>
      <c r="P50" s="31">
        <f>(INDEX(Option3!P$106:P$117, MATCH($D50, Option3!$G$106:$G$117,0)))*conv_2026*P$7</f>
        <v>4983715.0641142819</v>
      </c>
      <c r="Q50" s="31">
        <f>(INDEX(Option3!Q$106:Q$117, MATCH($D50, Option3!$G$106:$G$117,0)))*conv_2026*Q$7</f>
        <v>5118017.5219522305</v>
      </c>
      <c r="R50" s="31">
        <f>(INDEX(Option3!R$106:R$117, MATCH($D50, Option3!$G$106:$G$117,0)))*conv_2026*R$7</f>
        <v>5118017.5219522305</v>
      </c>
      <c r="S50" s="31">
        <f>(INDEX(Option3!S$106:S$117, MATCH($D50, Option3!$G$106:$G$117,0)))*conv_2026*S$7</f>
        <v>5252319.9797901772</v>
      </c>
      <c r="T50" s="31">
        <f>(INDEX(Option3!T$106:T$117, MATCH($D50, Option3!$G$106:$G$117,0)))*conv_2026*T$7</f>
        <v>5252319.9797901772</v>
      </c>
      <c r="U50" s="31">
        <f>(INDEX(Option3!U$106:U$117, MATCH($D50, Option3!$G$106:$G$117,0)))*conv_2026*U$7</f>
        <v>5386622.437628123</v>
      </c>
      <c r="V50" s="31">
        <f>(INDEX(Option3!V$106:V$117, MATCH($D50, Option3!$G$106:$G$117,0)))*conv_2026*V$7</f>
        <v>5386622.437628123</v>
      </c>
      <c r="W50" s="31">
        <f>(INDEX(Option3!W$106:W$117, MATCH($D50, Option3!$G$106:$G$117,0)))*conv_2026*W$7</f>
        <v>5386622.437628123</v>
      </c>
      <c r="X50" s="31">
        <f>(INDEX(Option3!X$106:X$117, MATCH($D50, Option3!$G$106:$G$117,0)))*conv_2026*X$7</f>
        <v>5386622.437628123</v>
      </c>
      <c r="Y50" s="31">
        <f>(INDEX(Option3!Y$106:Y$117, MATCH($D50, Option3!$G$106:$G$117,0)))*conv_2026*Y$7</f>
        <v>5386622.437628123</v>
      </c>
      <c r="Z50" s="31">
        <f>(INDEX(Option3!Z$106:Z$117, MATCH($D50, Option3!$G$106:$G$117,0)))*conv_2026*Z$7</f>
        <v>5386622.437628123</v>
      </c>
      <c r="AA50" s="31">
        <f>(INDEX(Option3!AA$106:AA$117, MATCH($D50, Option3!$G$106:$G$117,0)))*conv_2026*AA$7</f>
        <v>5386622.437628123</v>
      </c>
      <c r="AB50" s="31">
        <f>(INDEX(Option3!AB$106:AB$117, MATCH($D50, Option3!$G$106:$G$117,0)))*conv_2026*AB$7</f>
        <v>5386622.437628123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ht="13" x14ac:dyDescent="0.3">
      <c r="A51" s="253" t="s">
        <v>130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55410611.521324098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-2033807.8802408879</v>
      </c>
      <c r="J51" s="31">
        <f>(INDEX(Option3!J$106:J$117, MATCH($D51, Option3!$G$106:$G$117,0)))*conv_2026*J$7</f>
        <v>-257876.45945116601</v>
      </c>
      <c r="K51" s="31">
        <f>(INDEX(Option3!K$106:K$117, MATCH($D51, Option3!$G$106:$G$117,0)))*conv_2026*K$7</f>
        <v>1005585.8965245395</v>
      </c>
      <c r="L51" s="31">
        <f>(INDEX(Option3!L$106:L$117, MATCH($D51, Option3!$G$106:$G$117,0)))*conv_2026*L$7</f>
        <v>2403350.7103381902</v>
      </c>
      <c r="M51" s="31">
        <f>(INDEX(Option3!M$106:M$117, MATCH($D51, Option3!$G$106:$G$117,0)))*conv_2026*M$7</f>
        <v>3666813.0663138954</v>
      </c>
      <c r="N51" s="31">
        <f>(INDEX(Option3!N$106:N$117, MATCH($D51, Option3!$G$106:$G$117,0)))*conv_2026*N$7</f>
        <v>4818410.6582177188</v>
      </c>
      <c r="O51" s="31">
        <f>(INDEX(Option3!O$106:O$117, MATCH($D51, Option3!$G$106:$G$117,0)))*conv_2026*O$7</f>
        <v>4983715.0641142819</v>
      </c>
      <c r="P51" s="31">
        <f>(INDEX(Option3!P$106:P$117, MATCH($D51, Option3!$G$106:$G$117,0)))*conv_2026*P$7</f>
        <v>4983715.0641142819</v>
      </c>
      <c r="Q51" s="31">
        <f>(INDEX(Option3!Q$106:Q$117, MATCH($D51, Option3!$G$106:$G$117,0)))*conv_2026*Q$7</f>
        <v>5118017.5219522305</v>
      </c>
      <c r="R51" s="31">
        <f>(INDEX(Option3!R$106:R$117, MATCH($D51, Option3!$G$106:$G$117,0)))*conv_2026*R$7</f>
        <v>5118017.5219522305</v>
      </c>
      <c r="S51" s="31">
        <f>(INDEX(Option3!S$106:S$117, MATCH($D51, Option3!$G$106:$G$117,0)))*conv_2026*S$7</f>
        <v>5252319.9797901772</v>
      </c>
      <c r="T51" s="31">
        <f>(INDEX(Option3!T$106:T$117, MATCH($D51, Option3!$G$106:$G$117,0)))*conv_2026*T$7</f>
        <v>5252319.9797901772</v>
      </c>
      <c r="U51" s="31">
        <f>(INDEX(Option3!U$106:U$117, MATCH($D51, Option3!$G$106:$G$117,0)))*conv_2026*U$7</f>
        <v>5386622.437628123</v>
      </c>
      <c r="V51" s="31">
        <f>(INDEX(Option3!V$106:V$117, MATCH($D51, Option3!$G$106:$G$117,0)))*conv_2026*V$7</f>
        <v>5386622.437628123</v>
      </c>
      <c r="W51" s="31">
        <f>(INDEX(Option3!W$106:W$117, MATCH($D51, Option3!$G$106:$G$117,0)))*conv_2026*W$7</f>
        <v>5386622.437628123</v>
      </c>
      <c r="X51" s="31">
        <f>(INDEX(Option3!X$106:X$117, MATCH($D51, Option3!$G$106:$G$117,0)))*conv_2026*X$7</f>
        <v>5386622.437628123</v>
      </c>
      <c r="Y51" s="31">
        <f>(INDEX(Option3!Y$106:Y$117, MATCH($D51, Option3!$G$106:$G$117,0)))*conv_2026*Y$7</f>
        <v>5386622.437628123</v>
      </c>
      <c r="Z51" s="31">
        <f>(INDEX(Option3!Z$106:Z$117, MATCH($D51, Option3!$G$106:$G$117,0)))*conv_2026*Z$7</f>
        <v>5386622.437628123</v>
      </c>
      <c r="AA51" s="31">
        <f>(INDEX(Option3!AA$106:AA$117, MATCH($D51, Option3!$G$106:$G$117,0)))*conv_2026*AA$7</f>
        <v>5386622.437628123</v>
      </c>
      <c r="AB51" s="31">
        <f>(INDEX(Option3!AB$106:AB$117, MATCH($D51, Option3!$G$106:$G$117,0)))*conv_2026*AB$7</f>
        <v>5386622.437628123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ht="13" x14ac:dyDescent="0.3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ht="13" x14ac:dyDescent="0.3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ht="13" x14ac:dyDescent="0.3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ht="13" x14ac:dyDescent="0.3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ht="13" x14ac:dyDescent="0.3">
      <c r="A56" s="253" t="s">
        <v>131</v>
      </c>
      <c r="B56" s="253" t="s">
        <v>117</v>
      </c>
      <c r="C56" s="253" t="s">
        <v>182</v>
      </c>
      <c r="D56" s="253" t="str">
        <f>A56&amp;B56</f>
        <v>Option 4NPV</v>
      </c>
      <c r="E56" s="254"/>
      <c r="F56" s="31">
        <f t="shared" ref="F56:F65" si="6">SUMPRODUCT($H56:$AG56, $H$5:$AG$5)</f>
        <v>50449975.654448599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60071.170084099009</v>
      </c>
      <c r="J56" s="31">
        <f>(INDEX(Option4!J$106:J$117, MATCH($D56, Option4!$G$106:$G$117,0)))*conv_2026*J$7</f>
        <v>440574.43760602176</v>
      </c>
      <c r="K56" s="31">
        <f>(INDEX(Option4!K$106:K$117, MATCH($D56, Option4!$G$106:$G$117,0)))*conv_2026*K$7</f>
        <v>955380.16296589084</v>
      </c>
      <c r="L56" s="31">
        <f>(INDEX(Option4!L$106:L$117, MATCH($D56, Option4!$G$106:$G$117,0)))*conv_2026*L$7</f>
        <v>1604488.3461637071</v>
      </c>
      <c r="M56" s="31">
        <f>(INDEX(Option4!M$106:M$117, MATCH($D56, Option4!$G$106:$G$117,0)))*conv_2026*M$7</f>
        <v>2119294.0715235779</v>
      </c>
      <c r="N56" s="31">
        <f>(INDEX(Option4!N$106:N$117, MATCH($D56, Option4!$G$106:$G$117,0)))*conv_2026*N$7</f>
        <v>2499797.3390455004</v>
      </c>
      <c r="O56" s="31">
        <f>(INDEX(Option4!O$106:O$117, MATCH($D56, Option4!$G$106:$G$117,0)))*conv_2026*O$7</f>
        <v>3148905.5222433158</v>
      </c>
      <c r="P56" s="31">
        <f>(INDEX(Option4!P$106:P$117, MATCH($D56, Option4!$G$106:$G$117,0)))*conv_2026*P$7</f>
        <v>3529408.7897652392</v>
      </c>
      <c r="Q56" s="31">
        <f>(INDEX(Option4!Q$106:Q$117, MATCH($D56, Option4!$G$106:$G$117,0)))*conv_2026*Q$7</f>
        <v>4178516.9729630565</v>
      </c>
      <c r="R56" s="31">
        <f>(INDEX(Option4!R$106:R$117, MATCH($D56, Option4!$G$106:$G$117,0)))*conv_2026*R$7</f>
        <v>4575483.4309264366</v>
      </c>
      <c r="S56" s="31">
        <f>(INDEX(Option4!S$106:S$117, MATCH($D56, Option4!$G$106:$G$117,0)))*conv_2026*S$7</f>
        <v>5252319.9797901772</v>
      </c>
      <c r="T56" s="31">
        <f>(INDEX(Option4!T$106:T$117, MATCH($D56, Option4!$G$106:$G$117,0)))*conv_2026*T$7</f>
        <v>5252319.9797901772</v>
      </c>
      <c r="U56" s="31">
        <f>(INDEX(Option4!U$106:U$117, MATCH($D56, Option4!$G$106:$G$117,0)))*conv_2026*U$7</f>
        <v>5386622.437628123</v>
      </c>
      <c r="V56" s="31">
        <f>(INDEX(Option4!V$106:V$117, MATCH($D56, Option4!$G$106:$G$117,0)))*conv_2026*V$7</f>
        <v>5386622.437628123</v>
      </c>
      <c r="W56" s="31">
        <f>(INDEX(Option4!W$106:W$117, MATCH($D56, Option4!$G$106:$G$117,0)))*conv_2026*W$7</f>
        <v>5386622.437628123</v>
      </c>
      <c r="X56" s="31">
        <f>(INDEX(Option4!X$106:X$117, MATCH($D56, Option4!$G$106:$G$117,0)))*conv_2026*X$7</f>
        <v>5386622.437628123</v>
      </c>
      <c r="Y56" s="31">
        <f>(INDEX(Option4!Y$106:Y$117, MATCH($D56, Option4!$G$106:$G$117,0)))*conv_2026*Y$7</f>
        <v>5386622.437628123</v>
      </c>
      <c r="Z56" s="31">
        <f>(INDEX(Option4!Z$106:Z$117, MATCH($D56, Option4!$G$106:$G$117,0)))*conv_2026*Z$7</f>
        <v>5386622.437628123</v>
      </c>
      <c r="AA56" s="31">
        <f>(INDEX(Option4!AA$106:AA$117, MATCH($D56, Option4!$G$106:$G$117,0)))*conv_2026*AA$7</f>
        <v>5386622.437628123</v>
      </c>
      <c r="AB56" s="31">
        <f>(INDEX(Option4!AB$106:AB$117, MATCH($D56, Option4!$G$106:$G$117,0)))*conv_2026*AB$7</f>
        <v>5386622.437628123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ht="13" x14ac:dyDescent="0.3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ht="13" x14ac:dyDescent="0.3">
      <c r="A58" s="253" t="s">
        <v>131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48916270.456640594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60071.170084099009</v>
      </c>
      <c r="J58" s="31">
        <f>(INDEX(Option4!J$106:J$117, MATCH($D58, Option4!$G$106:$G$117,0)))*conv_2026*J$7</f>
        <v>424461.52148157981</v>
      </c>
      <c r="K58" s="31">
        <f>(INDEX(Option4!K$106:K$117, MATCH($D58, Option4!$G$106:$G$117,0)))*conv_2026*K$7</f>
        <v>923154.33071700693</v>
      </c>
      <c r="L58" s="31">
        <f>(INDEX(Option4!L$106:L$117, MATCH($D58, Option4!$G$106:$G$117,0)))*conv_2026*L$7</f>
        <v>1556149.5977903812</v>
      </c>
      <c r="M58" s="31">
        <f>(INDEX(Option4!M$106:M$117, MATCH($D58, Option4!$G$106:$G$117,0)))*conv_2026*M$7</f>
        <v>2054842.4070258101</v>
      </c>
      <c r="N58" s="31">
        <f>(INDEX(Option4!N$106:N$117, MATCH($D58, Option4!$G$106:$G$117,0)))*conv_2026*N$7</f>
        <v>2419232.7584232907</v>
      </c>
      <c r="O58" s="31">
        <f>(INDEX(Option4!O$106:O$117, MATCH($D58, Option4!$G$106:$G$117,0)))*conv_2026*O$7</f>
        <v>3052228.025496664</v>
      </c>
      <c r="P58" s="31">
        <f>(INDEX(Option4!P$106:P$117, MATCH($D58, Option4!$G$106:$G$117,0)))*conv_2026*P$7</f>
        <v>3416618.3768941453</v>
      </c>
      <c r="Q58" s="31">
        <f>(INDEX(Option4!Q$106:Q$117, MATCH($D58, Option4!$G$106:$G$117,0)))*conv_2026*Q$7</f>
        <v>4049613.6439675209</v>
      </c>
      <c r="R58" s="31">
        <f>(INDEX(Option4!R$106:R$117, MATCH($D58, Option4!$G$106:$G$117,0)))*conv_2026*R$7</f>
        <v>4430467.1858064588</v>
      </c>
      <c r="S58" s="31">
        <f>(INDEX(Option4!S$106:S$117, MATCH($D58, Option4!$G$106:$G$117,0)))*conv_2026*S$7</f>
        <v>5092462.8908713702</v>
      </c>
      <c r="T58" s="31">
        <f>(INDEX(Option4!T$106:T$117, MATCH($D58, Option4!$G$106:$G$117,0)))*conv_2026*T$7</f>
        <v>5092462.8908713702</v>
      </c>
      <c r="U58" s="31">
        <f>(INDEX(Option4!U$106:U$117, MATCH($D58, Option4!$G$106:$G$117,0)))*conv_2026*U$7</f>
        <v>5226765.3487093169</v>
      </c>
      <c r="V58" s="31">
        <f>(INDEX(Option4!V$106:V$117, MATCH($D58, Option4!$G$106:$G$117,0)))*conv_2026*V$7</f>
        <v>5226765.3487093169</v>
      </c>
      <c r="W58" s="31">
        <f>(INDEX(Option4!W$106:W$117, MATCH($D58, Option4!$G$106:$G$117,0)))*conv_2026*W$7</f>
        <v>5226765.3487093169</v>
      </c>
      <c r="X58" s="31">
        <f>(INDEX(Option4!X$106:X$117, MATCH($D58, Option4!$G$106:$G$117,0)))*conv_2026*X$7</f>
        <v>5226765.3487093169</v>
      </c>
      <c r="Y58" s="31">
        <f>(INDEX(Option4!Y$106:Y$117, MATCH($D58, Option4!$G$106:$G$117,0)))*conv_2026*Y$7</f>
        <v>5226765.3487093169</v>
      </c>
      <c r="Z58" s="31">
        <f>(INDEX(Option4!Z$106:Z$117, MATCH($D58, Option4!$G$106:$G$117,0)))*conv_2026*Z$7</f>
        <v>5226765.3487093169</v>
      </c>
      <c r="AA58" s="31">
        <f>(INDEX(Option4!AA$106:AA$117, MATCH($D58, Option4!$G$106:$G$117,0)))*conv_2026*AA$7</f>
        <v>5226765.3487093169</v>
      </c>
      <c r="AB58" s="31">
        <f>(INDEX(Option4!AB$106:AB$117, MATCH($D58, Option4!$G$106:$G$117,0)))*conv_2026*AB$7</f>
        <v>5226765.3487093169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ht="13" x14ac:dyDescent="0.3">
      <c r="A59" s="253" t="s">
        <v>131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51983680.852256611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60071.170084099009</v>
      </c>
      <c r="J59" s="31">
        <f>(INDEX(Option4!J$106:J$117, MATCH($D59, Option4!$G$106:$G$117,0)))*conv_2026*J$7</f>
        <v>456687.35373046371</v>
      </c>
      <c r="K59" s="31">
        <f>(INDEX(Option4!K$106:K$117, MATCH($D59, Option4!$G$106:$G$117,0)))*conv_2026*K$7</f>
        <v>987605.99521477474</v>
      </c>
      <c r="L59" s="31">
        <f>(INDEX(Option4!L$106:L$117, MATCH($D59, Option4!$G$106:$G$117,0)))*conv_2026*L$7</f>
        <v>1652827.094537033</v>
      </c>
      <c r="M59" s="31">
        <f>(INDEX(Option4!M$106:M$117, MATCH($D59, Option4!$G$106:$G$117,0)))*conv_2026*M$7</f>
        <v>2183745.7360213455</v>
      </c>
      <c r="N59" s="31">
        <f>(INDEX(Option4!N$106:N$117, MATCH($D59, Option4!$G$106:$G$117,0)))*conv_2026*N$7</f>
        <v>2580361.9196677101</v>
      </c>
      <c r="O59" s="31">
        <f>(INDEX(Option4!O$106:O$117, MATCH($D59, Option4!$G$106:$G$117,0)))*conv_2026*O$7</f>
        <v>3245583.0189899676</v>
      </c>
      <c r="P59" s="31">
        <f>(INDEX(Option4!P$106:P$117, MATCH($D59, Option4!$G$106:$G$117,0)))*conv_2026*P$7</f>
        <v>3642199.2026363332</v>
      </c>
      <c r="Q59" s="31">
        <f>(INDEX(Option4!Q$106:Q$117, MATCH($D59, Option4!$G$106:$G$117,0)))*conv_2026*Q$7</f>
        <v>4307420.3019585926</v>
      </c>
      <c r="R59" s="31">
        <f>(INDEX(Option4!R$106:R$117, MATCH($D59, Option4!$G$106:$G$117,0)))*conv_2026*R$7</f>
        <v>4720499.6760464143</v>
      </c>
      <c r="S59" s="31">
        <f>(INDEX(Option4!S$106:S$117, MATCH($D59, Option4!$G$106:$G$117,0)))*conv_2026*S$7</f>
        <v>5412177.0687089832</v>
      </c>
      <c r="T59" s="31">
        <f>(INDEX(Option4!T$106:T$117, MATCH($D59, Option4!$G$106:$G$117,0)))*conv_2026*T$7</f>
        <v>5412177.0687089832</v>
      </c>
      <c r="U59" s="31">
        <f>(INDEX(Option4!U$106:U$117, MATCH($D59, Option4!$G$106:$G$117,0)))*conv_2026*U$7</f>
        <v>5546479.52654693</v>
      </c>
      <c r="V59" s="31">
        <f>(INDEX(Option4!V$106:V$117, MATCH($D59, Option4!$G$106:$G$117,0)))*conv_2026*V$7</f>
        <v>5546479.52654693</v>
      </c>
      <c r="W59" s="31">
        <f>(INDEX(Option4!W$106:W$117, MATCH($D59, Option4!$G$106:$G$117,0)))*conv_2026*W$7</f>
        <v>5546479.52654693</v>
      </c>
      <c r="X59" s="31">
        <f>(INDEX(Option4!X$106:X$117, MATCH($D59, Option4!$G$106:$G$117,0)))*conv_2026*X$7</f>
        <v>5546479.52654693</v>
      </c>
      <c r="Y59" s="31">
        <f>(INDEX(Option4!Y$106:Y$117, MATCH($D59, Option4!$G$106:$G$117,0)))*conv_2026*Y$7</f>
        <v>5546479.52654693</v>
      </c>
      <c r="Z59" s="31">
        <f>(INDEX(Option4!Z$106:Z$117, MATCH($D59, Option4!$G$106:$G$117,0)))*conv_2026*Z$7</f>
        <v>5546479.52654693</v>
      </c>
      <c r="AA59" s="31">
        <f>(INDEX(Option4!AA$106:AA$117, MATCH($D59, Option4!$G$106:$G$117,0)))*conv_2026*AA$7</f>
        <v>5546479.52654693</v>
      </c>
      <c r="AB59" s="31">
        <f>(INDEX(Option4!AB$106:AB$117, MATCH($D59, Option4!$G$106:$G$117,0)))*conv_2026*AB$7</f>
        <v>5546479.52654693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ht="13" x14ac:dyDescent="0.3">
      <c r="A60" s="253" t="s">
        <v>131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57028678.417701468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66078.287092508908</v>
      </c>
      <c r="J60" s="31">
        <f>(INDEX(Option4!J$106:J$117, MATCH($D60, Option4!$G$106:$G$117,0)))*conv_2026*J$7</f>
        <v>500744.79749106587</v>
      </c>
      <c r="K60" s="31">
        <f>(INDEX(Option4!K$106:K$117, MATCH($D60, Option4!$G$106:$G$117,0)))*conv_2026*K$7</f>
        <v>1083144.0115113638</v>
      </c>
      <c r="L60" s="31">
        <f>(INDEX(Option4!L$106:L$117, MATCH($D60, Option4!$G$106:$G$117,0)))*conv_2026*L$7</f>
        <v>1813275.929153404</v>
      </c>
      <c r="M60" s="31">
        <f>(INDEX(Option4!M$106:M$117, MATCH($D60, Option4!$G$106:$G$117,0)))*conv_2026*M$7</f>
        <v>2395675.1431737035</v>
      </c>
      <c r="N60" s="31">
        <f>(INDEX(Option4!N$106:N$117, MATCH($D60, Option4!$G$106:$G$117,0)))*conv_2026*N$7</f>
        <v>2830341.6535722609</v>
      </c>
      <c r="O60" s="31">
        <f>(INDEX(Option4!O$106:O$117, MATCH($D60, Option4!$G$106:$G$117,0)))*conv_2026*O$7</f>
        <v>3560473.5712142992</v>
      </c>
      <c r="P60" s="31">
        <f>(INDEX(Option4!P$106:P$117, MATCH($D60, Option4!$G$106:$G$117,0)))*conv_2026*P$7</f>
        <v>3995140.0816128571</v>
      </c>
      <c r="Q60" s="31">
        <f>(INDEX(Option4!Q$106:Q$117, MATCH($D60, Option4!$G$106:$G$117,0)))*conv_2026*Q$7</f>
        <v>4725271.9992548982</v>
      </c>
      <c r="R60" s="31">
        <f>(INDEX(Option4!R$106:R$117, MATCH($D60, Option4!$G$106:$G$117,0)))*conv_2026*R$7</f>
        <v>5178048.019139058</v>
      </c>
      <c r="S60" s="31">
        <f>(INDEX(Option4!S$106:S$117, MATCH($D60, Option4!$G$106:$G$117,0)))*conv_2026*S$7</f>
        <v>5937409.0666880002</v>
      </c>
      <c r="T60" s="31">
        <f>(INDEX(Option4!T$106:T$117, MATCH($D60, Option4!$G$106:$G$117,0)))*conv_2026*T$7</f>
        <v>5937409.0666880002</v>
      </c>
      <c r="U60" s="31">
        <f>(INDEX(Option4!U$106:U$117, MATCH($D60, Option4!$G$106:$G$117,0)))*conv_2026*U$7</f>
        <v>6085141.7703097416</v>
      </c>
      <c r="V60" s="31">
        <f>(INDEX(Option4!V$106:V$117, MATCH($D60, Option4!$G$106:$G$117,0)))*conv_2026*V$7</f>
        <v>6085141.7703097416</v>
      </c>
      <c r="W60" s="31">
        <f>(INDEX(Option4!W$106:W$117, MATCH($D60, Option4!$G$106:$G$117,0)))*conv_2026*W$7</f>
        <v>6085141.7703097416</v>
      </c>
      <c r="X60" s="31">
        <f>(INDEX(Option4!X$106:X$117, MATCH($D60, Option4!$G$106:$G$117,0)))*conv_2026*X$7</f>
        <v>6085141.7703097416</v>
      </c>
      <c r="Y60" s="31">
        <f>(INDEX(Option4!Y$106:Y$117, MATCH($D60, Option4!$G$106:$G$117,0)))*conv_2026*Y$7</f>
        <v>6085141.7703097416</v>
      </c>
      <c r="Z60" s="31">
        <f>(INDEX(Option4!Z$106:Z$117, MATCH($D60, Option4!$G$106:$G$117,0)))*conv_2026*Z$7</f>
        <v>6085141.7703097416</v>
      </c>
      <c r="AA60" s="31">
        <f>(INDEX(Option4!AA$106:AA$117, MATCH($D60, Option4!$G$106:$G$117,0)))*conv_2026*AA$7</f>
        <v>6085141.7703097416</v>
      </c>
      <c r="AB60" s="31">
        <f>(INDEX(Option4!AB$106:AB$117, MATCH($D60, Option4!$G$106:$G$117,0)))*conv_2026*AB$7</f>
        <v>6085141.7703097416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ht="13" x14ac:dyDescent="0.3">
      <c r="A61" s="253" t="s">
        <v>131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43871272.891195737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54064.053075689109</v>
      </c>
      <c r="J61" s="31">
        <f>(INDEX(Option4!J$106:J$117, MATCH($D61, Option4!$G$106:$G$117,0)))*conv_2026*J$7</f>
        <v>380404.0777209776</v>
      </c>
      <c r="K61" s="31">
        <f>(INDEX(Option4!K$106:K$117, MATCH($D61, Option4!$G$106:$G$117,0)))*conv_2026*K$7</f>
        <v>827616.31442041777</v>
      </c>
      <c r="L61" s="31">
        <f>(INDEX(Option4!L$106:L$117, MATCH($D61, Option4!$G$106:$G$117,0)))*conv_2026*L$7</f>
        <v>1395700.7631740104</v>
      </c>
      <c r="M61" s="31">
        <f>(INDEX(Option4!M$106:M$117, MATCH($D61, Option4!$G$106:$G$117,0)))*conv_2026*M$7</f>
        <v>1842912.9998734521</v>
      </c>
      <c r="N61" s="31">
        <f>(INDEX(Option4!N$106:N$117, MATCH($D61, Option4!$G$106:$G$117,0)))*conv_2026*N$7</f>
        <v>2169253.0245187404</v>
      </c>
      <c r="O61" s="31">
        <f>(INDEX(Option4!O$106:O$117, MATCH($D61, Option4!$G$106:$G$117,0)))*conv_2026*O$7</f>
        <v>2737337.4732723325</v>
      </c>
      <c r="P61" s="31">
        <f>(INDEX(Option4!P$106:P$117, MATCH($D61, Option4!$G$106:$G$117,0)))*conv_2026*P$7</f>
        <v>3063677.4979176219</v>
      </c>
      <c r="Q61" s="31">
        <f>(INDEX(Option4!Q$106:Q$117, MATCH($D61, Option4!$G$106:$G$117,0)))*conv_2026*Q$7</f>
        <v>3631761.9466712149</v>
      </c>
      <c r="R61" s="31">
        <f>(INDEX(Option4!R$106:R$117, MATCH($D61, Option4!$G$106:$G$117,0)))*conv_2026*R$7</f>
        <v>3972918.8427138147</v>
      </c>
      <c r="S61" s="31">
        <f>(INDEX(Option4!S$106:S$117, MATCH($D61, Option4!$G$106:$G$117,0)))*conv_2026*S$7</f>
        <v>4567230.8928923532</v>
      </c>
      <c r="T61" s="31">
        <f>(INDEX(Option4!T$106:T$117, MATCH($D61, Option4!$G$106:$G$117,0)))*conv_2026*T$7</f>
        <v>4567230.8928923532</v>
      </c>
      <c r="U61" s="31">
        <f>(INDEX(Option4!U$106:U$117, MATCH($D61, Option4!$G$106:$G$117,0)))*conv_2026*U$7</f>
        <v>4688103.1049465053</v>
      </c>
      <c r="V61" s="31">
        <f>(INDEX(Option4!V$106:V$117, MATCH($D61, Option4!$G$106:$G$117,0)))*conv_2026*V$7</f>
        <v>4688103.1049465053</v>
      </c>
      <c r="W61" s="31">
        <f>(INDEX(Option4!W$106:W$117, MATCH($D61, Option4!$G$106:$G$117,0)))*conv_2026*W$7</f>
        <v>4688103.1049465053</v>
      </c>
      <c r="X61" s="31">
        <f>(INDEX(Option4!X$106:X$117, MATCH($D61, Option4!$G$106:$G$117,0)))*conv_2026*X$7</f>
        <v>4688103.1049465053</v>
      </c>
      <c r="Y61" s="31">
        <f>(INDEX(Option4!Y$106:Y$117, MATCH($D61, Option4!$G$106:$G$117,0)))*conv_2026*Y$7</f>
        <v>4688103.1049465053</v>
      </c>
      <c r="Z61" s="31">
        <f>(INDEX(Option4!Z$106:Z$117, MATCH($D61, Option4!$G$106:$G$117,0)))*conv_2026*Z$7</f>
        <v>4688103.1049465053</v>
      </c>
      <c r="AA61" s="31">
        <f>(INDEX(Option4!AA$106:AA$117, MATCH($D61, Option4!$G$106:$G$117,0)))*conv_2026*AA$7</f>
        <v>4688103.1049465053</v>
      </c>
      <c r="AB61" s="31">
        <f>(INDEX(Option4!AB$106:AB$117, MATCH($D61, Option4!$G$106:$G$117,0)))*conv_2026*AB$7</f>
        <v>4688103.1049465053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ht="13" x14ac:dyDescent="0.3">
      <c r="A62" s="253" t="s">
        <v>131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42337567.693387739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54064.053075689109</v>
      </c>
      <c r="J62" s="31">
        <f>(INDEX(Option4!J$106:J$117, MATCH($D62, Option4!$G$106:$G$117,0)))*conv_2026*J$7</f>
        <v>364291.16159653559</v>
      </c>
      <c r="K62" s="31">
        <f>(INDEX(Option4!K$106:K$117, MATCH($D62, Option4!$G$106:$G$117,0)))*conv_2026*K$7</f>
        <v>795390.48217153375</v>
      </c>
      <c r="L62" s="31">
        <f>(INDEX(Option4!L$106:L$117, MATCH($D62, Option4!$G$106:$G$117,0)))*conv_2026*L$7</f>
        <v>1347362.0148006843</v>
      </c>
      <c r="M62" s="31">
        <f>(INDEX(Option4!M$106:M$117, MATCH($D62, Option4!$G$106:$G$117,0)))*conv_2026*M$7</f>
        <v>1778461.3353756843</v>
      </c>
      <c r="N62" s="31">
        <f>(INDEX(Option4!N$106:N$117, MATCH($D62, Option4!$G$106:$G$117,0)))*conv_2026*N$7</f>
        <v>2088688.4438965304</v>
      </c>
      <c r="O62" s="31">
        <f>(INDEX(Option4!O$106:O$117, MATCH($D62, Option4!$G$106:$G$117,0)))*conv_2026*O$7</f>
        <v>2640659.9765256802</v>
      </c>
      <c r="P62" s="31">
        <f>(INDEX(Option4!P$106:P$117, MATCH($D62, Option4!$G$106:$G$117,0)))*conv_2026*P$7</f>
        <v>2950887.0850465279</v>
      </c>
      <c r="Q62" s="31">
        <f>(INDEX(Option4!Q$106:Q$117, MATCH($D62, Option4!$G$106:$G$117,0)))*conv_2026*Q$7</f>
        <v>3502858.6176756793</v>
      </c>
      <c r="R62" s="31">
        <f>(INDEX(Option4!R$106:R$117, MATCH($D62, Option4!$G$106:$G$117,0)))*conv_2026*R$7</f>
        <v>3827902.597593837</v>
      </c>
      <c r="S62" s="31">
        <f>(INDEX(Option4!S$106:S$117, MATCH($D62, Option4!$G$106:$G$117,0)))*conv_2026*S$7</f>
        <v>4407373.8039735472</v>
      </c>
      <c r="T62" s="31">
        <f>(INDEX(Option4!T$106:T$117, MATCH($D62, Option4!$G$106:$G$117,0)))*conv_2026*T$7</f>
        <v>4407373.8039735472</v>
      </c>
      <c r="U62" s="31">
        <f>(INDEX(Option4!U$106:U$117, MATCH($D62, Option4!$G$106:$G$117,0)))*conv_2026*U$7</f>
        <v>4528246.0160276992</v>
      </c>
      <c r="V62" s="31">
        <f>(INDEX(Option4!V$106:V$117, MATCH($D62, Option4!$G$106:$G$117,0)))*conv_2026*V$7</f>
        <v>4528246.0160276992</v>
      </c>
      <c r="W62" s="31">
        <f>(INDEX(Option4!W$106:W$117, MATCH($D62, Option4!$G$106:$G$117,0)))*conv_2026*W$7</f>
        <v>4528246.0160276992</v>
      </c>
      <c r="X62" s="31">
        <f>(INDEX(Option4!X$106:X$117, MATCH($D62, Option4!$G$106:$G$117,0)))*conv_2026*X$7</f>
        <v>4528246.0160276992</v>
      </c>
      <c r="Y62" s="31">
        <f>(INDEX(Option4!Y$106:Y$117, MATCH($D62, Option4!$G$106:$G$117,0)))*conv_2026*Y$7</f>
        <v>4528246.0160276992</v>
      </c>
      <c r="Z62" s="31">
        <f>(INDEX(Option4!Z$106:Z$117, MATCH($D62, Option4!$G$106:$G$117,0)))*conv_2026*Z$7</f>
        <v>4528246.0160276992</v>
      </c>
      <c r="AA62" s="31">
        <f>(INDEX(Option4!AA$106:AA$117, MATCH($D62, Option4!$G$106:$G$117,0)))*conv_2026*AA$7</f>
        <v>4528246.0160276992</v>
      </c>
      <c r="AB62" s="31">
        <f>(INDEX(Option4!AB$106:AB$117, MATCH($D62, Option4!$G$106:$G$117,0)))*conv_2026*AB$7</f>
        <v>4528246.0160276992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ht="13" x14ac:dyDescent="0.3">
      <c r="A63" s="253" t="s">
        <v>131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50449975.654448599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60071.170084099009</v>
      </c>
      <c r="J63" s="31">
        <f>(INDEX(Option4!J$106:J$117, MATCH($D63, Option4!$G$106:$G$117,0)))*conv_2026*J$7</f>
        <v>440574.43760602176</v>
      </c>
      <c r="K63" s="31">
        <f>(INDEX(Option4!K$106:K$117, MATCH($D63, Option4!$G$106:$G$117,0)))*conv_2026*K$7</f>
        <v>955380.16296589084</v>
      </c>
      <c r="L63" s="31">
        <f>(INDEX(Option4!L$106:L$117, MATCH($D63, Option4!$G$106:$G$117,0)))*conv_2026*L$7</f>
        <v>1604488.3461637071</v>
      </c>
      <c r="M63" s="31">
        <f>(INDEX(Option4!M$106:M$117, MATCH($D63, Option4!$G$106:$G$117,0)))*conv_2026*M$7</f>
        <v>2119294.0715235779</v>
      </c>
      <c r="N63" s="31">
        <f>(INDEX(Option4!N$106:N$117, MATCH($D63, Option4!$G$106:$G$117,0)))*conv_2026*N$7</f>
        <v>2499797.3390455004</v>
      </c>
      <c r="O63" s="31">
        <f>(INDEX(Option4!O$106:O$117, MATCH($D63, Option4!$G$106:$G$117,0)))*conv_2026*O$7</f>
        <v>3148905.5222433158</v>
      </c>
      <c r="P63" s="31">
        <f>(INDEX(Option4!P$106:P$117, MATCH($D63, Option4!$G$106:$G$117,0)))*conv_2026*P$7</f>
        <v>3529408.7897652392</v>
      </c>
      <c r="Q63" s="31">
        <f>(INDEX(Option4!Q$106:Q$117, MATCH($D63, Option4!$G$106:$G$117,0)))*conv_2026*Q$7</f>
        <v>4178516.9729630565</v>
      </c>
      <c r="R63" s="31">
        <f>(INDEX(Option4!R$106:R$117, MATCH($D63, Option4!$G$106:$G$117,0)))*conv_2026*R$7</f>
        <v>4575483.4309264366</v>
      </c>
      <c r="S63" s="31">
        <f>(INDEX(Option4!S$106:S$117, MATCH($D63, Option4!$G$106:$G$117,0)))*conv_2026*S$7</f>
        <v>5252319.9797901772</v>
      </c>
      <c r="T63" s="31">
        <f>(INDEX(Option4!T$106:T$117, MATCH($D63, Option4!$G$106:$G$117,0)))*conv_2026*T$7</f>
        <v>5252319.9797901772</v>
      </c>
      <c r="U63" s="31">
        <f>(INDEX(Option4!U$106:U$117, MATCH($D63, Option4!$G$106:$G$117,0)))*conv_2026*U$7</f>
        <v>5386622.437628123</v>
      </c>
      <c r="V63" s="31">
        <f>(INDEX(Option4!V$106:V$117, MATCH($D63, Option4!$G$106:$G$117,0)))*conv_2026*V$7</f>
        <v>5386622.437628123</v>
      </c>
      <c r="W63" s="31">
        <f>(INDEX(Option4!W$106:W$117, MATCH($D63, Option4!$G$106:$G$117,0)))*conv_2026*W$7</f>
        <v>5386622.437628123</v>
      </c>
      <c r="X63" s="31">
        <f>(INDEX(Option4!X$106:X$117, MATCH($D63, Option4!$G$106:$G$117,0)))*conv_2026*X$7</f>
        <v>5386622.437628123</v>
      </c>
      <c r="Y63" s="31">
        <f>(INDEX(Option4!Y$106:Y$117, MATCH($D63, Option4!$G$106:$G$117,0)))*conv_2026*Y$7</f>
        <v>5386622.437628123</v>
      </c>
      <c r="Z63" s="31">
        <f>(INDEX(Option4!Z$106:Z$117, MATCH($D63, Option4!$G$106:$G$117,0)))*conv_2026*Z$7</f>
        <v>5386622.437628123</v>
      </c>
      <c r="AA63" s="31">
        <f>(INDEX(Option4!AA$106:AA$117, MATCH($D63, Option4!$G$106:$G$117,0)))*conv_2026*AA$7</f>
        <v>5386622.437628123</v>
      </c>
      <c r="AB63" s="31">
        <f>(INDEX(Option4!AB$106:AB$117, MATCH($D63, Option4!$G$106:$G$117,0)))*conv_2026*AB$7</f>
        <v>5386622.437628123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ht="13" x14ac:dyDescent="0.3">
      <c r="A64" s="253" t="s">
        <v>131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50449975.654448599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60071.170084099009</v>
      </c>
      <c r="J64" s="31">
        <f>(INDEX(Option4!J$106:J$117, MATCH($D64, Option4!$G$106:$G$117,0)))*conv_2026*J$7</f>
        <v>440574.43760602176</v>
      </c>
      <c r="K64" s="31">
        <f>(INDEX(Option4!K$106:K$117, MATCH($D64, Option4!$G$106:$G$117,0)))*conv_2026*K$7</f>
        <v>955380.16296589084</v>
      </c>
      <c r="L64" s="31">
        <f>(INDEX(Option4!L$106:L$117, MATCH($D64, Option4!$G$106:$G$117,0)))*conv_2026*L$7</f>
        <v>1604488.3461637071</v>
      </c>
      <c r="M64" s="31">
        <f>(INDEX(Option4!M$106:M$117, MATCH($D64, Option4!$G$106:$G$117,0)))*conv_2026*M$7</f>
        <v>2119294.0715235779</v>
      </c>
      <c r="N64" s="31">
        <f>(INDEX(Option4!N$106:N$117, MATCH($D64, Option4!$G$106:$G$117,0)))*conv_2026*N$7</f>
        <v>2499797.3390455004</v>
      </c>
      <c r="O64" s="31">
        <f>(INDEX(Option4!O$106:O$117, MATCH($D64, Option4!$G$106:$G$117,0)))*conv_2026*O$7</f>
        <v>3148905.5222433158</v>
      </c>
      <c r="P64" s="31">
        <f>(INDEX(Option4!P$106:P$117, MATCH($D64, Option4!$G$106:$G$117,0)))*conv_2026*P$7</f>
        <v>3529408.7897652392</v>
      </c>
      <c r="Q64" s="31">
        <f>(INDEX(Option4!Q$106:Q$117, MATCH($D64, Option4!$G$106:$G$117,0)))*conv_2026*Q$7</f>
        <v>4178516.9729630565</v>
      </c>
      <c r="R64" s="31">
        <f>(INDEX(Option4!R$106:R$117, MATCH($D64, Option4!$G$106:$G$117,0)))*conv_2026*R$7</f>
        <v>4575483.4309264366</v>
      </c>
      <c r="S64" s="31">
        <f>(INDEX(Option4!S$106:S$117, MATCH($D64, Option4!$G$106:$G$117,0)))*conv_2026*S$7</f>
        <v>5252319.9797901772</v>
      </c>
      <c r="T64" s="31">
        <f>(INDEX(Option4!T$106:T$117, MATCH($D64, Option4!$G$106:$G$117,0)))*conv_2026*T$7</f>
        <v>5252319.9797901772</v>
      </c>
      <c r="U64" s="31">
        <f>(INDEX(Option4!U$106:U$117, MATCH($D64, Option4!$G$106:$G$117,0)))*conv_2026*U$7</f>
        <v>5386622.437628123</v>
      </c>
      <c r="V64" s="31">
        <f>(INDEX(Option4!V$106:V$117, MATCH($D64, Option4!$G$106:$G$117,0)))*conv_2026*V$7</f>
        <v>5386622.437628123</v>
      </c>
      <c r="W64" s="31">
        <f>(INDEX(Option4!W$106:W$117, MATCH($D64, Option4!$G$106:$G$117,0)))*conv_2026*W$7</f>
        <v>5386622.437628123</v>
      </c>
      <c r="X64" s="31">
        <f>(INDEX(Option4!X$106:X$117, MATCH($D64, Option4!$G$106:$G$117,0)))*conv_2026*X$7</f>
        <v>5386622.437628123</v>
      </c>
      <c r="Y64" s="31">
        <f>(INDEX(Option4!Y$106:Y$117, MATCH($D64, Option4!$G$106:$G$117,0)))*conv_2026*Y$7</f>
        <v>5386622.437628123</v>
      </c>
      <c r="Z64" s="31">
        <f>(INDEX(Option4!Z$106:Z$117, MATCH($D64, Option4!$G$106:$G$117,0)))*conv_2026*Z$7</f>
        <v>5386622.437628123</v>
      </c>
      <c r="AA64" s="31">
        <f>(INDEX(Option4!AA$106:AA$117, MATCH($D64, Option4!$G$106:$G$117,0)))*conv_2026*AA$7</f>
        <v>5386622.437628123</v>
      </c>
      <c r="AB64" s="31">
        <f>(INDEX(Option4!AB$106:AB$117, MATCH($D64, Option4!$G$106:$G$117,0)))*conv_2026*AB$7</f>
        <v>5386622.437628123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ht="13" x14ac:dyDescent="0.3">
      <c r="A65" s="253" t="s">
        <v>131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50449975.654448599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60071.170084099009</v>
      </c>
      <c r="J65" s="31">
        <f>(INDEX(Option4!J$106:J$117, MATCH($D65, Option4!$G$106:$G$117,0)))*conv_2026*J$7</f>
        <v>440574.43760602176</v>
      </c>
      <c r="K65" s="31">
        <f>(INDEX(Option4!K$106:K$117, MATCH($D65, Option4!$G$106:$G$117,0)))*conv_2026*K$7</f>
        <v>955380.16296589084</v>
      </c>
      <c r="L65" s="31">
        <f>(INDEX(Option4!L$106:L$117, MATCH($D65, Option4!$G$106:$G$117,0)))*conv_2026*L$7</f>
        <v>1604488.3461637071</v>
      </c>
      <c r="M65" s="31">
        <f>(INDEX(Option4!M$106:M$117, MATCH($D65, Option4!$G$106:$G$117,0)))*conv_2026*M$7</f>
        <v>2119294.0715235779</v>
      </c>
      <c r="N65" s="31">
        <f>(INDEX(Option4!N$106:N$117, MATCH($D65, Option4!$G$106:$G$117,0)))*conv_2026*N$7</f>
        <v>2499797.3390455004</v>
      </c>
      <c r="O65" s="31">
        <f>(INDEX(Option4!O$106:O$117, MATCH($D65, Option4!$G$106:$G$117,0)))*conv_2026*O$7</f>
        <v>3148905.5222433158</v>
      </c>
      <c r="P65" s="31">
        <f>(INDEX(Option4!P$106:P$117, MATCH($D65, Option4!$G$106:$G$117,0)))*conv_2026*P$7</f>
        <v>3529408.7897652392</v>
      </c>
      <c r="Q65" s="31">
        <f>(INDEX(Option4!Q$106:Q$117, MATCH($D65, Option4!$G$106:$G$117,0)))*conv_2026*Q$7</f>
        <v>4178516.9729630565</v>
      </c>
      <c r="R65" s="31">
        <f>(INDEX(Option4!R$106:R$117, MATCH($D65, Option4!$G$106:$G$117,0)))*conv_2026*R$7</f>
        <v>4575483.4309264366</v>
      </c>
      <c r="S65" s="31">
        <f>(INDEX(Option4!S$106:S$117, MATCH($D65, Option4!$G$106:$G$117,0)))*conv_2026*S$7</f>
        <v>5252319.9797901772</v>
      </c>
      <c r="T65" s="31">
        <f>(INDEX(Option4!T$106:T$117, MATCH($D65, Option4!$G$106:$G$117,0)))*conv_2026*T$7</f>
        <v>5252319.9797901772</v>
      </c>
      <c r="U65" s="31">
        <f>(INDEX(Option4!U$106:U$117, MATCH($D65, Option4!$G$106:$G$117,0)))*conv_2026*U$7</f>
        <v>5386622.437628123</v>
      </c>
      <c r="V65" s="31">
        <f>(INDEX(Option4!V$106:V$117, MATCH($D65, Option4!$G$106:$G$117,0)))*conv_2026*V$7</f>
        <v>5386622.437628123</v>
      </c>
      <c r="W65" s="31">
        <f>(INDEX(Option4!W$106:W$117, MATCH($D65, Option4!$G$106:$G$117,0)))*conv_2026*W$7</f>
        <v>5386622.437628123</v>
      </c>
      <c r="X65" s="31">
        <f>(INDEX(Option4!X$106:X$117, MATCH($D65, Option4!$G$106:$G$117,0)))*conv_2026*X$7</f>
        <v>5386622.437628123</v>
      </c>
      <c r="Y65" s="31">
        <f>(INDEX(Option4!Y$106:Y$117, MATCH($D65, Option4!$G$106:$G$117,0)))*conv_2026*Y$7</f>
        <v>5386622.437628123</v>
      </c>
      <c r="Z65" s="31">
        <f>(INDEX(Option4!Z$106:Z$117, MATCH($D65, Option4!$G$106:$G$117,0)))*conv_2026*Z$7</f>
        <v>5386622.437628123</v>
      </c>
      <c r="AA65" s="31">
        <f>(INDEX(Option4!AA$106:AA$117, MATCH($D65, Option4!$G$106:$G$117,0)))*conv_2026*AA$7</f>
        <v>5386622.437628123</v>
      </c>
      <c r="AB65" s="31">
        <f>(INDEX(Option4!AB$106:AB$117, MATCH($D65, Option4!$G$106:$G$117,0)))*conv_2026*AB$7</f>
        <v>5386622.437628123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ht="13" x14ac:dyDescent="0.3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ht="13" x14ac:dyDescent="0.3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ht="13" x14ac:dyDescent="0.3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ht="13" x14ac:dyDescent="0.3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ht="13" x14ac:dyDescent="0.3">
      <c r="A70" s="253" t="s">
        <v>151</v>
      </c>
      <c r="B70" s="253" t="s">
        <v>117</v>
      </c>
      <c r="C70" s="253" t="s">
        <v>182</v>
      </c>
      <c r="D70" s="253" t="str">
        <f>A70&amp;B70</f>
        <v>Option 5NPV</v>
      </c>
      <c r="E70" s="254"/>
      <c r="F70" s="31">
        <f t="shared" ref="F70:F79" si="8">SUMPRODUCT($H70:$AG70, $H$5:$AG$5)</f>
        <v>42471174.476038493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131411.66199708136</v>
      </c>
      <c r="J70" s="31">
        <f>(INDEX(Option5!J$106:J$117, MATCH($D70, Option5!$G$106:$G$117,0)))*conv_2026*J$7</f>
        <v>381742.75905097771</v>
      </c>
      <c r="K70" s="31">
        <f>(INDEX(Option5!K$106:K$117, MATCH($D70, Option5!$G$106:$G$117,0)))*conv_2026*K$7</f>
        <v>632073.8561048751</v>
      </c>
      <c r="L70" s="31">
        <f>(INDEX(Option5!L$106:L$117, MATCH($D70, Option5!$G$106:$G$117,0)))*conv_2026*L$7</f>
        <v>1151009.868834665</v>
      </c>
      <c r="M70" s="31">
        <f>(INDEX(Option5!M$106:M$117, MATCH($D70, Option5!$G$106:$G$117,0)))*conv_2026*M$7</f>
        <v>1535643.4237265082</v>
      </c>
      <c r="N70" s="31">
        <f>(INDEX(Option5!N$106:N$117, MATCH($D70, Option5!$G$106:$G$117,0)))*conv_2026*N$7</f>
        <v>1785974.520780405</v>
      </c>
      <c r="O70" s="31">
        <f>(INDEX(Option5!O$106:O$117, MATCH($D70, Option5!$G$106:$G$117,0)))*conv_2026*O$7</f>
        <v>2304910.5335101951</v>
      </c>
      <c r="P70" s="31">
        <f>(INDEX(Option5!P$106:P$117, MATCH($D70, Option5!$G$106:$G$117,0)))*conv_2026*P$7</f>
        <v>2555241.6305640913</v>
      </c>
      <c r="Q70" s="31">
        <f>(INDEX(Option5!Q$106:Q$117, MATCH($D70, Option5!$G$106:$G$117,0)))*conv_2026*Q$7</f>
        <v>2939875.185455936</v>
      </c>
      <c r="R70" s="31">
        <f>(INDEX(Option5!R$106:R$117, MATCH($D70, Option5!$G$106:$G$117,0)))*conv_2026*R$7</f>
        <v>3324508.7403477789</v>
      </c>
      <c r="S70" s="31">
        <f>(INDEX(Option5!S$106:S$117, MATCH($D70, Option5!$G$106:$G$117,0)))*conv_2026*S$7</f>
        <v>3709142.2952396222</v>
      </c>
      <c r="T70" s="31">
        <f>(INDEX(Option5!T$106:T$117, MATCH($D70, Option5!$G$106:$G$117,0)))*conv_2026*T$7</f>
        <v>4093775.8501314661</v>
      </c>
      <c r="U70" s="31">
        <f>(INDEX(Option5!U$106:U$117, MATCH($D70, Option5!$G$106:$G$117,0)))*conv_2026*U$7</f>
        <v>4478409.4050233085</v>
      </c>
      <c r="V70" s="31">
        <f>(INDEX(Option5!V$106:V$117, MATCH($D70, Option5!$G$106:$G$117,0)))*conv_2026*V$7</f>
        <v>4865933.7557560178</v>
      </c>
      <c r="W70" s="31">
        <f>(INDEX(Option5!W$106:W$117, MATCH($D70, Option5!$G$106:$G$117,0)))*conv_2026*W$7</f>
        <v>5116264.8528099144</v>
      </c>
      <c r="X70" s="31">
        <f>(INDEX(Option5!X$106:X$117, MATCH($D70, Option5!$G$106:$G$117,0)))*conv_2026*X$7</f>
        <v>5366595.949863811</v>
      </c>
      <c r="Y70" s="31">
        <f>(INDEX(Option5!Y$106:Y$117, MATCH($D70, Option5!$G$106:$G$117,0)))*conv_2026*Y$7</f>
        <v>5386622.437628123</v>
      </c>
      <c r="Z70" s="31">
        <f>(INDEX(Option5!Z$106:Z$117, MATCH($D70, Option5!$G$106:$G$117,0)))*conv_2026*Z$7</f>
        <v>5386622.437628123</v>
      </c>
      <c r="AA70" s="31">
        <f>(INDEX(Option5!AA$106:AA$117, MATCH($D70, Option5!$G$106:$G$117,0)))*conv_2026*AA$7</f>
        <v>5386622.437628123</v>
      </c>
      <c r="AB70" s="31">
        <f>(INDEX(Option5!AB$106:AB$117, MATCH($D70, Option5!$G$106:$G$117,0)))*conv_2026*AB$7</f>
        <v>5386622.437628123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ht="13" x14ac:dyDescent="0.3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ht="13" x14ac:dyDescent="0.3">
      <c r="A72" s="253" t="s">
        <v>151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41243325.125865713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131411.66199708136</v>
      </c>
      <c r="J72" s="31">
        <f>(INDEX(Option5!J$106:J$117, MATCH($D72, Option5!$G$106:$G$117,0)))*conv_2026*J$7</f>
        <v>371142.15633752901</v>
      </c>
      <c r="K72" s="31">
        <f>(INDEX(Option5!K$106:K$117, MATCH($D72, Option5!$G$106:$G$117,0)))*conv_2026*K$7</f>
        <v>610872.65067797771</v>
      </c>
      <c r="L72" s="31">
        <f>(INDEX(Option5!L$106:L$117, MATCH($D72, Option5!$G$106:$G$117,0)))*conv_2026*L$7</f>
        <v>1119208.060694319</v>
      </c>
      <c r="M72" s="31">
        <f>(INDEX(Option5!M$106:M$117, MATCH($D72, Option5!$G$106:$G$117,0)))*conv_2026*M$7</f>
        <v>1493241.0128727134</v>
      </c>
      <c r="N72" s="31">
        <f>(INDEX(Option5!N$106:N$117, MATCH($D72, Option5!$G$106:$G$117,0)))*conv_2026*N$7</f>
        <v>1732971.5072131618</v>
      </c>
      <c r="O72" s="31">
        <f>(INDEX(Option5!O$106:O$117, MATCH($D72, Option5!$G$106:$G$117,0)))*conv_2026*O$7</f>
        <v>2241306.9172295029</v>
      </c>
      <c r="P72" s="31">
        <f>(INDEX(Option5!P$106:P$117, MATCH($D72, Option5!$G$106:$G$117,0)))*conv_2026*P$7</f>
        <v>2481037.4115699506</v>
      </c>
      <c r="Q72" s="31">
        <f>(INDEX(Option5!Q$106:Q$117, MATCH($D72, Option5!$G$106:$G$117,0)))*conv_2026*Q$7</f>
        <v>2855070.3637483465</v>
      </c>
      <c r="R72" s="31">
        <f>(INDEX(Option5!R$106:R$117, MATCH($D72, Option5!$G$106:$G$117,0)))*conv_2026*R$7</f>
        <v>3229103.3159267409</v>
      </c>
      <c r="S72" s="31">
        <f>(INDEX(Option5!S$106:S$117, MATCH($D72, Option5!$G$106:$G$117,0)))*conv_2026*S$7</f>
        <v>3603136.2681051358</v>
      </c>
      <c r="T72" s="31">
        <f>(INDEX(Option5!T$106:T$117, MATCH($D72, Option5!$G$106:$G$117,0)))*conv_2026*T$7</f>
        <v>3977169.2202835311</v>
      </c>
      <c r="U72" s="31">
        <f>(INDEX(Option5!U$106:U$117, MATCH($D72, Option5!$G$106:$G$117,0)))*conv_2026*U$7</f>
        <v>4351202.1724619241</v>
      </c>
      <c r="V72" s="31">
        <f>(INDEX(Option5!V$106:V$117, MATCH($D72, Option5!$G$106:$G$117,0)))*conv_2026*V$7</f>
        <v>4728125.9204811854</v>
      </c>
      <c r="W72" s="31">
        <f>(INDEX(Option5!W$106:W$117, MATCH($D72, Option5!$G$106:$G$117,0)))*conv_2026*W$7</f>
        <v>4967856.4148216331</v>
      </c>
      <c r="X72" s="31">
        <f>(INDEX(Option5!X$106:X$117, MATCH($D72, Option5!$G$106:$G$117,0)))*conv_2026*X$7</f>
        <v>5207586.9091620808</v>
      </c>
      <c r="Y72" s="31">
        <f>(INDEX(Option5!Y$106:Y$117, MATCH($D72, Option5!$G$106:$G$117,0)))*conv_2026*Y$7</f>
        <v>5226765.3487093169</v>
      </c>
      <c r="Z72" s="31">
        <f>(INDEX(Option5!Z$106:Z$117, MATCH($D72, Option5!$G$106:$G$117,0)))*conv_2026*Z$7</f>
        <v>5226765.3487093169</v>
      </c>
      <c r="AA72" s="31">
        <f>(INDEX(Option5!AA$106:AA$117, MATCH($D72, Option5!$G$106:$G$117,0)))*conv_2026*AA$7</f>
        <v>5226765.3487093169</v>
      </c>
      <c r="AB72" s="31">
        <f>(INDEX(Option5!AB$106:AB$117, MATCH($D72, Option5!$G$106:$G$117,0)))*conv_2026*AB$7</f>
        <v>5226765.3487093169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ht="13" x14ac:dyDescent="0.3">
      <c r="A73" s="253" t="s">
        <v>151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43699023.826211274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131411.66199708136</v>
      </c>
      <c r="J73" s="31">
        <f>(INDEX(Option5!J$106:J$117, MATCH($D73, Option5!$G$106:$G$117,0)))*conv_2026*J$7</f>
        <v>392343.3617644264</v>
      </c>
      <c r="K73" s="31">
        <f>(INDEX(Option5!K$106:K$117, MATCH($D73, Option5!$G$106:$G$117,0)))*conv_2026*K$7</f>
        <v>653275.06153177249</v>
      </c>
      <c r="L73" s="31">
        <f>(INDEX(Option5!L$106:L$117, MATCH($D73, Option5!$G$106:$G$117,0)))*conv_2026*L$7</f>
        <v>1182811.6769750111</v>
      </c>
      <c r="M73" s="31">
        <f>(INDEX(Option5!M$106:M$117, MATCH($D73, Option5!$G$106:$G$117,0)))*conv_2026*M$7</f>
        <v>1578045.8345803029</v>
      </c>
      <c r="N73" s="31">
        <f>(INDEX(Option5!N$106:N$117, MATCH($D73, Option5!$G$106:$G$117,0)))*conv_2026*N$7</f>
        <v>1838977.5343476483</v>
      </c>
      <c r="O73" s="31">
        <f>(INDEX(Option5!O$106:O$117, MATCH($D73, Option5!$G$106:$G$117,0)))*conv_2026*O$7</f>
        <v>2368514.1497908873</v>
      </c>
      <c r="P73" s="31">
        <f>(INDEX(Option5!P$106:P$117, MATCH($D73, Option5!$G$106:$G$117,0)))*conv_2026*P$7</f>
        <v>2629445.8495582319</v>
      </c>
      <c r="Q73" s="31">
        <f>(INDEX(Option5!Q$106:Q$117, MATCH($D73, Option5!$G$106:$G$117,0)))*conv_2026*Q$7</f>
        <v>3024680.0071635256</v>
      </c>
      <c r="R73" s="31">
        <f>(INDEX(Option5!R$106:R$117, MATCH($D73, Option5!$G$106:$G$117,0)))*conv_2026*R$7</f>
        <v>3419914.1647688174</v>
      </c>
      <c r="S73" s="31">
        <f>(INDEX(Option5!S$106:S$117, MATCH($D73, Option5!$G$106:$G$117,0)))*conv_2026*S$7</f>
        <v>3815148.3223741087</v>
      </c>
      <c r="T73" s="31">
        <f>(INDEX(Option5!T$106:T$117, MATCH($D73, Option5!$G$106:$G$117,0)))*conv_2026*T$7</f>
        <v>4210382.4799794015</v>
      </c>
      <c r="U73" s="31">
        <f>(INDEX(Option5!U$106:U$117, MATCH($D73, Option5!$G$106:$G$117,0)))*conv_2026*U$7</f>
        <v>4605616.6375846928</v>
      </c>
      <c r="V73" s="31">
        <f>(INDEX(Option5!V$106:V$117, MATCH($D73, Option5!$G$106:$G$117,0)))*conv_2026*V$7</f>
        <v>5003741.591030851</v>
      </c>
      <c r="W73" s="31">
        <f>(INDEX(Option5!W$106:W$117, MATCH($D73, Option5!$G$106:$G$117,0)))*conv_2026*W$7</f>
        <v>5264673.2907981956</v>
      </c>
      <c r="X73" s="31">
        <f>(INDEX(Option5!X$106:X$117, MATCH($D73, Option5!$G$106:$G$117,0)))*conv_2026*X$7</f>
        <v>5525604.9905655412</v>
      </c>
      <c r="Y73" s="31">
        <f>(INDEX(Option5!Y$106:Y$117, MATCH($D73, Option5!$G$106:$G$117,0)))*conv_2026*Y$7</f>
        <v>5546479.52654693</v>
      </c>
      <c r="Z73" s="31">
        <f>(INDEX(Option5!Z$106:Z$117, MATCH($D73, Option5!$G$106:$G$117,0)))*conv_2026*Z$7</f>
        <v>5546479.52654693</v>
      </c>
      <c r="AA73" s="31">
        <f>(INDEX(Option5!AA$106:AA$117, MATCH($D73, Option5!$G$106:$G$117,0)))*conv_2026*AA$7</f>
        <v>5546479.52654693</v>
      </c>
      <c r="AB73" s="31">
        <f>(INDEX(Option5!AB$106:AB$117, MATCH($D73, Option5!$G$106:$G$117,0)))*conv_2026*AB$7</f>
        <v>5546479.52654693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ht="13" x14ac:dyDescent="0.3">
      <c r="A74" s="253" t="s">
        <v>151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47946141.273815118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144552.82819678952</v>
      </c>
      <c r="J74" s="31">
        <f>(INDEX(Option5!J$106:J$117, MATCH($D74, Option5!$G$106:$G$117,0)))*conv_2026*J$7</f>
        <v>430517.63766952412</v>
      </c>
      <c r="K74" s="31">
        <f>(INDEX(Option5!K$106:K$117, MATCH($D74, Option5!$G$106:$G$117,0)))*conv_2026*K$7</f>
        <v>716482.44714225992</v>
      </c>
      <c r="L74" s="31">
        <f>(INDEX(Option5!L$106:L$117, MATCH($D74, Option5!$G$106:$G$117,0)))*conv_2026*L$7</f>
        <v>1297912.6638584775</v>
      </c>
      <c r="M74" s="31">
        <f>(INDEX(Option5!M$106:M$117, MATCH($D74, Option5!$G$106:$G$117,0)))*conv_2026*M$7</f>
        <v>1731610.1769529537</v>
      </c>
      <c r="N74" s="31">
        <f>(INDEX(Option5!N$106:N$117, MATCH($D74, Option5!$G$106:$G$117,0)))*conv_2026*N$7</f>
        <v>2017574.986425689</v>
      </c>
      <c r="O74" s="31">
        <f>(INDEX(Option5!O$106:O$117, MATCH($D74, Option5!$G$106:$G$117,0)))*conv_2026*O$7</f>
        <v>2599005.2031419068</v>
      </c>
      <c r="P74" s="31">
        <f>(INDEX(Option5!P$106:P$117, MATCH($D74, Option5!$G$106:$G$117,0)))*conv_2026*P$7</f>
        <v>2884970.0126146409</v>
      </c>
      <c r="Q74" s="31">
        <f>(INDEX(Option5!Q$106:Q$117, MATCH($D74, Option5!$G$106:$G$117,0)))*conv_2026*Q$7</f>
        <v>3318667.5257091192</v>
      </c>
      <c r="R74" s="31">
        <f>(INDEX(Option5!R$106:R$117, MATCH($D74, Option5!$G$106:$G$117,0)))*conv_2026*R$7</f>
        <v>3752365.0388035951</v>
      </c>
      <c r="S74" s="31">
        <f>(INDEX(Option5!S$106:S$117, MATCH($D74, Option5!$G$106:$G$117,0)))*conv_2026*S$7</f>
        <v>4186062.5518980711</v>
      </c>
      <c r="T74" s="31">
        <f>(INDEX(Option5!T$106:T$117, MATCH($D74, Option5!$G$106:$G$117,0)))*conv_2026*T$7</f>
        <v>4619760.0649925489</v>
      </c>
      <c r="U74" s="31">
        <f>(INDEX(Option5!U$106:U$117, MATCH($D74, Option5!$G$106:$G$117,0)))*conv_2026*U$7</f>
        <v>5053457.5780870235</v>
      </c>
      <c r="V74" s="31">
        <f>(INDEX(Option5!V$106:V$117, MATCH($D74, Option5!$G$106:$G$117,0)))*conv_2026*V$7</f>
        <v>5490334.9666064531</v>
      </c>
      <c r="W74" s="31">
        <f>(INDEX(Option5!W$106:W$117, MATCH($D74, Option5!$G$106:$G$117,0)))*conv_2026*W$7</f>
        <v>5776299.7760791872</v>
      </c>
      <c r="X74" s="31">
        <f>(INDEX(Option5!X$106:X$117, MATCH($D74, Option5!$G$106:$G$117,0)))*conv_2026*X$7</f>
        <v>6062264.5855519222</v>
      </c>
      <c r="Y74" s="31">
        <f>(INDEX(Option5!Y$106:Y$117, MATCH($D74, Option5!$G$106:$G$117,0)))*conv_2026*Y$7</f>
        <v>6085141.7703097416</v>
      </c>
      <c r="Z74" s="31">
        <f>(INDEX(Option5!Z$106:Z$117, MATCH($D74, Option5!$G$106:$G$117,0)))*conv_2026*Z$7</f>
        <v>6085141.7703097416</v>
      </c>
      <c r="AA74" s="31">
        <f>(INDEX(Option5!AA$106:AA$117, MATCH($D74, Option5!$G$106:$G$117,0)))*conv_2026*AA$7</f>
        <v>6085141.7703097416</v>
      </c>
      <c r="AB74" s="31">
        <f>(INDEX(Option5!AB$106:AB$117, MATCH($D74, Option5!$G$106:$G$117,0)))*conv_2026*AB$7</f>
        <v>6085141.7703097416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ht="13" x14ac:dyDescent="0.3">
      <c r="A75" s="253" t="s">
        <v>151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36996207.678261869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118270.49579737324</v>
      </c>
      <c r="J75" s="31">
        <f>(INDEX(Option5!J$106:J$117, MATCH($D75, Option5!$G$106:$G$117,0)))*conv_2026*J$7</f>
        <v>332967.8804324313</v>
      </c>
      <c r="K75" s="31">
        <f>(INDEX(Option5!K$106:K$117, MATCH($D75, Option5!$G$106:$G$117,0)))*conv_2026*K$7</f>
        <v>547665.26506749017</v>
      </c>
      <c r="L75" s="31">
        <f>(INDEX(Option5!L$106:L$117, MATCH($D75, Option5!$G$106:$G$117,0)))*conv_2026*L$7</f>
        <v>1004107.0738108525</v>
      </c>
      <c r="M75" s="31">
        <f>(INDEX(Option5!M$106:M$117, MATCH($D75, Option5!$G$106:$G$117,0)))*conv_2026*M$7</f>
        <v>1339676.6705000626</v>
      </c>
      <c r="N75" s="31">
        <f>(INDEX(Option5!N$106:N$117, MATCH($D75, Option5!$G$106:$G$117,0)))*conv_2026*N$7</f>
        <v>1554374.0551351211</v>
      </c>
      <c r="O75" s="31">
        <f>(INDEX(Option5!O$106:O$117, MATCH($D75, Option5!$G$106:$G$117,0)))*conv_2026*O$7</f>
        <v>2010815.8638784832</v>
      </c>
      <c r="P75" s="31">
        <f>(INDEX(Option5!P$106:P$117, MATCH($D75, Option5!$G$106:$G$117,0)))*conv_2026*P$7</f>
        <v>2225513.2485135412</v>
      </c>
      <c r="Q75" s="31">
        <f>(INDEX(Option5!Q$106:Q$117, MATCH($D75, Option5!$G$106:$G$117,0)))*conv_2026*Q$7</f>
        <v>2561082.8452027529</v>
      </c>
      <c r="R75" s="31">
        <f>(INDEX(Option5!R$106:R$117, MATCH($D75, Option5!$G$106:$G$117,0)))*conv_2026*R$7</f>
        <v>2896652.4418919631</v>
      </c>
      <c r="S75" s="31">
        <f>(INDEX(Option5!S$106:S$117, MATCH($D75, Option5!$G$106:$G$117,0)))*conv_2026*S$7</f>
        <v>3232222.0385811734</v>
      </c>
      <c r="T75" s="31">
        <f>(INDEX(Option5!T$106:T$117, MATCH($D75, Option5!$G$106:$G$117,0)))*conv_2026*T$7</f>
        <v>3567791.6352703841</v>
      </c>
      <c r="U75" s="31">
        <f>(INDEX(Option5!U$106:U$117, MATCH($D75, Option5!$G$106:$G$117,0)))*conv_2026*U$7</f>
        <v>3903361.2319595935</v>
      </c>
      <c r="V75" s="31">
        <f>(INDEX(Option5!V$106:V$117, MATCH($D75, Option5!$G$106:$G$117,0)))*conv_2026*V$7</f>
        <v>4241532.5449055834</v>
      </c>
      <c r="W75" s="31">
        <f>(INDEX(Option5!W$106:W$117, MATCH($D75, Option5!$G$106:$G$117,0)))*conv_2026*W$7</f>
        <v>4456229.9295406416</v>
      </c>
      <c r="X75" s="31">
        <f>(INDEX(Option5!X$106:X$117, MATCH($D75, Option5!$G$106:$G$117,0)))*conv_2026*X$7</f>
        <v>4670927.3141756998</v>
      </c>
      <c r="Y75" s="31">
        <f>(INDEX(Option5!Y$106:Y$117, MATCH($D75, Option5!$G$106:$G$117,0)))*conv_2026*Y$7</f>
        <v>4688103.1049465053</v>
      </c>
      <c r="Z75" s="31">
        <f>(INDEX(Option5!Z$106:Z$117, MATCH($D75, Option5!$G$106:$G$117,0)))*conv_2026*Z$7</f>
        <v>4688103.1049465053</v>
      </c>
      <c r="AA75" s="31">
        <f>(INDEX(Option5!AA$106:AA$117, MATCH($D75, Option5!$G$106:$G$117,0)))*conv_2026*AA$7</f>
        <v>4688103.1049465053</v>
      </c>
      <c r="AB75" s="31">
        <f>(INDEX(Option5!AB$106:AB$117, MATCH($D75, Option5!$G$106:$G$117,0)))*conv_2026*AB$7</f>
        <v>4688103.1049465053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ht="13" x14ac:dyDescent="0.3">
      <c r="A76" s="253" t="s">
        <v>151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35768358.328089103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118270.49579737324</v>
      </c>
      <c r="J76" s="31">
        <f>(INDEX(Option5!J$106:J$117, MATCH($D76, Option5!$G$106:$G$117,0)))*conv_2026*J$7</f>
        <v>322367.2777189826</v>
      </c>
      <c r="K76" s="31">
        <f>(INDEX(Option5!K$106:K$117, MATCH($D76, Option5!$G$106:$G$117,0)))*conv_2026*K$7</f>
        <v>526464.05964059278</v>
      </c>
      <c r="L76" s="31">
        <f>(INDEX(Option5!L$106:L$117, MATCH($D76, Option5!$G$106:$G$117,0)))*conv_2026*L$7</f>
        <v>972305.2656705064</v>
      </c>
      <c r="M76" s="31">
        <f>(INDEX(Option5!M$106:M$117, MATCH($D76, Option5!$G$106:$G$117,0)))*conv_2026*M$7</f>
        <v>1297274.2596462679</v>
      </c>
      <c r="N76" s="31">
        <f>(INDEX(Option5!N$106:N$117, MATCH($D76, Option5!$G$106:$G$117,0)))*conv_2026*N$7</f>
        <v>1501371.0415678779</v>
      </c>
      <c r="O76" s="31">
        <f>(INDEX(Option5!O$106:O$117, MATCH($D76, Option5!$G$106:$G$117,0)))*conv_2026*O$7</f>
        <v>1947212.2475977913</v>
      </c>
      <c r="P76" s="31">
        <f>(INDEX(Option5!P$106:P$117, MATCH($D76, Option5!$G$106:$G$117,0)))*conv_2026*P$7</f>
        <v>2151309.0295194006</v>
      </c>
      <c r="Q76" s="31">
        <f>(INDEX(Option5!Q$106:Q$117, MATCH($D76, Option5!$G$106:$G$117,0)))*conv_2026*Q$7</f>
        <v>2476278.0234951638</v>
      </c>
      <c r="R76" s="31">
        <f>(INDEX(Option5!R$106:R$117, MATCH($D76, Option5!$G$106:$G$117,0)))*conv_2026*R$7</f>
        <v>2801247.0174709246</v>
      </c>
      <c r="S76" s="31">
        <f>(INDEX(Option5!S$106:S$117, MATCH($D76, Option5!$G$106:$G$117,0)))*conv_2026*S$7</f>
        <v>3126216.0114466865</v>
      </c>
      <c r="T76" s="31">
        <f>(INDEX(Option5!T$106:T$117, MATCH($D76, Option5!$G$106:$G$117,0)))*conv_2026*T$7</f>
        <v>3451185.0054224487</v>
      </c>
      <c r="U76" s="31">
        <f>(INDEX(Option5!U$106:U$117, MATCH($D76, Option5!$G$106:$G$117,0)))*conv_2026*U$7</f>
        <v>3776153.9993982096</v>
      </c>
      <c r="V76" s="31">
        <f>(INDEX(Option5!V$106:V$117, MATCH($D76, Option5!$G$106:$G$117,0)))*conv_2026*V$7</f>
        <v>4103724.7096307506</v>
      </c>
      <c r="W76" s="31">
        <f>(INDEX(Option5!W$106:W$117, MATCH($D76, Option5!$G$106:$G$117,0)))*conv_2026*W$7</f>
        <v>4307821.4915523604</v>
      </c>
      <c r="X76" s="31">
        <f>(INDEX(Option5!X$106:X$117, MATCH($D76, Option5!$G$106:$G$117,0)))*conv_2026*X$7</f>
        <v>4511918.2734739697</v>
      </c>
      <c r="Y76" s="31">
        <f>(INDEX(Option5!Y$106:Y$117, MATCH($D76, Option5!$G$106:$G$117,0)))*conv_2026*Y$7</f>
        <v>4528246.0160276992</v>
      </c>
      <c r="Z76" s="31">
        <f>(INDEX(Option5!Z$106:Z$117, MATCH($D76, Option5!$G$106:$G$117,0)))*conv_2026*Z$7</f>
        <v>4528246.0160276992</v>
      </c>
      <c r="AA76" s="31">
        <f>(INDEX(Option5!AA$106:AA$117, MATCH($D76, Option5!$G$106:$G$117,0)))*conv_2026*AA$7</f>
        <v>4528246.0160276992</v>
      </c>
      <c r="AB76" s="31">
        <f>(INDEX(Option5!AB$106:AB$117, MATCH($D76, Option5!$G$106:$G$117,0)))*conv_2026*AB$7</f>
        <v>4528246.0160276992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ht="13" x14ac:dyDescent="0.3">
      <c r="A77" s="253" t="s">
        <v>151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42471174.476038493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131411.66199708136</v>
      </c>
      <c r="J77" s="31">
        <f>(INDEX(Option5!J$106:J$117, MATCH($D77, Option5!$G$106:$G$117,0)))*conv_2026*J$7</f>
        <v>381742.75905097771</v>
      </c>
      <c r="K77" s="31">
        <f>(INDEX(Option5!K$106:K$117, MATCH($D77, Option5!$G$106:$G$117,0)))*conv_2026*K$7</f>
        <v>632073.8561048751</v>
      </c>
      <c r="L77" s="31">
        <f>(INDEX(Option5!L$106:L$117, MATCH($D77, Option5!$G$106:$G$117,0)))*conv_2026*L$7</f>
        <v>1151009.868834665</v>
      </c>
      <c r="M77" s="31">
        <f>(INDEX(Option5!M$106:M$117, MATCH($D77, Option5!$G$106:$G$117,0)))*conv_2026*M$7</f>
        <v>1535643.4237265082</v>
      </c>
      <c r="N77" s="31">
        <f>(INDEX(Option5!N$106:N$117, MATCH($D77, Option5!$G$106:$G$117,0)))*conv_2026*N$7</f>
        <v>1785974.520780405</v>
      </c>
      <c r="O77" s="31">
        <f>(INDEX(Option5!O$106:O$117, MATCH($D77, Option5!$G$106:$G$117,0)))*conv_2026*O$7</f>
        <v>2304910.5335101951</v>
      </c>
      <c r="P77" s="31">
        <f>(INDEX(Option5!P$106:P$117, MATCH($D77, Option5!$G$106:$G$117,0)))*conv_2026*P$7</f>
        <v>2555241.6305640913</v>
      </c>
      <c r="Q77" s="31">
        <f>(INDEX(Option5!Q$106:Q$117, MATCH($D77, Option5!$G$106:$G$117,0)))*conv_2026*Q$7</f>
        <v>2939875.185455936</v>
      </c>
      <c r="R77" s="31">
        <f>(INDEX(Option5!R$106:R$117, MATCH($D77, Option5!$G$106:$G$117,0)))*conv_2026*R$7</f>
        <v>3324508.7403477789</v>
      </c>
      <c r="S77" s="31">
        <f>(INDEX(Option5!S$106:S$117, MATCH($D77, Option5!$G$106:$G$117,0)))*conv_2026*S$7</f>
        <v>3709142.2952396222</v>
      </c>
      <c r="T77" s="31">
        <f>(INDEX(Option5!T$106:T$117, MATCH($D77, Option5!$G$106:$G$117,0)))*conv_2026*T$7</f>
        <v>4093775.8501314661</v>
      </c>
      <c r="U77" s="31">
        <f>(INDEX(Option5!U$106:U$117, MATCH($D77, Option5!$G$106:$G$117,0)))*conv_2026*U$7</f>
        <v>4478409.4050233085</v>
      </c>
      <c r="V77" s="31">
        <f>(INDEX(Option5!V$106:V$117, MATCH($D77, Option5!$G$106:$G$117,0)))*conv_2026*V$7</f>
        <v>4865933.7557560178</v>
      </c>
      <c r="W77" s="31">
        <f>(INDEX(Option5!W$106:W$117, MATCH($D77, Option5!$G$106:$G$117,0)))*conv_2026*W$7</f>
        <v>5116264.8528099144</v>
      </c>
      <c r="X77" s="31">
        <f>(INDEX(Option5!X$106:X$117, MATCH($D77, Option5!$G$106:$G$117,0)))*conv_2026*X$7</f>
        <v>5366595.949863811</v>
      </c>
      <c r="Y77" s="31">
        <f>(INDEX(Option5!Y$106:Y$117, MATCH($D77, Option5!$G$106:$G$117,0)))*conv_2026*Y$7</f>
        <v>5386622.437628123</v>
      </c>
      <c r="Z77" s="31">
        <f>(INDEX(Option5!Z$106:Z$117, MATCH($D77, Option5!$G$106:$G$117,0)))*conv_2026*Z$7</f>
        <v>5386622.437628123</v>
      </c>
      <c r="AA77" s="31">
        <f>(INDEX(Option5!AA$106:AA$117, MATCH($D77, Option5!$G$106:$G$117,0)))*conv_2026*AA$7</f>
        <v>5386622.437628123</v>
      </c>
      <c r="AB77" s="31">
        <f>(INDEX(Option5!AB$106:AB$117, MATCH($D77, Option5!$G$106:$G$117,0)))*conv_2026*AB$7</f>
        <v>5386622.437628123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ht="13" x14ac:dyDescent="0.3">
      <c r="A78" s="253" t="s">
        <v>151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42471174.476038493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131411.66199708136</v>
      </c>
      <c r="J78" s="31">
        <f>(INDEX(Option5!J$106:J$117, MATCH($D78, Option5!$G$106:$G$117,0)))*conv_2026*J$7</f>
        <v>381742.75905097771</v>
      </c>
      <c r="K78" s="31">
        <f>(INDEX(Option5!K$106:K$117, MATCH($D78, Option5!$G$106:$G$117,0)))*conv_2026*K$7</f>
        <v>632073.8561048751</v>
      </c>
      <c r="L78" s="31">
        <f>(INDEX(Option5!L$106:L$117, MATCH($D78, Option5!$G$106:$G$117,0)))*conv_2026*L$7</f>
        <v>1151009.868834665</v>
      </c>
      <c r="M78" s="31">
        <f>(INDEX(Option5!M$106:M$117, MATCH($D78, Option5!$G$106:$G$117,0)))*conv_2026*M$7</f>
        <v>1535643.4237265082</v>
      </c>
      <c r="N78" s="31">
        <f>(INDEX(Option5!N$106:N$117, MATCH($D78, Option5!$G$106:$G$117,0)))*conv_2026*N$7</f>
        <v>1785974.520780405</v>
      </c>
      <c r="O78" s="31">
        <f>(INDEX(Option5!O$106:O$117, MATCH($D78, Option5!$G$106:$G$117,0)))*conv_2026*O$7</f>
        <v>2304910.5335101951</v>
      </c>
      <c r="P78" s="31">
        <f>(INDEX(Option5!P$106:P$117, MATCH($D78, Option5!$G$106:$G$117,0)))*conv_2026*P$7</f>
        <v>2555241.6305640913</v>
      </c>
      <c r="Q78" s="31">
        <f>(INDEX(Option5!Q$106:Q$117, MATCH($D78, Option5!$G$106:$G$117,0)))*conv_2026*Q$7</f>
        <v>2939875.185455936</v>
      </c>
      <c r="R78" s="31">
        <f>(INDEX(Option5!R$106:R$117, MATCH($D78, Option5!$G$106:$G$117,0)))*conv_2026*R$7</f>
        <v>3324508.7403477789</v>
      </c>
      <c r="S78" s="31">
        <f>(INDEX(Option5!S$106:S$117, MATCH($D78, Option5!$G$106:$G$117,0)))*conv_2026*S$7</f>
        <v>3709142.2952396222</v>
      </c>
      <c r="T78" s="31">
        <f>(INDEX(Option5!T$106:T$117, MATCH($D78, Option5!$G$106:$G$117,0)))*conv_2026*T$7</f>
        <v>4093775.8501314661</v>
      </c>
      <c r="U78" s="31">
        <f>(INDEX(Option5!U$106:U$117, MATCH($D78, Option5!$G$106:$G$117,0)))*conv_2026*U$7</f>
        <v>4478409.4050233085</v>
      </c>
      <c r="V78" s="31">
        <f>(INDEX(Option5!V$106:V$117, MATCH($D78, Option5!$G$106:$G$117,0)))*conv_2026*V$7</f>
        <v>4865933.7557560178</v>
      </c>
      <c r="W78" s="31">
        <f>(INDEX(Option5!W$106:W$117, MATCH($D78, Option5!$G$106:$G$117,0)))*conv_2026*W$7</f>
        <v>5116264.8528099144</v>
      </c>
      <c r="X78" s="31">
        <f>(INDEX(Option5!X$106:X$117, MATCH($D78, Option5!$G$106:$G$117,0)))*conv_2026*X$7</f>
        <v>5366595.949863811</v>
      </c>
      <c r="Y78" s="31">
        <f>(INDEX(Option5!Y$106:Y$117, MATCH($D78, Option5!$G$106:$G$117,0)))*conv_2026*Y$7</f>
        <v>5386622.437628123</v>
      </c>
      <c r="Z78" s="31">
        <f>(INDEX(Option5!Z$106:Z$117, MATCH($D78, Option5!$G$106:$G$117,0)))*conv_2026*Z$7</f>
        <v>5386622.437628123</v>
      </c>
      <c r="AA78" s="31">
        <f>(INDEX(Option5!AA$106:AA$117, MATCH($D78, Option5!$G$106:$G$117,0)))*conv_2026*AA$7</f>
        <v>5386622.437628123</v>
      </c>
      <c r="AB78" s="31">
        <f>(INDEX(Option5!AB$106:AB$117, MATCH($D78, Option5!$G$106:$G$117,0)))*conv_2026*AB$7</f>
        <v>5386622.437628123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ht="13" x14ac:dyDescent="0.3">
      <c r="A79" s="253" t="s">
        <v>151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42471174.476038493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131411.66199708136</v>
      </c>
      <c r="J79" s="31">
        <f>(INDEX(Option5!J$106:J$117, MATCH($D79, Option5!$G$106:$G$117,0)))*conv_2026*J$7</f>
        <v>381742.75905097771</v>
      </c>
      <c r="K79" s="31">
        <f>(INDEX(Option5!K$106:K$117, MATCH($D79, Option5!$G$106:$G$117,0)))*conv_2026*K$7</f>
        <v>632073.8561048751</v>
      </c>
      <c r="L79" s="31">
        <f>(INDEX(Option5!L$106:L$117, MATCH($D79, Option5!$G$106:$G$117,0)))*conv_2026*L$7</f>
        <v>1151009.868834665</v>
      </c>
      <c r="M79" s="31">
        <f>(INDEX(Option5!M$106:M$117, MATCH($D79, Option5!$G$106:$G$117,0)))*conv_2026*M$7</f>
        <v>1535643.4237265082</v>
      </c>
      <c r="N79" s="31">
        <f>(INDEX(Option5!N$106:N$117, MATCH($D79, Option5!$G$106:$G$117,0)))*conv_2026*N$7</f>
        <v>1785974.520780405</v>
      </c>
      <c r="O79" s="31">
        <f>(INDEX(Option5!O$106:O$117, MATCH($D79, Option5!$G$106:$G$117,0)))*conv_2026*O$7</f>
        <v>2304910.5335101951</v>
      </c>
      <c r="P79" s="31">
        <f>(INDEX(Option5!P$106:P$117, MATCH($D79, Option5!$G$106:$G$117,0)))*conv_2026*P$7</f>
        <v>2555241.6305640913</v>
      </c>
      <c r="Q79" s="31">
        <f>(INDEX(Option5!Q$106:Q$117, MATCH($D79, Option5!$G$106:$G$117,0)))*conv_2026*Q$7</f>
        <v>2939875.185455936</v>
      </c>
      <c r="R79" s="31">
        <f>(INDEX(Option5!R$106:R$117, MATCH($D79, Option5!$G$106:$G$117,0)))*conv_2026*R$7</f>
        <v>3324508.7403477789</v>
      </c>
      <c r="S79" s="31">
        <f>(INDEX(Option5!S$106:S$117, MATCH($D79, Option5!$G$106:$G$117,0)))*conv_2026*S$7</f>
        <v>3709142.2952396222</v>
      </c>
      <c r="T79" s="31">
        <f>(INDEX(Option5!T$106:T$117, MATCH($D79, Option5!$G$106:$G$117,0)))*conv_2026*T$7</f>
        <v>4093775.8501314661</v>
      </c>
      <c r="U79" s="31">
        <f>(INDEX(Option5!U$106:U$117, MATCH($D79, Option5!$G$106:$G$117,0)))*conv_2026*U$7</f>
        <v>4478409.4050233085</v>
      </c>
      <c r="V79" s="31">
        <f>(INDEX(Option5!V$106:V$117, MATCH($D79, Option5!$G$106:$G$117,0)))*conv_2026*V$7</f>
        <v>4865933.7557560178</v>
      </c>
      <c r="W79" s="31">
        <f>(INDEX(Option5!W$106:W$117, MATCH($D79, Option5!$G$106:$G$117,0)))*conv_2026*W$7</f>
        <v>5116264.8528099144</v>
      </c>
      <c r="X79" s="31">
        <f>(INDEX(Option5!X$106:X$117, MATCH($D79, Option5!$G$106:$G$117,0)))*conv_2026*X$7</f>
        <v>5366595.949863811</v>
      </c>
      <c r="Y79" s="31">
        <f>(INDEX(Option5!Y$106:Y$117, MATCH($D79, Option5!$G$106:$G$117,0)))*conv_2026*Y$7</f>
        <v>5386622.437628123</v>
      </c>
      <c r="Z79" s="31">
        <f>(INDEX(Option5!Z$106:Z$117, MATCH($D79, Option5!$G$106:$G$117,0)))*conv_2026*Z$7</f>
        <v>5386622.437628123</v>
      </c>
      <c r="AA79" s="31">
        <f>(INDEX(Option5!AA$106:AA$117, MATCH($D79, Option5!$G$106:$G$117,0)))*conv_2026*AA$7</f>
        <v>5386622.437628123</v>
      </c>
      <c r="AB79" s="31">
        <f>(INDEX(Option5!AB$106:AB$117, MATCH($D79, Option5!$G$106:$G$117,0)))*conv_2026*AB$7</f>
        <v>5386622.437628123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3">
      <c r="F80" s="249"/>
    </row>
    <row r="81" spans="1:34" s="8" customFormat="1" x14ac:dyDescent="0.3">
      <c r="F81" s="249"/>
    </row>
    <row r="82" spans="1:34" s="8" customFormat="1" x14ac:dyDescent="0.3">
      <c r="F82" s="249"/>
    </row>
    <row r="83" spans="1:34" s="8" customFormat="1" x14ac:dyDescent="0.3">
      <c r="F83" s="249"/>
    </row>
    <row r="84" spans="1:34" s="8" customFormat="1" ht="14.5" x14ac:dyDescent="0.35">
      <c r="A84" s="202" t="s">
        <v>155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3">
      <c r="F85" s="249"/>
    </row>
    <row r="86" spans="1:34" s="8" customFormat="1" x14ac:dyDescent="0.3">
      <c r="F86" s="249"/>
    </row>
    <row r="87" spans="1:34" s="8" customFormat="1" x14ac:dyDescent="0.3">
      <c r="E87" s="249"/>
    </row>
    <row r="88" spans="1:34" s="8" customFormat="1" x14ac:dyDescent="0.3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0</v>
      </c>
      <c r="G88" s="275" t="b">
        <v>0</v>
      </c>
      <c r="K88" s="8" t="b">
        <f>AND(_xlfn.ANCHORARRAY(C88))</f>
        <v>0</v>
      </c>
    </row>
    <row r="89" spans="1:34" s="8" customFormat="1" ht="13" x14ac:dyDescent="0.3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224</v>
      </c>
      <c r="K89" s="283" t="s">
        <v>225</v>
      </c>
    </row>
    <row r="90" spans="1:34" s="8" customFormat="1" ht="13" x14ac:dyDescent="0.3">
      <c r="A90" s="261" t="s">
        <v>117</v>
      </c>
      <c r="B90" s="261" t="s">
        <v>215</v>
      </c>
      <c r="C90" s="105">
        <f t="shared" ref="C90:G98" si="10">IF(OR($B90=0,C$88),"", INDEX($F$14:$F$81, MATCH(C$89&amp;$A90,$D$14:$D$81,0))/10^6)</f>
        <v>0</v>
      </c>
      <c r="D90" s="105">
        <f t="shared" si="10"/>
        <v>67.543323239318411</v>
      </c>
      <c r="E90" s="105">
        <f t="shared" si="10"/>
        <v>55.4106115213241</v>
      </c>
      <c r="F90" s="105">
        <f t="shared" si="10"/>
        <v>50.4499756544486</v>
      </c>
      <c r="G90" s="105">
        <f t="shared" si="10"/>
        <v>42.471174476038492</v>
      </c>
      <c r="H90" s="186"/>
      <c r="I90" s="105">
        <f t="shared" ref="I90:I98" si="11">_xlfn.MAXIFS(C90:G90,_xlfn.ANCHORARRAY( C$88),FALSE)</f>
        <v>67.543323239318411</v>
      </c>
      <c r="K90" s="8" t="str">
        <f t="shared" ref="K90:K98" si="12">IF(OR(B90=0,$K$88),"", INDEX(_xlfn.ANCHORARRAY($C$89), MATCH(I90, $C90:$G90,0)))</f>
        <v>Option 2</v>
      </c>
    </row>
    <row r="91" spans="1:34" s="8" customFormat="1" ht="13" x14ac:dyDescent="0.3">
      <c r="A91" s="261" t="str">
        <f>"sens"&amp;Assumptions!B112</f>
        <v>sens1</v>
      </c>
      <c r="B91" s="261" t="str">
        <f>Assumptions!C112</f>
        <v>Capex 10% higher</v>
      </c>
      <c r="C91" s="105">
        <f t="shared" si="10"/>
        <v>0</v>
      </c>
      <c r="D91" s="105">
        <f t="shared" si="10"/>
        <v>65.389083516816157</v>
      </c>
      <c r="E91" s="105">
        <f t="shared" si="10"/>
        <v>53.552117520848995</v>
      </c>
      <c r="F91" s="105">
        <f t="shared" si="10"/>
        <v>48.916270456640596</v>
      </c>
      <c r="G91" s="105">
        <f t="shared" si="10"/>
        <v>41.243325125865709</v>
      </c>
      <c r="H91" s="186"/>
      <c r="I91" s="105">
        <f t="shared" si="11"/>
        <v>65.389083516816157</v>
      </c>
      <c r="K91" s="8" t="str">
        <f t="shared" si="12"/>
        <v>Option 2</v>
      </c>
    </row>
    <row r="92" spans="1:34" s="8" customFormat="1" ht="13" x14ac:dyDescent="0.3">
      <c r="A92" s="261" t="str">
        <f>"sens"&amp;Assumptions!B113</f>
        <v>sens2</v>
      </c>
      <c r="B92" s="261" t="str">
        <f>Assumptions!C113</f>
        <v>Capex 10% lower</v>
      </c>
      <c r="C92" s="105">
        <f t="shared" si="10"/>
        <v>0</v>
      </c>
      <c r="D92" s="105">
        <f t="shared" si="10"/>
        <v>69.697562961820694</v>
      </c>
      <c r="E92" s="105">
        <f t="shared" si="10"/>
        <v>57.26910552179924</v>
      </c>
      <c r="F92" s="105">
        <f t="shared" si="10"/>
        <v>51.983680852256612</v>
      </c>
      <c r="G92" s="105">
        <f t="shared" si="10"/>
        <v>43.699023826211274</v>
      </c>
      <c r="H92" s="186"/>
      <c r="I92" s="105">
        <f t="shared" si="11"/>
        <v>69.697562961820694</v>
      </c>
      <c r="K92" s="8" t="str">
        <f t="shared" si="12"/>
        <v>Option 2</v>
      </c>
    </row>
    <row r="93" spans="1:34" s="8" customFormat="1" ht="13" x14ac:dyDescent="0.3">
      <c r="A93" s="261" t="str">
        <f>"sens"&amp;Assumptions!B114</f>
        <v>sens3</v>
      </c>
      <c r="B93" s="261" t="str">
        <f>Assumptions!C114</f>
        <v>Total benefits 10% higher</v>
      </c>
      <c r="C93" s="105">
        <f t="shared" si="10"/>
        <v>0</v>
      </c>
      <c r="D93" s="105">
        <f t="shared" si="10"/>
        <v>76.451895285752499</v>
      </c>
      <c r="E93" s="105">
        <f t="shared" si="10"/>
        <v>62.810166673931619</v>
      </c>
      <c r="F93" s="105">
        <f t="shared" si="10"/>
        <v>57.028678417701471</v>
      </c>
      <c r="G93" s="105">
        <f t="shared" si="10"/>
        <v>47.946141273815115</v>
      </c>
      <c r="H93" s="186"/>
      <c r="I93" s="105">
        <f t="shared" si="11"/>
        <v>76.451895285752499</v>
      </c>
      <c r="K93" s="8" t="str">
        <f t="shared" si="12"/>
        <v>Option 2</v>
      </c>
    </row>
    <row r="94" spans="1:34" s="8" customFormat="1" ht="13" x14ac:dyDescent="0.3">
      <c r="A94" s="261" t="str">
        <f>"sens"&amp;Assumptions!B115</f>
        <v>sens4</v>
      </c>
      <c r="B94" s="261" t="str">
        <f>Assumptions!C115</f>
        <v>Total benefits 10% lower</v>
      </c>
      <c r="C94" s="105">
        <f t="shared" si="10"/>
        <v>0</v>
      </c>
      <c r="D94" s="105">
        <f t="shared" si="10"/>
        <v>58.634751192884323</v>
      </c>
      <c r="E94" s="105">
        <f t="shared" si="10"/>
        <v>48.011056368716588</v>
      </c>
      <c r="F94" s="105">
        <f t="shared" si="10"/>
        <v>43.871272891195737</v>
      </c>
      <c r="G94" s="105">
        <f t="shared" si="10"/>
        <v>36.996207678261868</v>
      </c>
      <c r="H94" s="186"/>
      <c r="I94" s="105">
        <f t="shared" si="11"/>
        <v>58.634751192884323</v>
      </c>
      <c r="K94" s="8" t="str">
        <f t="shared" si="12"/>
        <v>Option 2</v>
      </c>
    </row>
    <row r="95" spans="1:34" s="8" customFormat="1" ht="13" x14ac:dyDescent="0.3">
      <c r="A95" s="261" t="str">
        <f>"sens"&amp;Assumptions!B116</f>
        <v>sens5</v>
      </c>
      <c r="B95" s="261" t="str">
        <f>Assumptions!C116</f>
        <v>Capex 10% higher &amp; Total benefits 10% lower</v>
      </c>
      <c r="C95" s="105">
        <f t="shared" si="10"/>
        <v>0</v>
      </c>
      <c r="D95" s="105">
        <f t="shared" si="10"/>
        <v>56.480511470382083</v>
      </c>
      <c r="E95" s="105">
        <f t="shared" si="10"/>
        <v>46.152562368241483</v>
      </c>
      <c r="F95" s="105">
        <f t="shared" si="10"/>
        <v>42.33756769338774</v>
      </c>
      <c r="G95" s="105">
        <f t="shared" si="10"/>
        <v>35.7683583280891</v>
      </c>
      <c r="H95" s="186"/>
      <c r="I95" s="105">
        <f t="shared" si="11"/>
        <v>56.480511470382083</v>
      </c>
      <c r="K95" s="8" t="str">
        <f t="shared" si="12"/>
        <v>Option 2</v>
      </c>
    </row>
    <row r="96" spans="1:34" s="8" customFormat="1" ht="13" x14ac:dyDescent="0.3">
      <c r="A96" s="261" t="str">
        <f>"sens"&amp;Assumptions!B117</f>
        <v>sens</v>
      </c>
      <c r="B96" s="261">
        <f>Assumptions!C117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ht="13" x14ac:dyDescent="0.3">
      <c r="A97" s="261" t="str">
        <f>"sens"&amp;Assumptions!B118</f>
        <v>sens</v>
      </c>
      <c r="B97" s="261">
        <f>Assumptions!C118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ht="13" x14ac:dyDescent="0.3">
      <c r="A98" s="261" t="str">
        <f>"sens"&amp;Assumptions!B119</f>
        <v>sens</v>
      </c>
      <c r="B98" s="261">
        <f>Assumptions!C119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3">
      <c r="C99" s="31"/>
      <c r="E99"/>
      <c r="F99" s="10"/>
    </row>
    <row r="100" spans="1:11" x14ac:dyDescent="0.3">
      <c r="E100"/>
      <c r="F100" s="10"/>
    </row>
    <row r="101" spans="1:11" x14ac:dyDescent="0.3">
      <c r="E101"/>
      <c r="F101" s="10"/>
    </row>
    <row r="102" spans="1:11" x14ac:dyDescent="0.3">
      <c r="E102"/>
      <c r="F102" s="10"/>
    </row>
    <row r="103" spans="1:11" x14ac:dyDescent="0.3">
      <c r="E103"/>
      <c r="F103" s="10"/>
    </row>
    <row r="104" spans="1:11" x14ac:dyDescent="0.3">
      <c r="E104"/>
      <c r="F104" s="10"/>
    </row>
    <row r="105" spans="1:11" x14ac:dyDescent="0.3">
      <c r="E105"/>
      <c r="F105" s="10"/>
    </row>
    <row r="106" spans="1:11" x14ac:dyDescent="0.3"/>
    <row r="107" spans="1:11" x14ac:dyDescent="0.3"/>
    <row r="108" spans="1:11" x14ac:dyDescent="0.3"/>
    <row r="109" spans="1:11" x14ac:dyDescent="0.3"/>
    <row r="110" spans="1:11" x14ac:dyDescent="0.3"/>
    <row r="111" spans="1:11" x14ac:dyDescent="0.3"/>
    <row r="112" spans="1:11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0E84-C3DC-495D-9AE4-C893DB951057}">
  <sheetPr codeName="Sheet4">
    <tabColor rgb="FFFFFF00"/>
  </sheetPr>
  <dimension ref="A1:AK109"/>
  <sheetViews>
    <sheetView showGridLines="0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7" sqref="H7"/>
    </sheetView>
  </sheetViews>
  <sheetFormatPr defaultColWidth="9" defaultRowHeight="13" x14ac:dyDescent="0.3"/>
  <cols>
    <col min="1" max="1" width="3.61328125" style="8" customWidth="1"/>
    <col min="2" max="2" width="5.3828125" style="8" customWidth="1"/>
    <col min="3" max="16384" width="9" style="8"/>
  </cols>
  <sheetData>
    <row r="1" spans="1:34" s="1" customFormat="1" ht="18.5" x14ac:dyDescent="0.45">
      <c r="A1" s="15" t="str">
        <f>bus</f>
        <v>Powercor</v>
      </c>
      <c r="B1" s="15"/>
      <c r="C1" s="15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s="1" customFormat="1" ht="18.5" x14ac:dyDescent="0.45">
      <c r="A2" s="56" t="str">
        <f>proj</f>
        <v>Recplacement of CRO inoperable RMUs</v>
      </c>
      <c r="B2" s="56"/>
      <c r="C2" s="5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1" customFormat="1" ht="18.5" x14ac:dyDescent="0.45">
      <c r="A3" s="5" t="s">
        <v>285</v>
      </c>
      <c r="B3" s="5"/>
      <c r="C3" s="5"/>
      <c r="D3" s="34"/>
      <c r="E3" s="5"/>
      <c r="F3" s="5"/>
      <c r="G3" s="5"/>
    </row>
    <row r="4" spans="1:34" s="1" customFormat="1" x14ac:dyDescent="0.3">
      <c r="L4" s="248"/>
    </row>
    <row r="5" spans="1:34" s="1" customFormat="1" x14ac:dyDescent="0.3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</row>
    <row r="6" spans="1:34" ht="13.5" x14ac:dyDescent="0.3">
      <c r="J6"/>
    </row>
    <row r="7" spans="1:34" ht="13.5" x14ac:dyDescent="0.3">
      <c r="A7"/>
      <c r="B7"/>
      <c r="C7" s="8" t="s">
        <v>286</v>
      </c>
      <c r="D7"/>
      <c r="E7"/>
      <c r="F7"/>
      <c r="G7"/>
      <c r="H7" s="331">
        <v>92447</v>
      </c>
      <c r="I7"/>
      <c r="J7"/>
      <c r="K7"/>
      <c r="L7"/>
      <c r="M7"/>
      <c r="N7"/>
      <c r="O7"/>
      <c r="P7"/>
      <c r="Q7"/>
    </row>
    <row r="8" spans="1:34" ht="13.5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34" ht="13.5" x14ac:dyDescent="0.3">
      <c r="A9"/>
      <c r="B9"/>
      <c r="C9" s="14" t="s">
        <v>229</v>
      </c>
      <c r="D9"/>
      <c r="E9"/>
      <c r="F9"/>
      <c r="G9"/>
      <c r="H9"/>
      <c r="I9"/>
      <c r="J9"/>
      <c r="K9"/>
    </row>
    <row r="10" spans="1:34" ht="13.5" x14ac:dyDescent="0.3">
      <c r="C10" s="8" t="s">
        <v>248</v>
      </c>
      <c r="H10" s="331">
        <v>16053</v>
      </c>
      <c r="I10"/>
      <c r="J10"/>
    </row>
    <row r="11" spans="1:34" ht="13.5" x14ac:dyDescent="0.3">
      <c r="C11" s="8" t="s">
        <v>242</v>
      </c>
      <c r="H11" s="331">
        <v>377</v>
      </c>
      <c r="I11"/>
      <c r="J11"/>
    </row>
    <row r="12" spans="1:34" ht="13.5" x14ac:dyDescent="0.3">
      <c r="H12" s="332">
        <f>H11/H10</f>
        <v>2.3484706908366036E-2</v>
      </c>
      <c r="I12"/>
      <c r="J12"/>
    </row>
    <row r="13" spans="1:34" ht="13.5" x14ac:dyDescent="0.3">
      <c r="I13"/>
      <c r="J13"/>
    </row>
    <row r="14" spans="1:34" ht="13.5" x14ac:dyDescent="0.3">
      <c r="C14" s="8" t="s">
        <v>249</v>
      </c>
      <c r="H14" s="333">
        <v>0.6</v>
      </c>
      <c r="I14"/>
      <c r="J14"/>
    </row>
    <row r="15" spans="1:34" ht="13.5" x14ac:dyDescent="0.3">
      <c r="J15"/>
    </row>
    <row r="16" spans="1:34" ht="13.5" x14ac:dyDescent="0.3">
      <c r="C16" s="14" t="s">
        <v>303</v>
      </c>
      <c r="D16" s="14"/>
      <c r="E16" s="14"/>
      <c r="F16" s="14"/>
      <c r="G16" s="14"/>
      <c r="H16" s="14"/>
      <c r="J16"/>
    </row>
    <row r="17" spans="1:37" ht="13.5" x14ac:dyDescent="0.3">
      <c r="C17" s="8" t="str" cm="1">
        <f t="array" ref="C17:C21">options</f>
        <v>Option 1 (base case)</v>
      </c>
      <c r="H17" s="331">
        <v>0</v>
      </c>
      <c r="J17"/>
    </row>
    <row r="18" spans="1:37" ht="13.5" x14ac:dyDescent="0.3">
      <c r="C18" s="8" t="str">
        <v>Option 2</v>
      </c>
      <c r="H18" s="338">
        <v>1</v>
      </c>
      <c r="J18"/>
    </row>
    <row r="19" spans="1:37" ht="13.5" x14ac:dyDescent="0.3">
      <c r="C19" s="8" t="str">
        <v>Option 3</v>
      </c>
      <c r="H19" s="338">
        <v>5</v>
      </c>
      <c r="J19"/>
    </row>
    <row r="20" spans="1:37" ht="13.5" x14ac:dyDescent="0.3">
      <c r="C20" s="8" t="str">
        <v>Option 4</v>
      </c>
      <c r="H20" s="338">
        <v>10</v>
      </c>
      <c r="J20"/>
    </row>
    <row r="21" spans="1:37" ht="13.5" x14ac:dyDescent="0.3">
      <c r="C21" s="8" t="str">
        <v>Option 5</v>
      </c>
      <c r="H21" s="338">
        <v>15</v>
      </c>
      <c r="J21"/>
    </row>
    <row r="22" spans="1:37" ht="13.5" x14ac:dyDescent="0.3">
      <c r="J22"/>
    </row>
    <row r="23" spans="1:37" ht="13.5" x14ac:dyDescent="0.3">
      <c r="J23"/>
    </row>
    <row r="25" spans="1:37" customFormat="1" ht="14.5" x14ac:dyDescent="0.3">
      <c r="A25" s="18" t="s">
        <v>140</v>
      </c>
      <c r="B25" s="18"/>
      <c r="C25" s="18"/>
      <c r="D25" s="18"/>
      <c r="E25" s="18"/>
      <c r="F25" s="18"/>
      <c r="G25" s="334"/>
      <c r="H25" s="142"/>
      <c r="I25" s="142"/>
      <c r="J25" s="334"/>
      <c r="K25" s="17" t="s">
        <v>19</v>
      </c>
      <c r="L25" s="17" t="s">
        <v>21</v>
      </c>
      <c r="M25" s="17" t="s">
        <v>20</v>
      </c>
      <c r="N25" s="17" t="s">
        <v>22</v>
      </c>
      <c r="O25" s="17" t="s">
        <v>93</v>
      </c>
      <c r="P25" s="17" t="s">
        <v>94</v>
      </c>
      <c r="Q25" s="17" t="s">
        <v>250</v>
      </c>
      <c r="R25" s="17" t="s">
        <v>251</v>
      </c>
      <c r="S25" s="17" t="s">
        <v>252</v>
      </c>
      <c r="T25" s="17" t="s">
        <v>253</v>
      </c>
      <c r="U25" s="17" t="s">
        <v>254</v>
      </c>
      <c r="V25" s="17" t="s">
        <v>255</v>
      </c>
      <c r="W25" s="17" t="s">
        <v>256</v>
      </c>
      <c r="X25" s="17" t="s">
        <v>257</v>
      </c>
      <c r="Y25" s="17" t="s">
        <v>258</v>
      </c>
      <c r="Z25" s="17" t="s">
        <v>259</v>
      </c>
      <c r="AA25" s="17" t="s">
        <v>260</v>
      </c>
      <c r="AB25" s="17" t="s">
        <v>261</v>
      </c>
      <c r="AC25" s="17" t="s">
        <v>262</v>
      </c>
      <c r="AD25" s="17" t="s">
        <v>263</v>
      </c>
      <c r="AE25" s="335" t="s">
        <v>264</v>
      </c>
      <c r="AF25" s="335" t="s">
        <v>265</v>
      </c>
      <c r="AG25" s="335" t="s">
        <v>266</v>
      </c>
      <c r="AH25" s="335" t="s">
        <v>267</v>
      </c>
      <c r="AI25" s="335" t="s">
        <v>268</v>
      </c>
      <c r="AJ25" s="335"/>
      <c r="AK25" s="335"/>
    </row>
    <row r="26" spans="1:37" x14ac:dyDescent="0.3">
      <c r="B26" s="351" t="str">
        <f>A25</f>
        <v>Option 1 (base case)</v>
      </c>
    </row>
    <row r="27" spans="1:37" ht="13.5" x14ac:dyDescent="0.3">
      <c r="B27" s="351" t="str">
        <f>B26</f>
        <v>Option 1 (base case)</v>
      </c>
      <c r="D27" s="82" t="s">
        <v>287</v>
      </c>
      <c r="E27" s="82"/>
      <c r="F27" s="82"/>
      <c r="G27" s="341"/>
      <c r="H27" s="331">
        <f>INDEX($H$17:$H$21, MATCH($B27, $C$17:$C$21,0))</f>
        <v>0</v>
      </c>
      <c r="J27" s="341"/>
      <c r="K27" s="82">
        <f>IF(K$25=start,1,IF(SUM($J27:J27)&gt;=$H27,0, J27))</f>
        <v>1</v>
      </c>
      <c r="L27" s="82">
        <f>IF(L$25=start,1,IF(SUM($J27:K27)&gt;=$H27,0, K27))</f>
        <v>0</v>
      </c>
      <c r="M27" s="82">
        <f>IF(M$25=start,1,IF(SUM($J27:L27)&gt;=$H27,0, L27))</f>
        <v>0</v>
      </c>
      <c r="N27" s="82">
        <f>IF(N$25=start,1,IF(SUM($J27:M27)&gt;=$H27,0, M27))</f>
        <v>0</v>
      </c>
      <c r="O27" s="82">
        <f>IF(O$25=start,1,IF(SUM($J27:N27)&gt;=$H27,0, N27))</f>
        <v>0</v>
      </c>
      <c r="P27" s="82">
        <f>IF(P$25=start,1,IF(SUM($J27:O27)&gt;=$H27,0, O27))</f>
        <v>0</v>
      </c>
      <c r="Q27" s="82">
        <f>IF(Q$25=start,1,IF(SUM($J27:P27)&gt;=$H27,0, P27))</f>
        <v>0</v>
      </c>
      <c r="R27" s="82">
        <f>IF(R$25=start,1,IF(SUM($J27:Q27)&gt;=$H27,0, Q27))</f>
        <v>0</v>
      </c>
      <c r="S27" s="82">
        <f>IF(S$25=start,1,IF(SUM($J27:R27)&gt;=$H27,0, R27))</f>
        <v>0</v>
      </c>
      <c r="T27" s="82">
        <f>IF(T$25=start,1,IF(SUM($J27:S27)&gt;=$H27,0, S27))</f>
        <v>0</v>
      </c>
      <c r="U27" s="82">
        <f>IF(U$25=start,1,IF(SUM($J27:T27)&gt;=$H27,0, T27))</f>
        <v>0</v>
      </c>
      <c r="V27" s="82">
        <f>IF(V$25=start,1,IF(SUM($J27:U27)&gt;=$H27,0, U27))</f>
        <v>0</v>
      </c>
      <c r="W27" s="82">
        <f>IF(W$25=start,1,IF(SUM($J27:V27)&gt;=$H27,0, V27))</f>
        <v>0</v>
      </c>
      <c r="X27" s="82">
        <f>IF(X$25=start,1,IF(SUM($J27:W27)&gt;=$H27,0, W27))</f>
        <v>0</v>
      </c>
      <c r="Y27" s="82">
        <f>IF(Y$25=start,1,IF(SUM($J27:X27)&gt;=$H27,0, X27))</f>
        <v>0</v>
      </c>
      <c r="Z27" s="82">
        <f>IF(Z$25=start,1,IF(SUM($J27:Y27)&gt;=$H27,0, Y27))</f>
        <v>0</v>
      </c>
      <c r="AA27" s="82">
        <f>IF(AA$25=start,1,IF(SUM($J27:Z27)&gt;=$H27,0, Z27))</f>
        <v>0</v>
      </c>
      <c r="AB27" s="82">
        <f>IF(AB$25=start,1,IF(SUM($J27:AA27)&gt;=$H27,0, AA27))</f>
        <v>0</v>
      </c>
      <c r="AC27" s="82">
        <f>IF(AC$25=start,1,IF(SUM($J27:AB27)&gt;=$H27,0, AB27))</f>
        <v>0</v>
      </c>
      <c r="AD27" s="82">
        <f>IF(AD$25=start,1,IF(SUM($J27:AC27)&gt;=$H27,0, AC27))</f>
        <v>0</v>
      </c>
    </row>
    <row r="28" spans="1:37" x14ac:dyDescent="0.3">
      <c r="B28" s="351" t="str">
        <f>B27</f>
        <v>Option 1 (base case)</v>
      </c>
    </row>
    <row r="29" spans="1:37" x14ac:dyDescent="0.3">
      <c r="B29" s="351" t="str">
        <f>B28</f>
        <v>Option 1 (base case)</v>
      </c>
      <c r="D29" s="8" t="s">
        <v>281</v>
      </c>
      <c r="G29" s="359" t="str">
        <f>B29&amp;D29</f>
        <v>Option 1 (base case)Number of switches replaced pa</v>
      </c>
      <c r="H29" s="340">
        <v>0</v>
      </c>
      <c r="K29" s="337">
        <f>MIN($H29, J30)</f>
        <v>0</v>
      </c>
      <c r="L29" s="337">
        <f t="shared" ref="L29:AD29" si="0">MIN($H29, K30)</f>
        <v>0</v>
      </c>
      <c r="M29" s="337">
        <f t="shared" si="0"/>
        <v>0</v>
      </c>
      <c r="N29" s="337">
        <f t="shared" si="0"/>
        <v>0</v>
      </c>
      <c r="O29" s="337">
        <f t="shared" si="0"/>
        <v>0</v>
      </c>
      <c r="P29" s="337">
        <f t="shared" si="0"/>
        <v>0</v>
      </c>
      <c r="Q29" s="337">
        <f t="shared" si="0"/>
        <v>0</v>
      </c>
      <c r="R29" s="337">
        <f t="shared" si="0"/>
        <v>0</v>
      </c>
      <c r="S29" s="337">
        <f t="shared" si="0"/>
        <v>0</v>
      </c>
      <c r="T29" s="337">
        <f t="shared" si="0"/>
        <v>0</v>
      </c>
      <c r="U29" s="337">
        <f t="shared" si="0"/>
        <v>0</v>
      </c>
      <c r="V29" s="337">
        <f t="shared" si="0"/>
        <v>0</v>
      </c>
      <c r="W29" s="337">
        <f t="shared" si="0"/>
        <v>0</v>
      </c>
      <c r="X29" s="337">
        <f t="shared" si="0"/>
        <v>0</v>
      </c>
      <c r="Y29" s="337">
        <f t="shared" si="0"/>
        <v>0</v>
      </c>
      <c r="Z29" s="337">
        <f t="shared" si="0"/>
        <v>0</v>
      </c>
      <c r="AA29" s="337">
        <f t="shared" si="0"/>
        <v>0</v>
      </c>
      <c r="AB29" s="337">
        <f t="shared" si="0"/>
        <v>0</v>
      </c>
      <c r="AC29" s="337">
        <f t="shared" si="0"/>
        <v>0</v>
      </c>
      <c r="AD29" s="337">
        <f t="shared" si="0"/>
        <v>0</v>
      </c>
    </row>
    <row r="30" spans="1:37" x14ac:dyDescent="0.3">
      <c r="B30" s="351" t="str">
        <f t="shared" ref="B30:B33" si="1">B29</f>
        <v>Option 1 (base case)</v>
      </c>
      <c r="D30" s="8" t="s">
        <v>282</v>
      </c>
      <c r="J30" s="340">
        <f>$H$11</f>
        <v>377</v>
      </c>
      <c r="K30" s="337">
        <f>J30-K29</f>
        <v>377</v>
      </c>
      <c r="L30" s="337">
        <f t="shared" ref="L30:Z30" si="2">K30-L29</f>
        <v>377</v>
      </c>
      <c r="M30" s="337">
        <f t="shared" si="2"/>
        <v>377</v>
      </c>
      <c r="N30" s="337">
        <f t="shared" si="2"/>
        <v>377</v>
      </c>
      <c r="O30" s="337">
        <f t="shared" si="2"/>
        <v>377</v>
      </c>
      <c r="P30" s="337">
        <f t="shared" si="2"/>
        <v>377</v>
      </c>
      <c r="Q30" s="337">
        <f t="shared" si="2"/>
        <v>377</v>
      </c>
      <c r="R30" s="337">
        <f t="shared" si="2"/>
        <v>377</v>
      </c>
      <c r="S30" s="337">
        <f t="shared" si="2"/>
        <v>377</v>
      </c>
      <c r="T30" s="337">
        <f t="shared" si="2"/>
        <v>377</v>
      </c>
      <c r="U30" s="337">
        <f t="shared" si="2"/>
        <v>377</v>
      </c>
      <c r="V30" s="337">
        <f t="shared" si="2"/>
        <v>377</v>
      </c>
      <c r="W30" s="337">
        <f t="shared" si="2"/>
        <v>377</v>
      </c>
      <c r="X30" s="337">
        <f t="shared" si="2"/>
        <v>377</v>
      </c>
      <c r="Y30" s="337">
        <f t="shared" si="2"/>
        <v>377</v>
      </c>
      <c r="Z30" s="337">
        <f t="shared" si="2"/>
        <v>377</v>
      </c>
      <c r="AA30" s="337">
        <f t="shared" ref="AA30" si="3">Z30-AA29</f>
        <v>377</v>
      </c>
      <c r="AB30" s="337">
        <f t="shared" ref="AB30" si="4">AA30-AB29</f>
        <v>377</v>
      </c>
      <c r="AC30" s="337">
        <f t="shared" ref="AC30" si="5">AB30-AC29</f>
        <v>377</v>
      </c>
      <c r="AD30" s="337">
        <f t="shared" ref="AD30" si="6">AC30-AD29</f>
        <v>377</v>
      </c>
    </row>
    <row r="31" spans="1:37" x14ac:dyDescent="0.3">
      <c r="B31" s="351" t="str">
        <f t="shared" si="1"/>
        <v>Option 1 (base case)</v>
      </c>
    </row>
    <row r="32" spans="1:37" x14ac:dyDescent="0.3">
      <c r="B32" s="351" t="str">
        <f t="shared" si="1"/>
        <v>Option 1 (base case)</v>
      </c>
      <c r="D32" s="8" t="s">
        <v>305</v>
      </c>
      <c r="K32" s="337">
        <f t="shared" ref="K32:X32" si="7">$H$7*K29</f>
        <v>0</v>
      </c>
      <c r="L32" s="337">
        <f t="shared" si="7"/>
        <v>0</v>
      </c>
      <c r="M32" s="337">
        <f t="shared" si="7"/>
        <v>0</v>
      </c>
      <c r="N32" s="337">
        <f t="shared" si="7"/>
        <v>0</v>
      </c>
      <c r="O32" s="337">
        <f t="shared" si="7"/>
        <v>0</v>
      </c>
      <c r="P32" s="337">
        <f t="shared" si="7"/>
        <v>0</v>
      </c>
      <c r="Q32" s="337">
        <f t="shared" si="7"/>
        <v>0</v>
      </c>
      <c r="R32" s="337">
        <f t="shared" si="7"/>
        <v>0</v>
      </c>
      <c r="S32" s="337">
        <f t="shared" si="7"/>
        <v>0</v>
      </c>
      <c r="T32" s="337">
        <f t="shared" si="7"/>
        <v>0</v>
      </c>
      <c r="U32" s="337">
        <f t="shared" si="7"/>
        <v>0</v>
      </c>
      <c r="V32" s="337">
        <f t="shared" si="7"/>
        <v>0</v>
      </c>
      <c r="W32" s="337">
        <f t="shared" si="7"/>
        <v>0</v>
      </c>
      <c r="X32" s="337">
        <f t="shared" si="7"/>
        <v>0</v>
      </c>
    </row>
    <row r="33" spans="1:37" x14ac:dyDescent="0.3">
      <c r="B33" s="351" t="str">
        <f t="shared" si="1"/>
        <v>Option 1 (base case)</v>
      </c>
      <c r="D33" s="342" t="s">
        <v>17</v>
      </c>
      <c r="E33" s="339"/>
      <c r="F33" s="339"/>
      <c r="G33" s="355" t="str">
        <f>B33&amp;D33</f>
        <v>Option 1 (base case)Capex</v>
      </c>
      <c r="H33" s="339"/>
      <c r="I33" s="339"/>
      <c r="J33" s="342"/>
      <c r="K33" s="343">
        <f t="shared" ref="K33:AD33" si="8">K29*$H$7</f>
        <v>0</v>
      </c>
      <c r="L33" s="343">
        <f t="shared" si="8"/>
        <v>0</v>
      </c>
      <c r="M33" s="343">
        <f t="shared" si="8"/>
        <v>0</v>
      </c>
      <c r="N33" s="343">
        <f t="shared" si="8"/>
        <v>0</v>
      </c>
      <c r="O33" s="343">
        <f t="shared" si="8"/>
        <v>0</v>
      </c>
      <c r="P33" s="343">
        <f t="shared" si="8"/>
        <v>0</v>
      </c>
      <c r="Q33" s="343">
        <f t="shared" si="8"/>
        <v>0</v>
      </c>
      <c r="R33" s="343">
        <f t="shared" si="8"/>
        <v>0</v>
      </c>
      <c r="S33" s="343">
        <f t="shared" si="8"/>
        <v>0</v>
      </c>
      <c r="T33" s="343">
        <f t="shared" si="8"/>
        <v>0</v>
      </c>
      <c r="U33" s="343">
        <f t="shared" si="8"/>
        <v>0</v>
      </c>
      <c r="V33" s="343">
        <f t="shared" si="8"/>
        <v>0</v>
      </c>
      <c r="W33" s="343">
        <f t="shared" si="8"/>
        <v>0</v>
      </c>
      <c r="X33" s="343">
        <f t="shared" si="8"/>
        <v>0</v>
      </c>
      <c r="Y33" s="343">
        <f t="shared" si="8"/>
        <v>0</v>
      </c>
      <c r="Z33" s="343">
        <f t="shared" si="8"/>
        <v>0</v>
      </c>
      <c r="AA33" s="337">
        <f t="shared" si="8"/>
        <v>0</v>
      </c>
      <c r="AB33" s="337">
        <f t="shared" si="8"/>
        <v>0</v>
      </c>
      <c r="AC33" s="337">
        <f t="shared" si="8"/>
        <v>0</v>
      </c>
      <c r="AD33" s="337">
        <f t="shared" si="8"/>
        <v>0</v>
      </c>
    </row>
    <row r="34" spans="1:37" x14ac:dyDescent="0.3">
      <c r="B34" s="14"/>
      <c r="C34" s="14"/>
      <c r="G34" s="351"/>
    </row>
    <row r="35" spans="1:37" x14ac:dyDescent="0.3">
      <c r="G35" s="351"/>
    </row>
    <row r="36" spans="1:37" customFormat="1" ht="14.5" x14ac:dyDescent="0.3">
      <c r="A36" s="18" t="s">
        <v>129</v>
      </c>
      <c r="B36" s="18"/>
      <c r="C36" s="18"/>
      <c r="D36" s="18"/>
      <c r="E36" s="18"/>
      <c r="F36" s="18"/>
      <c r="G36" s="356"/>
      <c r="H36" s="142"/>
      <c r="I36" s="142"/>
      <c r="J36" s="334"/>
      <c r="K36" s="17" t="s">
        <v>19</v>
      </c>
      <c r="L36" s="17" t="s">
        <v>21</v>
      </c>
      <c r="M36" s="17" t="s">
        <v>20</v>
      </c>
      <c r="N36" s="17" t="s">
        <v>22</v>
      </c>
      <c r="O36" s="17" t="s">
        <v>93</v>
      </c>
      <c r="P36" s="17" t="s">
        <v>94</v>
      </c>
      <c r="Q36" s="17" t="s">
        <v>250</v>
      </c>
      <c r="R36" s="17" t="s">
        <v>251</v>
      </c>
      <c r="S36" s="17" t="s">
        <v>252</v>
      </c>
      <c r="T36" s="17" t="s">
        <v>253</v>
      </c>
      <c r="U36" s="17" t="s">
        <v>254</v>
      </c>
      <c r="V36" s="17" t="s">
        <v>255</v>
      </c>
      <c r="W36" s="17" t="s">
        <v>256</v>
      </c>
      <c r="X36" s="17" t="s">
        <v>257</v>
      </c>
      <c r="Y36" s="17" t="s">
        <v>258</v>
      </c>
      <c r="Z36" s="17" t="s">
        <v>259</v>
      </c>
      <c r="AA36" s="17" t="s">
        <v>260</v>
      </c>
      <c r="AB36" s="17" t="s">
        <v>261</v>
      </c>
      <c r="AC36" s="17" t="s">
        <v>262</v>
      </c>
      <c r="AD36" s="17" t="s">
        <v>263</v>
      </c>
      <c r="AE36" s="335" t="s">
        <v>264</v>
      </c>
      <c r="AF36" s="335" t="s">
        <v>265</v>
      </c>
      <c r="AG36" s="335" t="s">
        <v>266</v>
      </c>
      <c r="AH36" s="335" t="s">
        <v>267</v>
      </c>
      <c r="AI36" s="335" t="s">
        <v>268</v>
      </c>
      <c r="AJ36" s="335"/>
      <c r="AK36" s="335"/>
    </row>
    <row r="37" spans="1:37" x14ac:dyDescent="0.3">
      <c r="B37" s="351" t="str">
        <f>A36</f>
        <v>Option 2</v>
      </c>
      <c r="G37" s="351"/>
    </row>
    <row r="38" spans="1:37" ht="13.5" x14ac:dyDescent="0.3">
      <c r="B38" s="351" t="str">
        <f t="shared" ref="B38:B44" si="9">B37</f>
        <v>Option 2</v>
      </c>
      <c r="D38" s="352" t="s">
        <v>304</v>
      </c>
      <c r="E38" s="352"/>
      <c r="F38" s="352"/>
      <c r="G38" s="357"/>
      <c r="H38" s="353">
        <v>1</v>
      </c>
      <c r="J38" s="354"/>
      <c r="K38" s="352">
        <f>IF(K$25=start,1,IF(SUM($J38:J38)&gt;=$H38,0, J38))</f>
        <v>1</v>
      </c>
      <c r="L38" s="352">
        <f>IF(L$25=start,1,IF(SUM($J38:K38)&gt;=$H38,0, K38))</f>
        <v>0</v>
      </c>
      <c r="M38" s="352">
        <f>IF(M$25=start,1,IF(SUM($J38:L38)&gt;=$H38,0, L38))</f>
        <v>0</v>
      </c>
      <c r="N38" s="352">
        <f>IF(N$25=start,1,IF(SUM($J38:M38)&gt;=$H38,0, M38))</f>
        <v>0</v>
      </c>
      <c r="O38" s="352">
        <f>IF(O$25=start,1,IF(SUM($J38:N38)&gt;=$H38,0, N38))</f>
        <v>0</v>
      </c>
      <c r="P38" s="352">
        <f>IF(P$25=start,1,IF(SUM($J38:O38)&gt;=$H38,0, O38))</f>
        <v>0</v>
      </c>
      <c r="Q38" s="352">
        <f>IF(Q$25=start,1,IF(SUM($J38:P38)&gt;=$H38,0, P38))</f>
        <v>0</v>
      </c>
      <c r="R38" s="352">
        <f>IF(R$25=start,1,IF(SUM($J38:Q38)&gt;=$H38,0, Q38))</f>
        <v>0</v>
      </c>
      <c r="S38" s="352">
        <f>IF(S$25=start,1,IF(SUM($J38:R38)&gt;=$H38,0, R38))</f>
        <v>0</v>
      </c>
      <c r="T38" s="352">
        <f>IF(T$25=start,1,IF(SUM($J38:S38)&gt;=$H38,0, S38))</f>
        <v>0</v>
      </c>
      <c r="U38" s="352">
        <f>IF(U$25=start,1,IF(SUM($J38:T38)&gt;=$H38,0, T38))</f>
        <v>0</v>
      </c>
      <c r="V38" s="352">
        <f>IF(V$25=start,1,IF(SUM($J38:U38)&gt;=$H38,0, U38))</f>
        <v>0</v>
      </c>
      <c r="W38" s="352">
        <f>IF(W$25=start,1,IF(SUM($J38:V38)&gt;=$H38,0, V38))</f>
        <v>0</v>
      </c>
      <c r="X38" s="352">
        <f>IF(X$25=start,1,IF(SUM($J38:W38)&gt;=$H38,0, W38))</f>
        <v>0</v>
      </c>
      <c r="Y38" s="352">
        <f>IF(Y$25=start,1,IF(SUM($J38:X38)&gt;=$H38,0, X38))</f>
        <v>0</v>
      </c>
      <c r="Z38" s="352">
        <f>IF(Z$25=start,1,IF(SUM($J38:Y38)&gt;=$H38,0, Y38))</f>
        <v>0</v>
      </c>
      <c r="AA38" s="352">
        <f>IF(AA$25=start,1,IF(SUM($J38:Z38)&gt;=$H38,0, Z38))</f>
        <v>0</v>
      </c>
      <c r="AB38" s="352">
        <f>IF(AB$25=start,1,IF(SUM($J38:AA38)&gt;=$H38,0, AA38))</f>
        <v>0</v>
      </c>
      <c r="AC38" s="352">
        <f>IF(AC$25=start,1,IF(SUM($J38:AB38)&gt;=$H38,0, AB38))</f>
        <v>0</v>
      </c>
      <c r="AD38" s="352">
        <f>IF(AD$25=start,1,IF(SUM($J38:AC38)&gt;=$H38,0, AC38))</f>
        <v>0</v>
      </c>
    </row>
    <row r="39" spans="1:37" ht="13.5" x14ac:dyDescent="0.3">
      <c r="B39" s="351" t="str">
        <f t="shared" si="9"/>
        <v>Option 2</v>
      </c>
      <c r="D39" s="82"/>
      <c r="E39" s="82"/>
      <c r="F39" s="82"/>
      <c r="G39" s="357"/>
      <c r="H39" s="82"/>
      <c r="J39" s="341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</row>
    <row r="40" spans="1:37" x14ac:dyDescent="0.3">
      <c r="B40" s="351" t="str">
        <f t="shared" si="9"/>
        <v>Option 2</v>
      </c>
      <c r="D40" s="8" t="s">
        <v>281</v>
      </c>
      <c r="G40" s="359" t="str">
        <f>B40&amp;D40</f>
        <v>Option 2Number of switches replaced pa</v>
      </c>
      <c r="H40" s="340">
        <f>ROUND($H$11/H38,0)</f>
        <v>377</v>
      </c>
      <c r="K40" s="337">
        <f>MIN($H40, J41)</f>
        <v>377</v>
      </c>
      <c r="L40" s="337">
        <f t="shared" ref="L40:AD40" si="10">MIN($H40, K41)</f>
        <v>0</v>
      </c>
      <c r="M40" s="337">
        <f t="shared" si="10"/>
        <v>0</v>
      </c>
      <c r="N40" s="337">
        <f t="shared" si="10"/>
        <v>0</v>
      </c>
      <c r="O40" s="337">
        <f t="shared" si="10"/>
        <v>0</v>
      </c>
      <c r="P40" s="337">
        <f t="shared" si="10"/>
        <v>0</v>
      </c>
      <c r="Q40" s="337">
        <f t="shared" si="10"/>
        <v>0</v>
      </c>
      <c r="R40" s="337">
        <f t="shared" si="10"/>
        <v>0</v>
      </c>
      <c r="S40" s="337">
        <f t="shared" si="10"/>
        <v>0</v>
      </c>
      <c r="T40" s="337">
        <f t="shared" si="10"/>
        <v>0</v>
      </c>
      <c r="U40" s="337">
        <f t="shared" si="10"/>
        <v>0</v>
      </c>
      <c r="V40" s="337">
        <f t="shared" si="10"/>
        <v>0</v>
      </c>
      <c r="W40" s="337">
        <f t="shared" si="10"/>
        <v>0</v>
      </c>
      <c r="X40" s="337">
        <f t="shared" si="10"/>
        <v>0</v>
      </c>
      <c r="Y40" s="337">
        <f t="shared" si="10"/>
        <v>0</v>
      </c>
      <c r="Z40" s="337">
        <f t="shared" si="10"/>
        <v>0</v>
      </c>
      <c r="AA40" s="337">
        <f t="shared" si="10"/>
        <v>0</v>
      </c>
      <c r="AB40" s="337">
        <f t="shared" si="10"/>
        <v>0</v>
      </c>
      <c r="AC40" s="337">
        <f t="shared" si="10"/>
        <v>0</v>
      </c>
      <c r="AD40" s="337">
        <f t="shared" si="10"/>
        <v>0</v>
      </c>
    </row>
    <row r="41" spans="1:37" x14ac:dyDescent="0.3">
      <c r="B41" s="351" t="str">
        <f t="shared" si="9"/>
        <v>Option 2</v>
      </c>
      <c r="D41" s="8" t="s">
        <v>282</v>
      </c>
      <c r="G41" s="351"/>
      <c r="J41" s="340">
        <f>$H$11</f>
        <v>377</v>
      </c>
      <c r="K41" s="337">
        <f>J41-K40</f>
        <v>0</v>
      </c>
      <c r="L41" s="337">
        <f t="shared" ref="L41" si="11">K41-L40</f>
        <v>0</v>
      </c>
      <c r="M41" s="337">
        <f t="shared" ref="M41" si="12">L41-M40</f>
        <v>0</v>
      </c>
      <c r="N41" s="337">
        <f t="shared" ref="N41" si="13">M41-N40</f>
        <v>0</v>
      </c>
      <c r="O41" s="337">
        <f t="shared" ref="O41" si="14">N41-O40</f>
        <v>0</v>
      </c>
      <c r="P41" s="337">
        <f t="shared" ref="P41" si="15">O41-P40</f>
        <v>0</v>
      </c>
      <c r="Q41" s="337">
        <f t="shared" ref="Q41" si="16">P41-Q40</f>
        <v>0</v>
      </c>
      <c r="R41" s="337">
        <f t="shared" ref="R41" si="17">Q41-R40</f>
        <v>0</v>
      </c>
      <c r="S41" s="337">
        <f t="shared" ref="S41" si="18">R41-S40</f>
        <v>0</v>
      </c>
      <c r="T41" s="337">
        <f t="shared" ref="T41" si="19">S41-T40</f>
        <v>0</v>
      </c>
      <c r="U41" s="337">
        <f t="shared" ref="U41" si="20">T41-U40</f>
        <v>0</v>
      </c>
      <c r="V41" s="337">
        <f t="shared" ref="V41" si="21">U41-V40</f>
        <v>0</v>
      </c>
      <c r="W41" s="337">
        <f t="shared" ref="W41" si="22">V41-W40</f>
        <v>0</v>
      </c>
      <c r="X41" s="337">
        <f t="shared" ref="X41" si="23">W41-X40</f>
        <v>0</v>
      </c>
      <c r="Y41" s="337">
        <f t="shared" ref="Y41" si="24">X41-Y40</f>
        <v>0</v>
      </c>
      <c r="Z41" s="337">
        <f t="shared" ref="Z41" si="25">Y41-Z40</f>
        <v>0</v>
      </c>
      <c r="AA41" s="337">
        <f t="shared" ref="AA41" si="26">Z41-AA40</f>
        <v>0</v>
      </c>
      <c r="AB41" s="337">
        <f t="shared" ref="AB41" si="27">AA41-AB40</f>
        <v>0</v>
      </c>
      <c r="AC41" s="337">
        <f t="shared" ref="AC41" si="28">AB41-AC40</f>
        <v>0</v>
      </c>
      <c r="AD41" s="337">
        <f t="shared" ref="AD41" si="29">AC41-AD40</f>
        <v>0</v>
      </c>
    </row>
    <row r="42" spans="1:37" x14ac:dyDescent="0.3">
      <c r="B42" s="351" t="str">
        <f t="shared" si="9"/>
        <v>Option 2</v>
      </c>
      <c r="G42" s="351"/>
    </row>
    <row r="43" spans="1:37" x14ac:dyDescent="0.3">
      <c r="B43" s="351" t="str">
        <f t="shared" si="9"/>
        <v>Option 2</v>
      </c>
      <c r="D43" s="8" t="s">
        <v>305</v>
      </c>
      <c r="G43" s="351"/>
      <c r="K43" s="337">
        <f t="shared" ref="K43:AD43" si="30">K40+J43</f>
        <v>377</v>
      </c>
      <c r="L43" s="337">
        <f t="shared" si="30"/>
        <v>377</v>
      </c>
      <c r="M43" s="337">
        <f t="shared" si="30"/>
        <v>377</v>
      </c>
      <c r="N43" s="337">
        <f t="shared" si="30"/>
        <v>377</v>
      </c>
      <c r="O43" s="337">
        <f t="shared" si="30"/>
        <v>377</v>
      </c>
      <c r="P43" s="337">
        <f t="shared" si="30"/>
        <v>377</v>
      </c>
      <c r="Q43" s="337">
        <f t="shared" si="30"/>
        <v>377</v>
      </c>
      <c r="R43" s="337">
        <f t="shared" si="30"/>
        <v>377</v>
      </c>
      <c r="S43" s="337">
        <f t="shared" si="30"/>
        <v>377</v>
      </c>
      <c r="T43" s="337">
        <f t="shared" si="30"/>
        <v>377</v>
      </c>
      <c r="U43" s="337">
        <f t="shared" si="30"/>
        <v>377</v>
      </c>
      <c r="V43" s="337">
        <f t="shared" si="30"/>
        <v>377</v>
      </c>
      <c r="W43" s="337">
        <f t="shared" si="30"/>
        <v>377</v>
      </c>
      <c r="X43" s="337">
        <f t="shared" si="30"/>
        <v>377</v>
      </c>
      <c r="Y43" s="337">
        <f t="shared" si="30"/>
        <v>377</v>
      </c>
      <c r="Z43" s="337">
        <f t="shared" si="30"/>
        <v>377</v>
      </c>
      <c r="AA43" s="337">
        <f t="shared" si="30"/>
        <v>377</v>
      </c>
      <c r="AB43" s="337">
        <f t="shared" si="30"/>
        <v>377</v>
      </c>
      <c r="AC43" s="337">
        <f t="shared" si="30"/>
        <v>377</v>
      </c>
      <c r="AD43" s="337">
        <f t="shared" si="30"/>
        <v>377</v>
      </c>
    </row>
    <row r="44" spans="1:37" x14ac:dyDescent="0.3">
      <c r="B44" s="351" t="str">
        <f t="shared" si="9"/>
        <v>Option 2</v>
      </c>
      <c r="D44" s="342" t="s">
        <v>17</v>
      </c>
      <c r="E44" s="339"/>
      <c r="F44" s="339"/>
      <c r="G44" s="355" t="str">
        <f>B44&amp;D44</f>
        <v>Option 2Capex</v>
      </c>
      <c r="H44" s="339"/>
      <c r="I44" s="339"/>
      <c r="J44" s="342"/>
      <c r="K44" s="343">
        <f t="shared" ref="K44:Z44" si="31">K40*$H$7</f>
        <v>34852519</v>
      </c>
      <c r="L44" s="343">
        <f t="shared" si="31"/>
        <v>0</v>
      </c>
      <c r="M44" s="343">
        <f t="shared" si="31"/>
        <v>0</v>
      </c>
      <c r="N44" s="343">
        <f t="shared" si="31"/>
        <v>0</v>
      </c>
      <c r="O44" s="343">
        <f t="shared" si="31"/>
        <v>0</v>
      </c>
      <c r="P44" s="343">
        <f t="shared" si="31"/>
        <v>0</v>
      </c>
      <c r="Q44" s="343">
        <f t="shared" si="31"/>
        <v>0</v>
      </c>
      <c r="R44" s="343">
        <f t="shared" si="31"/>
        <v>0</v>
      </c>
      <c r="S44" s="343">
        <f t="shared" si="31"/>
        <v>0</v>
      </c>
      <c r="T44" s="343">
        <f t="shared" si="31"/>
        <v>0</v>
      </c>
      <c r="U44" s="343">
        <f t="shared" si="31"/>
        <v>0</v>
      </c>
      <c r="V44" s="343">
        <f t="shared" si="31"/>
        <v>0</v>
      </c>
      <c r="W44" s="343">
        <f t="shared" si="31"/>
        <v>0</v>
      </c>
      <c r="X44" s="343">
        <f t="shared" si="31"/>
        <v>0</v>
      </c>
      <c r="Y44" s="343">
        <f t="shared" si="31"/>
        <v>0</v>
      </c>
      <c r="Z44" s="343">
        <f t="shared" si="31"/>
        <v>0</v>
      </c>
    </row>
    <row r="45" spans="1:37" x14ac:dyDescent="0.3">
      <c r="G45" s="351"/>
    </row>
    <row r="46" spans="1:37" x14ac:dyDescent="0.3">
      <c r="G46" s="351"/>
    </row>
    <row r="47" spans="1:37" customFormat="1" ht="14.5" x14ac:dyDescent="0.3">
      <c r="A47" s="18" t="s">
        <v>130</v>
      </c>
      <c r="B47" s="18"/>
      <c r="C47" s="18"/>
      <c r="D47" s="18"/>
      <c r="E47" s="18"/>
      <c r="F47" s="18"/>
      <c r="G47" s="356"/>
      <c r="H47" s="142"/>
      <c r="I47" s="142"/>
      <c r="J47" s="334"/>
      <c r="K47" s="17" t="s">
        <v>19</v>
      </c>
      <c r="L47" s="17" t="s">
        <v>21</v>
      </c>
      <c r="M47" s="17" t="s">
        <v>20</v>
      </c>
      <c r="N47" s="17" t="s">
        <v>22</v>
      </c>
      <c r="O47" s="17" t="s">
        <v>93</v>
      </c>
      <c r="P47" s="17" t="s">
        <v>94</v>
      </c>
      <c r="Q47" s="17" t="s">
        <v>250</v>
      </c>
      <c r="R47" s="17" t="s">
        <v>251</v>
      </c>
      <c r="S47" s="17" t="s">
        <v>252</v>
      </c>
      <c r="T47" s="17" t="s">
        <v>253</v>
      </c>
      <c r="U47" s="17" t="s">
        <v>254</v>
      </c>
      <c r="V47" s="17" t="s">
        <v>255</v>
      </c>
      <c r="W47" s="17" t="s">
        <v>256</v>
      </c>
      <c r="X47" s="17" t="s">
        <v>257</v>
      </c>
      <c r="Y47" s="17" t="s">
        <v>258</v>
      </c>
      <c r="Z47" s="17" t="s">
        <v>259</v>
      </c>
      <c r="AA47" s="17" t="s">
        <v>260</v>
      </c>
      <c r="AB47" s="17" t="s">
        <v>261</v>
      </c>
      <c r="AC47" s="17" t="s">
        <v>262</v>
      </c>
      <c r="AD47" s="17" t="s">
        <v>263</v>
      </c>
      <c r="AE47" s="335" t="s">
        <v>264</v>
      </c>
      <c r="AF47" s="335" t="s">
        <v>265</v>
      </c>
      <c r="AG47" s="335" t="s">
        <v>266</v>
      </c>
      <c r="AH47" s="335" t="s">
        <v>267</v>
      </c>
      <c r="AI47" s="335" t="s">
        <v>268</v>
      </c>
      <c r="AJ47" s="335"/>
      <c r="AK47" s="335"/>
    </row>
    <row r="48" spans="1:37" x14ac:dyDescent="0.3">
      <c r="B48" s="351" t="str">
        <f>A47</f>
        <v>Option 3</v>
      </c>
      <c r="G48" s="351"/>
    </row>
    <row r="49" spans="1:37" ht="13.5" x14ac:dyDescent="0.3">
      <c r="B49" s="351" t="str">
        <f t="shared" ref="B49:B55" si="32">B48</f>
        <v>Option 3</v>
      </c>
      <c r="D49" s="352" t="s">
        <v>304</v>
      </c>
      <c r="E49" s="352"/>
      <c r="F49" s="352"/>
      <c r="G49" s="357"/>
      <c r="H49" s="353">
        <v>5</v>
      </c>
      <c r="J49" s="354"/>
      <c r="K49" s="352">
        <f>IF(K$25=start,1,IF(SUM($J49:J49)&gt;=$H49,0, J49))</f>
        <v>1</v>
      </c>
      <c r="L49" s="352">
        <f>IF(L$25=start,1,IF(SUM($J49:K49)&gt;=$H49,0, K49))</f>
        <v>1</v>
      </c>
      <c r="M49" s="352">
        <f>IF(M$25=start,1,IF(SUM($J49:L49)&gt;=$H49,0, L49))</f>
        <v>1</v>
      </c>
      <c r="N49" s="352">
        <f>IF(N$25=start,1,IF(SUM($J49:M49)&gt;=$H49,0, M49))</f>
        <v>1</v>
      </c>
      <c r="O49" s="352">
        <f>IF(O$25=start,1,IF(SUM($J49:N49)&gt;=$H49,0, N49))</f>
        <v>1</v>
      </c>
      <c r="P49" s="352">
        <f>IF(P$25=start,1,IF(SUM($J49:O49)&gt;=$H49,0, O49))</f>
        <v>0</v>
      </c>
      <c r="Q49" s="352">
        <f>IF(Q$25=start,1,IF(SUM($J49:P49)&gt;=$H49,0, P49))</f>
        <v>0</v>
      </c>
      <c r="R49" s="352">
        <f>IF(R$25=start,1,IF(SUM($J49:Q49)&gt;=$H49,0, Q49))</f>
        <v>0</v>
      </c>
      <c r="S49" s="352">
        <f>IF(S$25=start,1,IF(SUM($J49:R49)&gt;=$H49,0, R49))</f>
        <v>0</v>
      </c>
      <c r="T49" s="352">
        <f>IF(T$25=start,1,IF(SUM($J49:S49)&gt;=$H49,0, S49))</f>
        <v>0</v>
      </c>
      <c r="U49" s="352">
        <f>IF(U$25=start,1,IF(SUM($J49:T49)&gt;=$H49,0, T49))</f>
        <v>0</v>
      </c>
      <c r="V49" s="352">
        <f>IF(V$25=start,1,IF(SUM($J49:U49)&gt;=$H49,0, U49))</f>
        <v>0</v>
      </c>
      <c r="W49" s="352">
        <f>IF(W$25=start,1,IF(SUM($J49:V49)&gt;=$H49,0, V49))</f>
        <v>0</v>
      </c>
      <c r="X49" s="352">
        <f>IF(X$25=start,1,IF(SUM($J49:W49)&gt;=$H49,0, W49))</f>
        <v>0</v>
      </c>
      <c r="Y49" s="352">
        <f>IF(Y$25=start,1,IF(SUM($J49:X49)&gt;=$H49,0, X49))</f>
        <v>0</v>
      </c>
      <c r="Z49" s="352">
        <f>IF(Z$25=start,1,IF(SUM($J49:Y49)&gt;=$H49,0, Y49))</f>
        <v>0</v>
      </c>
      <c r="AA49" s="352">
        <f>IF(AA$25=start,1,IF(SUM($J49:Z49)&gt;=$H49,0, Z49))</f>
        <v>0</v>
      </c>
      <c r="AB49" s="352">
        <f>IF(AB$25=start,1,IF(SUM($J49:AA49)&gt;=$H49,0, AA49))</f>
        <v>0</v>
      </c>
      <c r="AC49" s="352">
        <f>IF(AC$25=start,1,IF(SUM($J49:AB49)&gt;=$H49,0, AB49))</f>
        <v>0</v>
      </c>
      <c r="AD49" s="352">
        <f>IF(AD$25=start,1,IF(SUM($J49:AC49)&gt;=$H49,0, AC49))</f>
        <v>0</v>
      </c>
    </row>
    <row r="50" spans="1:37" ht="13.5" x14ac:dyDescent="0.3">
      <c r="B50" s="351" t="str">
        <f t="shared" si="32"/>
        <v>Option 3</v>
      </c>
      <c r="D50" s="82"/>
      <c r="E50" s="82"/>
      <c r="F50" s="82"/>
      <c r="G50" s="357"/>
      <c r="H50" s="82"/>
      <c r="J50" s="341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</row>
    <row r="51" spans="1:37" x14ac:dyDescent="0.3">
      <c r="B51" s="351" t="str">
        <f t="shared" si="32"/>
        <v>Option 3</v>
      </c>
      <c r="D51" s="8" t="s">
        <v>281</v>
      </c>
      <c r="G51" s="359" t="str">
        <f>B51&amp;D51</f>
        <v>Option 3Number of switches replaced pa</v>
      </c>
      <c r="H51" s="340">
        <f>ROUND($H$11/H49,0)</f>
        <v>75</v>
      </c>
      <c r="K51" s="337">
        <f>MIN($H51, J52)</f>
        <v>75</v>
      </c>
      <c r="L51" s="337">
        <f t="shared" ref="L51:AD51" si="33">MIN($H51, K52)</f>
        <v>75</v>
      </c>
      <c r="M51" s="337">
        <f t="shared" si="33"/>
        <v>75</v>
      </c>
      <c r="N51" s="337">
        <f t="shared" si="33"/>
        <v>75</v>
      </c>
      <c r="O51" s="337">
        <f t="shared" si="33"/>
        <v>75</v>
      </c>
      <c r="P51" s="337">
        <f t="shared" si="33"/>
        <v>2</v>
      </c>
      <c r="Q51" s="337">
        <f t="shared" si="33"/>
        <v>0</v>
      </c>
      <c r="R51" s="337">
        <f t="shared" si="33"/>
        <v>0</v>
      </c>
      <c r="S51" s="337">
        <f t="shared" si="33"/>
        <v>0</v>
      </c>
      <c r="T51" s="337">
        <f t="shared" si="33"/>
        <v>0</v>
      </c>
      <c r="U51" s="337">
        <f t="shared" si="33"/>
        <v>0</v>
      </c>
      <c r="V51" s="337">
        <f t="shared" si="33"/>
        <v>0</v>
      </c>
      <c r="W51" s="337">
        <f t="shared" si="33"/>
        <v>0</v>
      </c>
      <c r="X51" s="337">
        <f t="shared" si="33"/>
        <v>0</v>
      </c>
      <c r="Y51" s="337">
        <f t="shared" si="33"/>
        <v>0</v>
      </c>
      <c r="Z51" s="337">
        <f t="shared" si="33"/>
        <v>0</v>
      </c>
      <c r="AA51" s="337">
        <f t="shared" si="33"/>
        <v>0</v>
      </c>
      <c r="AB51" s="337">
        <f t="shared" si="33"/>
        <v>0</v>
      </c>
      <c r="AC51" s="337">
        <f t="shared" si="33"/>
        <v>0</v>
      </c>
      <c r="AD51" s="337">
        <f t="shared" si="33"/>
        <v>0</v>
      </c>
    </row>
    <row r="52" spans="1:37" x14ac:dyDescent="0.3">
      <c r="B52" s="351" t="str">
        <f t="shared" si="32"/>
        <v>Option 3</v>
      </c>
      <c r="D52" s="8" t="s">
        <v>282</v>
      </c>
      <c r="G52" s="351"/>
      <c r="J52" s="340">
        <f>$H$11</f>
        <v>377</v>
      </c>
      <c r="K52" s="337">
        <f>J52-K51</f>
        <v>302</v>
      </c>
      <c r="L52" s="337">
        <f t="shared" ref="L52" si="34">K52-L51</f>
        <v>227</v>
      </c>
      <c r="M52" s="337">
        <f t="shared" ref="M52" si="35">L52-M51</f>
        <v>152</v>
      </c>
      <c r="N52" s="337">
        <f t="shared" ref="N52" si="36">M52-N51</f>
        <v>77</v>
      </c>
      <c r="O52" s="337">
        <f t="shared" ref="O52" si="37">N52-O51</f>
        <v>2</v>
      </c>
      <c r="P52" s="337">
        <f t="shared" ref="P52" si="38">O52-P51</f>
        <v>0</v>
      </c>
      <c r="Q52" s="337">
        <f t="shared" ref="Q52" si="39">P52-Q51</f>
        <v>0</v>
      </c>
      <c r="R52" s="337">
        <f t="shared" ref="R52" si="40">Q52-R51</f>
        <v>0</v>
      </c>
      <c r="S52" s="337">
        <f t="shared" ref="S52" si="41">R52-S51</f>
        <v>0</v>
      </c>
      <c r="T52" s="337">
        <f t="shared" ref="T52" si="42">S52-T51</f>
        <v>0</v>
      </c>
      <c r="U52" s="337">
        <f t="shared" ref="U52" si="43">T52-U51</f>
        <v>0</v>
      </c>
      <c r="V52" s="337">
        <f t="shared" ref="V52" si="44">U52-V51</f>
        <v>0</v>
      </c>
      <c r="W52" s="337">
        <f t="shared" ref="W52" si="45">V52-W51</f>
        <v>0</v>
      </c>
      <c r="X52" s="337">
        <f t="shared" ref="X52" si="46">W52-X51</f>
        <v>0</v>
      </c>
      <c r="Y52" s="337">
        <f t="shared" ref="Y52" si="47">X52-Y51</f>
        <v>0</v>
      </c>
      <c r="Z52" s="337">
        <f t="shared" ref="Z52" si="48">Y52-Z51</f>
        <v>0</v>
      </c>
      <c r="AA52" s="337">
        <f t="shared" ref="AA52" si="49">Z52-AA51</f>
        <v>0</v>
      </c>
      <c r="AB52" s="337">
        <f t="shared" ref="AB52" si="50">AA52-AB51</f>
        <v>0</v>
      </c>
      <c r="AC52" s="337">
        <f t="shared" ref="AC52" si="51">AB52-AC51</f>
        <v>0</v>
      </c>
      <c r="AD52" s="337">
        <f t="shared" ref="AD52" si="52">AC52-AD51</f>
        <v>0</v>
      </c>
    </row>
    <row r="53" spans="1:37" x14ac:dyDescent="0.3">
      <c r="B53" s="351" t="str">
        <f t="shared" si="32"/>
        <v>Option 3</v>
      </c>
      <c r="G53" s="351"/>
    </row>
    <row r="54" spans="1:37" x14ac:dyDescent="0.3">
      <c r="B54" s="351" t="str">
        <f t="shared" si="32"/>
        <v>Option 3</v>
      </c>
      <c r="D54" s="8" t="s">
        <v>305</v>
      </c>
      <c r="G54" s="351"/>
      <c r="K54" s="337">
        <f t="shared" ref="K54:AD54" si="53">K51+J54</f>
        <v>75</v>
      </c>
      <c r="L54" s="337">
        <f t="shared" si="53"/>
        <v>150</v>
      </c>
      <c r="M54" s="337">
        <f t="shared" si="53"/>
        <v>225</v>
      </c>
      <c r="N54" s="337">
        <f t="shared" si="53"/>
        <v>300</v>
      </c>
      <c r="O54" s="337">
        <f t="shared" si="53"/>
        <v>375</v>
      </c>
      <c r="P54" s="337">
        <f t="shared" si="53"/>
        <v>377</v>
      </c>
      <c r="Q54" s="337">
        <f t="shared" si="53"/>
        <v>377</v>
      </c>
      <c r="R54" s="337">
        <f t="shared" si="53"/>
        <v>377</v>
      </c>
      <c r="S54" s="337">
        <f t="shared" si="53"/>
        <v>377</v>
      </c>
      <c r="T54" s="337">
        <f t="shared" si="53"/>
        <v>377</v>
      </c>
      <c r="U54" s="337">
        <f t="shared" si="53"/>
        <v>377</v>
      </c>
      <c r="V54" s="337">
        <f t="shared" si="53"/>
        <v>377</v>
      </c>
      <c r="W54" s="337">
        <f t="shared" si="53"/>
        <v>377</v>
      </c>
      <c r="X54" s="337">
        <f t="shared" si="53"/>
        <v>377</v>
      </c>
      <c r="Y54" s="337">
        <f t="shared" si="53"/>
        <v>377</v>
      </c>
      <c r="Z54" s="337">
        <f t="shared" si="53"/>
        <v>377</v>
      </c>
      <c r="AA54" s="337">
        <f t="shared" si="53"/>
        <v>377</v>
      </c>
      <c r="AB54" s="337">
        <f t="shared" si="53"/>
        <v>377</v>
      </c>
      <c r="AC54" s="337">
        <f t="shared" si="53"/>
        <v>377</v>
      </c>
      <c r="AD54" s="337">
        <f t="shared" si="53"/>
        <v>377</v>
      </c>
    </row>
    <row r="55" spans="1:37" x14ac:dyDescent="0.3">
      <c r="B55" s="351" t="str">
        <f t="shared" si="32"/>
        <v>Option 3</v>
      </c>
      <c r="D55" s="342" t="s">
        <v>17</v>
      </c>
      <c r="E55" s="339"/>
      <c r="F55" s="339"/>
      <c r="G55" s="355" t="str">
        <f>B55&amp;D55</f>
        <v>Option 3Capex</v>
      </c>
      <c r="H55" s="339"/>
      <c r="I55" s="339"/>
      <c r="J55" s="342"/>
      <c r="K55" s="343">
        <f t="shared" ref="K55:Z55" si="54">K51*$H$7</f>
        <v>6933525</v>
      </c>
      <c r="L55" s="343">
        <f t="shared" si="54"/>
        <v>6933525</v>
      </c>
      <c r="M55" s="343">
        <f t="shared" si="54"/>
        <v>6933525</v>
      </c>
      <c r="N55" s="343">
        <f t="shared" si="54"/>
        <v>6933525</v>
      </c>
      <c r="O55" s="343">
        <f t="shared" si="54"/>
        <v>6933525</v>
      </c>
      <c r="P55" s="343">
        <f t="shared" si="54"/>
        <v>184894</v>
      </c>
      <c r="Q55" s="343">
        <f t="shared" si="54"/>
        <v>0</v>
      </c>
      <c r="R55" s="343">
        <f t="shared" si="54"/>
        <v>0</v>
      </c>
      <c r="S55" s="343">
        <f t="shared" si="54"/>
        <v>0</v>
      </c>
      <c r="T55" s="343">
        <f t="shared" si="54"/>
        <v>0</v>
      </c>
      <c r="U55" s="343">
        <f t="shared" si="54"/>
        <v>0</v>
      </c>
      <c r="V55" s="343">
        <f t="shared" si="54"/>
        <v>0</v>
      </c>
      <c r="W55" s="343">
        <f t="shared" si="54"/>
        <v>0</v>
      </c>
      <c r="X55" s="343">
        <f t="shared" si="54"/>
        <v>0</v>
      </c>
      <c r="Y55" s="343">
        <f t="shared" si="54"/>
        <v>0</v>
      </c>
      <c r="Z55" s="343">
        <f t="shared" si="54"/>
        <v>0</v>
      </c>
    </row>
    <row r="56" spans="1:37" x14ac:dyDescent="0.3">
      <c r="G56" s="351"/>
    </row>
    <row r="57" spans="1:37" x14ac:dyDescent="0.3">
      <c r="G57" s="351"/>
    </row>
    <row r="58" spans="1:37" customFormat="1" ht="14.5" x14ac:dyDescent="0.3">
      <c r="A58" s="18" t="s">
        <v>131</v>
      </c>
      <c r="B58" s="18"/>
      <c r="C58" s="18"/>
      <c r="D58" s="18"/>
      <c r="E58" s="18"/>
      <c r="F58" s="18"/>
      <c r="G58" s="356"/>
      <c r="H58" s="142"/>
      <c r="I58" s="142"/>
      <c r="J58" s="334"/>
      <c r="K58" s="17" t="s">
        <v>19</v>
      </c>
      <c r="L58" s="17" t="s">
        <v>21</v>
      </c>
      <c r="M58" s="17" t="s">
        <v>20</v>
      </c>
      <c r="N58" s="17" t="s">
        <v>22</v>
      </c>
      <c r="O58" s="17" t="s">
        <v>93</v>
      </c>
      <c r="P58" s="17" t="s">
        <v>94</v>
      </c>
      <c r="Q58" s="17" t="s">
        <v>250</v>
      </c>
      <c r="R58" s="17" t="s">
        <v>251</v>
      </c>
      <c r="S58" s="17" t="s">
        <v>252</v>
      </c>
      <c r="T58" s="17" t="s">
        <v>253</v>
      </c>
      <c r="U58" s="17" t="s">
        <v>254</v>
      </c>
      <c r="V58" s="17" t="s">
        <v>255</v>
      </c>
      <c r="W58" s="17" t="s">
        <v>256</v>
      </c>
      <c r="X58" s="17" t="s">
        <v>257</v>
      </c>
      <c r="Y58" s="17" t="s">
        <v>258</v>
      </c>
      <c r="Z58" s="17" t="s">
        <v>259</v>
      </c>
      <c r="AA58" s="17" t="s">
        <v>260</v>
      </c>
      <c r="AB58" s="17" t="s">
        <v>261</v>
      </c>
      <c r="AC58" s="17" t="s">
        <v>262</v>
      </c>
      <c r="AD58" s="17" t="s">
        <v>263</v>
      </c>
      <c r="AE58" s="335" t="s">
        <v>264</v>
      </c>
      <c r="AF58" s="335" t="s">
        <v>265</v>
      </c>
      <c r="AG58" s="335" t="s">
        <v>266</v>
      </c>
      <c r="AH58" s="335" t="s">
        <v>267</v>
      </c>
      <c r="AI58" s="335" t="s">
        <v>268</v>
      </c>
      <c r="AJ58" s="335"/>
      <c r="AK58" s="335"/>
    </row>
    <row r="59" spans="1:37" x14ac:dyDescent="0.3">
      <c r="B59" s="351" t="str">
        <f>A58</f>
        <v>Option 4</v>
      </c>
      <c r="G59" s="351"/>
    </row>
    <row r="60" spans="1:37" ht="13.5" x14ac:dyDescent="0.3">
      <c r="B60" s="351" t="str">
        <f t="shared" ref="B60:B66" si="55">B59</f>
        <v>Option 4</v>
      </c>
      <c r="D60" s="82" t="s">
        <v>287</v>
      </c>
      <c r="E60" s="82"/>
      <c r="F60" s="82"/>
      <c r="G60" s="357"/>
      <c r="H60" s="331">
        <v>10</v>
      </c>
      <c r="J60" s="341"/>
      <c r="K60" s="82">
        <f>IF(K$25=start,1,IF(SUM($J60:J60)&gt;=$H60,0, J60))</f>
        <v>1</v>
      </c>
      <c r="L60" s="82">
        <f>IF(L$25=start,1,IF(SUM($J60:K60)&gt;=$H60,0, K60))</f>
        <v>1</v>
      </c>
      <c r="M60" s="82">
        <f>IF(M$25=start,1,IF(SUM($J60:L60)&gt;=$H60,0, L60))</f>
        <v>1</v>
      </c>
      <c r="N60" s="82">
        <f>IF(N$25=start,1,IF(SUM($J60:M60)&gt;=$H60,0, M60))</f>
        <v>1</v>
      </c>
      <c r="O60" s="82">
        <f>IF(O$25=start,1,IF(SUM($J60:N60)&gt;=$H60,0, N60))</f>
        <v>1</v>
      </c>
      <c r="P60" s="82">
        <f>IF(P$25=start,1,IF(SUM($J60:O60)&gt;=$H60,0, O60))</f>
        <v>1</v>
      </c>
      <c r="Q60" s="82">
        <f>IF(Q$25=start,1,IF(SUM($J60:P60)&gt;=$H60,0, P60))</f>
        <v>1</v>
      </c>
      <c r="R60" s="82">
        <f>IF(R$25=start,1,IF(SUM($J60:Q60)&gt;=$H60,0, Q60))</f>
        <v>1</v>
      </c>
      <c r="S60" s="82">
        <f>IF(S$25=start,1,IF(SUM($J60:R60)&gt;=$H60,0, R60))</f>
        <v>1</v>
      </c>
      <c r="T60" s="82">
        <f>IF(T$25=start,1,IF(SUM($J60:S60)&gt;=$H60,0, S60))</f>
        <v>1</v>
      </c>
      <c r="U60" s="82">
        <f>IF(U$25=start,1,IF(SUM($J60:T60)&gt;=$H60,0, T60))</f>
        <v>0</v>
      </c>
      <c r="V60" s="82">
        <f>IF(V$25=start,1,IF(SUM($J60:U60)&gt;=$H60,0, U60))</f>
        <v>0</v>
      </c>
      <c r="W60" s="82">
        <f>IF(W$25=start,1,IF(SUM($J60:V60)&gt;=$H60,0, V60))</f>
        <v>0</v>
      </c>
      <c r="X60" s="82">
        <f>IF(X$25=start,1,IF(SUM($J60:W60)&gt;=$H60,0, W60))</f>
        <v>0</v>
      </c>
      <c r="Y60" s="82">
        <f>IF(Y$25=start,1,IF(SUM($J60:X60)&gt;=$H60,0, X60))</f>
        <v>0</v>
      </c>
      <c r="Z60" s="82">
        <f>IF(Z$25=start,1,IF(SUM($J60:Y60)&gt;=$H60,0, Y60))</f>
        <v>0</v>
      </c>
      <c r="AA60" s="82">
        <f>IF(AA$25=start,1,IF(SUM($J60:Z60)&gt;=$H60,0, Z60))</f>
        <v>0</v>
      </c>
      <c r="AB60" s="82">
        <f>IF(AB$25=start,1,IF(SUM($J60:AA60)&gt;=$H60,0, AA60))</f>
        <v>0</v>
      </c>
      <c r="AC60" s="82">
        <f>IF(AC$25=start,1,IF(SUM($J60:AB60)&gt;=$H60,0, AB60))</f>
        <v>0</v>
      </c>
      <c r="AD60" s="82">
        <f>IF(AD$25=start,1,IF(SUM($J60:AC60)&gt;=$H60,0, AC60))</f>
        <v>0</v>
      </c>
    </row>
    <row r="61" spans="1:37" ht="13.5" x14ac:dyDescent="0.3">
      <c r="B61" s="351" t="str">
        <f t="shared" si="55"/>
        <v>Option 4</v>
      </c>
      <c r="D61" s="82"/>
      <c r="E61" s="82"/>
      <c r="F61" s="82"/>
      <c r="G61" s="357"/>
      <c r="H61" s="82"/>
      <c r="J61" s="341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</row>
    <row r="62" spans="1:37" x14ac:dyDescent="0.3">
      <c r="B62" s="351" t="str">
        <f t="shared" si="55"/>
        <v>Option 4</v>
      </c>
      <c r="D62" s="8" t="s">
        <v>281</v>
      </c>
      <c r="G62" s="359" t="str">
        <f>B62&amp;D62</f>
        <v>Option 4Number of switches replaced pa</v>
      </c>
      <c r="H62" s="340">
        <f>ROUND($H$11/H60,0)</f>
        <v>38</v>
      </c>
      <c r="K62" s="337">
        <f>MIN($H62, J63)</f>
        <v>38</v>
      </c>
      <c r="L62" s="337">
        <f t="shared" ref="L62:AD62" si="56">MIN($H62, K63)</f>
        <v>38</v>
      </c>
      <c r="M62" s="337">
        <f t="shared" si="56"/>
        <v>38</v>
      </c>
      <c r="N62" s="337">
        <f t="shared" si="56"/>
        <v>38</v>
      </c>
      <c r="O62" s="337">
        <f t="shared" si="56"/>
        <v>38</v>
      </c>
      <c r="P62" s="337">
        <f t="shared" si="56"/>
        <v>38</v>
      </c>
      <c r="Q62" s="337">
        <f t="shared" si="56"/>
        <v>38</v>
      </c>
      <c r="R62" s="337">
        <f t="shared" si="56"/>
        <v>38</v>
      </c>
      <c r="S62" s="337">
        <f t="shared" si="56"/>
        <v>38</v>
      </c>
      <c r="T62" s="337">
        <f t="shared" si="56"/>
        <v>35</v>
      </c>
      <c r="U62" s="337">
        <f t="shared" si="56"/>
        <v>0</v>
      </c>
      <c r="V62" s="337">
        <f t="shared" si="56"/>
        <v>0</v>
      </c>
      <c r="W62" s="337">
        <f t="shared" si="56"/>
        <v>0</v>
      </c>
      <c r="X62" s="337">
        <f t="shared" si="56"/>
        <v>0</v>
      </c>
      <c r="Y62" s="337">
        <f t="shared" si="56"/>
        <v>0</v>
      </c>
      <c r="Z62" s="337">
        <f t="shared" si="56"/>
        <v>0</v>
      </c>
      <c r="AA62" s="337">
        <f t="shared" si="56"/>
        <v>0</v>
      </c>
      <c r="AB62" s="337">
        <f t="shared" si="56"/>
        <v>0</v>
      </c>
      <c r="AC62" s="337">
        <f t="shared" si="56"/>
        <v>0</v>
      </c>
      <c r="AD62" s="337">
        <f t="shared" si="56"/>
        <v>0</v>
      </c>
    </row>
    <row r="63" spans="1:37" x14ac:dyDescent="0.3">
      <c r="B63" s="351" t="str">
        <f t="shared" si="55"/>
        <v>Option 4</v>
      </c>
      <c r="D63" s="8" t="s">
        <v>282</v>
      </c>
      <c r="G63" s="351"/>
      <c r="J63" s="340">
        <f>$H$11</f>
        <v>377</v>
      </c>
      <c r="K63" s="337">
        <f>J63-K62</f>
        <v>339</v>
      </c>
      <c r="L63" s="337">
        <f t="shared" ref="L63" si="57">K63-L62</f>
        <v>301</v>
      </c>
      <c r="M63" s="337">
        <f t="shared" ref="M63" si="58">L63-M62</f>
        <v>263</v>
      </c>
      <c r="N63" s="337">
        <f t="shared" ref="N63" si="59">M63-N62</f>
        <v>225</v>
      </c>
      <c r="O63" s="337">
        <f t="shared" ref="O63" si="60">N63-O62</f>
        <v>187</v>
      </c>
      <c r="P63" s="337">
        <f t="shared" ref="P63" si="61">O63-P62</f>
        <v>149</v>
      </c>
      <c r="Q63" s="337">
        <f t="shared" ref="Q63" si="62">P63-Q62</f>
        <v>111</v>
      </c>
      <c r="R63" s="337">
        <f t="shared" ref="R63" si="63">Q63-R62</f>
        <v>73</v>
      </c>
      <c r="S63" s="337">
        <f t="shared" ref="S63" si="64">R63-S62</f>
        <v>35</v>
      </c>
      <c r="T63" s="337">
        <f t="shared" ref="T63" si="65">S63-T62</f>
        <v>0</v>
      </c>
      <c r="U63" s="337">
        <f t="shared" ref="U63" si="66">T63-U62</f>
        <v>0</v>
      </c>
      <c r="V63" s="337">
        <f t="shared" ref="V63" si="67">U63-V62</f>
        <v>0</v>
      </c>
      <c r="W63" s="337">
        <f t="shared" ref="W63" si="68">V63-W62</f>
        <v>0</v>
      </c>
      <c r="X63" s="337">
        <f t="shared" ref="X63" si="69">W63-X62</f>
        <v>0</v>
      </c>
      <c r="Y63" s="337">
        <f t="shared" ref="Y63" si="70">X63-Y62</f>
        <v>0</v>
      </c>
      <c r="Z63" s="337">
        <f t="shared" ref="Z63" si="71">Y63-Z62</f>
        <v>0</v>
      </c>
      <c r="AA63" s="337">
        <f t="shared" ref="AA63" si="72">Z63-AA62</f>
        <v>0</v>
      </c>
      <c r="AB63" s="337">
        <f t="shared" ref="AB63" si="73">AA63-AB62</f>
        <v>0</v>
      </c>
      <c r="AC63" s="337">
        <f t="shared" ref="AC63" si="74">AB63-AC62</f>
        <v>0</v>
      </c>
      <c r="AD63" s="337">
        <f t="shared" ref="AD63" si="75">AC63-AD62</f>
        <v>0</v>
      </c>
    </row>
    <row r="64" spans="1:37" x14ac:dyDescent="0.3">
      <c r="B64" s="351" t="str">
        <f t="shared" si="55"/>
        <v>Option 4</v>
      </c>
      <c r="G64" s="351"/>
    </row>
    <row r="65" spans="1:37" x14ac:dyDescent="0.3">
      <c r="B65" s="351" t="str">
        <f t="shared" si="55"/>
        <v>Option 4</v>
      </c>
      <c r="D65" s="8" t="s">
        <v>305</v>
      </c>
      <c r="G65" s="351"/>
      <c r="K65" s="337">
        <f t="shared" ref="K65:AD65" si="76">K62+J65</f>
        <v>38</v>
      </c>
      <c r="L65" s="337">
        <f t="shared" si="76"/>
        <v>76</v>
      </c>
      <c r="M65" s="337">
        <f t="shared" si="76"/>
        <v>114</v>
      </c>
      <c r="N65" s="337">
        <f t="shared" si="76"/>
        <v>152</v>
      </c>
      <c r="O65" s="337">
        <f t="shared" si="76"/>
        <v>190</v>
      </c>
      <c r="P65" s="337">
        <f t="shared" si="76"/>
        <v>228</v>
      </c>
      <c r="Q65" s="337">
        <f t="shared" si="76"/>
        <v>266</v>
      </c>
      <c r="R65" s="337">
        <f t="shared" si="76"/>
        <v>304</v>
      </c>
      <c r="S65" s="337">
        <f t="shared" si="76"/>
        <v>342</v>
      </c>
      <c r="T65" s="337">
        <f t="shared" si="76"/>
        <v>377</v>
      </c>
      <c r="U65" s="337">
        <f t="shared" si="76"/>
        <v>377</v>
      </c>
      <c r="V65" s="337">
        <f t="shared" si="76"/>
        <v>377</v>
      </c>
      <c r="W65" s="337">
        <f t="shared" si="76"/>
        <v>377</v>
      </c>
      <c r="X65" s="337">
        <f t="shared" si="76"/>
        <v>377</v>
      </c>
      <c r="Y65" s="337">
        <f t="shared" si="76"/>
        <v>377</v>
      </c>
      <c r="Z65" s="337">
        <f t="shared" si="76"/>
        <v>377</v>
      </c>
      <c r="AA65" s="337">
        <f t="shared" si="76"/>
        <v>377</v>
      </c>
      <c r="AB65" s="337">
        <f t="shared" si="76"/>
        <v>377</v>
      </c>
      <c r="AC65" s="337">
        <f t="shared" si="76"/>
        <v>377</v>
      </c>
      <c r="AD65" s="337">
        <f t="shared" si="76"/>
        <v>377</v>
      </c>
    </row>
    <row r="66" spans="1:37" x14ac:dyDescent="0.3">
      <c r="B66" s="351" t="str">
        <f t="shared" si="55"/>
        <v>Option 4</v>
      </c>
      <c r="D66" s="342" t="s">
        <v>17</v>
      </c>
      <c r="E66" s="339"/>
      <c r="F66" s="339"/>
      <c r="G66" s="355" t="str">
        <f>B66&amp;D66</f>
        <v>Option 4Capex</v>
      </c>
      <c r="H66" s="339"/>
      <c r="I66" s="339"/>
      <c r="J66" s="342"/>
      <c r="K66" s="343">
        <f t="shared" ref="K66:Z66" si="77">K62*$H$7</f>
        <v>3512986</v>
      </c>
      <c r="L66" s="343">
        <f t="shared" si="77"/>
        <v>3512986</v>
      </c>
      <c r="M66" s="343">
        <f t="shared" si="77"/>
        <v>3512986</v>
      </c>
      <c r="N66" s="343">
        <f t="shared" si="77"/>
        <v>3512986</v>
      </c>
      <c r="O66" s="343">
        <f t="shared" si="77"/>
        <v>3512986</v>
      </c>
      <c r="P66" s="343">
        <f t="shared" si="77"/>
        <v>3512986</v>
      </c>
      <c r="Q66" s="343">
        <f t="shared" si="77"/>
        <v>3512986</v>
      </c>
      <c r="R66" s="343">
        <f t="shared" si="77"/>
        <v>3512986</v>
      </c>
      <c r="S66" s="343">
        <f t="shared" si="77"/>
        <v>3512986</v>
      </c>
      <c r="T66" s="343">
        <f t="shared" si="77"/>
        <v>3235645</v>
      </c>
      <c r="U66" s="343">
        <f t="shared" si="77"/>
        <v>0</v>
      </c>
      <c r="V66" s="343">
        <f t="shared" si="77"/>
        <v>0</v>
      </c>
      <c r="W66" s="343">
        <f t="shared" si="77"/>
        <v>0</v>
      </c>
      <c r="X66" s="343">
        <f t="shared" si="77"/>
        <v>0</v>
      </c>
      <c r="Y66" s="343">
        <f t="shared" si="77"/>
        <v>0</v>
      </c>
      <c r="Z66" s="343">
        <f t="shared" si="77"/>
        <v>0</v>
      </c>
    </row>
    <row r="67" spans="1:37" x14ac:dyDescent="0.3">
      <c r="G67" s="351"/>
    </row>
    <row r="68" spans="1:37" x14ac:dyDescent="0.3">
      <c r="G68" s="351"/>
    </row>
    <row r="69" spans="1:37" customFormat="1" ht="14.5" x14ac:dyDescent="0.3">
      <c r="A69" s="18" t="s">
        <v>151</v>
      </c>
      <c r="B69" s="18"/>
      <c r="C69" s="18"/>
      <c r="D69" s="18"/>
      <c r="E69" s="18"/>
      <c r="F69" s="18"/>
      <c r="G69" s="356"/>
      <c r="H69" s="142"/>
      <c r="I69" s="142"/>
      <c r="J69" s="334"/>
      <c r="K69" s="17" t="s">
        <v>19</v>
      </c>
      <c r="L69" s="17" t="s">
        <v>21</v>
      </c>
      <c r="M69" s="17" t="s">
        <v>20</v>
      </c>
      <c r="N69" s="17" t="s">
        <v>22</v>
      </c>
      <c r="O69" s="17" t="s">
        <v>93</v>
      </c>
      <c r="P69" s="17" t="s">
        <v>94</v>
      </c>
      <c r="Q69" s="17" t="s">
        <v>250</v>
      </c>
      <c r="R69" s="17" t="s">
        <v>251</v>
      </c>
      <c r="S69" s="17" t="s">
        <v>252</v>
      </c>
      <c r="T69" s="17" t="s">
        <v>253</v>
      </c>
      <c r="U69" s="17" t="s">
        <v>254</v>
      </c>
      <c r="V69" s="17" t="s">
        <v>255</v>
      </c>
      <c r="W69" s="17" t="s">
        <v>256</v>
      </c>
      <c r="X69" s="17" t="s">
        <v>257</v>
      </c>
      <c r="Y69" s="17" t="s">
        <v>258</v>
      </c>
      <c r="Z69" s="17" t="s">
        <v>259</v>
      </c>
      <c r="AA69" s="17" t="s">
        <v>260</v>
      </c>
      <c r="AB69" s="17" t="s">
        <v>261</v>
      </c>
      <c r="AC69" s="17" t="s">
        <v>262</v>
      </c>
      <c r="AD69" s="17" t="s">
        <v>263</v>
      </c>
      <c r="AE69" s="335" t="s">
        <v>264</v>
      </c>
      <c r="AF69" s="335" t="s">
        <v>265</v>
      </c>
      <c r="AG69" s="335" t="s">
        <v>266</v>
      </c>
      <c r="AH69" s="335" t="s">
        <v>267</v>
      </c>
      <c r="AI69" s="335" t="s">
        <v>268</v>
      </c>
      <c r="AJ69" s="335"/>
      <c r="AK69" s="335"/>
    </row>
    <row r="70" spans="1:37" x14ac:dyDescent="0.3">
      <c r="B70" s="351" t="str">
        <f>A69</f>
        <v>Option 5</v>
      </c>
      <c r="G70" s="351"/>
    </row>
    <row r="71" spans="1:37" ht="13.5" x14ac:dyDescent="0.3">
      <c r="B71" s="351" t="str">
        <f>B70</f>
        <v>Option 5</v>
      </c>
      <c r="D71" s="82" t="s">
        <v>287</v>
      </c>
      <c r="E71" s="82"/>
      <c r="F71" s="82"/>
      <c r="G71" s="357"/>
      <c r="H71" s="331">
        <v>15</v>
      </c>
      <c r="J71" s="341"/>
      <c r="K71" s="82">
        <f>IF(K$25=start,1,IF(SUM($J71:J71)&gt;=$H71,0, J71))</f>
        <v>1</v>
      </c>
      <c r="L71" s="82">
        <f>IF(L$25=start,1,IF(SUM($J71:K71)&gt;=$H71,0, K71))</f>
        <v>1</v>
      </c>
      <c r="M71" s="82">
        <f>IF(M$25=start,1,IF(SUM($J71:L71)&gt;=$H71,0, L71))</f>
        <v>1</v>
      </c>
      <c r="N71" s="82">
        <f>IF(N$25=start,1,IF(SUM($J71:M71)&gt;=$H71,0, M71))</f>
        <v>1</v>
      </c>
      <c r="O71" s="82">
        <f>IF(O$25=start,1,IF(SUM($J71:N71)&gt;=$H71,0, N71))</f>
        <v>1</v>
      </c>
      <c r="P71" s="82">
        <f>IF(P$25=start,1,IF(SUM($J71:O71)&gt;=$H71,0, O71))</f>
        <v>1</v>
      </c>
      <c r="Q71" s="82">
        <f>IF(Q$25=start,1,IF(SUM($J71:P71)&gt;=$H71,0, P71))</f>
        <v>1</v>
      </c>
      <c r="R71" s="82">
        <f>IF(R$25=start,1,IF(SUM($J71:Q71)&gt;=$H71,0, Q71))</f>
        <v>1</v>
      </c>
      <c r="S71" s="82">
        <f>IF(S$25=start,1,IF(SUM($J71:R71)&gt;=$H71,0, R71))</f>
        <v>1</v>
      </c>
      <c r="T71" s="82">
        <f>IF(T$25=start,1,IF(SUM($J71:S71)&gt;=$H71,0, S71))</f>
        <v>1</v>
      </c>
      <c r="U71" s="82">
        <f>IF(U$25=start,1,IF(SUM($J71:T71)&gt;=$H71,0, T71))</f>
        <v>1</v>
      </c>
      <c r="V71" s="82">
        <f>IF(V$25=start,1,IF(SUM($J71:U71)&gt;=$H71,0, U71))</f>
        <v>1</v>
      </c>
      <c r="W71" s="82">
        <f>IF(W$25=start,1,IF(SUM($J71:V71)&gt;=$H71,0, V71))</f>
        <v>1</v>
      </c>
      <c r="X71" s="82">
        <f>IF(X$25=start,1,IF(SUM($J71:W71)&gt;=$H71,0, W71))</f>
        <v>1</v>
      </c>
      <c r="Y71" s="82">
        <f>IF(Y$25=start,1,IF(SUM($J71:X71)&gt;=$H71,0, X71))</f>
        <v>1</v>
      </c>
      <c r="Z71" s="82">
        <f>IF(Z$25=start,1,IF(SUM($J71:Y71)&gt;=$H71,0, Y71))</f>
        <v>0</v>
      </c>
      <c r="AA71" s="82">
        <f>IF(AA$25=start,1,IF(SUM($J71:Z71)&gt;=$H71,0, Z71))</f>
        <v>0</v>
      </c>
      <c r="AB71" s="82">
        <f>IF(AB$25=start,1,IF(SUM($J71:AA71)&gt;=$H71,0, AA71))</f>
        <v>0</v>
      </c>
      <c r="AC71" s="82">
        <f>IF(AC$25=start,1,IF(SUM($J71:AB71)&gt;=$H71,0, AB71))</f>
        <v>0</v>
      </c>
      <c r="AD71" s="82">
        <f>IF(AD$25=start,1,IF(SUM($J71:AC71)&gt;=$H71,0, AC71))</f>
        <v>0</v>
      </c>
    </row>
    <row r="72" spans="1:37" ht="13.5" x14ac:dyDescent="0.3">
      <c r="B72" s="351" t="str">
        <f t="shared" ref="B72:B77" si="78">B71</f>
        <v>Option 5</v>
      </c>
      <c r="D72" s="82"/>
      <c r="E72" s="82"/>
      <c r="F72" s="82"/>
      <c r="G72" s="358"/>
      <c r="H72" s="82"/>
      <c r="J72" s="341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</row>
    <row r="73" spans="1:37" x14ac:dyDescent="0.3">
      <c r="B73" s="351" t="str">
        <f t="shared" si="78"/>
        <v>Option 5</v>
      </c>
      <c r="D73" s="8" t="s">
        <v>281</v>
      </c>
      <c r="G73" s="359" t="str">
        <f>B73&amp;D73</f>
        <v>Option 5Number of switches replaced pa</v>
      </c>
      <c r="H73" s="340">
        <f>ROUND($H$11/H71,0)</f>
        <v>25</v>
      </c>
      <c r="K73" s="337">
        <f>MIN($H73, J74)</f>
        <v>25</v>
      </c>
      <c r="L73" s="337">
        <f t="shared" ref="L73:AD73" si="79">MIN($H73, K74)</f>
        <v>25</v>
      </c>
      <c r="M73" s="337">
        <f t="shared" si="79"/>
        <v>25</v>
      </c>
      <c r="N73" s="337">
        <f t="shared" si="79"/>
        <v>25</v>
      </c>
      <c r="O73" s="337">
        <f t="shared" si="79"/>
        <v>25</v>
      </c>
      <c r="P73" s="337">
        <f t="shared" si="79"/>
        <v>25</v>
      </c>
      <c r="Q73" s="337">
        <f t="shared" si="79"/>
        <v>25</v>
      </c>
      <c r="R73" s="337">
        <f t="shared" si="79"/>
        <v>25</v>
      </c>
      <c r="S73" s="337">
        <f t="shared" si="79"/>
        <v>25</v>
      </c>
      <c r="T73" s="337">
        <f t="shared" si="79"/>
        <v>25</v>
      </c>
      <c r="U73" s="337">
        <f t="shared" si="79"/>
        <v>25</v>
      </c>
      <c r="V73" s="337">
        <f t="shared" si="79"/>
        <v>25</v>
      </c>
      <c r="W73" s="337">
        <f t="shared" si="79"/>
        <v>25</v>
      </c>
      <c r="X73" s="337">
        <f t="shared" si="79"/>
        <v>25</v>
      </c>
      <c r="Y73" s="337">
        <f t="shared" si="79"/>
        <v>25</v>
      </c>
      <c r="Z73" s="337">
        <f t="shared" si="79"/>
        <v>2</v>
      </c>
      <c r="AA73" s="337">
        <f t="shared" si="79"/>
        <v>0</v>
      </c>
      <c r="AB73" s="337">
        <f t="shared" si="79"/>
        <v>0</v>
      </c>
      <c r="AC73" s="337">
        <f t="shared" si="79"/>
        <v>0</v>
      </c>
      <c r="AD73" s="337">
        <f t="shared" si="79"/>
        <v>0</v>
      </c>
    </row>
    <row r="74" spans="1:37" x14ac:dyDescent="0.3">
      <c r="B74" s="351" t="str">
        <f t="shared" si="78"/>
        <v>Option 5</v>
      </c>
      <c r="D74" s="8" t="s">
        <v>282</v>
      </c>
      <c r="G74" s="351"/>
      <c r="J74" s="340">
        <f>$H$11</f>
        <v>377</v>
      </c>
      <c r="K74" s="337">
        <f>J74-K73</f>
        <v>352</v>
      </c>
      <c r="L74" s="337">
        <f t="shared" ref="L74" si="80">K74-L73</f>
        <v>327</v>
      </c>
      <c r="M74" s="337">
        <f t="shared" ref="M74" si="81">L74-M73</f>
        <v>302</v>
      </c>
      <c r="N74" s="337">
        <f t="shared" ref="N74" si="82">M74-N73</f>
        <v>277</v>
      </c>
      <c r="O74" s="337">
        <f t="shared" ref="O74" si="83">N74-O73</f>
        <v>252</v>
      </c>
      <c r="P74" s="337">
        <f t="shared" ref="P74" si="84">O74-P73</f>
        <v>227</v>
      </c>
      <c r="Q74" s="337">
        <f t="shared" ref="Q74" si="85">P74-Q73</f>
        <v>202</v>
      </c>
      <c r="R74" s="337">
        <f t="shared" ref="R74" si="86">Q74-R73</f>
        <v>177</v>
      </c>
      <c r="S74" s="337">
        <f t="shared" ref="S74" si="87">R74-S73</f>
        <v>152</v>
      </c>
      <c r="T74" s="337">
        <f t="shared" ref="T74" si="88">S74-T73</f>
        <v>127</v>
      </c>
      <c r="U74" s="337">
        <f t="shared" ref="U74" si="89">T74-U73</f>
        <v>102</v>
      </c>
      <c r="V74" s="337">
        <f t="shared" ref="V74" si="90">U74-V73</f>
        <v>77</v>
      </c>
      <c r="W74" s="337">
        <f t="shared" ref="W74" si="91">V74-W73</f>
        <v>52</v>
      </c>
      <c r="X74" s="337">
        <f t="shared" ref="X74" si="92">W74-X73</f>
        <v>27</v>
      </c>
      <c r="Y74" s="337">
        <f t="shared" ref="Y74" si="93">X74-Y73</f>
        <v>2</v>
      </c>
      <c r="Z74" s="337">
        <f t="shared" ref="Z74" si="94">Y74-Z73</f>
        <v>0</v>
      </c>
      <c r="AA74" s="337">
        <f t="shared" ref="AA74" si="95">Z74-AA73</f>
        <v>0</v>
      </c>
      <c r="AB74" s="337">
        <f t="shared" ref="AB74" si="96">AA74-AB73</f>
        <v>0</v>
      </c>
      <c r="AC74" s="337">
        <f t="shared" ref="AC74" si="97">AB74-AC73</f>
        <v>0</v>
      </c>
      <c r="AD74" s="337">
        <f t="shared" ref="AD74" si="98">AC74-AD73</f>
        <v>0</v>
      </c>
    </row>
    <row r="75" spans="1:37" x14ac:dyDescent="0.3">
      <c r="B75" s="351" t="str">
        <f t="shared" si="78"/>
        <v>Option 5</v>
      </c>
      <c r="G75" s="351"/>
    </row>
    <row r="76" spans="1:37" x14ac:dyDescent="0.3">
      <c r="B76" s="351" t="str">
        <f t="shared" si="78"/>
        <v>Option 5</v>
      </c>
      <c r="D76" s="8" t="s">
        <v>305</v>
      </c>
      <c r="G76" s="351"/>
      <c r="K76" s="337">
        <f t="shared" ref="K76:AD76" si="99">K73+J76</f>
        <v>25</v>
      </c>
      <c r="L76" s="337">
        <f t="shared" si="99"/>
        <v>50</v>
      </c>
      <c r="M76" s="337">
        <f t="shared" si="99"/>
        <v>75</v>
      </c>
      <c r="N76" s="337">
        <f t="shared" si="99"/>
        <v>100</v>
      </c>
      <c r="O76" s="337">
        <f t="shared" si="99"/>
        <v>125</v>
      </c>
      <c r="P76" s="337">
        <f t="shared" si="99"/>
        <v>150</v>
      </c>
      <c r="Q76" s="337">
        <f t="shared" si="99"/>
        <v>175</v>
      </c>
      <c r="R76" s="337">
        <f t="shared" si="99"/>
        <v>200</v>
      </c>
      <c r="S76" s="337">
        <f t="shared" si="99"/>
        <v>225</v>
      </c>
      <c r="T76" s="337">
        <f t="shared" si="99"/>
        <v>250</v>
      </c>
      <c r="U76" s="337">
        <f t="shared" si="99"/>
        <v>275</v>
      </c>
      <c r="V76" s="337">
        <f t="shared" si="99"/>
        <v>300</v>
      </c>
      <c r="W76" s="337">
        <f t="shared" si="99"/>
        <v>325</v>
      </c>
      <c r="X76" s="337">
        <f t="shared" si="99"/>
        <v>350</v>
      </c>
      <c r="Y76" s="337">
        <f t="shared" si="99"/>
        <v>375</v>
      </c>
      <c r="Z76" s="337">
        <f t="shared" si="99"/>
        <v>377</v>
      </c>
      <c r="AA76" s="337">
        <f t="shared" si="99"/>
        <v>377</v>
      </c>
      <c r="AB76" s="337">
        <f t="shared" si="99"/>
        <v>377</v>
      </c>
      <c r="AC76" s="337">
        <f t="shared" si="99"/>
        <v>377</v>
      </c>
      <c r="AD76" s="337">
        <f t="shared" si="99"/>
        <v>377</v>
      </c>
    </row>
    <row r="77" spans="1:37" x14ac:dyDescent="0.3">
      <c r="B77" s="351" t="str">
        <f t="shared" si="78"/>
        <v>Option 5</v>
      </c>
      <c r="D77" s="342" t="s">
        <v>17</v>
      </c>
      <c r="E77" s="339"/>
      <c r="F77" s="339"/>
      <c r="G77" s="355" t="str">
        <f>B77&amp;D77</f>
        <v>Option 5Capex</v>
      </c>
      <c r="H77" s="339"/>
      <c r="I77" s="339"/>
      <c r="J77" s="342"/>
      <c r="K77" s="343">
        <f t="shared" ref="K77:Z77" si="100">K73*$H$7</f>
        <v>2311175</v>
      </c>
      <c r="L77" s="343">
        <f t="shared" si="100"/>
        <v>2311175</v>
      </c>
      <c r="M77" s="343">
        <f t="shared" si="100"/>
        <v>2311175</v>
      </c>
      <c r="N77" s="343">
        <f t="shared" si="100"/>
        <v>2311175</v>
      </c>
      <c r="O77" s="343">
        <f t="shared" si="100"/>
        <v>2311175</v>
      </c>
      <c r="P77" s="343">
        <f t="shared" si="100"/>
        <v>2311175</v>
      </c>
      <c r="Q77" s="343">
        <f t="shared" si="100"/>
        <v>2311175</v>
      </c>
      <c r="R77" s="343">
        <f t="shared" si="100"/>
        <v>2311175</v>
      </c>
      <c r="S77" s="343">
        <f t="shared" si="100"/>
        <v>2311175</v>
      </c>
      <c r="T77" s="343">
        <f t="shared" si="100"/>
        <v>2311175</v>
      </c>
      <c r="U77" s="343">
        <f t="shared" si="100"/>
        <v>2311175</v>
      </c>
      <c r="V77" s="343">
        <f t="shared" si="100"/>
        <v>2311175</v>
      </c>
      <c r="W77" s="343">
        <f t="shared" si="100"/>
        <v>2311175</v>
      </c>
      <c r="X77" s="343">
        <f t="shared" si="100"/>
        <v>2311175</v>
      </c>
      <c r="Y77" s="343">
        <f t="shared" si="100"/>
        <v>2311175</v>
      </c>
      <c r="Z77" s="343">
        <f t="shared" si="100"/>
        <v>184894</v>
      </c>
    </row>
    <row r="78" spans="1:37" x14ac:dyDescent="0.3">
      <c r="G78" s="351"/>
    </row>
    <row r="79" spans="1:37" x14ac:dyDescent="0.3">
      <c r="G79" s="351"/>
    </row>
    <row r="80" spans="1:37" x14ac:dyDescent="0.3">
      <c r="G80" s="351"/>
    </row>
    <row r="81" spans="7:7" x14ac:dyDescent="0.3">
      <c r="G81" s="351"/>
    </row>
    <row r="82" spans="7:7" x14ac:dyDescent="0.3">
      <c r="G82" s="351"/>
    </row>
    <row r="83" spans="7:7" x14ac:dyDescent="0.3">
      <c r="G83" s="351"/>
    </row>
    <row r="84" spans="7:7" x14ac:dyDescent="0.3">
      <c r="G84" s="351"/>
    </row>
    <row r="85" spans="7:7" x14ac:dyDescent="0.3">
      <c r="G85" s="351"/>
    </row>
    <row r="86" spans="7:7" x14ac:dyDescent="0.3">
      <c r="G86" s="351"/>
    </row>
    <row r="87" spans="7:7" x14ac:dyDescent="0.3">
      <c r="G87" s="351"/>
    </row>
    <row r="88" spans="7:7" x14ac:dyDescent="0.3">
      <c r="G88" s="351"/>
    </row>
    <row r="89" spans="7:7" x14ac:dyDescent="0.3">
      <c r="G89" s="351"/>
    </row>
    <row r="90" spans="7:7" x14ac:dyDescent="0.3">
      <c r="G90" s="351"/>
    </row>
    <row r="91" spans="7:7" x14ac:dyDescent="0.3">
      <c r="G91" s="351"/>
    </row>
    <row r="92" spans="7:7" x14ac:dyDescent="0.3">
      <c r="G92" s="351"/>
    </row>
    <row r="93" spans="7:7" x14ac:dyDescent="0.3">
      <c r="G93" s="351"/>
    </row>
    <row r="94" spans="7:7" x14ac:dyDescent="0.3">
      <c r="G94" s="351"/>
    </row>
    <row r="95" spans="7:7" x14ac:dyDescent="0.3">
      <c r="G95" s="351"/>
    </row>
    <row r="96" spans="7:7" x14ac:dyDescent="0.3">
      <c r="G96" s="351"/>
    </row>
    <row r="97" spans="7:7" x14ac:dyDescent="0.3">
      <c r="G97" s="351"/>
    </row>
    <row r="98" spans="7:7" x14ac:dyDescent="0.3">
      <c r="G98" s="351"/>
    </row>
    <row r="99" spans="7:7" x14ac:dyDescent="0.3">
      <c r="G99" s="351"/>
    </row>
    <row r="100" spans="7:7" x14ac:dyDescent="0.3">
      <c r="G100" s="351"/>
    </row>
    <row r="101" spans="7:7" x14ac:dyDescent="0.3">
      <c r="G101" s="351"/>
    </row>
    <row r="102" spans="7:7" x14ac:dyDescent="0.3">
      <c r="G102" s="351"/>
    </row>
    <row r="103" spans="7:7" x14ac:dyDescent="0.3">
      <c r="G103" s="351"/>
    </row>
    <row r="104" spans="7:7" x14ac:dyDescent="0.3">
      <c r="G104" s="351"/>
    </row>
    <row r="105" spans="7:7" x14ac:dyDescent="0.3">
      <c r="G105" s="351"/>
    </row>
    <row r="106" spans="7:7" x14ac:dyDescent="0.3">
      <c r="G106" s="351"/>
    </row>
    <row r="107" spans="7:7" x14ac:dyDescent="0.3">
      <c r="G107" s="351"/>
    </row>
    <row r="108" spans="7:7" x14ac:dyDescent="0.3">
      <c r="G108" s="351"/>
    </row>
    <row r="109" spans="7:7" x14ac:dyDescent="0.3">
      <c r="G109" s="351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BDDF-6554-4715-BCE7-3D12C1A8A5F9}">
  <sheetPr codeName="Sheet10">
    <tabColor rgb="FFFFFF00"/>
  </sheetPr>
  <dimension ref="A1:AT227"/>
  <sheetViews>
    <sheetView showGridLines="0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ColWidth="9" defaultRowHeight="13" x14ac:dyDescent="0.3"/>
  <cols>
    <col min="1" max="16384" width="9" style="8"/>
  </cols>
  <sheetData>
    <row r="1" spans="1:32" s="1" customFormat="1" ht="18.5" x14ac:dyDescent="0.45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s="1" customFormat="1" ht="18.5" x14ac:dyDescent="0.45">
      <c r="A2" s="56" t="str">
        <f>proj</f>
        <v>Recplacement of CRO inoperable RMUs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s="1" customFormat="1" ht="18.5" x14ac:dyDescent="0.45">
      <c r="A3" s="5" t="s">
        <v>241</v>
      </c>
      <c r="B3" s="34"/>
      <c r="C3" s="5"/>
      <c r="D3" s="5"/>
      <c r="E3" s="5"/>
    </row>
    <row r="4" spans="1:32" s="1" customFormat="1" x14ac:dyDescent="0.3"/>
    <row r="5" spans="1:32" s="1" customFormat="1" x14ac:dyDescent="0.3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</row>
    <row r="6" spans="1:32" ht="13.5" x14ac:dyDescent="0.3">
      <c r="G6"/>
      <c r="H6"/>
    </row>
    <row r="7" spans="1:32" ht="13.5" x14ac:dyDescent="0.3">
      <c r="B7" s="8" t="s">
        <v>306</v>
      </c>
      <c r="F7" s="340">
        <f>Workings_costs!H11</f>
        <v>377</v>
      </c>
      <c r="G7"/>
      <c r="H7"/>
    </row>
    <row r="8" spans="1:32" ht="13.5" x14ac:dyDescent="0.3">
      <c r="G8"/>
      <c r="H8"/>
    </row>
    <row r="9" spans="1:32" ht="13.5" x14ac:dyDescent="0.3">
      <c r="B9" s="8" t="s">
        <v>244</v>
      </c>
      <c r="D9" s="8" t="s">
        <v>245</v>
      </c>
      <c r="E9" s="8" t="s">
        <v>246</v>
      </c>
      <c r="F9" s="331">
        <v>1756.6587999999999</v>
      </c>
      <c r="H9"/>
      <c r="J9" s="8">
        <v>4</v>
      </c>
    </row>
    <row r="10" spans="1:32" ht="13.5" x14ac:dyDescent="0.3">
      <c r="D10" s="8" t="s">
        <v>247</v>
      </c>
      <c r="E10" s="8" t="s">
        <v>246</v>
      </c>
      <c r="F10" s="331">
        <v>3638.3348000000005</v>
      </c>
      <c r="H10"/>
    </row>
    <row r="11" spans="1:32" ht="13.5" x14ac:dyDescent="0.3">
      <c r="A11"/>
      <c r="B11" s="14" t="s">
        <v>229</v>
      </c>
      <c r="C11"/>
      <c r="D11"/>
      <c r="E11"/>
      <c r="F11"/>
      <c r="G11"/>
      <c r="H11"/>
      <c r="I11"/>
    </row>
    <row r="12" spans="1:32" ht="13.5" x14ac:dyDescent="0.3">
      <c r="B12" s="8" t="s">
        <v>248</v>
      </c>
      <c r="F12" s="331">
        <f>Workings_costs!H10</f>
        <v>16053</v>
      </c>
      <c r="G12"/>
      <c r="H12"/>
      <c r="X12" s="8">
        <v>3513000</v>
      </c>
    </row>
    <row r="13" spans="1:32" ht="13.5" x14ac:dyDescent="0.3">
      <c r="B13" s="8" t="s">
        <v>242</v>
      </c>
      <c r="F13" s="331">
        <f>Workings_costs!H11</f>
        <v>377</v>
      </c>
      <c r="G13"/>
      <c r="H13"/>
      <c r="X13" s="8">
        <f>X12/J148</f>
        <v>92447.368421052626</v>
      </c>
    </row>
    <row r="14" spans="1:32" ht="13.5" x14ac:dyDescent="0.3">
      <c r="G14"/>
      <c r="H14"/>
    </row>
    <row r="15" spans="1:32" ht="13.5" x14ac:dyDescent="0.3">
      <c r="B15" s="8" t="s">
        <v>8</v>
      </c>
      <c r="F15" s="337">
        <f>Assumptions!$H$41</f>
        <v>43815.486225173103</v>
      </c>
      <c r="G15"/>
      <c r="H15"/>
    </row>
    <row r="16" spans="1:32" ht="13.5" x14ac:dyDescent="0.3">
      <c r="B16" s="8" t="s">
        <v>249</v>
      </c>
      <c r="F16" s="333">
        <v>0.6</v>
      </c>
      <c r="G16"/>
      <c r="H16"/>
    </row>
    <row r="17" spans="1:46" ht="13.5" x14ac:dyDescent="0.3">
      <c r="B17" s="8" t="s">
        <v>299</v>
      </c>
      <c r="F17" s="337">
        <f>F16*F15</f>
        <v>26289.29173510386</v>
      </c>
      <c r="H17"/>
    </row>
    <row r="20" spans="1:46" customFormat="1" ht="14.5" x14ac:dyDescent="0.3">
      <c r="A20" s="18" t="s">
        <v>140</v>
      </c>
      <c r="B20" s="18"/>
      <c r="C20" s="18"/>
      <c r="D20" s="18"/>
      <c r="E20" s="142"/>
      <c r="F20" s="142"/>
      <c r="G20" s="334"/>
      <c r="H20" s="334">
        <v>46203</v>
      </c>
      <c r="I20" s="17" t="s">
        <v>19</v>
      </c>
      <c r="J20" s="17" t="s">
        <v>21</v>
      </c>
      <c r="K20" s="17" t="s">
        <v>20</v>
      </c>
      <c r="L20" s="17" t="s">
        <v>22</v>
      </c>
      <c r="M20" s="17" t="s">
        <v>93</v>
      </c>
      <c r="N20" s="17" t="s">
        <v>94</v>
      </c>
      <c r="O20" s="17" t="s">
        <v>250</v>
      </c>
      <c r="P20" s="17" t="s">
        <v>251</v>
      </c>
      <c r="Q20" s="17" t="s">
        <v>252</v>
      </c>
      <c r="R20" s="17" t="s">
        <v>253</v>
      </c>
      <c r="S20" s="17" t="s">
        <v>254</v>
      </c>
      <c r="T20" s="17" t="s">
        <v>255</v>
      </c>
      <c r="U20" s="17" t="s">
        <v>256</v>
      </c>
      <c r="V20" s="17" t="s">
        <v>257</v>
      </c>
      <c r="W20" s="17" t="s">
        <v>258</v>
      </c>
      <c r="X20" s="17" t="s">
        <v>259</v>
      </c>
      <c r="Y20" s="17" t="s">
        <v>260</v>
      </c>
      <c r="Z20" s="17" t="s">
        <v>261</v>
      </c>
      <c r="AA20" s="17" t="s">
        <v>262</v>
      </c>
      <c r="AB20" s="17" t="s">
        <v>263</v>
      </c>
      <c r="AC20" s="17" t="s">
        <v>263</v>
      </c>
      <c r="AD20" s="17" t="s">
        <v>263</v>
      </c>
      <c r="AE20" s="17" t="s">
        <v>263</v>
      </c>
      <c r="AF20" s="17" t="s">
        <v>263</v>
      </c>
      <c r="AG20" s="335" t="s">
        <v>268</v>
      </c>
      <c r="AH20" s="335"/>
      <c r="AI20" s="335"/>
    </row>
    <row r="22" spans="1:46" x14ac:dyDescent="0.3">
      <c r="B22" s="360" t="s">
        <v>281</v>
      </c>
      <c r="C22" s="360"/>
      <c r="D22" s="360"/>
      <c r="E22" s="360"/>
      <c r="F22" s="360"/>
      <c r="G22" s="360"/>
      <c r="H22" s="360"/>
      <c r="I22" s="361">
        <f>INDEX(Workings_costs!K$27:K$79, MATCH($A20&amp;$B22, Workings_costs!$G$27:$G$79,0))</f>
        <v>0</v>
      </c>
      <c r="J22" s="361">
        <f>INDEX(Workings_costs!L$27:L$79, MATCH($A20&amp;$B22, Workings_costs!$G$27:$G$79,0))</f>
        <v>0</v>
      </c>
      <c r="K22" s="361">
        <f>INDEX(Workings_costs!M$27:M$79, MATCH($A20&amp;$B22, Workings_costs!$G$27:$G$79,0))</f>
        <v>0</v>
      </c>
      <c r="L22" s="361">
        <f>INDEX(Workings_costs!N$27:N$79, MATCH($A20&amp;$B22, Workings_costs!$G$27:$G$79,0))</f>
        <v>0</v>
      </c>
      <c r="M22" s="361">
        <f>INDEX(Workings_costs!O$27:O$79, MATCH($A20&amp;$B22, Workings_costs!$G$27:$G$79,0))</f>
        <v>0</v>
      </c>
      <c r="N22" s="361">
        <f>INDEX(Workings_costs!P$27:P$79, MATCH($A20&amp;$B22, Workings_costs!$G$27:$G$79,0))</f>
        <v>0</v>
      </c>
      <c r="O22" s="361">
        <f>INDEX(Workings_costs!Q$27:Q$79, MATCH($A20&amp;$B22, Workings_costs!$G$27:$G$79,0))</f>
        <v>0</v>
      </c>
      <c r="P22" s="361">
        <f>INDEX(Workings_costs!R$27:R$79, MATCH($A20&amp;$B22, Workings_costs!$G$27:$G$79,0))</f>
        <v>0</v>
      </c>
      <c r="Q22" s="361">
        <f>INDEX(Workings_costs!S$27:S$79, MATCH($A20&amp;$B22, Workings_costs!$G$27:$G$79,0))</f>
        <v>0</v>
      </c>
      <c r="R22" s="361">
        <f>INDEX(Workings_costs!T$27:T$79, MATCH($A20&amp;$B22, Workings_costs!$G$27:$G$79,0))</f>
        <v>0</v>
      </c>
      <c r="S22" s="361">
        <f>INDEX(Workings_costs!U$27:U$79, MATCH($A20&amp;$B22, Workings_costs!$G$27:$G$79,0))</f>
        <v>0</v>
      </c>
      <c r="T22" s="361">
        <f>INDEX(Workings_costs!V$27:V$79, MATCH($A20&amp;$B22, Workings_costs!$G$27:$G$79,0))</f>
        <v>0</v>
      </c>
      <c r="U22" s="361">
        <f>INDEX(Workings_costs!W$27:W$79, MATCH($A20&amp;$B22, Workings_costs!$G$27:$G$79,0))</f>
        <v>0</v>
      </c>
      <c r="V22" s="361">
        <f>INDEX(Workings_costs!X$27:X$79, MATCH($A20&amp;$B22, Workings_costs!$G$27:$G$79,0))</f>
        <v>0</v>
      </c>
      <c r="W22" s="361">
        <f>INDEX(Workings_costs!Y$27:Y$79, MATCH($A20&amp;$B22, Workings_costs!$G$27:$G$79,0))</f>
        <v>0</v>
      </c>
      <c r="X22" s="361">
        <f>INDEX(Workings_costs!Z$27:Z$79, MATCH($A20&amp;$B22, Workings_costs!$G$27:$G$79,0))</f>
        <v>0</v>
      </c>
      <c r="Y22" s="361">
        <f>INDEX(Workings_costs!AA$27:AA$79, MATCH($A20&amp;$B22, Workings_costs!$G$27:$G$79,0))</f>
        <v>0</v>
      </c>
      <c r="Z22" s="361">
        <f>INDEX(Workings_costs!AB$27:AB$79, MATCH($A20&amp;$B22, Workings_costs!$G$27:$G$79,0))</f>
        <v>0</v>
      </c>
      <c r="AA22" s="361">
        <f>INDEX(Workings_costs!AC$27:AC$79, MATCH($A20&amp;$B22, Workings_costs!$G$27:$G$79,0))</f>
        <v>0</v>
      </c>
      <c r="AB22" s="361">
        <f>INDEX(Workings_costs!AD$27:AD$79, MATCH($A20&amp;$B22, Workings_costs!$G$27:$G$79,0))</f>
        <v>0</v>
      </c>
      <c r="AC22" s="361">
        <f>INDEX(Workings_costs!AE$27:AE$79, MATCH($A20&amp;$B22, Workings_costs!$G$27:$G$79,0))</f>
        <v>0</v>
      </c>
      <c r="AD22" s="361">
        <f>INDEX(Workings_costs!AF$27:AF$79, MATCH($A20&amp;$B22, Workings_costs!$G$27:$G$79,0))</f>
        <v>0</v>
      </c>
      <c r="AE22" s="361">
        <f>INDEX(Workings_costs!AG$27:AG$79, MATCH($A20&amp;$B22, Workings_costs!$G$27:$G$79,0))</f>
        <v>0</v>
      </c>
      <c r="AF22" s="361">
        <f>INDEX(Workings_costs!AH$27:AH$79, MATCH($A20&amp;$B22, Workings_costs!$G$27:$G$79,0))</f>
        <v>0</v>
      </c>
    </row>
    <row r="23" spans="1:46" x14ac:dyDescent="0.3">
      <c r="B23" s="360" t="s">
        <v>282</v>
      </c>
      <c r="C23" s="360"/>
      <c r="D23" s="360"/>
      <c r="E23" s="360"/>
      <c r="F23" s="360"/>
      <c r="G23" s="360"/>
      <c r="H23" s="361">
        <f>$F$7</f>
        <v>377</v>
      </c>
      <c r="I23" s="361">
        <f>H23-I22</f>
        <v>377</v>
      </c>
      <c r="J23" s="361">
        <f t="shared" ref="J23" si="0">I23-J22</f>
        <v>377</v>
      </c>
      <c r="K23" s="361">
        <f t="shared" ref="K23" si="1">J23-K22</f>
        <v>377</v>
      </c>
      <c r="L23" s="361">
        <f t="shared" ref="L23" si="2">K23-L22</f>
        <v>377</v>
      </c>
      <c r="M23" s="361">
        <f t="shared" ref="M23" si="3">L23-M22</f>
        <v>377</v>
      </c>
      <c r="N23" s="361">
        <f t="shared" ref="N23" si="4">M23-N22</f>
        <v>377</v>
      </c>
      <c r="O23" s="361">
        <f t="shared" ref="O23" si="5">N23-O22</f>
        <v>377</v>
      </c>
      <c r="P23" s="361">
        <f t="shared" ref="P23" si="6">O23-P22</f>
        <v>377</v>
      </c>
      <c r="Q23" s="361">
        <f t="shared" ref="Q23" si="7">P23-Q22</f>
        <v>377</v>
      </c>
      <c r="R23" s="361">
        <f t="shared" ref="R23" si="8">Q23-R22</f>
        <v>377</v>
      </c>
      <c r="S23" s="361">
        <f t="shared" ref="S23" si="9">R23-S22</f>
        <v>377</v>
      </c>
      <c r="T23" s="361">
        <f t="shared" ref="T23" si="10">S23-T22</f>
        <v>377</v>
      </c>
      <c r="U23" s="361">
        <f t="shared" ref="U23" si="11">T23-U22</f>
        <v>377</v>
      </c>
      <c r="V23" s="361">
        <f t="shared" ref="V23" si="12">U23-V22</f>
        <v>377</v>
      </c>
      <c r="W23" s="361">
        <f t="shared" ref="W23" si="13">V23-W22</f>
        <v>377</v>
      </c>
      <c r="X23" s="361">
        <f t="shared" ref="X23" si="14">W23-X22</f>
        <v>377</v>
      </c>
      <c r="Y23" s="361">
        <f t="shared" ref="Y23" si="15">X23-Y22</f>
        <v>377</v>
      </c>
      <c r="Z23" s="361">
        <f t="shared" ref="Z23" si="16">Y23-Z22</f>
        <v>377</v>
      </c>
      <c r="AA23" s="361">
        <f t="shared" ref="AA23" si="17">Z23-AA22</f>
        <v>377</v>
      </c>
      <c r="AB23" s="361">
        <f t="shared" ref="AB23" si="18">AA23-AB22</f>
        <v>377</v>
      </c>
      <c r="AC23" s="361">
        <f t="shared" ref="AC23" si="19">AB23-AC22</f>
        <v>377</v>
      </c>
      <c r="AD23" s="361">
        <f t="shared" ref="AD23" si="20">AC23-AD22</f>
        <v>377</v>
      </c>
      <c r="AE23" s="361">
        <f t="shared" ref="AE23" si="21">AD23-AE22</f>
        <v>377</v>
      </c>
      <c r="AF23" s="361">
        <f t="shared" ref="AF23" si="22">AE23-AF22</f>
        <v>377</v>
      </c>
    </row>
    <row r="24" spans="1:46" x14ac:dyDescent="0.3">
      <c r="B24" s="360" t="s">
        <v>283</v>
      </c>
      <c r="C24" s="360"/>
      <c r="D24" s="360"/>
      <c r="E24" s="360"/>
      <c r="F24" s="360"/>
      <c r="G24" s="360"/>
      <c r="H24" s="360"/>
      <c r="I24" s="361">
        <f t="shared" ref="I24:AB24" si="23">I22+H24</f>
        <v>0</v>
      </c>
      <c r="J24" s="361">
        <f t="shared" si="23"/>
        <v>0</v>
      </c>
      <c r="K24" s="361">
        <f t="shared" si="23"/>
        <v>0</v>
      </c>
      <c r="L24" s="361">
        <f t="shared" si="23"/>
        <v>0</v>
      </c>
      <c r="M24" s="361">
        <f t="shared" si="23"/>
        <v>0</v>
      </c>
      <c r="N24" s="361">
        <f t="shared" si="23"/>
        <v>0</v>
      </c>
      <c r="O24" s="361">
        <f t="shared" si="23"/>
        <v>0</v>
      </c>
      <c r="P24" s="361">
        <f t="shared" si="23"/>
        <v>0</v>
      </c>
      <c r="Q24" s="361">
        <f t="shared" si="23"/>
        <v>0</v>
      </c>
      <c r="R24" s="361">
        <f t="shared" si="23"/>
        <v>0</v>
      </c>
      <c r="S24" s="361">
        <f t="shared" si="23"/>
        <v>0</v>
      </c>
      <c r="T24" s="361">
        <f t="shared" si="23"/>
        <v>0</v>
      </c>
      <c r="U24" s="361">
        <f t="shared" si="23"/>
        <v>0</v>
      </c>
      <c r="V24" s="361">
        <f t="shared" si="23"/>
        <v>0</v>
      </c>
      <c r="W24" s="361">
        <f t="shared" si="23"/>
        <v>0</v>
      </c>
      <c r="X24" s="361">
        <f t="shared" si="23"/>
        <v>0</v>
      </c>
      <c r="Y24" s="361">
        <f t="shared" si="23"/>
        <v>0</v>
      </c>
      <c r="Z24" s="361">
        <f t="shared" si="23"/>
        <v>0</v>
      </c>
      <c r="AA24" s="361">
        <f t="shared" si="23"/>
        <v>0</v>
      </c>
      <c r="AB24" s="361">
        <f t="shared" si="23"/>
        <v>0</v>
      </c>
      <c r="AC24" s="361">
        <f t="shared" ref="AC24:AF24" si="24">AC22+AB24</f>
        <v>0</v>
      </c>
      <c r="AD24" s="361">
        <f t="shared" si="24"/>
        <v>0</v>
      </c>
      <c r="AE24" s="361">
        <f t="shared" si="24"/>
        <v>0</v>
      </c>
      <c r="AF24" s="361">
        <f t="shared" si="24"/>
        <v>0</v>
      </c>
    </row>
    <row r="25" spans="1:46" x14ac:dyDescent="0.3">
      <c r="I25" s="337"/>
    </row>
    <row r="26" spans="1:46" x14ac:dyDescent="0.3">
      <c r="A26" s="14" t="s">
        <v>296</v>
      </c>
    </row>
    <row r="27" spans="1:46" x14ac:dyDescent="0.3">
      <c r="B27" s="14" t="s">
        <v>269</v>
      </c>
      <c r="E27" s="8" t="s">
        <v>40</v>
      </c>
    </row>
    <row r="28" spans="1:46" ht="13.5" x14ac:dyDescent="0.3">
      <c r="B28" s="8" t="s">
        <v>293</v>
      </c>
      <c r="H28" s="347">
        <f t="shared" ref="H28:AB28" si="25">H23/$F$12</f>
        <v>2.3484706908366036E-2</v>
      </c>
      <c r="I28" s="347">
        <f t="shared" si="25"/>
        <v>2.3484706908366036E-2</v>
      </c>
      <c r="J28" s="347">
        <f t="shared" si="25"/>
        <v>2.3484706908366036E-2</v>
      </c>
      <c r="K28" s="347">
        <f t="shared" si="25"/>
        <v>2.3484706908366036E-2</v>
      </c>
      <c r="L28" s="347">
        <f t="shared" si="25"/>
        <v>2.3484706908366036E-2</v>
      </c>
      <c r="M28" s="347">
        <f t="shared" si="25"/>
        <v>2.3484706908366036E-2</v>
      </c>
      <c r="N28" s="347">
        <f t="shared" si="25"/>
        <v>2.3484706908366036E-2</v>
      </c>
      <c r="O28" s="347">
        <f t="shared" si="25"/>
        <v>2.3484706908366036E-2</v>
      </c>
      <c r="P28" s="347">
        <f t="shared" si="25"/>
        <v>2.3484706908366036E-2</v>
      </c>
      <c r="Q28" s="347">
        <f t="shared" si="25"/>
        <v>2.3484706908366036E-2</v>
      </c>
      <c r="R28" s="347">
        <f t="shared" si="25"/>
        <v>2.3484706908366036E-2</v>
      </c>
      <c r="S28" s="347">
        <f t="shared" si="25"/>
        <v>2.3484706908366036E-2</v>
      </c>
      <c r="T28" s="347">
        <f t="shared" si="25"/>
        <v>2.3484706908366036E-2</v>
      </c>
      <c r="U28" s="347">
        <f t="shared" si="25"/>
        <v>2.3484706908366036E-2</v>
      </c>
      <c r="V28" s="347">
        <f t="shared" si="25"/>
        <v>2.3484706908366036E-2</v>
      </c>
      <c r="W28" s="347">
        <f t="shared" si="25"/>
        <v>2.3484706908366036E-2</v>
      </c>
      <c r="X28" s="347">
        <f t="shared" si="25"/>
        <v>2.3484706908366036E-2</v>
      </c>
      <c r="Y28" s="347">
        <f t="shared" si="25"/>
        <v>2.3484706908366036E-2</v>
      </c>
      <c r="Z28" s="347">
        <f t="shared" si="25"/>
        <v>2.3484706908366036E-2</v>
      </c>
      <c r="AA28" s="347">
        <f t="shared" si="25"/>
        <v>2.3484706908366036E-2</v>
      </c>
      <c r="AB28" s="347">
        <f t="shared" si="25"/>
        <v>2.3484706908366036E-2</v>
      </c>
      <c r="AC28" s="347">
        <f t="shared" ref="AC28:AF28" si="26">AC23/$F$12</f>
        <v>2.3484706908366036E-2</v>
      </c>
      <c r="AD28" s="347">
        <f t="shared" si="26"/>
        <v>2.3484706908366036E-2</v>
      </c>
      <c r="AE28" s="347">
        <f t="shared" si="26"/>
        <v>2.3484706908366036E-2</v>
      </c>
      <c r="AF28" s="347">
        <f t="shared" si="26"/>
        <v>2.3484706908366036E-2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ht="13.5" x14ac:dyDescent="0.3">
      <c r="B29" s="8" t="s">
        <v>106</v>
      </c>
      <c r="E29" s="8" t="s">
        <v>40</v>
      </c>
      <c r="I29" s="337">
        <f>$F$10*I28</f>
        <v>85.445226412508575</v>
      </c>
      <c r="J29" s="337">
        <f t="shared" ref="J29:AB29" si="27">$F$10*J28</f>
        <v>85.445226412508575</v>
      </c>
      <c r="K29" s="337">
        <f t="shared" si="27"/>
        <v>85.445226412508575</v>
      </c>
      <c r="L29" s="337">
        <f t="shared" si="27"/>
        <v>85.445226412508575</v>
      </c>
      <c r="M29" s="337">
        <f t="shared" si="27"/>
        <v>85.445226412508575</v>
      </c>
      <c r="N29" s="337">
        <f t="shared" si="27"/>
        <v>85.445226412508575</v>
      </c>
      <c r="O29" s="337">
        <f t="shared" si="27"/>
        <v>85.445226412508575</v>
      </c>
      <c r="P29" s="337">
        <f t="shared" si="27"/>
        <v>85.445226412508575</v>
      </c>
      <c r="Q29" s="337">
        <f t="shared" si="27"/>
        <v>85.445226412508575</v>
      </c>
      <c r="R29" s="337">
        <f t="shared" si="27"/>
        <v>85.445226412508575</v>
      </c>
      <c r="S29" s="337">
        <f t="shared" si="27"/>
        <v>85.445226412508575</v>
      </c>
      <c r="T29" s="337">
        <f t="shared" si="27"/>
        <v>85.445226412508575</v>
      </c>
      <c r="U29" s="337">
        <f t="shared" si="27"/>
        <v>85.445226412508575</v>
      </c>
      <c r="V29" s="337">
        <f t="shared" si="27"/>
        <v>85.445226412508575</v>
      </c>
      <c r="W29" s="337">
        <f t="shared" si="27"/>
        <v>85.445226412508575</v>
      </c>
      <c r="X29" s="337">
        <f t="shared" si="27"/>
        <v>85.445226412508575</v>
      </c>
      <c r="Y29" s="337">
        <f t="shared" si="27"/>
        <v>85.445226412508575</v>
      </c>
      <c r="Z29" s="337">
        <f t="shared" si="27"/>
        <v>85.445226412508575</v>
      </c>
      <c r="AA29" s="337">
        <f t="shared" si="27"/>
        <v>85.445226412508575</v>
      </c>
      <c r="AB29" s="337">
        <f t="shared" si="27"/>
        <v>85.445226412508575</v>
      </c>
      <c r="AC29" s="337">
        <f t="shared" ref="AC29" si="28">$F$10*AC28</f>
        <v>85.445226412508575</v>
      </c>
      <c r="AD29" s="337">
        <f t="shared" ref="AD29" si="29">$F$10*AD28</f>
        <v>85.445226412508575</v>
      </c>
      <c r="AE29" s="337">
        <f t="shared" ref="AE29" si="30">$F$10*AE28</f>
        <v>85.445226412508575</v>
      </c>
      <c r="AF29" s="337">
        <f t="shared" ref="AF29" si="31">$F$10*AF28</f>
        <v>85.445226412508575</v>
      </c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ht="13.5" x14ac:dyDescent="0.3">
      <c r="B30" s="8" t="s">
        <v>270</v>
      </c>
      <c r="E30" s="349">
        <v>2023</v>
      </c>
      <c r="I30" s="337">
        <f>I29*$F$15</f>
        <v>3743824.1408840665</v>
      </c>
      <c r="J30" s="337">
        <f t="shared" ref="J30:AB30" si="32">J29*$F$15</f>
        <v>3743824.1408840665</v>
      </c>
      <c r="K30" s="337">
        <f t="shared" si="32"/>
        <v>3743824.1408840665</v>
      </c>
      <c r="L30" s="337">
        <f t="shared" si="32"/>
        <v>3743824.1408840665</v>
      </c>
      <c r="M30" s="337">
        <f t="shared" si="32"/>
        <v>3743824.1408840665</v>
      </c>
      <c r="N30" s="337">
        <f t="shared" si="32"/>
        <v>3743824.1408840665</v>
      </c>
      <c r="O30" s="337">
        <f t="shared" si="32"/>
        <v>3743824.1408840665</v>
      </c>
      <c r="P30" s="337">
        <f t="shared" si="32"/>
        <v>3743824.1408840665</v>
      </c>
      <c r="Q30" s="337">
        <f t="shared" si="32"/>
        <v>3743824.1408840665</v>
      </c>
      <c r="R30" s="337">
        <f t="shared" si="32"/>
        <v>3743824.1408840665</v>
      </c>
      <c r="S30" s="337">
        <f t="shared" si="32"/>
        <v>3743824.1408840665</v>
      </c>
      <c r="T30" s="337">
        <f t="shared" si="32"/>
        <v>3743824.1408840665</v>
      </c>
      <c r="U30" s="337">
        <f t="shared" si="32"/>
        <v>3743824.1408840665</v>
      </c>
      <c r="V30" s="337">
        <f t="shared" si="32"/>
        <v>3743824.1408840665</v>
      </c>
      <c r="W30" s="337">
        <f t="shared" si="32"/>
        <v>3743824.1408840665</v>
      </c>
      <c r="X30" s="337">
        <f t="shared" si="32"/>
        <v>3743824.1408840665</v>
      </c>
      <c r="Y30" s="337">
        <f t="shared" si="32"/>
        <v>3743824.1408840665</v>
      </c>
      <c r="Z30" s="337">
        <f t="shared" si="32"/>
        <v>3743824.1408840665</v>
      </c>
      <c r="AA30" s="337">
        <f t="shared" si="32"/>
        <v>3743824.1408840665</v>
      </c>
      <c r="AB30" s="337">
        <f t="shared" si="32"/>
        <v>3743824.1408840665</v>
      </c>
      <c r="AC30" s="337">
        <f t="shared" ref="AC30" si="33">AC29*$F$15</f>
        <v>3743824.1408840665</v>
      </c>
      <c r="AD30" s="337">
        <f t="shared" ref="AD30" si="34">AD29*$F$15</f>
        <v>3743824.1408840665</v>
      </c>
      <c r="AE30" s="337">
        <f t="shared" ref="AE30" si="35">AE29*$F$15</f>
        <v>3743824.1408840665</v>
      </c>
      <c r="AF30" s="337">
        <f t="shared" ref="AF30" si="36">AF29*$F$15</f>
        <v>3743824.1408840665</v>
      </c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x14ac:dyDescent="0.3">
      <c r="B31" s="14" t="s">
        <v>271</v>
      </c>
      <c r="E31" s="8" t="s">
        <v>40</v>
      </c>
    </row>
    <row r="32" spans="1:46" ht="13.5" x14ac:dyDescent="0.3">
      <c r="B32" s="8" t="s">
        <v>106</v>
      </c>
      <c r="E32" s="8" t="s">
        <v>40</v>
      </c>
      <c r="I32" s="337">
        <f t="shared" ref="I32:AF32" si="37">$F$9*H28</f>
        <v>41.25461705600199</v>
      </c>
      <c r="J32" s="337">
        <f t="shared" si="37"/>
        <v>41.25461705600199</v>
      </c>
      <c r="K32" s="337">
        <f t="shared" si="37"/>
        <v>41.25461705600199</v>
      </c>
      <c r="L32" s="337">
        <f t="shared" si="37"/>
        <v>41.25461705600199</v>
      </c>
      <c r="M32" s="337">
        <f t="shared" si="37"/>
        <v>41.25461705600199</v>
      </c>
      <c r="N32" s="337">
        <f t="shared" si="37"/>
        <v>41.25461705600199</v>
      </c>
      <c r="O32" s="337">
        <f t="shared" si="37"/>
        <v>41.25461705600199</v>
      </c>
      <c r="P32" s="337">
        <f t="shared" si="37"/>
        <v>41.25461705600199</v>
      </c>
      <c r="Q32" s="337">
        <f t="shared" si="37"/>
        <v>41.25461705600199</v>
      </c>
      <c r="R32" s="337">
        <f t="shared" si="37"/>
        <v>41.25461705600199</v>
      </c>
      <c r="S32" s="337">
        <f t="shared" si="37"/>
        <v>41.25461705600199</v>
      </c>
      <c r="T32" s="337">
        <f t="shared" si="37"/>
        <v>41.25461705600199</v>
      </c>
      <c r="U32" s="337">
        <f t="shared" si="37"/>
        <v>41.25461705600199</v>
      </c>
      <c r="V32" s="337">
        <f t="shared" si="37"/>
        <v>41.25461705600199</v>
      </c>
      <c r="W32" s="337">
        <f t="shared" si="37"/>
        <v>41.25461705600199</v>
      </c>
      <c r="X32" s="337">
        <f t="shared" si="37"/>
        <v>41.25461705600199</v>
      </c>
      <c r="Y32" s="337">
        <f t="shared" si="37"/>
        <v>41.25461705600199</v>
      </c>
      <c r="Z32" s="337">
        <f t="shared" si="37"/>
        <v>41.25461705600199</v>
      </c>
      <c r="AA32" s="337">
        <f t="shared" si="37"/>
        <v>41.25461705600199</v>
      </c>
      <c r="AB32" s="337">
        <f t="shared" si="37"/>
        <v>41.25461705600199</v>
      </c>
      <c r="AC32" s="337">
        <f t="shared" si="37"/>
        <v>41.25461705600199</v>
      </c>
      <c r="AD32" s="337">
        <f t="shared" si="37"/>
        <v>41.25461705600199</v>
      </c>
      <c r="AE32" s="337">
        <f t="shared" si="37"/>
        <v>41.25461705600199</v>
      </c>
      <c r="AF32" s="337">
        <f t="shared" si="37"/>
        <v>41.25461705600199</v>
      </c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ht="13.5" x14ac:dyDescent="0.3">
      <c r="B33" s="8" t="s">
        <v>298</v>
      </c>
      <c r="E33" s="349">
        <v>2023</v>
      </c>
      <c r="F33" s="337"/>
      <c r="I33" s="337">
        <f>I32*$F$17</f>
        <v>1084554.6632052278</v>
      </c>
      <c r="J33" s="337">
        <f t="shared" ref="J33:AB33" si="38">J32*$F$17</f>
        <v>1084554.6632052278</v>
      </c>
      <c r="K33" s="337">
        <f t="shared" si="38"/>
        <v>1084554.6632052278</v>
      </c>
      <c r="L33" s="337">
        <f t="shared" si="38"/>
        <v>1084554.6632052278</v>
      </c>
      <c r="M33" s="337">
        <f t="shared" si="38"/>
        <v>1084554.6632052278</v>
      </c>
      <c r="N33" s="337">
        <f t="shared" si="38"/>
        <v>1084554.6632052278</v>
      </c>
      <c r="O33" s="337">
        <f t="shared" si="38"/>
        <v>1084554.6632052278</v>
      </c>
      <c r="P33" s="337">
        <f t="shared" si="38"/>
        <v>1084554.6632052278</v>
      </c>
      <c r="Q33" s="337">
        <f t="shared" si="38"/>
        <v>1084554.6632052278</v>
      </c>
      <c r="R33" s="337">
        <f t="shared" si="38"/>
        <v>1084554.6632052278</v>
      </c>
      <c r="S33" s="337">
        <f t="shared" si="38"/>
        <v>1084554.6632052278</v>
      </c>
      <c r="T33" s="337">
        <f t="shared" si="38"/>
        <v>1084554.6632052278</v>
      </c>
      <c r="U33" s="337">
        <f t="shared" si="38"/>
        <v>1084554.6632052278</v>
      </c>
      <c r="V33" s="337">
        <f t="shared" si="38"/>
        <v>1084554.6632052278</v>
      </c>
      <c r="W33" s="337">
        <f t="shared" si="38"/>
        <v>1084554.6632052278</v>
      </c>
      <c r="X33" s="337">
        <f t="shared" si="38"/>
        <v>1084554.6632052278</v>
      </c>
      <c r="Y33" s="337">
        <f t="shared" si="38"/>
        <v>1084554.6632052278</v>
      </c>
      <c r="Z33" s="337">
        <f t="shared" si="38"/>
        <v>1084554.6632052278</v>
      </c>
      <c r="AA33" s="337">
        <f t="shared" si="38"/>
        <v>1084554.6632052278</v>
      </c>
      <c r="AB33" s="337">
        <f t="shared" si="38"/>
        <v>1084554.6632052278</v>
      </c>
      <c r="AC33" s="337">
        <f t="shared" ref="AC33" si="39">AC32*$F$17</f>
        <v>1084554.6632052278</v>
      </c>
      <c r="AD33" s="337">
        <f t="shared" ref="AD33" si="40">AD32*$F$17</f>
        <v>1084554.6632052278</v>
      </c>
      <c r="AE33" s="337">
        <f t="shared" ref="AE33" si="41">AE32*$F$17</f>
        <v>1084554.6632052278</v>
      </c>
      <c r="AF33" s="337">
        <f t="shared" ref="AF33" si="42">AF32*$F$17</f>
        <v>1084554.6632052278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ht="13.5" x14ac:dyDescent="0.3">
      <c r="B34" s="14" t="s">
        <v>300</v>
      </c>
      <c r="C34" s="14"/>
      <c r="D34" s="14"/>
      <c r="E34" s="14"/>
      <c r="F34" s="14"/>
      <c r="G34" s="14"/>
      <c r="H34" s="14"/>
      <c r="I34" s="348">
        <f t="shared" ref="I34:AF34" si="43">I30+I33</f>
        <v>4828378.8040892947</v>
      </c>
      <c r="J34" s="348">
        <f t="shared" si="43"/>
        <v>4828378.8040892947</v>
      </c>
      <c r="K34" s="348">
        <f t="shared" si="43"/>
        <v>4828378.8040892947</v>
      </c>
      <c r="L34" s="348">
        <f t="shared" si="43"/>
        <v>4828378.8040892947</v>
      </c>
      <c r="M34" s="348">
        <f t="shared" si="43"/>
        <v>4828378.8040892947</v>
      </c>
      <c r="N34" s="348">
        <f t="shared" si="43"/>
        <v>4828378.8040892947</v>
      </c>
      <c r="O34" s="348">
        <f t="shared" si="43"/>
        <v>4828378.8040892947</v>
      </c>
      <c r="P34" s="348">
        <f t="shared" si="43"/>
        <v>4828378.8040892947</v>
      </c>
      <c r="Q34" s="348">
        <f t="shared" si="43"/>
        <v>4828378.8040892947</v>
      </c>
      <c r="R34" s="348">
        <f t="shared" si="43"/>
        <v>4828378.8040892947</v>
      </c>
      <c r="S34" s="348">
        <f t="shared" si="43"/>
        <v>4828378.8040892947</v>
      </c>
      <c r="T34" s="348">
        <f t="shared" si="43"/>
        <v>4828378.8040892947</v>
      </c>
      <c r="U34" s="348">
        <f t="shared" si="43"/>
        <v>4828378.8040892947</v>
      </c>
      <c r="V34" s="348">
        <f t="shared" si="43"/>
        <v>4828378.8040892947</v>
      </c>
      <c r="W34" s="348">
        <f t="shared" si="43"/>
        <v>4828378.8040892947</v>
      </c>
      <c r="X34" s="348">
        <f t="shared" si="43"/>
        <v>4828378.8040892947</v>
      </c>
      <c r="Y34" s="348">
        <f t="shared" si="43"/>
        <v>4828378.8040892947</v>
      </c>
      <c r="Z34" s="348">
        <f t="shared" si="43"/>
        <v>4828378.8040892947</v>
      </c>
      <c r="AA34" s="348">
        <f t="shared" si="43"/>
        <v>4828378.8040892947</v>
      </c>
      <c r="AB34" s="348">
        <f t="shared" si="43"/>
        <v>4828378.8040892947</v>
      </c>
      <c r="AC34" s="348">
        <f t="shared" si="43"/>
        <v>4828378.8040892947</v>
      </c>
      <c r="AD34" s="348">
        <f t="shared" si="43"/>
        <v>4828378.8040892947</v>
      </c>
      <c r="AE34" s="348">
        <f t="shared" si="43"/>
        <v>4828378.8040892947</v>
      </c>
      <c r="AF34" s="348">
        <f t="shared" si="43"/>
        <v>4828378.8040892947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ht="13.5" x14ac:dyDescent="0.3"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3.5" x14ac:dyDescent="0.3">
      <c r="A36" s="14" t="s">
        <v>272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3.5" x14ac:dyDescent="0.3">
      <c r="B37" s="82" t="s">
        <v>273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3.5" x14ac:dyDescent="0.3">
      <c r="B38" s="8" t="s">
        <v>274</v>
      </c>
      <c r="E38" s="8" t="s">
        <v>40</v>
      </c>
      <c r="F38" s="336">
        <v>7.0337034132705228E-2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3.5" x14ac:dyDescent="0.3">
      <c r="B39" s="8" t="s">
        <v>284</v>
      </c>
      <c r="I39" s="40">
        <v>4.3605556593783091E-4</v>
      </c>
      <c r="J39" s="40">
        <v>4.3605556593783091E-4</v>
      </c>
      <c r="K39" s="40">
        <v>4.3605556593783091E-4</v>
      </c>
      <c r="L39" s="40">
        <v>4.9834921821466393E-4</v>
      </c>
      <c r="M39" s="40">
        <v>4.9834921821466393E-4</v>
      </c>
      <c r="N39" s="40">
        <v>4.9834921821466393E-4</v>
      </c>
      <c r="O39" s="40">
        <v>5.606428704914969E-4</v>
      </c>
      <c r="P39" s="40">
        <v>5.606428704914969E-4</v>
      </c>
      <c r="Q39" s="40">
        <v>6.2293652276832986E-4</v>
      </c>
      <c r="R39" s="40">
        <v>6.2293652276832986E-4</v>
      </c>
      <c r="S39" s="40">
        <v>6.8523017504516293E-4</v>
      </c>
      <c r="T39" s="40">
        <v>6.8523017504516293E-4</v>
      </c>
      <c r="U39" s="40">
        <v>7.475238273219959E-4</v>
      </c>
      <c r="V39" s="40">
        <v>7.475238273219959E-4</v>
      </c>
      <c r="W39" s="40">
        <v>7.475238273219959E-4</v>
      </c>
      <c r="X39" s="40">
        <v>7.475238273219959E-4</v>
      </c>
      <c r="Y39" s="40">
        <v>7.475238273219959E-4</v>
      </c>
      <c r="Z39" s="40">
        <v>7.475238273219959E-4</v>
      </c>
      <c r="AA39" s="40">
        <v>7.475238273219959E-4</v>
      </c>
      <c r="AB39" s="40">
        <v>7.475238273219959E-4</v>
      </c>
      <c r="AC39" s="40">
        <v>7.475238273219959E-4</v>
      </c>
      <c r="AD39" s="40">
        <v>7.475238273219959E-4</v>
      </c>
      <c r="AE39" s="40">
        <v>7.475238273219959E-4</v>
      </c>
      <c r="AF39" s="40">
        <v>7.475238273219959E-4</v>
      </c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3.5" x14ac:dyDescent="0.3">
      <c r="B40" s="8" t="s">
        <v>275</v>
      </c>
      <c r="I40" s="8">
        <f>I39*$F$12</f>
        <v>7</v>
      </c>
      <c r="J40" s="8">
        <f t="shared" ref="J40:V40" si="44">J39*$F$12</f>
        <v>7</v>
      </c>
      <c r="K40" s="8">
        <f t="shared" si="44"/>
        <v>7</v>
      </c>
      <c r="L40" s="8">
        <f t="shared" si="44"/>
        <v>8</v>
      </c>
      <c r="M40" s="8">
        <f t="shared" si="44"/>
        <v>8</v>
      </c>
      <c r="N40" s="8">
        <f t="shared" si="44"/>
        <v>8</v>
      </c>
      <c r="O40" s="8">
        <f t="shared" si="44"/>
        <v>9</v>
      </c>
      <c r="P40" s="8">
        <f t="shared" si="44"/>
        <v>9</v>
      </c>
      <c r="Q40" s="8">
        <f t="shared" si="44"/>
        <v>10</v>
      </c>
      <c r="R40" s="8">
        <f t="shared" si="44"/>
        <v>10</v>
      </c>
      <c r="S40" s="8">
        <f t="shared" si="44"/>
        <v>11</v>
      </c>
      <c r="T40" s="8">
        <f t="shared" si="44"/>
        <v>11</v>
      </c>
      <c r="U40" s="8">
        <f t="shared" si="44"/>
        <v>12</v>
      </c>
      <c r="V40" s="8">
        <f t="shared" si="44"/>
        <v>12</v>
      </c>
      <c r="W40" s="8">
        <f t="shared" ref="W40" si="45">W39*$F$12</f>
        <v>12</v>
      </c>
      <c r="X40" s="8">
        <f t="shared" ref="X40" si="46">X39*$F$12</f>
        <v>12</v>
      </c>
      <c r="Y40" s="8">
        <f t="shared" ref="Y40" si="47">Y39*$F$12</f>
        <v>12</v>
      </c>
      <c r="Z40" s="8">
        <f t="shared" ref="Z40" si="48">Z39*$F$12</f>
        <v>12</v>
      </c>
      <c r="AA40" s="8">
        <f t="shared" ref="AA40" si="49">AA39*$F$12</f>
        <v>12</v>
      </c>
      <c r="AB40" s="8">
        <f t="shared" ref="AB40" si="50">AB39*$F$12</f>
        <v>12</v>
      </c>
      <c r="AC40" s="8">
        <f t="shared" ref="AC40" si="51">AC39*$F$12</f>
        <v>12</v>
      </c>
      <c r="AD40" s="8">
        <f t="shared" ref="AD40" si="52">AD39*$F$12</f>
        <v>12</v>
      </c>
      <c r="AE40" s="8">
        <f t="shared" ref="AE40" si="53">AE39*$F$12</f>
        <v>12</v>
      </c>
      <c r="AF40" s="8">
        <f t="shared" ref="AF40" si="54">AF39*$F$12</f>
        <v>12</v>
      </c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3.5" x14ac:dyDescent="0.3">
      <c r="B41" s="8" t="s">
        <v>276</v>
      </c>
      <c r="F41" s="331">
        <v>4</v>
      </c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3.5" x14ac:dyDescent="0.3">
      <c r="B42" s="8" t="s">
        <v>106</v>
      </c>
      <c r="E42" s="8" t="s">
        <v>40</v>
      </c>
      <c r="I42" s="337">
        <f t="shared" ref="I42:V42" si="55">I40*$F$41*$F$38</f>
        <v>1.9694369557157465</v>
      </c>
      <c r="J42" s="337">
        <f t="shared" si="55"/>
        <v>1.9694369557157465</v>
      </c>
      <c r="K42" s="337">
        <f t="shared" si="55"/>
        <v>1.9694369557157465</v>
      </c>
      <c r="L42" s="337">
        <f t="shared" si="55"/>
        <v>2.2507850922465673</v>
      </c>
      <c r="M42" s="337">
        <f t="shared" si="55"/>
        <v>2.2507850922465673</v>
      </c>
      <c r="N42" s="337">
        <f t="shared" si="55"/>
        <v>2.2507850922465673</v>
      </c>
      <c r="O42" s="337">
        <f t="shared" si="55"/>
        <v>2.5321332287773881</v>
      </c>
      <c r="P42" s="337">
        <f t="shared" si="55"/>
        <v>2.5321332287773881</v>
      </c>
      <c r="Q42" s="337">
        <f t="shared" si="55"/>
        <v>2.8134813653082089</v>
      </c>
      <c r="R42" s="337">
        <f t="shared" si="55"/>
        <v>2.8134813653082089</v>
      </c>
      <c r="S42" s="337">
        <f t="shared" si="55"/>
        <v>3.0948295018390302</v>
      </c>
      <c r="T42" s="337">
        <f t="shared" si="55"/>
        <v>3.0948295018390302</v>
      </c>
      <c r="U42" s="337">
        <f t="shared" si="55"/>
        <v>3.376177638369851</v>
      </c>
      <c r="V42" s="8">
        <f t="shared" si="55"/>
        <v>3.376177638369851</v>
      </c>
      <c r="W42" s="8">
        <f t="shared" ref="W42:AB42" si="56">W40*$F$41*$F$38</f>
        <v>3.376177638369851</v>
      </c>
      <c r="X42" s="8">
        <f t="shared" si="56"/>
        <v>3.376177638369851</v>
      </c>
      <c r="Y42" s="8">
        <f t="shared" si="56"/>
        <v>3.376177638369851</v>
      </c>
      <c r="Z42" s="8">
        <f t="shared" si="56"/>
        <v>3.376177638369851</v>
      </c>
      <c r="AA42" s="8">
        <f t="shared" si="56"/>
        <v>3.376177638369851</v>
      </c>
      <c r="AB42" s="8">
        <f t="shared" si="56"/>
        <v>3.376177638369851</v>
      </c>
      <c r="AC42" s="8">
        <f t="shared" ref="AC42:AF42" si="57">AC40*$F$41*$F$38</f>
        <v>3.376177638369851</v>
      </c>
      <c r="AD42" s="8">
        <f t="shared" si="57"/>
        <v>3.376177638369851</v>
      </c>
      <c r="AE42" s="8">
        <f t="shared" si="57"/>
        <v>3.376177638369851</v>
      </c>
      <c r="AF42" s="8">
        <f t="shared" si="57"/>
        <v>3.376177638369851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3.5" x14ac:dyDescent="0.3">
      <c r="B43" s="8" t="s">
        <v>270</v>
      </c>
      <c r="F43" s="337">
        <f>Assumptions!$H$41</f>
        <v>43815.486225173103</v>
      </c>
      <c r="I43" s="337">
        <f t="shared" ref="I43:AF43" si="58">I42*$F15</f>
        <v>86291.837804510142</v>
      </c>
      <c r="J43" s="337">
        <f t="shared" si="58"/>
        <v>86291.837804510142</v>
      </c>
      <c r="K43" s="337">
        <f t="shared" si="58"/>
        <v>86291.837804510142</v>
      </c>
      <c r="L43" s="337">
        <f t="shared" si="58"/>
        <v>98619.243205154446</v>
      </c>
      <c r="M43" s="337">
        <f t="shared" si="58"/>
        <v>98619.243205154446</v>
      </c>
      <c r="N43" s="337">
        <f t="shared" si="58"/>
        <v>98619.243205154446</v>
      </c>
      <c r="O43" s="337">
        <f t="shared" si="58"/>
        <v>110946.64860579873</v>
      </c>
      <c r="P43" s="337">
        <f t="shared" si="58"/>
        <v>110946.64860579873</v>
      </c>
      <c r="Q43" s="337">
        <f t="shared" si="58"/>
        <v>123274.05400644304</v>
      </c>
      <c r="R43" s="337">
        <f t="shared" si="58"/>
        <v>123274.05400644304</v>
      </c>
      <c r="S43" s="337">
        <f t="shared" si="58"/>
        <v>135601.45940708736</v>
      </c>
      <c r="T43" s="337">
        <f t="shared" si="58"/>
        <v>135601.45940708736</v>
      </c>
      <c r="U43" s="337">
        <f t="shared" si="58"/>
        <v>147928.86480773168</v>
      </c>
      <c r="V43" s="337">
        <f t="shared" si="58"/>
        <v>147928.86480773168</v>
      </c>
      <c r="W43" s="337">
        <f t="shared" si="58"/>
        <v>147928.86480773168</v>
      </c>
      <c r="X43" s="337">
        <f t="shared" si="58"/>
        <v>147928.86480773168</v>
      </c>
      <c r="Y43" s="337">
        <f t="shared" si="58"/>
        <v>147928.86480773168</v>
      </c>
      <c r="Z43" s="337">
        <f t="shared" si="58"/>
        <v>147928.86480773168</v>
      </c>
      <c r="AA43" s="337">
        <f t="shared" si="58"/>
        <v>147928.86480773168</v>
      </c>
      <c r="AB43" s="337">
        <f t="shared" si="58"/>
        <v>147928.86480773168</v>
      </c>
      <c r="AC43" s="337">
        <f t="shared" si="58"/>
        <v>147928.86480773168</v>
      </c>
      <c r="AD43" s="337">
        <f t="shared" si="58"/>
        <v>147928.86480773168</v>
      </c>
      <c r="AE43" s="337">
        <f t="shared" si="58"/>
        <v>147928.86480773168</v>
      </c>
      <c r="AF43" s="337">
        <f t="shared" si="58"/>
        <v>147928.86480773168</v>
      </c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3.5" x14ac:dyDescent="0.3"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3.5" x14ac:dyDescent="0.3">
      <c r="A45" s="14" t="s">
        <v>278</v>
      </c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3.5" x14ac:dyDescent="0.3">
      <c r="B46" s="8" t="s">
        <v>279</v>
      </c>
      <c r="I46" s="337">
        <f t="shared" ref="I46:AF46" si="59">I22</f>
        <v>0</v>
      </c>
      <c r="J46" s="337">
        <f t="shared" si="59"/>
        <v>0</v>
      </c>
      <c r="K46" s="337">
        <f t="shared" si="59"/>
        <v>0</v>
      </c>
      <c r="L46" s="337">
        <f t="shared" si="59"/>
        <v>0</v>
      </c>
      <c r="M46" s="337">
        <f t="shared" si="59"/>
        <v>0</v>
      </c>
      <c r="N46" s="337">
        <f t="shared" si="59"/>
        <v>0</v>
      </c>
      <c r="O46" s="337">
        <f t="shared" si="59"/>
        <v>0</v>
      </c>
      <c r="P46" s="337">
        <f t="shared" si="59"/>
        <v>0</v>
      </c>
      <c r="Q46" s="337">
        <f t="shared" si="59"/>
        <v>0</v>
      </c>
      <c r="R46" s="337">
        <f t="shared" si="59"/>
        <v>0</v>
      </c>
      <c r="S46" s="337">
        <f t="shared" si="59"/>
        <v>0</v>
      </c>
      <c r="T46" s="337">
        <f t="shared" si="59"/>
        <v>0</v>
      </c>
      <c r="U46" s="337">
        <f t="shared" si="59"/>
        <v>0</v>
      </c>
      <c r="V46" s="337">
        <f t="shared" si="59"/>
        <v>0</v>
      </c>
      <c r="W46" s="337">
        <f t="shared" si="59"/>
        <v>0</v>
      </c>
      <c r="X46" s="337">
        <f t="shared" si="59"/>
        <v>0</v>
      </c>
      <c r="Y46" s="337">
        <f t="shared" si="59"/>
        <v>0</v>
      </c>
      <c r="Z46" s="337">
        <f t="shared" si="59"/>
        <v>0</v>
      </c>
      <c r="AA46" s="337">
        <f t="shared" si="59"/>
        <v>0</v>
      </c>
      <c r="AB46" s="337">
        <f t="shared" si="59"/>
        <v>0</v>
      </c>
      <c r="AC46" s="337">
        <f t="shared" si="59"/>
        <v>0</v>
      </c>
      <c r="AD46" s="337">
        <f t="shared" si="59"/>
        <v>0</v>
      </c>
      <c r="AE46" s="337">
        <f t="shared" si="59"/>
        <v>0</v>
      </c>
      <c r="AF46" s="337">
        <f t="shared" si="59"/>
        <v>0</v>
      </c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3.5" x14ac:dyDescent="0.3">
      <c r="B47" s="8" t="s">
        <v>280</v>
      </c>
      <c r="F47" s="333">
        <v>0.4</v>
      </c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13.5" x14ac:dyDescent="0.3">
      <c r="B48" s="8" t="s">
        <v>106</v>
      </c>
      <c r="I48" s="337">
        <f t="shared" ref="I48:AF48" si="60">F41*$F$38*$F$47*I46</f>
        <v>0</v>
      </c>
      <c r="J48" s="337">
        <f t="shared" si="60"/>
        <v>0</v>
      </c>
      <c r="K48" s="337">
        <f t="shared" si="60"/>
        <v>0</v>
      </c>
      <c r="L48" s="337">
        <f t="shared" si="60"/>
        <v>0</v>
      </c>
      <c r="M48" s="337">
        <f t="shared" si="60"/>
        <v>0</v>
      </c>
      <c r="N48" s="337">
        <f t="shared" si="60"/>
        <v>0</v>
      </c>
      <c r="O48" s="337">
        <f t="shared" si="60"/>
        <v>0</v>
      </c>
      <c r="P48" s="337">
        <f t="shared" si="60"/>
        <v>0</v>
      </c>
      <c r="Q48" s="337">
        <f t="shared" si="60"/>
        <v>0</v>
      </c>
      <c r="R48" s="337">
        <f t="shared" si="60"/>
        <v>0</v>
      </c>
      <c r="S48" s="337">
        <f t="shared" si="60"/>
        <v>0</v>
      </c>
      <c r="T48" s="337">
        <f t="shared" si="60"/>
        <v>0</v>
      </c>
      <c r="U48" s="337">
        <f t="shared" si="60"/>
        <v>0</v>
      </c>
      <c r="V48" s="337">
        <f t="shared" si="60"/>
        <v>0</v>
      </c>
      <c r="W48" s="337">
        <f t="shared" si="60"/>
        <v>0</v>
      </c>
      <c r="X48" s="337">
        <f t="shared" si="60"/>
        <v>0</v>
      </c>
      <c r="Y48" s="337">
        <f t="shared" si="60"/>
        <v>0</v>
      </c>
      <c r="Z48" s="337">
        <f t="shared" si="60"/>
        <v>0</v>
      </c>
      <c r="AA48" s="337">
        <f t="shared" si="60"/>
        <v>0</v>
      </c>
      <c r="AB48" s="337">
        <f t="shared" si="60"/>
        <v>0</v>
      </c>
      <c r="AC48" s="337">
        <f t="shared" si="60"/>
        <v>0</v>
      </c>
      <c r="AD48" s="337">
        <f t="shared" si="60"/>
        <v>0</v>
      </c>
      <c r="AE48" s="337">
        <f t="shared" si="60"/>
        <v>0</v>
      </c>
      <c r="AF48" s="337">
        <f t="shared" si="60"/>
        <v>0</v>
      </c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13.5" x14ac:dyDescent="0.3">
      <c r="B49" s="8" t="s">
        <v>297</v>
      </c>
      <c r="F49" s="337"/>
      <c r="I49" s="337">
        <f>I48*$F$15</f>
        <v>0</v>
      </c>
      <c r="J49" s="337">
        <f t="shared" ref="J49:V49" si="61">J48*$F$15</f>
        <v>0</v>
      </c>
      <c r="K49" s="337">
        <f t="shared" si="61"/>
        <v>0</v>
      </c>
      <c r="L49" s="337">
        <f t="shared" si="61"/>
        <v>0</v>
      </c>
      <c r="M49" s="337">
        <f t="shared" si="61"/>
        <v>0</v>
      </c>
      <c r="N49" s="337">
        <f t="shared" si="61"/>
        <v>0</v>
      </c>
      <c r="O49" s="337">
        <f t="shared" si="61"/>
        <v>0</v>
      </c>
      <c r="P49" s="337">
        <f t="shared" si="61"/>
        <v>0</v>
      </c>
      <c r="Q49" s="337">
        <f t="shared" si="61"/>
        <v>0</v>
      </c>
      <c r="R49" s="337">
        <f t="shared" si="61"/>
        <v>0</v>
      </c>
      <c r="S49" s="337">
        <f t="shared" si="61"/>
        <v>0</v>
      </c>
      <c r="T49" s="337">
        <f t="shared" si="61"/>
        <v>0</v>
      </c>
      <c r="U49" s="337">
        <f t="shared" si="61"/>
        <v>0</v>
      </c>
      <c r="V49" s="337">
        <f t="shared" si="61"/>
        <v>0</v>
      </c>
      <c r="W49" s="337">
        <f t="shared" ref="W49" si="62">W48*$F$15</f>
        <v>0</v>
      </c>
      <c r="X49" s="337">
        <f t="shared" ref="X49" si="63">X48*$F$15</f>
        <v>0</v>
      </c>
      <c r="Y49" s="337">
        <f t="shared" ref="Y49" si="64">Y48*$F$15</f>
        <v>0</v>
      </c>
      <c r="Z49" s="337">
        <f t="shared" ref="Z49" si="65">Z48*$F$15</f>
        <v>0</v>
      </c>
      <c r="AA49" s="337">
        <f t="shared" ref="AA49" si="66">AA48*$F$15</f>
        <v>0</v>
      </c>
      <c r="AB49" s="337">
        <f t="shared" ref="AB49" si="67">AB48*$F$15</f>
        <v>0</v>
      </c>
      <c r="AC49" s="337">
        <f t="shared" ref="AC49" si="68">AC48*$F$15</f>
        <v>0</v>
      </c>
      <c r="AD49" s="337">
        <f t="shared" ref="AD49" si="69">AD48*$F$15</f>
        <v>0</v>
      </c>
      <c r="AE49" s="337">
        <f t="shared" ref="AE49" si="70">AE48*$F$15</f>
        <v>0</v>
      </c>
      <c r="AF49" s="337">
        <f t="shared" ref="AF49" si="71">AF48*$F$15</f>
        <v>0</v>
      </c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13.5" x14ac:dyDescent="0.3">
      <c r="A50" s="14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13.5" x14ac:dyDescent="0.3">
      <c r="A51" s="14" t="s">
        <v>277</v>
      </c>
      <c r="B51" s="8" t="s">
        <v>292</v>
      </c>
      <c r="F51" s="337" cm="1">
        <f t="array" ref="F51">SUMPRODUCT((Assumptions!$G$70:$G$72)*(Assumptions!$H$70:$H$72)*(Assumptions!$I$70:$I$72))</f>
        <v>108349.14389581641</v>
      </c>
      <c r="I51" s="337">
        <f t="shared" ref="I51:AF51" si="72">$F$51*I$40</f>
        <v>758444.00727071485</v>
      </c>
      <c r="J51" s="337">
        <f t="shared" si="72"/>
        <v>758444.00727071485</v>
      </c>
      <c r="K51" s="337">
        <f t="shared" si="72"/>
        <v>758444.00727071485</v>
      </c>
      <c r="L51" s="337">
        <f t="shared" si="72"/>
        <v>866793.15116653126</v>
      </c>
      <c r="M51" s="337">
        <f t="shared" si="72"/>
        <v>866793.15116653126</v>
      </c>
      <c r="N51" s="337">
        <f t="shared" si="72"/>
        <v>866793.15116653126</v>
      </c>
      <c r="O51" s="337">
        <f t="shared" si="72"/>
        <v>975142.29506234766</v>
      </c>
      <c r="P51" s="337">
        <f t="shared" si="72"/>
        <v>975142.29506234766</v>
      </c>
      <c r="Q51" s="337">
        <f t="shared" si="72"/>
        <v>1083491.4389581641</v>
      </c>
      <c r="R51" s="337">
        <f t="shared" si="72"/>
        <v>1083491.4389581641</v>
      </c>
      <c r="S51" s="337">
        <f t="shared" si="72"/>
        <v>1191840.5828539804</v>
      </c>
      <c r="T51" s="337">
        <f t="shared" si="72"/>
        <v>1191840.5828539804</v>
      </c>
      <c r="U51" s="337">
        <f t="shared" si="72"/>
        <v>1300189.7267497969</v>
      </c>
      <c r="V51" s="337">
        <f t="shared" si="72"/>
        <v>1300189.7267497969</v>
      </c>
      <c r="W51" s="337">
        <f t="shared" si="72"/>
        <v>1300189.7267497969</v>
      </c>
      <c r="X51" s="337">
        <f t="shared" si="72"/>
        <v>1300189.7267497969</v>
      </c>
      <c r="Y51" s="337">
        <f t="shared" si="72"/>
        <v>1300189.7267497969</v>
      </c>
      <c r="Z51" s="337">
        <f t="shared" si="72"/>
        <v>1300189.7267497969</v>
      </c>
      <c r="AA51" s="337">
        <f t="shared" si="72"/>
        <v>1300189.7267497969</v>
      </c>
      <c r="AB51" s="337">
        <f t="shared" si="72"/>
        <v>1300189.7267497969</v>
      </c>
      <c r="AC51" s="337">
        <f t="shared" si="72"/>
        <v>1300189.7267497969</v>
      </c>
      <c r="AD51" s="337">
        <f t="shared" si="72"/>
        <v>1300189.7267497969</v>
      </c>
      <c r="AE51" s="337">
        <f t="shared" si="72"/>
        <v>1300189.7267497969</v>
      </c>
      <c r="AF51" s="337">
        <f t="shared" si="72"/>
        <v>1300189.7267497969</v>
      </c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3.5" x14ac:dyDescent="0.3"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3.5" x14ac:dyDescent="0.3"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13.5" x14ac:dyDescent="0.3">
      <c r="B54" s="14" t="s">
        <v>295</v>
      </c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3.5" x14ac:dyDescent="0.3">
      <c r="A55" s="8" t="s">
        <v>294</v>
      </c>
      <c r="B55" s="1" t="s">
        <v>114</v>
      </c>
      <c r="F55" s="351" t="s">
        <v>97</v>
      </c>
      <c r="G55" s="351" t="str">
        <f>A55&amp;F55</f>
        <v>Option 1Safety</v>
      </c>
      <c r="I55" s="337">
        <f t="shared" ref="I55:AF55" si="73">I51</f>
        <v>758444.00727071485</v>
      </c>
      <c r="J55" s="337">
        <f t="shared" si="73"/>
        <v>758444.00727071485</v>
      </c>
      <c r="K55" s="337">
        <f t="shared" si="73"/>
        <v>758444.00727071485</v>
      </c>
      <c r="L55" s="337">
        <f t="shared" si="73"/>
        <v>866793.15116653126</v>
      </c>
      <c r="M55" s="337">
        <f t="shared" si="73"/>
        <v>866793.15116653126</v>
      </c>
      <c r="N55" s="337">
        <f t="shared" si="73"/>
        <v>866793.15116653126</v>
      </c>
      <c r="O55" s="337">
        <f t="shared" si="73"/>
        <v>975142.29506234766</v>
      </c>
      <c r="P55" s="337">
        <f t="shared" si="73"/>
        <v>975142.29506234766</v>
      </c>
      <c r="Q55" s="337">
        <f t="shared" si="73"/>
        <v>1083491.4389581641</v>
      </c>
      <c r="R55" s="337">
        <f t="shared" si="73"/>
        <v>1083491.4389581641</v>
      </c>
      <c r="S55" s="337">
        <f t="shared" si="73"/>
        <v>1191840.5828539804</v>
      </c>
      <c r="T55" s="337">
        <f t="shared" si="73"/>
        <v>1191840.5828539804</v>
      </c>
      <c r="U55" s="337">
        <f t="shared" si="73"/>
        <v>1300189.7267497969</v>
      </c>
      <c r="V55" s="337">
        <f t="shared" si="73"/>
        <v>1300189.7267497969</v>
      </c>
      <c r="W55" s="337">
        <f t="shared" si="73"/>
        <v>1300189.7267497969</v>
      </c>
      <c r="X55" s="337">
        <f t="shared" si="73"/>
        <v>1300189.7267497969</v>
      </c>
      <c r="Y55" s="337">
        <f t="shared" si="73"/>
        <v>1300189.7267497969</v>
      </c>
      <c r="Z55" s="337">
        <f t="shared" si="73"/>
        <v>1300189.7267497969</v>
      </c>
      <c r="AA55" s="337">
        <f t="shared" si="73"/>
        <v>1300189.7267497969</v>
      </c>
      <c r="AB55" s="337">
        <f t="shared" si="73"/>
        <v>1300189.7267497969</v>
      </c>
      <c r="AC55" s="337">
        <f t="shared" si="73"/>
        <v>1300189.7267497969</v>
      </c>
      <c r="AD55" s="337">
        <f t="shared" si="73"/>
        <v>1300189.7267497969</v>
      </c>
      <c r="AE55" s="337">
        <f t="shared" si="73"/>
        <v>1300189.7267497969</v>
      </c>
      <c r="AF55" s="337">
        <f t="shared" si="73"/>
        <v>1300189.7267497969</v>
      </c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3.5" x14ac:dyDescent="0.3">
      <c r="A56" s="8" t="s">
        <v>294</v>
      </c>
      <c r="B56" s="1" t="s">
        <v>243</v>
      </c>
      <c r="F56" s="351" t="s">
        <v>243</v>
      </c>
      <c r="G56" s="351" t="str">
        <f t="shared" ref="G56:G58" si="74">A56&amp;F56</f>
        <v>Option 1Outages</v>
      </c>
      <c r="I56" s="337">
        <f t="shared" ref="I56:AF56" si="75">I34</f>
        <v>4828378.8040892947</v>
      </c>
      <c r="J56" s="337">
        <f t="shared" si="75"/>
        <v>4828378.8040892947</v>
      </c>
      <c r="K56" s="337">
        <f t="shared" si="75"/>
        <v>4828378.8040892947</v>
      </c>
      <c r="L56" s="337">
        <f t="shared" si="75"/>
        <v>4828378.8040892947</v>
      </c>
      <c r="M56" s="337">
        <f t="shared" si="75"/>
        <v>4828378.8040892947</v>
      </c>
      <c r="N56" s="337">
        <f t="shared" si="75"/>
        <v>4828378.8040892947</v>
      </c>
      <c r="O56" s="337">
        <f t="shared" si="75"/>
        <v>4828378.8040892947</v>
      </c>
      <c r="P56" s="337">
        <f t="shared" si="75"/>
        <v>4828378.8040892947</v>
      </c>
      <c r="Q56" s="337">
        <f t="shared" si="75"/>
        <v>4828378.8040892947</v>
      </c>
      <c r="R56" s="337">
        <f t="shared" si="75"/>
        <v>4828378.8040892947</v>
      </c>
      <c r="S56" s="337">
        <f t="shared" si="75"/>
        <v>4828378.8040892947</v>
      </c>
      <c r="T56" s="337">
        <f t="shared" si="75"/>
        <v>4828378.8040892947</v>
      </c>
      <c r="U56" s="337">
        <f t="shared" si="75"/>
        <v>4828378.8040892947</v>
      </c>
      <c r="V56" s="337">
        <f t="shared" si="75"/>
        <v>4828378.8040892947</v>
      </c>
      <c r="W56" s="337">
        <f t="shared" si="75"/>
        <v>4828378.8040892947</v>
      </c>
      <c r="X56" s="337">
        <f t="shared" si="75"/>
        <v>4828378.8040892947</v>
      </c>
      <c r="Y56" s="337">
        <f t="shared" si="75"/>
        <v>4828378.8040892947</v>
      </c>
      <c r="Z56" s="337">
        <f t="shared" si="75"/>
        <v>4828378.8040892947</v>
      </c>
      <c r="AA56" s="337">
        <f t="shared" si="75"/>
        <v>4828378.8040892947</v>
      </c>
      <c r="AB56" s="337">
        <f t="shared" si="75"/>
        <v>4828378.8040892947</v>
      </c>
      <c r="AC56" s="337">
        <f t="shared" si="75"/>
        <v>4828378.8040892947</v>
      </c>
      <c r="AD56" s="337">
        <f t="shared" si="75"/>
        <v>4828378.8040892947</v>
      </c>
      <c r="AE56" s="337">
        <f t="shared" si="75"/>
        <v>4828378.8040892947</v>
      </c>
      <c r="AF56" s="337">
        <f t="shared" si="75"/>
        <v>4828378.8040892947</v>
      </c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13.5" x14ac:dyDescent="0.3">
      <c r="A57" s="8" t="s">
        <v>294</v>
      </c>
      <c r="B57" s="1" t="s">
        <v>288</v>
      </c>
      <c r="F57" s="351" t="s">
        <v>302</v>
      </c>
      <c r="G57" s="351" t="str">
        <f t="shared" si="74"/>
        <v>Option 1Failures</v>
      </c>
      <c r="I57" s="337">
        <f t="shared" ref="I57:AF57" si="76">I43</f>
        <v>86291.837804510142</v>
      </c>
      <c r="J57" s="337">
        <f t="shared" si="76"/>
        <v>86291.837804510142</v>
      </c>
      <c r="K57" s="337">
        <f t="shared" si="76"/>
        <v>86291.837804510142</v>
      </c>
      <c r="L57" s="337">
        <f t="shared" si="76"/>
        <v>98619.243205154446</v>
      </c>
      <c r="M57" s="337">
        <f t="shared" si="76"/>
        <v>98619.243205154446</v>
      </c>
      <c r="N57" s="337">
        <f t="shared" si="76"/>
        <v>98619.243205154446</v>
      </c>
      <c r="O57" s="337">
        <f t="shared" si="76"/>
        <v>110946.64860579873</v>
      </c>
      <c r="P57" s="337">
        <f t="shared" si="76"/>
        <v>110946.64860579873</v>
      </c>
      <c r="Q57" s="337">
        <f t="shared" si="76"/>
        <v>123274.05400644304</v>
      </c>
      <c r="R57" s="337">
        <f t="shared" si="76"/>
        <v>123274.05400644304</v>
      </c>
      <c r="S57" s="337">
        <f t="shared" si="76"/>
        <v>135601.45940708736</v>
      </c>
      <c r="T57" s="337">
        <f t="shared" si="76"/>
        <v>135601.45940708736</v>
      </c>
      <c r="U57" s="337">
        <f t="shared" si="76"/>
        <v>147928.86480773168</v>
      </c>
      <c r="V57" s="337">
        <f t="shared" si="76"/>
        <v>147928.86480773168</v>
      </c>
      <c r="W57" s="337">
        <f t="shared" si="76"/>
        <v>147928.86480773168</v>
      </c>
      <c r="X57" s="337">
        <f t="shared" si="76"/>
        <v>147928.86480773168</v>
      </c>
      <c r="Y57" s="337">
        <f t="shared" si="76"/>
        <v>147928.86480773168</v>
      </c>
      <c r="Z57" s="337">
        <f t="shared" si="76"/>
        <v>147928.86480773168</v>
      </c>
      <c r="AA57" s="337">
        <f t="shared" si="76"/>
        <v>147928.86480773168</v>
      </c>
      <c r="AB57" s="337">
        <f t="shared" si="76"/>
        <v>147928.86480773168</v>
      </c>
      <c r="AC57" s="337">
        <f t="shared" si="76"/>
        <v>147928.86480773168</v>
      </c>
      <c r="AD57" s="337">
        <f t="shared" si="76"/>
        <v>147928.86480773168</v>
      </c>
      <c r="AE57" s="337">
        <f t="shared" si="76"/>
        <v>147928.86480773168</v>
      </c>
      <c r="AF57" s="337">
        <f t="shared" si="76"/>
        <v>147928.86480773168</v>
      </c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3.5" x14ac:dyDescent="0.3">
      <c r="A58" s="8" t="s">
        <v>294</v>
      </c>
      <c r="B58" s="1" t="s">
        <v>289</v>
      </c>
      <c r="F58" s="351" t="s">
        <v>245</v>
      </c>
      <c r="G58" s="351" t="str">
        <f t="shared" si="74"/>
        <v>Option 1Planned</v>
      </c>
      <c r="I58" s="337">
        <f t="shared" ref="I58:AF58" si="77">I48</f>
        <v>0</v>
      </c>
      <c r="J58" s="337">
        <f t="shared" si="77"/>
        <v>0</v>
      </c>
      <c r="K58" s="337">
        <f t="shared" si="77"/>
        <v>0</v>
      </c>
      <c r="L58" s="337">
        <f t="shared" si="77"/>
        <v>0</v>
      </c>
      <c r="M58" s="337">
        <f t="shared" si="77"/>
        <v>0</v>
      </c>
      <c r="N58" s="337">
        <f t="shared" si="77"/>
        <v>0</v>
      </c>
      <c r="O58" s="337">
        <f t="shared" si="77"/>
        <v>0</v>
      </c>
      <c r="P58" s="337">
        <f t="shared" si="77"/>
        <v>0</v>
      </c>
      <c r="Q58" s="337">
        <f t="shared" si="77"/>
        <v>0</v>
      </c>
      <c r="R58" s="337">
        <f t="shared" si="77"/>
        <v>0</v>
      </c>
      <c r="S58" s="337">
        <f t="shared" si="77"/>
        <v>0</v>
      </c>
      <c r="T58" s="337">
        <f t="shared" si="77"/>
        <v>0</v>
      </c>
      <c r="U58" s="337">
        <f t="shared" si="77"/>
        <v>0</v>
      </c>
      <c r="V58" s="337">
        <f t="shared" si="77"/>
        <v>0</v>
      </c>
      <c r="W58" s="337">
        <f t="shared" si="77"/>
        <v>0</v>
      </c>
      <c r="X58" s="337">
        <f t="shared" si="77"/>
        <v>0</v>
      </c>
      <c r="Y58" s="337">
        <f t="shared" si="77"/>
        <v>0</v>
      </c>
      <c r="Z58" s="337">
        <f t="shared" si="77"/>
        <v>0</v>
      </c>
      <c r="AA58" s="337">
        <f t="shared" si="77"/>
        <v>0</v>
      </c>
      <c r="AB58" s="337">
        <f t="shared" si="77"/>
        <v>0</v>
      </c>
      <c r="AC58" s="337">
        <f t="shared" si="77"/>
        <v>0</v>
      </c>
      <c r="AD58" s="337">
        <f t="shared" si="77"/>
        <v>0</v>
      </c>
      <c r="AE58" s="337">
        <f t="shared" si="77"/>
        <v>0</v>
      </c>
      <c r="AF58" s="337">
        <f t="shared" si="77"/>
        <v>0</v>
      </c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ht="13.5" x14ac:dyDescent="0.3">
      <c r="B59" s="342" t="s">
        <v>138</v>
      </c>
      <c r="C59" s="339"/>
      <c r="D59" s="339"/>
      <c r="E59" s="339"/>
      <c r="F59" s="339"/>
      <c r="G59" s="339"/>
      <c r="H59" s="339"/>
      <c r="I59" s="343">
        <f t="shared" ref="I59:V59" si="78">SUM(I55:I58)</f>
        <v>5673114.6491645202</v>
      </c>
      <c r="J59" s="343">
        <f t="shared" si="78"/>
        <v>5673114.6491645202</v>
      </c>
      <c r="K59" s="343">
        <f t="shared" si="78"/>
        <v>5673114.6491645202</v>
      </c>
      <c r="L59" s="343">
        <f t="shared" si="78"/>
        <v>5793791.1984609803</v>
      </c>
      <c r="M59" s="343">
        <f t="shared" si="78"/>
        <v>5793791.1984609803</v>
      </c>
      <c r="N59" s="343">
        <f t="shared" si="78"/>
        <v>5793791.1984609803</v>
      </c>
      <c r="O59" s="343">
        <f t="shared" si="78"/>
        <v>5914467.7477574404</v>
      </c>
      <c r="P59" s="343">
        <f t="shared" si="78"/>
        <v>5914467.7477574404</v>
      </c>
      <c r="Q59" s="343">
        <f t="shared" si="78"/>
        <v>6035144.2970539024</v>
      </c>
      <c r="R59" s="343">
        <f t="shared" si="78"/>
        <v>6035144.2970539024</v>
      </c>
      <c r="S59" s="343">
        <f t="shared" si="78"/>
        <v>6155820.8463503625</v>
      </c>
      <c r="T59" s="343">
        <f t="shared" si="78"/>
        <v>6155820.8463503625</v>
      </c>
      <c r="U59" s="343">
        <f t="shared" si="78"/>
        <v>6276497.3956468226</v>
      </c>
      <c r="V59" s="343">
        <f t="shared" si="78"/>
        <v>6276497.3956468226</v>
      </c>
      <c r="W59" s="343">
        <f t="shared" ref="W59:AB59" si="79">SUM(W55:W58)</f>
        <v>6276497.3956468226</v>
      </c>
      <c r="X59" s="343">
        <f t="shared" si="79"/>
        <v>6276497.3956468226</v>
      </c>
      <c r="Y59" s="343">
        <f t="shared" si="79"/>
        <v>6276497.3956468226</v>
      </c>
      <c r="Z59" s="343">
        <f t="shared" si="79"/>
        <v>6276497.3956468226</v>
      </c>
      <c r="AA59" s="343">
        <f t="shared" si="79"/>
        <v>6276497.3956468226</v>
      </c>
      <c r="AB59" s="343">
        <f t="shared" si="79"/>
        <v>6276497.3956468226</v>
      </c>
      <c r="AC59" s="343">
        <f t="shared" ref="AC59" si="80">SUM(AC55:AC58)</f>
        <v>6276497.3956468226</v>
      </c>
      <c r="AD59" s="343">
        <f t="shared" ref="AD59" si="81">SUM(AD55:AD58)</f>
        <v>6276497.3956468226</v>
      </c>
      <c r="AE59" s="343">
        <f t="shared" ref="AE59" si="82">SUM(AE55:AE58)</f>
        <v>6276497.3956468226</v>
      </c>
      <c r="AF59" s="343">
        <f t="shared" ref="AF59" si="83">SUM(AF55:AF58)</f>
        <v>6276497.3956468226</v>
      </c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ht="13.5" x14ac:dyDescent="0.3"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ht="13.5" x14ac:dyDescent="0.3"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customFormat="1" ht="14.5" x14ac:dyDescent="0.3">
      <c r="A62" s="18" t="s">
        <v>129</v>
      </c>
      <c r="B62" s="18"/>
      <c r="C62" s="18"/>
      <c r="D62" s="18"/>
      <c r="E62" s="142"/>
      <c r="F62" s="142"/>
      <c r="G62" s="334"/>
      <c r="H62" s="334">
        <v>46203</v>
      </c>
      <c r="I62" s="17" t="s">
        <v>19</v>
      </c>
      <c r="J62" s="17" t="s">
        <v>21</v>
      </c>
      <c r="K62" s="17" t="s">
        <v>20</v>
      </c>
      <c r="L62" s="17" t="s">
        <v>22</v>
      </c>
      <c r="M62" s="17" t="s">
        <v>93</v>
      </c>
      <c r="N62" s="17" t="s">
        <v>94</v>
      </c>
      <c r="O62" s="17" t="s">
        <v>250</v>
      </c>
      <c r="P62" s="17" t="s">
        <v>251</v>
      </c>
      <c r="Q62" s="17" t="s">
        <v>252</v>
      </c>
      <c r="R62" s="17" t="s">
        <v>253</v>
      </c>
      <c r="S62" s="17" t="s">
        <v>254</v>
      </c>
      <c r="T62" s="17" t="s">
        <v>255</v>
      </c>
      <c r="U62" s="17" t="s">
        <v>256</v>
      </c>
      <c r="V62" s="17" t="s">
        <v>257</v>
      </c>
      <c r="W62" s="17" t="s">
        <v>257</v>
      </c>
      <c r="X62" s="17" t="s">
        <v>257</v>
      </c>
      <c r="Y62" s="17" t="s">
        <v>257</v>
      </c>
      <c r="Z62" s="17" t="s">
        <v>257</v>
      </c>
      <c r="AA62" s="17" t="s">
        <v>257</v>
      </c>
      <c r="AB62" s="17" t="s">
        <v>257</v>
      </c>
      <c r="AC62" s="17" t="s">
        <v>257</v>
      </c>
      <c r="AD62" s="17" t="s">
        <v>257</v>
      </c>
      <c r="AE62" s="17" t="s">
        <v>257</v>
      </c>
      <c r="AF62" s="17" t="s">
        <v>257</v>
      </c>
    </row>
    <row r="63" spans="1:46" ht="13.5" x14ac:dyDescent="0.3"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ht="13.5" x14ac:dyDescent="0.3">
      <c r="B64" s="360" t="s">
        <v>281</v>
      </c>
      <c r="C64" s="360"/>
      <c r="D64" s="360"/>
      <c r="E64" s="360"/>
      <c r="F64" s="360"/>
      <c r="G64" s="360"/>
      <c r="H64" s="360"/>
      <c r="I64" s="361">
        <f>INDEX(Workings_costs!K$27:K$79, MATCH($A62&amp;$B64, Workings_costs!$G$27:$G$79,0))</f>
        <v>377</v>
      </c>
      <c r="J64" s="361">
        <f>INDEX(Workings_costs!L$27:L$79, MATCH($A62&amp;$B64, Workings_costs!$G$27:$G$79,0))</f>
        <v>0</v>
      </c>
      <c r="K64" s="361">
        <f>INDEX(Workings_costs!M$27:M$79, MATCH($A62&amp;$B64, Workings_costs!$G$27:$G$79,0))</f>
        <v>0</v>
      </c>
      <c r="L64" s="361">
        <f>INDEX(Workings_costs!N$27:N$79, MATCH($A62&amp;$B64, Workings_costs!$G$27:$G$79,0))</f>
        <v>0</v>
      </c>
      <c r="M64" s="361">
        <f>INDEX(Workings_costs!O$27:O$79, MATCH($A62&amp;$B64, Workings_costs!$G$27:$G$79,0))</f>
        <v>0</v>
      </c>
      <c r="N64" s="361">
        <f>INDEX(Workings_costs!P$27:P$79, MATCH($A62&amp;$B64, Workings_costs!$G$27:$G$79,0))</f>
        <v>0</v>
      </c>
      <c r="O64" s="361">
        <f>INDEX(Workings_costs!Q$27:Q$79, MATCH($A62&amp;$B64, Workings_costs!$G$27:$G$79,0))</f>
        <v>0</v>
      </c>
      <c r="P64" s="361">
        <f>INDEX(Workings_costs!R$27:R$79, MATCH($A62&amp;$B64, Workings_costs!$G$27:$G$79,0))</f>
        <v>0</v>
      </c>
      <c r="Q64" s="361">
        <f>INDEX(Workings_costs!S$27:S$79, MATCH($A62&amp;$B64, Workings_costs!$G$27:$G$79,0))</f>
        <v>0</v>
      </c>
      <c r="R64" s="361">
        <f>INDEX(Workings_costs!T$27:T$79, MATCH($A62&amp;$B64, Workings_costs!$G$27:$G$79,0))</f>
        <v>0</v>
      </c>
      <c r="S64" s="361">
        <f>INDEX(Workings_costs!U$27:U$79, MATCH($A62&amp;$B64, Workings_costs!$G$27:$G$79,0))</f>
        <v>0</v>
      </c>
      <c r="T64" s="361">
        <f>INDEX(Workings_costs!V$27:V$79, MATCH($A62&amp;$B64, Workings_costs!$G$27:$G$79,0))</f>
        <v>0</v>
      </c>
      <c r="U64" s="361">
        <f>INDEX(Workings_costs!W$27:W$79, MATCH($A62&amp;$B64, Workings_costs!$G$27:$G$79,0))</f>
        <v>0</v>
      </c>
      <c r="V64" s="361">
        <f>INDEX(Workings_costs!X$27:X$79, MATCH($A62&amp;$B64, Workings_costs!$G$27:$G$79,0))</f>
        <v>0</v>
      </c>
      <c r="W64" s="361">
        <f>INDEX(Workings_costs!Y$27:Y$79, MATCH($A62&amp;$B64, Workings_costs!$G$27:$G$79,0))</f>
        <v>0</v>
      </c>
      <c r="X64" s="361">
        <f>INDEX(Workings_costs!Z$27:Z$79, MATCH($A62&amp;$B64, Workings_costs!$G$27:$G$79,0))</f>
        <v>0</v>
      </c>
      <c r="Y64" s="361">
        <f>INDEX(Workings_costs!AA$27:AA$79, MATCH($A62&amp;$B64, Workings_costs!$G$27:$G$79,0))</f>
        <v>0</v>
      </c>
      <c r="Z64" s="361">
        <f>INDEX(Workings_costs!AB$27:AB$79, MATCH($A62&amp;$B64, Workings_costs!$G$27:$G$79,0))</f>
        <v>0</v>
      </c>
      <c r="AA64" s="361">
        <f>INDEX(Workings_costs!AC$27:AC$79, MATCH($A62&amp;$B64, Workings_costs!$G$27:$G$79,0))</f>
        <v>0</v>
      </c>
      <c r="AB64" s="361">
        <f>INDEX(Workings_costs!AD$27:AD$79, MATCH($A62&amp;$B64, Workings_costs!$G$27:$G$79,0))</f>
        <v>0</v>
      </c>
      <c r="AC64" s="361">
        <f>INDEX(Workings_costs!AE$27:AE$79, MATCH($A62&amp;$B64, Workings_costs!$G$27:$G$79,0))</f>
        <v>0</v>
      </c>
      <c r="AD64" s="361">
        <f>INDEX(Workings_costs!AF$27:AF$79, MATCH($A62&amp;$B64, Workings_costs!$G$27:$G$79,0))</f>
        <v>0</v>
      </c>
      <c r="AE64" s="361">
        <f>INDEX(Workings_costs!AG$27:AG$79, MATCH($A62&amp;$B64, Workings_costs!$G$27:$G$79,0))</f>
        <v>0</v>
      </c>
      <c r="AF64" s="361">
        <f>INDEX(Workings_costs!AH$27:AH$79, MATCH($A62&amp;$B64, Workings_costs!$G$27:$G$79,0))</f>
        <v>0</v>
      </c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ht="13.5" x14ac:dyDescent="0.3">
      <c r="B65" s="360" t="s">
        <v>282</v>
      </c>
      <c r="C65" s="360"/>
      <c r="D65" s="360"/>
      <c r="E65" s="360"/>
      <c r="F65" s="360"/>
      <c r="G65" s="360"/>
      <c r="H65" s="361">
        <f>$F$7</f>
        <v>377</v>
      </c>
      <c r="I65" s="361">
        <f>H65-I64</f>
        <v>0</v>
      </c>
      <c r="J65" s="361">
        <f t="shared" ref="J65" si="84">I65-J64</f>
        <v>0</v>
      </c>
      <c r="K65" s="361">
        <f t="shared" ref="K65" si="85">J65-K64</f>
        <v>0</v>
      </c>
      <c r="L65" s="361">
        <f t="shared" ref="L65" si="86">K65-L64</f>
        <v>0</v>
      </c>
      <c r="M65" s="361">
        <f t="shared" ref="M65" si="87">L65-M64</f>
        <v>0</v>
      </c>
      <c r="N65" s="361">
        <f t="shared" ref="N65" si="88">M65-N64</f>
        <v>0</v>
      </c>
      <c r="O65" s="361">
        <f t="shared" ref="O65" si="89">N65-O64</f>
        <v>0</v>
      </c>
      <c r="P65" s="361">
        <f t="shared" ref="P65" si="90">O65-P64</f>
        <v>0</v>
      </c>
      <c r="Q65" s="361">
        <f t="shared" ref="Q65" si="91">P65-Q64</f>
        <v>0</v>
      </c>
      <c r="R65" s="361">
        <f t="shared" ref="R65" si="92">Q65-R64</f>
        <v>0</v>
      </c>
      <c r="S65" s="361">
        <f t="shared" ref="S65" si="93">R65-S64</f>
        <v>0</v>
      </c>
      <c r="T65" s="361">
        <f t="shared" ref="T65" si="94">S65-T64</f>
        <v>0</v>
      </c>
      <c r="U65" s="361">
        <f t="shared" ref="U65" si="95">T65-U64</f>
        <v>0</v>
      </c>
      <c r="V65" s="361">
        <f t="shared" ref="V65" si="96">U65-V64</f>
        <v>0</v>
      </c>
      <c r="W65" s="361">
        <f t="shared" ref="W65" si="97">V65-W64</f>
        <v>0</v>
      </c>
      <c r="X65" s="361">
        <f t="shared" ref="X65" si="98">W65-X64</f>
        <v>0</v>
      </c>
      <c r="Y65" s="361">
        <f t="shared" ref="Y65" si="99">X65-Y64</f>
        <v>0</v>
      </c>
      <c r="Z65" s="361">
        <f t="shared" ref="Z65" si="100">Y65-Z64</f>
        <v>0</v>
      </c>
      <c r="AA65" s="361">
        <f t="shared" ref="AA65" si="101">Z65-AA64</f>
        <v>0</v>
      </c>
      <c r="AB65" s="361">
        <f t="shared" ref="AB65" si="102">AA65-AB64</f>
        <v>0</v>
      </c>
      <c r="AC65" s="361">
        <f t="shared" ref="AC65" si="103">AB65-AC64</f>
        <v>0</v>
      </c>
      <c r="AD65" s="361">
        <f t="shared" ref="AD65" si="104">AC65-AD64</f>
        <v>0</v>
      </c>
      <c r="AE65" s="361">
        <f t="shared" ref="AE65" si="105">AD65-AE64</f>
        <v>0</v>
      </c>
      <c r="AF65" s="361">
        <f t="shared" ref="AF65" si="106">AE65-AF64</f>
        <v>0</v>
      </c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ht="13.5" x14ac:dyDescent="0.3">
      <c r="B66" s="360" t="s">
        <v>283</v>
      </c>
      <c r="C66" s="360"/>
      <c r="D66" s="360"/>
      <c r="E66" s="360"/>
      <c r="F66" s="360"/>
      <c r="G66" s="360"/>
      <c r="H66" s="360"/>
      <c r="I66" s="361">
        <f t="shared" ref="I66:AB66" si="107">I64+H66</f>
        <v>377</v>
      </c>
      <c r="J66" s="361">
        <f t="shared" si="107"/>
        <v>377</v>
      </c>
      <c r="K66" s="361">
        <f t="shared" si="107"/>
        <v>377</v>
      </c>
      <c r="L66" s="361">
        <f t="shared" si="107"/>
        <v>377</v>
      </c>
      <c r="M66" s="361">
        <f t="shared" si="107"/>
        <v>377</v>
      </c>
      <c r="N66" s="361">
        <f t="shared" si="107"/>
        <v>377</v>
      </c>
      <c r="O66" s="361">
        <f t="shared" si="107"/>
        <v>377</v>
      </c>
      <c r="P66" s="361">
        <f t="shared" si="107"/>
        <v>377</v>
      </c>
      <c r="Q66" s="361">
        <f t="shared" si="107"/>
        <v>377</v>
      </c>
      <c r="R66" s="361">
        <f t="shared" si="107"/>
        <v>377</v>
      </c>
      <c r="S66" s="361">
        <f t="shared" si="107"/>
        <v>377</v>
      </c>
      <c r="T66" s="361">
        <f t="shared" si="107"/>
        <v>377</v>
      </c>
      <c r="U66" s="361">
        <f t="shared" si="107"/>
        <v>377</v>
      </c>
      <c r="V66" s="361">
        <f t="shared" si="107"/>
        <v>377</v>
      </c>
      <c r="W66" s="361">
        <f t="shared" si="107"/>
        <v>377</v>
      </c>
      <c r="X66" s="361">
        <f t="shared" si="107"/>
        <v>377</v>
      </c>
      <c r="Y66" s="361">
        <f t="shared" si="107"/>
        <v>377</v>
      </c>
      <c r="Z66" s="361">
        <f t="shared" si="107"/>
        <v>377</v>
      </c>
      <c r="AA66" s="361">
        <f t="shared" si="107"/>
        <v>377</v>
      </c>
      <c r="AB66" s="361">
        <f t="shared" si="107"/>
        <v>377</v>
      </c>
      <c r="AC66" s="361">
        <f t="shared" ref="AC66:AF66" si="108">AC64+AB66</f>
        <v>377</v>
      </c>
      <c r="AD66" s="361">
        <f t="shared" si="108"/>
        <v>377</v>
      </c>
      <c r="AE66" s="361">
        <f t="shared" si="108"/>
        <v>377</v>
      </c>
      <c r="AF66" s="361">
        <f t="shared" si="108"/>
        <v>377</v>
      </c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ht="13.5" x14ac:dyDescent="0.3"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ht="13.5" x14ac:dyDescent="0.3">
      <c r="A68" s="14" t="s">
        <v>296</v>
      </c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ht="13.5" x14ac:dyDescent="0.3">
      <c r="B69" s="14" t="s">
        <v>269</v>
      </c>
      <c r="E69" s="8" t="s">
        <v>40</v>
      </c>
      <c r="F69" s="331">
        <v>3638</v>
      </c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ht="13.5" x14ac:dyDescent="0.3">
      <c r="B70" s="8" t="s">
        <v>293</v>
      </c>
      <c r="H70" s="347">
        <f t="shared" ref="H70:AB70" si="109">H65/$F$12</f>
        <v>2.3484706908366036E-2</v>
      </c>
      <c r="I70" s="347">
        <f t="shared" si="109"/>
        <v>0</v>
      </c>
      <c r="J70" s="347">
        <f t="shared" si="109"/>
        <v>0</v>
      </c>
      <c r="K70" s="347">
        <f t="shared" si="109"/>
        <v>0</v>
      </c>
      <c r="L70" s="347">
        <f t="shared" si="109"/>
        <v>0</v>
      </c>
      <c r="M70" s="347">
        <f t="shared" si="109"/>
        <v>0</v>
      </c>
      <c r="N70" s="347">
        <f t="shared" si="109"/>
        <v>0</v>
      </c>
      <c r="O70" s="347">
        <f t="shared" si="109"/>
        <v>0</v>
      </c>
      <c r="P70" s="347">
        <f t="shared" si="109"/>
        <v>0</v>
      </c>
      <c r="Q70" s="347">
        <f t="shared" si="109"/>
        <v>0</v>
      </c>
      <c r="R70" s="347">
        <f t="shared" si="109"/>
        <v>0</v>
      </c>
      <c r="S70" s="347">
        <f t="shared" si="109"/>
        <v>0</v>
      </c>
      <c r="T70" s="347">
        <f t="shared" si="109"/>
        <v>0</v>
      </c>
      <c r="U70" s="347">
        <f t="shared" si="109"/>
        <v>0</v>
      </c>
      <c r="V70" s="347">
        <f t="shared" si="109"/>
        <v>0</v>
      </c>
      <c r="W70" s="347">
        <f t="shared" si="109"/>
        <v>0</v>
      </c>
      <c r="X70" s="347">
        <f t="shared" si="109"/>
        <v>0</v>
      </c>
      <c r="Y70" s="347">
        <f t="shared" si="109"/>
        <v>0</v>
      </c>
      <c r="Z70" s="347">
        <f t="shared" si="109"/>
        <v>0</v>
      </c>
      <c r="AA70" s="347">
        <f t="shared" si="109"/>
        <v>0</v>
      </c>
      <c r="AB70" s="347">
        <f t="shared" si="109"/>
        <v>0</v>
      </c>
      <c r="AC70" s="347">
        <f t="shared" ref="AC70:AF70" si="110">AC65/$F$12</f>
        <v>0</v>
      </c>
      <c r="AD70" s="347">
        <f t="shared" si="110"/>
        <v>0</v>
      </c>
      <c r="AE70" s="347">
        <f t="shared" si="110"/>
        <v>0</v>
      </c>
      <c r="AF70" s="347">
        <f t="shared" si="110"/>
        <v>0</v>
      </c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ht="13.5" x14ac:dyDescent="0.3">
      <c r="B71" s="8" t="s">
        <v>106</v>
      </c>
      <c r="I71" s="337">
        <f>$F$10*H70</f>
        <v>85.445226412508575</v>
      </c>
      <c r="J71" s="337">
        <f t="shared" ref="J71:AF71" si="111">$F$10*I70</f>
        <v>0</v>
      </c>
      <c r="K71" s="337">
        <f t="shared" si="111"/>
        <v>0</v>
      </c>
      <c r="L71" s="337">
        <f t="shared" si="111"/>
        <v>0</v>
      </c>
      <c r="M71" s="337">
        <f t="shared" si="111"/>
        <v>0</v>
      </c>
      <c r="N71" s="337">
        <f t="shared" si="111"/>
        <v>0</v>
      </c>
      <c r="O71" s="337">
        <f t="shared" si="111"/>
        <v>0</v>
      </c>
      <c r="P71" s="337">
        <f t="shared" si="111"/>
        <v>0</v>
      </c>
      <c r="Q71" s="337">
        <f t="shared" si="111"/>
        <v>0</v>
      </c>
      <c r="R71" s="337">
        <f t="shared" si="111"/>
        <v>0</v>
      </c>
      <c r="S71" s="337">
        <f t="shared" si="111"/>
        <v>0</v>
      </c>
      <c r="T71" s="337">
        <f t="shared" si="111"/>
        <v>0</v>
      </c>
      <c r="U71" s="337">
        <f t="shared" si="111"/>
        <v>0</v>
      </c>
      <c r="V71" s="337">
        <f t="shared" si="111"/>
        <v>0</v>
      </c>
      <c r="W71" s="337">
        <f t="shared" si="111"/>
        <v>0</v>
      </c>
      <c r="X71" s="337">
        <f t="shared" si="111"/>
        <v>0</v>
      </c>
      <c r="Y71" s="337">
        <f t="shared" si="111"/>
        <v>0</v>
      </c>
      <c r="Z71" s="337">
        <f t="shared" si="111"/>
        <v>0</v>
      </c>
      <c r="AA71" s="337">
        <f t="shared" si="111"/>
        <v>0</v>
      </c>
      <c r="AB71" s="337">
        <f t="shared" si="111"/>
        <v>0</v>
      </c>
      <c r="AC71" s="337">
        <f t="shared" si="111"/>
        <v>0</v>
      </c>
      <c r="AD71" s="337">
        <f t="shared" si="111"/>
        <v>0</v>
      </c>
      <c r="AE71" s="337">
        <f t="shared" si="111"/>
        <v>0</v>
      </c>
      <c r="AF71" s="337">
        <f t="shared" si="111"/>
        <v>0</v>
      </c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ht="13.5" x14ac:dyDescent="0.3">
      <c r="B72" s="8" t="s">
        <v>270</v>
      </c>
      <c r="I72" s="337">
        <f>I71*$F$15</f>
        <v>3743824.1408840665</v>
      </c>
      <c r="J72" s="337">
        <f t="shared" ref="J72" si="112">J71*$F$15</f>
        <v>0</v>
      </c>
      <c r="K72" s="337">
        <f t="shared" ref="K72" si="113">K71*$F$15</f>
        <v>0</v>
      </c>
      <c r="L72" s="337">
        <f t="shared" ref="L72" si="114">L71*$F$15</f>
        <v>0</v>
      </c>
      <c r="M72" s="337">
        <f t="shared" ref="M72" si="115">M71*$F$15</f>
        <v>0</v>
      </c>
      <c r="N72" s="337">
        <f t="shared" ref="N72" si="116">N71*$F$15</f>
        <v>0</v>
      </c>
      <c r="O72" s="337">
        <f t="shared" ref="O72" si="117">O71*$F$15</f>
        <v>0</v>
      </c>
      <c r="P72" s="337">
        <f t="shared" ref="P72" si="118">P71*$F$15</f>
        <v>0</v>
      </c>
      <c r="Q72" s="337">
        <f t="shared" ref="Q72" si="119">Q71*$F$15</f>
        <v>0</v>
      </c>
      <c r="R72" s="337">
        <f t="shared" ref="R72" si="120">R71*$F$15</f>
        <v>0</v>
      </c>
      <c r="S72" s="337">
        <f t="shared" ref="S72" si="121">S71*$F$15</f>
        <v>0</v>
      </c>
      <c r="T72" s="337">
        <f t="shared" ref="T72" si="122">T71*$F$15</f>
        <v>0</v>
      </c>
      <c r="U72" s="337">
        <f t="shared" ref="U72" si="123">U71*$F$15</f>
        <v>0</v>
      </c>
      <c r="V72" s="337">
        <f t="shared" ref="V72" si="124">V71*$F$15</f>
        <v>0</v>
      </c>
      <c r="W72" s="337">
        <f t="shared" ref="W72" si="125">W71*$F$15</f>
        <v>0</v>
      </c>
      <c r="X72" s="337">
        <f t="shared" ref="X72" si="126">X71*$F$15</f>
        <v>0</v>
      </c>
      <c r="Y72" s="337">
        <f t="shared" ref="Y72" si="127">Y71*$F$15</f>
        <v>0</v>
      </c>
      <c r="Z72" s="337">
        <f t="shared" ref="Z72" si="128">Z71*$F$15</f>
        <v>0</v>
      </c>
      <c r="AA72" s="337">
        <f t="shared" ref="AA72" si="129">AA71*$F$15</f>
        <v>0</v>
      </c>
      <c r="AB72" s="337">
        <f t="shared" ref="AB72" si="130">AB71*$F$15</f>
        <v>0</v>
      </c>
      <c r="AC72" s="337">
        <f t="shared" ref="AC72" si="131">AC71*$F$15</f>
        <v>0</v>
      </c>
      <c r="AD72" s="337">
        <f t="shared" ref="AD72" si="132">AD71*$F$15</f>
        <v>0</v>
      </c>
      <c r="AE72" s="337">
        <f t="shared" ref="AE72" si="133">AE71*$F$15</f>
        <v>0</v>
      </c>
      <c r="AF72" s="337">
        <f t="shared" ref="AF72" si="134">AF71*$F$15</f>
        <v>0</v>
      </c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ht="13.5" x14ac:dyDescent="0.3">
      <c r="B73" s="14" t="s">
        <v>271</v>
      </c>
      <c r="E73" s="8" t="s">
        <v>40</v>
      </c>
      <c r="F73" s="331">
        <v>1756.6587999999999</v>
      </c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ht="13.5" x14ac:dyDescent="0.3">
      <c r="B74" s="8" t="s">
        <v>271</v>
      </c>
      <c r="I74" s="337">
        <f t="shared" ref="I74:AF74" si="135">$F$9*H70</f>
        <v>41.25461705600199</v>
      </c>
      <c r="J74" s="337">
        <f t="shared" si="135"/>
        <v>0</v>
      </c>
      <c r="K74" s="337">
        <f t="shared" si="135"/>
        <v>0</v>
      </c>
      <c r="L74" s="337">
        <f t="shared" si="135"/>
        <v>0</v>
      </c>
      <c r="M74" s="337">
        <f t="shared" si="135"/>
        <v>0</v>
      </c>
      <c r="N74" s="337">
        <f t="shared" si="135"/>
        <v>0</v>
      </c>
      <c r="O74" s="337">
        <f t="shared" si="135"/>
        <v>0</v>
      </c>
      <c r="P74" s="337">
        <f t="shared" si="135"/>
        <v>0</v>
      </c>
      <c r="Q74" s="337">
        <f t="shared" si="135"/>
        <v>0</v>
      </c>
      <c r="R74" s="337">
        <f t="shared" si="135"/>
        <v>0</v>
      </c>
      <c r="S74" s="337">
        <f t="shared" si="135"/>
        <v>0</v>
      </c>
      <c r="T74" s="337">
        <f t="shared" si="135"/>
        <v>0</v>
      </c>
      <c r="U74" s="337">
        <f t="shared" si="135"/>
        <v>0</v>
      </c>
      <c r="V74" s="337">
        <f t="shared" si="135"/>
        <v>0</v>
      </c>
      <c r="W74" s="337">
        <f t="shared" si="135"/>
        <v>0</v>
      </c>
      <c r="X74" s="337">
        <f t="shared" si="135"/>
        <v>0</v>
      </c>
      <c r="Y74" s="337">
        <f t="shared" si="135"/>
        <v>0</v>
      </c>
      <c r="Z74" s="337">
        <f t="shared" si="135"/>
        <v>0</v>
      </c>
      <c r="AA74" s="337">
        <f t="shared" si="135"/>
        <v>0</v>
      </c>
      <c r="AB74" s="337">
        <f t="shared" si="135"/>
        <v>0</v>
      </c>
      <c r="AC74" s="337">
        <f t="shared" si="135"/>
        <v>0</v>
      </c>
      <c r="AD74" s="337">
        <f t="shared" si="135"/>
        <v>0</v>
      </c>
      <c r="AE74" s="337">
        <f t="shared" si="135"/>
        <v>0</v>
      </c>
      <c r="AF74" s="337">
        <f t="shared" si="135"/>
        <v>0</v>
      </c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ht="13.5" x14ac:dyDescent="0.3">
      <c r="B75" s="8" t="s">
        <v>298</v>
      </c>
      <c r="F75" s="337">
        <f>F72*$F$16</f>
        <v>0</v>
      </c>
      <c r="I75" s="337">
        <f>I74*$F$17</f>
        <v>1084554.6632052278</v>
      </c>
      <c r="J75" s="337">
        <f t="shared" ref="J75" si="136">J74*$F$17</f>
        <v>0</v>
      </c>
      <c r="K75" s="337">
        <f t="shared" ref="K75" si="137">K74*$F$17</f>
        <v>0</v>
      </c>
      <c r="L75" s="337">
        <f t="shared" ref="L75" si="138">L74*$F$17</f>
        <v>0</v>
      </c>
      <c r="M75" s="337">
        <f t="shared" ref="M75" si="139">M74*$F$17</f>
        <v>0</v>
      </c>
      <c r="N75" s="337">
        <f t="shared" ref="N75" si="140">N74*$F$17</f>
        <v>0</v>
      </c>
      <c r="O75" s="337">
        <f t="shared" ref="O75" si="141">O74*$F$17</f>
        <v>0</v>
      </c>
      <c r="P75" s="337">
        <f t="shared" ref="P75" si="142">P74*$F$17</f>
        <v>0</v>
      </c>
      <c r="Q75" s="337">
        <f t="shared" ref="Q75" si="143">Q74*$F$17</f>
        <v>0</v>
      </c>
      <c r="R75" s="337">
        <f t="shared" ref="R75" si="144">R74*$F$17</f>
        <v>0</v>
      </c>
      <c r="S75" s="337">
        <f t="shared" ref="S75" si="145">S74*$F$17</f>
        <v>0</v>
      </c>
      <c r="T75" s="337">
        <f t="shared" ref="T75" si="146">T74*$F$17</f>
        <v>0</v>
      </c>
      <c r="U75" s="337">
        <f t="shared" ref="U75" si="147">U74*$F$17</f>
        <v>0</v>
      </c>
      <c r="V75" s="337">
        <f t="shared" ref="V75" si="148">V74*$F$17</f>
        <v>0</v>
      </c>
      <c r="W75" s="337">
        <f t="shared" ref="W75" si="149">W74*$F$17</f>
        <v>0</v>
      </c>
      <c r="X75" s="337">
        <f t="shared" ref="X75" si="150">X74*$F$17</f>
        <v>0</v>
      </c>
      <c r="Y75" s="337">
        <f t="shared" ref="Y75" si="151">Y74*$F$17</f>
        <v>0</v>
      </c>
      <c r="Z75" s="337">
        <f t="shared" ref="Z75" si="152">Z74*$F$17</f>
        <v>0</v>
      </c>
      <c r="AA75" s="337">
        <f t="shared" ref="AA75" si="153">AA74*$F$17</f>
        <v>0</v>
      </c>
      <c r="AB75" s="337">
        <f t="shared" ref="AB75" si="154">AB74*$F$17</f>
        <v>0</v>
      </c>
      <c r="AC75" s="337">
        <f t="shared" ref="AC75" si="155">AC74*$F$17</f>
        <v>0</v>
      </c>
      <c r="AD75" s="337">
        <f t="shared" ref="AD75" si="156">AD74*$F$17</f>
        <v>0</v>
      </c>
      <c r="AE75" s="337">
        <f t="shared" ref="AE75" si="157">AE74*$F$17</f>
        <v>0</v>
      </c>
      <c r="AF75" s="337">
        <f t="shared" ref="AF75" si="158">AF74*$F$17</f>
        <v>0</v>
      </c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ht="13.5" x14ac:dyDescent="0.3">
      <c r="B76" s="14" t="s">
        <v>300</v>
      </c>
      <c r="C76" s="14"/>
      <c r="D76" s="14"/>
      <c r="E76" s="14"/>
      <c r="F76" s="14"/>
      <c r="G76" s="14"/>
      <c r="H76" s="14"/>
      <c r="I76" s="348">
        <f t="shared" ref="I76:AF76" si="159">I72+I75</f>
        <v>4828378.8040892947</v>
      </c>
      <c r="J76" s="348">
        <f t="shared" si="159"/>
        <v>0</v>
      </c>
      <c r="K76" s="348">
        <f t="shared" si="159"/>
        <v>0</v>
      </c>
      <c r="L76" s="348">
        <f t="shared" si="159"/>
        <v>0</v>
      </c>
      <c r="M76" s="348">
        <f t="shared" si="159"/>
        <v>0</v>
      </c>
      <c r="N76" s="348">
        <f t="shared" si="159"/>
        <v>0</v>
      </c>
      <c r="O76" s="348">
        <f t="shared" si="159"/>
        <v>0</v>
      </c>
      <c r="P76" s="348">
        <f t="shared" si="159"/>
        <v>0</v>
      </c>
      <c r="Q76" s="348">
        <f t="shared" si="159"/>
        <v>0</v>
      </c>
      <c r="R76" s="348">
        <f t="shared" si="159"/>
        <v>0</v>
      </c>
      <c r="S76" s="348">
        <f t="shared" si="159"/>
        <v>0</v>
      </c>
      <c r="T76" s="348">
        <f t="shared" si="159"/>
        <v>0</v>
      </c>
      <c r="U76" s="348">
        <f t="shared" si="159"/>
        <v>0</v>
      </c>
      <c r="V76" s="348">
        <f t="shared" si="159"/>
        <v>0</v>
      </c>
      <c r="W76" s="348">
        <f t="shared" si="159"/>
        <v>0</v>
      </c>
      <c r="X76" s="348">
        <f t="shared" si="159"/>
        <v>0</v>
      </c>
      <c r="Y76" s="348">
        <f t="shared" si="159"/>
        <v>0</v>
      </c>
      <c r="Z76" s="348">
        <f t="shared" si="159"/>
        <v>0</v>
      </c>
      <c r="AA76" s="348">
        <f t="shared" si="159"/>
        <v>0</v>
      </c>
      <c r="AB76" s="348">
        <f t="shared" si="159"/>
        <v>0</v>
      </c>
      <c r="AC76" s="348">
        <f t="shared" si="159"/>
        <v>0</v>
      </c>
      <c r="AD76" s="348">
        <f t="shared" si="159"/>
        <v>0</v>
      </c>
      <c r="AE76" s="348">
        <f t="shared" si="159"/>
        <v>0</v>
      </c>
      <c r="AF76" s="348">
        <f t="shared" si="159"/>
        <v>0</v>
      </c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ht="13.5" x14ac:dyDescent="0.3">
      <c r="B77" s="14"/>
      <c r="C77" s="14"/>
      <c r="D77" s="14"/>
      <c r="E77" s="14"/>
      <c r="F77" s="14"/>
      <c r="G77" s="14"/>
      <c r="H77" s="14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ht="13.5" x14ac:dyDescent="0.3">
      <c r="A78" s="14" t="s">
        <v>272</v>
      </c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ht="13.5" x14ac:dyDescent="0.3">
      <c r="B79" s="8" t="s">
        <v>273</v>
      </c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ht="13.5" x14ac:dyDescent="0.3">
      <c r="B80" s="8" t="s">
        <v>274</v>
      </c>
      <c r="E80" s="8" t="s">
        <v>40</v>
      </c>
      <c r="F80" s="336">
        <v>7.0337034132705228E-2</v>
      </c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ht="13.5" x14ac:dyDescent="0.3">
      <c r="B81" s="8" t="s">
        <v>284</v>
      </c>
      <c r="I81" s="40">
        <v>2.1802778296891546E-4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ht="13.5" x14ac:dyDescent="0.3">
      <c r="B82" s="8" t="s">
        <v>275</v>
      </c>
      <c r="I82" s="337">
        <f>$F$10*H81</f>
        <v>0</v>
      </c>
      <c r="J82" s="337">
        <f t="shared" ref="J82:AF82" si="160">$F$10*I81</f>
        <v>0.79325807014265259</v>
      </c>
      <c r="K82" s="337">
        <f t="shared" si="160"/>
        <v>0</v>
      </c>
      <c r="L82" s="337">
        <f t="shared" si="160"/>
        <v>0</v>
      </c>
      <c r="M82" s="337">
        <f t="shared" si="160"/>
        <v>0</v>
      </c>
      <c r="N82" s="337">
        <f t="shared" si="160"/>
        <v>0</v>
      </c>
      <c r="O82" s="337">
        <f t="shared" si="160"/>
        <v>0</v>
      </c>
      <c r="P82" s="337">
        <f t="shared" si="160"/>
        <v>0</v>
      </c>
      <c r="Q82" s="337">
        <f t="shared" si="160"/>
        <v>0</v>
      </c>
      <c r="R82" s="337">
        <f t="shared" si="160"/>
        <v>0</v>
      </c>
      <c r="S82" s="337">
        <f t="shared" si="160"/>
        <v>0</v>
      </c>
      <c r="T82" s="337">
        <f t="shared" si="160"/>
        <v>0</v>
      </c>
      <c r="U82" s="337">
        <f t="shared" si="160"/>
        <v>0</v>
      </c>
      <c r="V82" s="337">
        <f t="shared" si="160"/>
        <v>0</v>
      </c>
      <c r="W82" s="337">
        <f t="shared" si="160"/>
        <v>0</v>
      </c>
      <c r="X82" s="337">
        <f t="shared" si="160"/>
        <v>0</v>
      </c>
      <c r="Y82" s="337">
        <f t="shared" si="160"/>
        <v>0</v>
      </c>
      <c r="Z82" s="337">
        <f t="shared" si="160"/>
        <v>0</v>
      </c>
      <c r="AA82" s="337">
        <f t="shared" si="160"/>
        <v>0</v>
      </c>
      <c r="AB82" s="337">
        <f t="shared" si="160"/>
        <v>0</v>
      </c>
      <c r="AC82" s="337">
        <f t="shared" si="160"/>
        <v>0</v>
      </c>
      <c r="AD82" s="337">
        <f t="shared" si="160"/>
        <v>0</v>
      </c>
      <c r="AE82" s="337">
        <f t="shared" si="160"/>
        <v>0</v>
      </c>
      <c r="AF82" s="337">
        <f t="shared" si="160"/>
        <v>0</v>
      </c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ht="13.5" x14ac:dyDescent="0.3">
      <c r="B83" s="8" t="s">
        <v>276</v>
      </c>
      <c r="F83" s="331">
        <v>4</v>
      </c>
      <c r="I83" s="337">
        <f>I82*$F$15</f>
        <v>0</v>
      </c>
      <c r="J83" s="337">
        <f t="shared" ref="J83" si="161">J82*$F$15</f>
        <v>34756.98804534279</v>
      </c>
      <c r="K83" s="337">
        <f t="shared" ref="K83" si="162">K82*$F$15</f>
        <v>0</v>
      </c>
      <c r="L83" s="337">
        <f t="shared" ref="L83" si="163">L82*$F$15</f>
        <v>0</v>
      </c>
      <c r="M83" s="337">
        <f t="shared" ref="M83" si="164">M82*$F$15</f>
        <v>0</v>
      </c>
      <c r="N83" s="337">
        <f t="shared" ref="N83" si="165">N82*$F$15</f>
        <v>0</v>
      </c>
      <c r="O83" s="337">
        <f t="shared" ref="O83" si="166">O82*$F$15</f>
        <v>0</v>
      </c>
      <c r="P83" s="337">
        <f t="shared" ref="P83" si="167">P82*$F$15</f>
        <v>0</v>
      </c>
      <c r="Q83" s="337">
        <f t="shared" ref="Q83" si="168">Q82*$F$15</f>
        <v>0</v>
      </c>
      <c r="R83" s="337">
        <f t="shared" ref="R83" si="169">R82*$F$15</f>
        <v>0</v>
      </c>
      <c r="S83" s="337">
        <f t="shared" ref="S83" si="170">S82*$F$15</f>
        <v>0</v>
      </c>
      <c r="T83" s="337">
        <f t="shared" ref="T83" si="171">T82*$F$15</f>
        <v>0</v>
      </c>
      <c r="U83" s="337">
        <f t="shared" ref="U83" si="172">U82*$F$15</f>
        <v>0</v>
      </c>
      <c r="V83" s="337">
        <f t="shared" ref="V83" si="173">V82*$F$15</f>
        <v>0</v>
      </c>
      <c r="W83" s="337">
        <f t="shared" ref="W83" si="174">W82*$F$15</f>
        <v>0</v>
      </c>
      <c r="X83" s="337">
        <f t="shared" ref="X83" si="175">X82*$F$15</f>
        <v>0</v>
      </c>
      <c r="Y83" s="337">
        <f t="shared" ref="Y83" si="176">Y82*$F$15</f>
        <v>0</v>
      </c>
      <c r="Z83" s="337">
        <f t="shared" ref="Z83" si="177">Z82*$F$15</f>
        <v>0</v>
      </c>
      <c r="AA83" s="337">
        <f t="shared" ref="AA83" si="178">AA82*$F$15</f>
        <v>0</v>
      </c>
      <c r="AB83" s="337">
        <f t="shared" ref="AB83" si="179">AB82*$F$15</f>
        <v>0</v>
      </c>
      <c r="AC83" s="337">
        <f t="shared" ref="AC83" si="180">AC82*$F$15</f>
        <v>0</v>
      </c>
      <c r="AD83" s="337">
        <f t="shared" ref="AD83" si="181">AD82*$F$15</f>
        <v>0</v>
      </c>
      <c r="AE83" s="337">
        <f t="shared" ref="AE83" si="182">AE82*$F$15</f>
        <v>0</v>
      </c>
      <c r="AF83" s="337">
        <f t="shared" ref="AF83" si="183">AF82*$F$15</f>
        <v>0</v>
      </c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ht="13.5" x14ac:dyDescent="0.3">
      <c r="B84" s="8" t="s">
        <v>106</v>
      </c>
      <c r="F84" s="8" t="s">
        <v>40</v>
      </c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ht="13.5" x14ac:dyDescent="0.3">
      <c r="B85" s="8" t="s">
        <v>270</v>
      </c>
      <c r="F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ht="13.5" x14ac:dyDescent="0.3">
      <c r="I86" s="337">
        <f>$F$9*H81</f>
        <v>0</v>
      </c>
      <c r="J86" s="337">
        <f t="shared" ref="J86:AF86" si="184">$F$9*I81</f>
        <v>0.38300042359683545</v>
      </c>
      <c r="K86" s="337">
        <f t="shared" si="184"/>
        <v>0</v>
      </c>
      <c r="L86" s="337">
        <f t="shared" si="184"/>
        <v>0</v>
      </c>
      <c r="M86" s="337">
        <f t="shared" si="184"/>
        <v>0</v>
      </c>
      <c r="N86" s="337">
        <f t="shared" si="184"/>
        <v>0</v>
      </c>
      <c r="O86" s="337">
        <f t="shared" si="184"/>
        <v>0</v>
      </c>
      <c r="P86" s="337">
        <f t="shared" si="184"/>
        <v>0</v>
      </c>
      <c r="Q86" s="337">
        <f t="shared" si="184"/>
        <v>0</v>
      </c>
      <c r="R86" s="337">
        <f t="shared" si="184"/>
        <v>0</v>
      </c>
      <c r="S86" s="337">
        <f t="shared" si="184"/>
        <v>0</v>
      </c>
      <c r="T86" s="337">
        <f t="shared" si="184"/>
        <v>0</v>
      </c>
      <c r="U86" s="337">
        <f t="shared" si="184"/>
        <v>0</v>
      </c>
      <c r="V86" s="337">
        <f t="shared" si="184"/>
        <v>0</v>
      </c>
      <c r="W86" s="337">
        <f t="shared" si="184"/>
        <v>0</v>
      </c>
      <c r="X86" s="337">
        <f t="shared" si="184"/>
        <v>0</v>
      </c>
      <c r="Y86" s="337">
        <f t="shared" si="184"/>
        <v>0</v>
      </c>
      <c r="Z86" s="337">
        <f t="shared" si="184"/>
        <v>0</v>
      </c>
      <c r="AA86" s="337">
        <f t="shared" si="184"/>
        <v>0</v>
      </c>
      <c r="AB86" s="337">
        <f t="shared" si="184"/>
        <v>0</v>
      </c>
      <c r="AC86" s="337">
        <f t="shared" si="184"/>
        <v>0</v>
      </c>
      <c r="AD86" s="337">
        <f t="shared" si="184"/>
        <v>0</v>
      </c>
      <c r="AE86" s="337">
        <f t="shared" si="184"/>
        <v>0</v>
      </c>
      <c r="AF86" s="337">
        <f t="shared" si="184"/>
        <v>0</v>
      </c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ht="13.5" x14ac:dyDescent="0.3">
      <c r="A87" s="14" t="s">
        <v>278</v>
      </c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ht="13.5" x14ac:dyDescent="0.3">
      <c r="B88" s="8" t="s">
        <v>279</v>
      </c>
      <c r="I88" s="337">
        <f t="shared" ref="I88:U88" si="185">I64</f>
        <v>377</v>
      </c>
      <c r="J88" s="337">
        <f t="shared" si="185"/>
        <v>0</v>
      </c>
      <c r="K88" s="337">
        <f t="shared" si="185"/>
        <v>0</v>
      </c>
      <c r="L88" s="337">
        <f t="shared" si="185"/>
        <v>0</v>
      </c>
      <c r="M88" s="337">
        <f t="shared" si="185"/>
        <v>0</v>
      </c>
      <c r="N88" s="337">
        <f t="shared" si="185"/>
        <v>0</v>
      </c>
      <c r="O88" s="337">
        <f t="shared" si="185"/>
        <v>0</v>
      </c>
      <c r="P88" s="337">
        <f t="shared" si="185"/>
        <v>0</v>
      </c>
      <c r="Q88" s="337">
        <f t="shared" si="185"/>
        <v>0</v>
      </c>
      <c r="R88" s="337">
        <f t="shared" si="185"/>
        <v>0</v>
      </c>
      <c r="S88" s="337">
        <f t="shared" si="185"/>
        <v>0</v>
      </c>
      <c r="T88" s="337">
        <f t="shared" si="185"/>
        <v>0</v>
      </c>
      <c r="U88" s="337">
        <f t="shared" si="185"/>
        <v>0</v>
      </c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ht="13.5" x14ac:dyDescent="0.3">
      <c r="B89" s="8" t="s">
        <v>280</v>
      </c>
      <c r="F89" s="333">
        <v>0.4</v>
      </c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ht="13.5" x14ac:dyDescent="0.3">
      <c r="B90" s="8" t="s">
        <v>106</v>
      </c>
      <c r="I90" s="337">
        <f t="shared" ref="I90:AF90" si="186">$F83*$F$38*$F$47*I88</f>
        <v>42.427298988847795</v>
      </c>
      <c r="J90" s="337">
        <f t="shared" si="186"/>
        <v>0</v>
      </c>
      <c r="K90" s="337">
        <f t="shared" si="186"/>
        <v>0</v>
      </c>
      <c r="L90" s="337">
        <f t="shared" si="186"/>
        <v>0</v>
      </c>
      <c r="M90" s="337">
        <f t="shared" si="186"/>
        <v>0</v>
      </c>
      <c r="N90" s="337">
        <f t="shared" si="186"/>
        <v>0</v>
      </c>
      <c r="O90" s="337">
        <f t="shared" si="186"/>
        <v>0</v>
      </c>
      <c r="P90" s="337">
        <f t="shared" si="186"/>
        <v>0</v>
      </c>
      <c r="Q90" s="337">
        <f t="shared" si="186"/>
        <v>0</v>
      </c>
      <c r="R90" s="337">
        <f t="shared" si="186"/>
        <v>0</v>
      </c>
      <c r="S90" s="337">
        <f t="shared" si="186"/>
        <v>0</v>
      </c>
      <c r="T90" s="337">
        <f t="shared" si="186"/>
        <v>0</v>
      </c>
      <c r="U90" s="337">
        <f t="shared" si="186"/>
        <v>0</v>
      </c>
      <c r="V90" s="337">
        <f t="shared" si="186"/>
        <v>0</v>
      </c>
      <c r="W90" s="337">
        <f t="shared" si="186"/>
        <v>0</v>
      </c>
      <c r="X90" s="337">
        <f t="shared" si="186"/>
        <v>0</v>
      </c>
      <c r="Y90" s="337">
        <f t="shared" si="186"/>
        <v>0</v>
      </c>
      <c r="Z90" s="337">
        <f t="shared" si="186"/>
        <v>0</v>
      </c>
      <c r="AA90" s="337">
        <f t="shared" si="186"/>
        <v>0</v>
      </c>
      <c r="AB90" s="337">
        <f t="shared" si="186"/>
        <v>0</v>
      </c>
      <c r="AC90" s="337">
        <f t="shared" si="186"/>
        <v>0</v>
      </c>
      <c r="AD90" s="337">
        <f t="shared" si="186"/>
        <v>0</v>
      </c>
      <c r="AE90" s="337">
        <f t="shared" si="186"/>
        <v>0</v>
      </c>
      <c r="AF90" s="337">
        <f t="shared" si="186"/>
        <v>0</v>
      </c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ht="13.5" x14ac:dyDescent="0.3">
      <c r="B91" s="8" t="s">
        <v>297</v>
      </c>
      <c r="F91" s="337"/>
      <c r="I91" s="337">
        <f t="shared" ref="I91:V91" si="187">I90*$F$15</f>
        <v>1858972.7344171612</v>
      </c>
      <c r="J91" s="337">
        <f t="shared" si="187"/>
        <v>0</v>
      </c>
      <c r="K91" s="337">
        <f t="shared" si="187"/>
        <v>0</v>
      </c>
      <c r="L91" s="337">
        <f t="shared" si="187"/>
        <v>0</v>
      </c>
      <c r="M91" s="337">
        <f t="shared" si="187"/>
        <v>0</v>
      </c>
      <c r="N91" s="337">
        <f t="shared" si="187"/>
        <v>0</v>
      </c>
      <c r="O91" s="337">
        <f t="shared" si="187"/>
        <v>0</v>
      </c>
      <c r="P91" s="337">
        <f t="shared" si="187"/>
        <v>0</v>
      </c>
      <c r="Q91" s="337">
        <f t="shared" si="187"/>
        <v>0</v>
      </c>
      <c r="R91" s="337">
        <f t="shared" si="187"/>
        <v>0</v>
      </c>
      <c r="S91" s="337">
        <f t="shared" si="187"/>
        <v>0</v>
      </c>
      <c r="T91" s="337">
        <f t="shared" si="187"/>
        <v>0</v>
      </c>
      <c r="U91" s="337">
        <f t="shared" si="187"/>
        <v>0</v>
      </c>
      <c r="V91" s="337">
        <f t="shared" si="187"/>
        <v>0</v>
      </c>
      <c r="W91" s="337">
        <f t="shared" ref="W91" si="188">W90*$F$15</f>
        <v>0</v>
      </c>
      <c r="X91" s="337">
        <f t="shared" ref="X91" si="189">X90*$F$15</f>
        <v>0</v>
      </c>
      <c r="Y91" s="337">
        <f t="shared" ref="Y91" si="190">Y90*$F$15</f>
        <v>0</v>
      </c>
      <c r="Z91" s="337">
        <f t="shared" ref="Z91" si="191">Z90*$F$15</f>
        <v>0</v>
      </c>
      <c r="AA91" s="337">
        <f t="shared" ref="AA91" si="192">AA90*$F$15</f>
        <v>0</v>
      </c>
      <c r="AB91" s="337">
        <f t="shared" ref="AB91" si="193">AB90*$F$15</f>
        <v>0</v>
      </c>
      <c r="AC91" s="337">
        <f t="shared" ref="AC91" si="194">AC90*$F$15</f>
        <v>0</v>
      </c>
      <c r="AD91" s="337">
        <f t="shared" ref="AD91" si="195">AD90*$F$15</f>
        <v>0</v>
      </c>
      <c r="AE91" s="337">
        <f t="shared" ref="AE91" si="196">AE90*$F$15</f>
        <v>0</v>
      </c>
      <c r="AF91" s="337">
        <f t="shared" ref="AF91" si="197">AF90*$F$15</f>
        <v>0</v>
      </c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ht="13.5" x14ac:dyDescent="0.3"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ht="13.5" x14ac:dyDescent="0.3">
      <c r="A93" s="14" t="s">
        <v>277</v>
      </c>
      <c r="B93" s="8" t="s">
        <v>292</v>
      </c>
      <c r="F93" s="337" cm="1">
        <f t="array" ref="F93">SUMPRODUCT((Assumptions!$G$70:$G$72)*(Assumptions!$H$70:$H$72)*(Assumptions!$I$70:$I$72))</f>
        <v>108349.14389581641</v>
      </c>
      <c r="I93" s="337">
        <f t="shared" ref="I93:T93" si="198">$F$51*I82</f>
        <v>0</v>
      </c>
      <c r="J93" s="337">
        <f t="shared" si="198"/>
        <v>85948.832788403888</v>
      </c>
      <c r="K93" s="337">
        <f t="shared" si="198"/>
        <v>0</v>
      </c>
      <c r="L93" s="337">
        <f t="shared" si="198"/>
        <v>0</v>
      </c>
      <c r="M93" s="337">
        <f t="shared" si="198"/>
        <v>0</v>
      </c>
      <c r="N93" s="337">
        <f t="shared" si="198"/>
        <v>0</v>
      </c>
      <c r="O93" s="337">
        <f t="shared" si="198"/>
        <v>0</v>
      </c>
      <c r="P93" s="337">
        <f t="shared" si="198"/>
        <v>0</v>
      </c>
      <c r="Q93" s="337">
        <f t="shared" si="198"/>
        <v>0</v>
      </c>
      <c r="R93" s="337">
        <f t="shared" si="198"/>
        <v>0</v>
      </c>
      <c r="S93" s="337">
        <f t="shared" si="198"/>
        <v>0</v>
      </c>
      <c r="T93" s="337">
        <f t="shared" si="198"/>
        <v>0</v>
      </c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ht="13.5" x14ac:dyDescent="0.3">
      <c r="B94"/>
      <c r="C94"/>
      <c r="D94"/>
      <c r="E94"/>
      <c r="F94"/>
      <c r="G94"/>
      <c r="H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ht="13.5" x14ac:dyDescent="0.3"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ht="13.5" x14ac:dyDescent="0.3">
      <c r="A96" s="14"/>
      <c r="B96" s="14" t="s">
        <v>295</v>
      </c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ht="13.5" x14ac:dyDescent="0.3">
      <c r="A97" s="8" t="s">
        <v>129</v>
      </c>
      <c r="B97" s="1" t="str">
        <f>B55</f>
        <v>Safety consequence</v>
      </c>
      <c r="F97" s="351" t="str">
        <f>F55</f>
        <v>Safety</v>
      </c>
      <c r="G97" s="351" t="str">
        <f>A97&amp;F97</f>
        <v>Option 2Safety</v>
      </c>
      <c r="I97" s="337">
        <f t="shared" ref="I97:AF97" si="199">I93</f>
        <v>0</v>
      </c>
      <c r="J97" s="337">
        <f t="shared" si="199"/>
        <v>85948.832788403888</v>
      </c>
      <c r="K97" s="337">
        <f t="shared" si="199"/>
        <v>0</v>
      </c>
      <c r="L97" s="337">
        <f t="shared" si="199"/>
        <v>0</v>
      </c>
      <c r="M97" s="337">
        <f t="shared" si="199"/>
        <v>0</v>
      </c>
      <c r="N97" s="337">
        <f t="shared" si="199"/>
        <v>0</v>
      </c>
      <c r="O97" s="337">
        <f t="shared" si="199"/>
        <v>0</v>
      </c>
      <c r="P97" s="337">
        <f t="shared" si="199"/>
        <v>0</v>
      </c>
      <c r="Q97" s="337">
        <f t="shared" si="199"/>
        <v>0</v>
      </c>
      <c r="R97" s="337">
        <f t="shared" si="199"/>
        <v>0</v>
      </c>
      <c r="S97" s="337">
        <f t="shared" si="199"/>
        <v>0</v>
      </c>
      <c r="T97" s="337">
        <f t="shared" si="199"/>
        <v>0</v>
      </c>
      <c r="U97" s="337">
        <f t="shared" si="199"/>
        <v>0</v>
      </c>
      <c r="V97" s="337">
        <f t="shared" si="199"/>
        <v>0</v>
      </c>
      <c r="W97" s="337">
        <f t="shared" si="199"/>
        <v>0</v>
      </c>
      <c r="X97" s="337">
        <f t="shared" si="199"/>
        <v>0</v>
      </c>
      <c r="Y97" s="337">
        <f t="shared" si="199"/>
        <v>0</v>
      </c>
      <c r="Z97" s="337">
        <f t="shared" si="199"/>
        <v>0</v>
      </c>
      <c r="AA97" s="337">
        <f t="shared" si="199"/>
        <v>0</v>
      </c>
      <c r="AB97" s="337">
        <f t="shared" si="199"/>
        <v>0</v>
      </c>
      <c r="AC97" s="337">
        <f t="shared" si="199"/>
        <v>0</v>
      </c>
      <c r="AD97" s="337">
        <f t="shared" si="199"/>
        <v>0</v>
      </c>
      <c r="AE97" s="337">
        <f t="shared" si="199"/>
        <v>0</v>
      </c>
      <c r="AF97" s="337">
        <f t="shared" si="199"/>
        <v>0</v>
      </c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ht="13.5" x14ac:dyDescent="0.3">
      <c r="A98" s="8" t="s">
        <v>129</v>
      </c>
      <c r="B98" s="1" t="str">
        <f>B56</f>
        <v>Outages</v>
      </c>
      <c r="F98" s="351" t="str">
        <f>F56</f>
        <v>Outages</v>
      </c>
      <c r="G98" s="351" t="str">
        <f t="shared" ref="G98:G100" si="200">A98&amp;F98</f>
        <v>Option 2Outages</v>
      </c>
      <c r="I98" s="337">
        <f>I76</f>
        <v>4828378.8040892947</v>
      </c>
      <c r="J98" s="337">
        <f t="shared" ref="J98:AF98" si="201">J76</f>
        <v>0</v>
      </c>
      <c r="K98" s="337">
        <f t="shared" si="201"/>
        <v>0</v>
      </c>
      <c r="L98" s="337">
        <f t="shared" si="201"/>
        <v>0</v>
      </c>
      <c r="M98" s="337">
        <f t="shared" si="201"/>
        <v>0</v>
      </c>
      <c r="N98" s="337">
        <f t="shared" si="201"/>
        <v>0</v>
      </c>
      <c r="O98" s="337">
        <f t="shared" si="201"/>
        <v>0</v>
      </c>
      <c r="P98" s="337">
        <f t="shared" si="201"/>
        <v>0</v>
      </c>
      <c r="Q98" s="337">
        <f t="shared" si="201"/>
        <v>0</v>
      </c>
      <c r="R98" s="337">
        <f t="shared" si="201"/>
        <v>0</v>
      </c>
      <c r="S98" s="337">
        <f t="shared" si="201"/>
        <v>0</v>
      </c>
      <c r="T98" s="337">
        <f t="shared" si="201"/>
        <v>0</v>
      </c>
      <c r="U98" s="337">
        <f t="shared" si="201"/>
        <v>0</v>
      </c>
      <c r="V98" s="337">
        <f t="shared" si="201"/>
        <v>0</v>
      </c>
      <c r="W98" s="337">
        <f t="shared" si="201"/>
        <v>0</v>
      </c>
      <c r="X98" s="337">
        <f t="shared" si="201"/>
        <v>0</v>
      </c>
      <c r="Y98" s="337">
        <f t="shared" si="201"/>
        <v>0</v>
      </c>
      <c r="Z98" s="337">
        <f t="shared" si="201"/>
        <v>0</v>
      </c>
      <c r="AA98" s="337">
        <f t="shared" si="201"/>
        <v>0</v>
      </c>
      <c r="AB98" s="337">
        <f t="shared" si="201"/>
        <v>0</v>
      </c>
      <c r="AC98" s="337">
        <f t="shared" si="201"/>
        <v>0</v>
      </c>
      <c r="AD98" s="337">
        <f t="shared" si="201"/>
        <v>0</v>
      </c>
      <c r="AE98" s="337">
        <f t="shared" si="201"/>
        <v>0</v>
      </c>
      <c r="AF98" s="337">
        <f t="shared" si="201"/>
        <v>0</v>
      </c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ht="13.5" x14ac:dyDescent="0.3">
      <c r="A99" s="8" t="s">
        <v>129</v>
      </c>
      <c r="B99" s="1" t="str">
        <f>B57</f>
        <v>Asset failure</v>
      </c>
      <c r="F99" s="351" t="str">
        <f>F57</f>
        <v>Failures</v>
      </c>
      <c r="G99" s="351" t="str">
        <f t="shared" si="200"/>
        <v>Option 2Failures</v>
      </c>
      <c r="I99" s="337">
        <f t="shared" ref="I99:AF99" si="202">I85</f>
        <v>0</v>
      </c>
      <c r="J99" s="337">
        <f t="shared" si="202"/>
        <v>0</v>
      </c>
      <c r="K99" s="337">
        <f t="shared" si="202"/>
        <v>0</v>
      </c>
      <c r="L99" s="337">
        <f t="shared" si="202"/>
        <v>0</v>
      </c>
      <c r="M99" s="337">
        <f t="shared" si="202"/>
        <v>0</v>
      </c>
      <c r="N99" s="337">
        <f t="shared" si="202"/>
        <v>0</v>
      </c>
      <c r="O99" s="337">
        <f t="shared" si="202"/>
        <v>0</v>
      </c>
      <c r="P99" s="337">
        <f t="shared" si="202"/>
        <v>0</v>
      </c>
      <c r="Q99" s="337">
        <f t="shared" si="202"/>
        <v>0</v>
      </c>
      <c r="R99" s="337">
        <f t="shared" si="202"/>
        <v>0</v>
      </c>
      <c r="S99" s="337">
        <f t="shared" si="202"/>
        <v>0</v>
      </c>
      <c r="T99" s="337">
        <f t="shared" si="202"/>
        <v>0</v>
      </c>
      <c r="U99" s="337">
        <f t="shared" si="202"/>
        <v>0</v>
      </c>
      <c r="V99" s="337">
        <f t="shared" si="202"/>
        <v>0</v>
      </c>
      <c r="W99" s="337">
        <f t="shared" si="202"/>
        <v>0</v>
      </c>
      <c r="X99" s="337">
        <f t="shared" si="202"/>
        <v>0</v>
      </c>
      <c r="Y99" s="337">
        <f t="shared" si="202"/>
        <v>0</v>
      </c>
      <c r="Z99" s="337">
        <f t="shared" si="202"/>
        <v>0</v>
      </c>
      <c r="AA99" s="337">
        <f t="shared" si="202"/>
        <v>0</v>
      </c>
      <c r="AB99" s="337">
        <f t="shared" si="202"/>
        <v>0</v>
      </c>
      <c r="AC99" s="337">
        <f t="shared" si="202"/>
        <v>0</v>
      </c>
      <c r="AD99" s="337">
        <f t="shared" si="202"/>
        <v>0</v>
      </c>
      <c r="AE99" s="337">
        <f t="shared" si="202"/>
        <v>0</v>
      </c>
      <c r="AF99" s="337">
        <f t="shared" si="202"/>
        <v>0</v>
      </c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ht="13.5" x14ac:dyDescent="0.3">
      <c r="A100" s="8" t="s">
        <v>129</v>
      </c>
      <c r="B100" s="1" t="str">
        <f>B58</f>
        <v>Outage for planned program</v>
      </c>
      <c r="F100" s="351" t="str">
        <f>F58</f>
        <v>Planned</v>
      </c>
      <c r="G100" s="351" t="str">
        <f t="shared" si="200"/>
        <v>Option 2Planned</v>
      </c>
      <c r="I100" s="337">
        <f t="shared" ref="I100:AF100" si="203">I91</f>
        <v>1858972.7344171612</v>
      </c>
      <c r="J100" s="337">
        <f t="shared" si="203"/>
        <v>0</v>
      </c>
      <c r="K100" s="337">
        <f t="shared" si="203"/>
        <v>0</v>
      </c>
      <c r="L100" s="337">
        <f t="shared" si="203"/>
        <v>0</v>
      </c>
      <c r="M100" s="337">
        <f t="shared" si="203"/>
        <v>0</v>
      </c>
      <c r="N100" s="337">
        <f t="shared" si="203"/>
        <v>0</v>
      </c>
      <c r="O100" s="337">
        <f t="shared" si="203"/>
        <v>0</v>
      </c>
      <c r="P100" s="337">
        <f t="shared" si="203"/>
        <v>0</v>
      </c>
      <c r="Q100" s="337">
        <f t="shared" si="203"/>
        <v>0</v>
      </c>
      <c r="R100" s="337">
        <f t="shared" si="203"/>
        <v>0</v>
      </c>
      <c r="S100" s="337">
        <f t="shared" si="203"/>
        <v>0</v>
      </c>
      <c r="T100" s="337">
        <f t="shared" si="203"/>
        <v>0</v>
      </c>
      <c r="U100" s="337">
        <f t="shared" si="203"/>
        <v>0</v>
      </c>
      <c r="V100" s="337">
        <f t="shared" si="203"/>
        <v>0</v>
      </c>
      <c r="W100" s="337">
        <f t="shared" si="203"/>
        <v>0</v>
      </c>
      <c r="X100" s="337">
        <f t="shared" si="203"/>
        <v>0</v>
      </c>
      <c r="Y100" s="337">
        <f t="shared" si="203"/>
        <v>0</v>
      </c>
      <c r="Z100" s="337">
        <f t="shared" si="203"/>
        <v>0</v>
      </c>
      <c r="AA100" s="337">
        <f t="shared" si="203"/>
        <v>0</v>
      </c>
      <c r="AB100" s="337">
        <f t="shared" si="203"/>
        <v>0</v>
      </c>
      <c r="AC100" s="337">
        <f t="shared" si="203"/>
        <v>0</v>
      </c>
      <c r="AD100" s="337">
        <f t="shared" si="203"/>
        <v>0</v>
      </c>
      <c r="AE100" s="337">
        <f t="shared" si="203"/>
        <v>0</v>
      </c>
      <c r="AF100" s="337">
        <f t="shared" si="203"/>
        <v>0</v>
      </c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ht="13.5" x14ac:dyDescent="0.3">
      <c r="B101" s="342" t="s">
        <v>138</v>
      </c>
      <c r="C101" s="339"/>
      <c r="D101" s="339"/>
      <c r="E101" s="339"/>
      <c r="F101" s="339"/>
      <c r="G101" s="339"/>
      <c r="H101" s="339"/>
      <c r="I101" s="343">
        <f t="shared" ref="I101:V101" si="204">SUM(I97:I100)</f>
        <v>6687351.5385064557</v>
      </c>
      <c r="J101" s="343">
        <f t="shared" si="204"/>
        <v>85948.832788403888</v>
      </c>
      <c r="K101" s="343">
        <f t="shared" si="204"/>
        <v>0</v>
      </c>
      <c r="L101" s="343">
        <f t="shared" si="204"/>
        <v>0</v>
      </c>
      <c r="M101" s="343">
        <f t="shared" si="204"/>
        <v>0</v>
      </c>
      <c r="N101" s="343">
        <f t="shared" si="204"/>
        <v>0</v>
      </c>
      <c r="O101" s="343">
        <f t="shared" si="204"/>
        <v>0</v>
      </c>
      <c r="P101" s="343">
        <f t="shared" si="204"/>
        <v>0</v>
      </c>
      <c r="Q101" s="343">
        <f t="shared" si="204"/>
        <v>0</v>
      </c>
      <c r="R101" s="343">
        <f t="shared" si="204"/>
        <v>0</v>
      </c>
      <c r="S101" s="343">
        <f t="shared" si="204"/>
        <v>0</v>
      </c>
      <c r="T101" s="343">
        <f t="shared" si="204"/>
        <v>0</v>
      </c>
      <c r="U101" s="343">
        <f t="shared" si="204"/>
        <v>0</v>
      </c>
      <c r="V101" s="343">
        <f t="shared" si="204"/>
        <v>0</v>
      </c>
      <c r="W101" s="343">
        <f t="shared" ref="W101:AB101" si="205">SUM(W97:W100)</f>
        <v>0</v>
      </c>
      <c r="X101" s="343">
        <f t="shared" si="205"/>
        <v>0</v>
      </c>
      <c r="Y101" s="343">
        <f t="shared" si="205"/>
        <v>0</v>
      </c>
      <c r="Z101" s="343">
        <f t="shared" si="205"/>
        <v>0</v>
      </c>
      <c r="AA101" s="343">
        <f t="shared" si="205"/>
        <v>0</v>
      </c>
      <c r="AB101" s="343">
        <f t="shared" si="205"/>
        <v>0</v>
      </c>
      <c r="AC101" s="343">
        <f t="shared" ref="AC101" si="206">SUM(AC97:AC100)</f>
        <v>0</v>
      </c>
      <c r="AD101" s="343">
        <f t="shared" ref="AD101" si="207">SUM(AD97:AD100)</f>
        <v>0</v>
      </c>
      <c r="AE101" s="343">
        <f t="shared" ref="AE101" si="208">SUM(AE97:AE100)</f>
        <v>0</v>
      </c>
      <c r="AF101" s="343">
        <f t="shared" ref="AF101" si="209">SUM(AF97:AF100)</f>
        <v>0</v>
      </c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ht="13.5" x14ac:dyDescent="0.3"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ht="13.5" x14ac:dyDescent="0.3"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customFormat="1" ht="14.5" x14ac:dyDescent="0.3">
      <c r="A104" s="18" t="s">
        <v>130</v>
      </c>
      <c r="B104" s="18"/>
      <c r="C104" s="18"/>
      <c r="D104" s="18"/>
      <c r="E104" s="142"/>
      <c r="F104" s="142"/>
      <c r="G104" s="334"/>
      <c r="H104" s="334">
        <v>46203</v>
      </c>
      <c r="I104" s="17" t="s">
        <v>19</v>
      </c>
      <c r="J104" s="17" t="s">
        <v>21</v>
      </c>
      <c r="K104" s="17" t="s">
        <v>20</v>
      </c>
      <c r="L104" s="17" t="s">
        <v>22</v>
      </c>
      <c r="M104" s="17" t="s">
        <v>93</v>
      </c>
      <c r="N104" s="17" t="s">
        <v>94</v>
      </c>
      <c r="O104" s="17" t="s">
        <v>250</v>
      </c>
      <c r="P104" s="17" t="s">
        <v>251</v>
      </c>
      <c r="Q104" s="17" t="s">
        <v>252</v>
      </c>
      <c r="R104" s="17" t="s">
        <v>253</v>
      </c>
      <c r="S104" s="17" t="s">
        <v>254</v>
      </c>
      <c r="T104" s="17" t="s">
        <v>255</v>
      </c>
      <c r="U104" s="17" t="s">
        <v>256</v>
      </c>
      <c r="V104" s="17" t="s">
        <v>257</v>
      </c>
      <c r="W104" s="17" t="s">
        <v>257</v>
      </c>
      <c r="X104" s="17" t="s">
        <v>257</v>
      </c>
      <c r="Y104" s="17" t="s">
        <v>257</v>
      </c>
      <c r="Z104" s="17" t="s">
        <v>257</v>
      </c>
      <c r="AA104" s="17" t="s">
        <v>257</v>
      </c>
      <c r="AB104" s="17" t="s">
        <v>257</v>
      </c>
      <c r="AC104" s="17" t="s">
        <v>257</v>
      </c>
      <c r="AD104" s="17" t="s">
        <v>257</v>
      </c>
      <c r="AE104" s="17" t="s">
        <v>257</v>
      </c>
      <c r="AF104" s="17" t="s">
        <v>257</v>
      </c>
    </row>
    <row r="105" spans="1:46" ht="13.5" x14ac:dyDescent="0.3"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ht="13.5" x14ac:dyDescent="0.3">
      <c r="B106" s="360" t="s">
        <v>281</v>
      </c>
      <c r="C106" s="360"/>
      <c r="D106" s="360"/>
      <c r="E106" s="360"/>
      <c r="F106" s="360"/>
      <c r="G106" s="360"/>
      <c r="H106" s="360"/>
      <c r="I106" s="361">
        <f>INDEX(Workings_costs!K$27:K$79, MATCH($A104&amp;$B106, Workings_costs!$G$27:$G$79,0))</f>
        <v>75</v>
      </c>
      <c r="J106" s="361">
        <f>INDEX(Workings_costs!L$27:L$79, MATCH($A104&amp;$B106, Workings_costs!$G$27:$G$79,0))</f>
        <v>75</v>
      </c>
      <c r="K106" s="361">
        <f>INDEX(Workings_costs!M$27:M$79, MATCH($A104&amp;$B106, Workings_costs!$G$27:$G$79,0))</f>
        <v>75</v>
      </c>
      <c r="L106" s="361">
        <f>INDEX(Workings_costs!N$27:N$79, MATCH($A104&amp;$B106, Workings_costs!$G$27:$G$79,0))</f>
        <v>75</v>
      </c>
      <c r="M106" s="361">
        <f>INDEX(Workings_costs!O$27:O$79, MATCH($A104&amp;$B106, Workings_costs!$G$27:$G$79,0))</f>
        <v>75</v>
      </c>
      <c r="N106" s="361">
        <f>INDEX(Workings_costs!P$27:P$79, MATCH($A104&amp;$B106, Workings_costs!$G$27:$G$79,0))</f>
        <v>2</v>
      </c>
      <c r="O106" s="361">
        <f>INDEX(Workings_costs!Q$27:Q$79, MATCH($A104&amp;$B106, Workings_costs!$G$27:$G$79,0))</f>
        <v>0</v>
      </c>
      <c r="P106" s="361">
        <f>INDEX(Workings_costs!R$27:R$79, MATCH($A104&amp;$B106, Workings_costs!$G$27:$G$79,0))</f>
        <v>0</v>
      </c>
      <c r="Q106" s="361">
        <f>INDEX(Workings_costs!S$27:S$79, MATCH($A104&amp;$B106, Workings_costs!$G$27:$G$79,0))</f>
        <v>0</v>
      </c>
      <c r="R106" s="361">
        <f>INDEX(Workings_costs!T$27:T$79, MATCH($A104&amp;$B106, Workings_costs!$G$27:$G$79,0))</f>
        <v>0</v>
      </c>
      <c r="S106" s="361">
        <f>INDEX(Workings_costs!U$27:U$79, MATCH($A104&amp;$B106, Workings_costs!$G$27:$G$79,0))</f>
        <v>0</v>
      </c>
      <c r="T106" s="361">
        <f>INDEX(Workings_costs!V$27:V$79, MATCH($A104&amp;$B106, Workings_costs!$G$27:$G$79,0))</f>
        <v>0</v>
      </c>
      <c r="U106" s="361">
        <f>INDEX(Workings_costs!W$27:W$79, MATCH($A104&amp;$B106, Workings_costs!$G$27:$G$79,0))</f>
        <v>0</v>
      </c>
      <c r="V106" s="361">
        <f>INDEX(Workings_costs!X$27:X$79, MATCH($A104&amp;$B106, Workings_costs!$G$27:$G$79,0))</f>
        <v>0</v>
      </c>
      <c r="W106" s="361">
        <f>INDEX(Workings_costs!Y$27:Y$79, MATCH($A104&amp;$B106, Workings_costs!$G$27:$G$79,0))</f>
        <v>0</v>
      </c>
      <c r="X106" s="361">
        <f>INDEX(Workings_costs!Z$27:Z$79, MATCH($A104&amp;$B106, Workings_costs!$G$27:$G$79,0))</f>
        <v>0</v>
      </c>
      <c r="Y106" s="361">
        <f>INDEX(Workings_costs!AA$27:AA$79, MATCH($A104&amp;$B106, Workings_costs!$G$27:$G$79,0))</f>
        <v>0</v>
      </c>
      <c r="Z106" s="361">
        <f>INDEX(Workings_costs!AB$27:AB$79, MATCH($A104&amp;$B106, Workings_costs!$G$27:$G$79,0))</f>
        <v>0</v>
      </c>
      <c r="AA106" s="361">
        <f>INDEX(Workings_costs!AC$27:AC$79, MATCH($A104&amp;$B106, Workings_costs!$G$27:$G$79,0))</f>
        <v>0</v>
      </c>
      <c r="AB106" s="361">
        <f>INDEX(Workings_costs!AD$27:AD$79, MATCH($A104&amp;$B106, Workings_costs!$G$27:$G$79,0))</f>
        <v>0</v>
      </c>
      <c r="AC106" s="361">
        <f>INDEX(Workings_costs!AE$27:AE$79, MATCH($A104&amp;$B106, Workings_costs!$G$27:$G$79,0))</f>
        <v>0</v>
      </c>
      <c r="AD106" s="361">
        <f>INDEX(Workings_costs!AF$27:AF$79, MATCH($A104&amp;$B106, Workings_costs!$G$27:$G$79,0))</f>
        <v>0</v>
      </c>
      <c r="AE106" s="361">
        <f>INDEX(Workings_costs!AG$27:AG$79, MATCH($A104&amp;$B106, Workings_costs!$G$27:$G$79,0))</f>
        <v>0</v>
      </c>
      <c r="AF106" s="361">
        <f>INDEX(Workings_costs!AH$27:AH$79, MATCH($A104&amp;$B106, Workings_costs!$G$27:$G$79,0))</f>
        <v>0</v>
      </c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ht="13.5" x14ac:dyDescent="0.3">
      <c r="B107" s="360" t="s">
        <v>282</v>
      </c>
      <c r="C107" s="360"/>
      <c r="D107" s="360"/>
      <c r="E107" s="360"/>
      <c r="F107" s="360"/>
      <c r="G107" s="360"/>
      <c r="H107" s="361">
        <f>$F$7</f>
        <v>377</v>
      </c>
      <c r="I107" s="361">
        <f>H107-I106</f>
        <v>302</v>
      </c>
      <c r="J107" s="361">
        <f t="shared" ref="J107" si="210">I107-J106</f>
        <v>227</v>
      </c>
      <c r="K107" s="361">
        <f t="shared" ref="K107" si="211">J107-K106</f>
        <v>152</v>
      </c>
      <c r="L107" s="361">
        <f t="shared" ref="L107" si="212">K107-L106</f>
        <v>77</v>
      </c>
      <c r="M107" s="361">
        <f t="shared" ref="M107" si="213">L107-M106</f>
        <v>2</v>
      </c>
      <c r="N107" s="361">
        <f t="shared" ref="N107" si="214">M107-N106</f>
        <v>0</v>
      </c>
      <c r="O107" s="361">
        <f t="shared" ref="O107" si="215">N107-O106</f>
        <v>0</v>
      </c>
      <c r="P107" s="361">
        <f t="shared" ref="P107" si="216">O107-P106</f>
        <v>0</v>
      </c>
      <c r="Q107" s="361">
        <f t="shared" ref="Q107" si="217">P107-Q106</f>
        <v>0</v>
      </c>
      <c r="R107" s="361">
        <f t="shared" ref="R107" si="218">Q107-R106</f>
        <v>0</v>
      </c>
      <c r="S107" s="361">
        <f t="shared" ref="S107" si="219">R107-S106</f>
        <v>0</v>
      </c>
      <c r="T107" s="361">
        <f t="shared" ref="T107" si="220">S107-T106</f>
        <v>0</v>
      </c>
      <c r="U107" s="361">
        <f t="shared" ref="U107" si="221">T107-U106</f>
        <v>0</v>
      </c>
      <c r="V107" s="361">
        <f t="shared" ref="V107" si="222">U107-V106</f>
        <v>0</v>
      </c>
      <c r="W107" s="361">
        <f t="shared" ref="W107" si="223">V107-W106</f>
        <v>0</v>
      </c>
      <c r="X107" s="361">
        <f t="shared" ref="X107" si="224">W107-X106</f>
        <v>0</v>
      </c>
      <c r="Y107" s="361">
        <f t="shared" ref="Y107" si="225">X107-Y106</f>
        <v>0</v>
      </c>
      <c r="Z107" s="361">
        <f t="shared" ref="Z107" si="226">Y107-Z106</f>
        <v>0</v>
      </c>
      <c r="AA107" s="361">
        <f t="shared" ref="AA107" si="227">Z107-AA106</f>
        <v>0</v>
      </c>
      <c r="AB107" s="361">
        <f t="shared" ref="AB107" si="228">AA107-AB106</f>
        <v>0</v>
      </c>
      <c r="AC107" s="361">
        <f t="shared" ref="AC107" si="229">AB107-AC106</f>
        <v>0</v>
      </c>
      <c r="AD107" s="361">
        <f t="shared" ref="AD107" si="230">AC107-AD106</f>
        <v>0</v>
      </c>
      <c r="AE107" s="361">
        <f t="shared" ref="AE107" si="231">AD107-AE106</f>
        <v>0</v>
      </c>
      <c r="AF107" s="361">
        <f t="shared" ref="AF107" si="232">AE107-AF106</f>
        <v>0</v>
      </c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ht="13.5" x14ac:dyDescent="0.3">
      <c r="B108" s="360" t="s">
        <v>283</v>
      </c>
      <c r="C108" s="360"/>
      <c r="D108" s="360"/>
      <c r="E108" s="360"/>
      <c r="F108" s="360"/>
      <c r="G108" s="360"/>
      <c r="H108" s="360"/>
      <c r="I108" s="361">
        <f t="shared" ref="I108:AB108" si="233">I106+H108</f>
        <v>75</v>
      </c>
      <c r="J108" s="361">
        <f t="shared" si="233"/>
        <v>150</v>
      </c>
      <c r="K108" s="361">
        <f t="shared" si="233"/>
        <v>225</v>
      </c>
      <c r="L108" s="361">
        <f t="shared" si="233"/>
        <v>300</v>
      </c>
      <c r="M108" s="361">
        <f t="shared" si="233"/>
        <v>375</v>
      </c>
      <c r="N108" s="361">
        <f t="shared" si="233"/>
        <v>377</v>
      </c>
      <c r="O108" s="361">
        <f t="shared" si="233"/>
        <v>377</v>
      </c>
      <c r="P108" s="361">
        <f t="shared" si="233"/>
        <v>377</v>
      </c>
      <c r="Q108" s="361">
        <f t="shared" si="233"/>
        <v>377</v>
      </c>
      <c r="R108" s="361">
        <f t="shared" si="233"/>
        <v>377</v>
      </c>
      <c r="S108" s="361">
        <f t="shared" si="233"/>
        <v>377</v>
      </c>
      <c r="T108" s="361">
        <f t="shared" si="233"/>
        <v>377</v>
      </c>
      <c r="U108" s="361">
        <f t="shared" si="233"/>
        <v>377</v>
      </c>
      <c r="V108" s="361">
        <f t="shared" si="233"/>
        <v>377</v>
      </c>
      <c r="W108" s="361">
        <f t="shared" si="233"/>
        <v>377</v>
      </c>
      <c r="X108" s="361">
        <f t="shared" si="233"/>
        <v>377</v>
      </c>
      <c r="Y108" s="361">
        <f t="shared" si="233"/>
        <v>377</v>
      </c>
      <c r="Z108" s="361">
        <f t="shared" si="233"/>
        <v>377</v>
      </c>
      <c r="AA108" s="361">
        <f t="shared" si="233"/>
        <v>377</v>
      </c>
      <c r="AB108" s="361">
        <f t="shared" si="233"/>
        <v>377</v>
      </c>
      <c r="AC108" s="361">
        <f t="shared" ref="AC108:AF108" si="234">AC106+AB108</f>
        <v>377</v>
      </c>
      <c r="AD108" s="361">
        <f t="shared" si="234"/>
        <v>377</v>
      </c>
      <c r="AE108" s="361">
        <f t="shared" si="234"/>
        <v>377</v>
      </c>
      <c r="AF108" s="361">
        <f t="shared" si="234"/>
        <v>377</v>
      </c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 ht="13.5" x14ac:dyDescent="0.3"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ht="13.5" x14ac:dyDescent="0.3">
      <c r="A110" s="14" t="s">
        <v>296</v>
      </c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 ht="13.5" x14ac:dyDescent="0.3">
      <c r="B111" s="14" t="s">
        <v>269</v>
      </c>
      <c r="E111" s="8" t="s">
        <v>40</v>
      </c>
      <c r="F111" s="331">
        <v>3638</v>
      </c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 ht="13.5" x14ac:dyDescent="0.3">
      <c r="B112" s="8" t="s">
        <v>293</v>
      </c>
      <c r="H112" s="347">
        <f t="shared" ref="H112:AB112" si="235">H107/$F$12</f>
        <v>2.3484706908366036E-2</v>
      </c>
      <c r="I112" s="347">
        <f t="shared" si="235"/>
        <v>1.8812682987603562E-2</v>
      </c>
      <c r="J112" s="347">
        <f t="shared" si="235"/>
        <v>1.4140659066841088E-2</v>
      </c>
      <c r="K112" s="347">
        <f t="shared" si="235"/>
        <v>9.468635146078614E-3</v>
      </c>
      <c r="L112" s="347">
        <f t="shared" si="235"/>
        <v>4.79661122531614E-3</v>
      </c>
      <c r="M112" s="347">
        <f t="shared" si="235"/>
        <v>1.2458730455366598E-4</v>
      </c>
      <c r="N112" s="347">
        <f t="shared" si="235"/>
        <v>0</v>
      </c>
      <c r="O112" s="347">
        <f t="shared" si="235"/>
        <v>0</v>
      </c>
      <c r="P112" s="347">
        <f t="shared" si="235"/>
        <v>0</v>
      </c>
      <c r="Q112" s="347">
        <f t="shared" si="235"/>
        <v>0</v>
      </c>
      <c r="R112" s="347">
        <f t="shared" si="235"/>
        <v>0</v>
      </c>
      <c r="S112" s="347">
        <f t="shared" si="235"/>
        <v>0</v>
      </c>
      <c r="T112" s="347">
        <f t="shared" si="235"/>
        <v>0</v>
      </c>
      <c r="U112" s="347">
        <f t="shared" si="235"/>
        <v>0</v>
      </c>
      <c r="V112" s="347">
        <f t="shared" si="235"/>
        <v>0</v>
      </c>
      <c r="W112" s="347">
        <f t="shared" si="235"/>
        <v>0</v>
      </c>
      <c r="X112" s="347">
        <f t="shared" si="235"/>
        <v>0</v>
      </c>
      <c r="Y112" s="347">
        <f t="shared" si="235"/>
        <v>0</v>
      </c>
      <c r="Z112" s="347">
        <f t="shared" si="235"/>
        <v>0</v>
      </c>
      <c r="AA112" s="347">
        <f t="shared" si="235"/>
        <v>0</v>
      </c>
      <c r="AB112" s="347">
        <f t="shared" si="235"/>
        <v>0</v>
      </c>
      <c r="AC112" s="347">
        <f t="shared" ref="AC112:AF112" si="236">AC107/$F$12</f>
        <v>0</v>
      </c>
      <c r="AD112" s="347">
        <f t="shared" si="236"/>
        <v>0</v>
      </c>
      <c r="AE112" s="347">
        <f t="shared" si="236"/>
        <v>0</v>
      </c>
      <c r="AF112" s="347">
        <f t="shared" si="236"/>
        <v>0</v>
      </c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ht="13.5" x14ac:dyDescent="0.3">
      <c r="B113" s="8" t="s">
        <v>106</v>
      </c>
      <c r="I113" s="337">
        <f>$F$10*H112</f>
        <v>85.445226412508575</v>
      </c>
      <c r="J113" s="337">
        <f t="shared" ref="J113:AF113" si="237">$F$10*I112</f>
        <v>68.446839195166021</v>
      </c>
      <c r="K113" s="337">
        <f t="shared" si="237"/>
        <v>51.448451977823467</v>
      </c>
      <c r="L113" s="337">
        <f t="shared" si="237"/>
        <v>34.450064760480913</v>
      </c>
      <c r="M113" s="337">
        <f t="shared" si="237"/>
        <v>17.451677543138356</v>
      </c>
      <c r="N113" s="337">
        <f t="shared" si="237"/>
        <v>0.45329032579580147</v>
      </c>
      <c r="O113" s="337">
        <f t="shared" si="237"/>
        <v>0</v>
      </c>
      <c r="P113" s="337">
        <f t="shared" si="237"/>
        <v>0</v>
      </c>
      <c r="Q113" s="337">
        <f t="shared" si="237"/>
        <v>0</v>
      </c>
      <c r="R113" s="337">
        <f t="shared" si="237"/>
        <v>0</v>
      </c>
      <c r="S113" s="337">
        <f t="shared" si="237"/>
        <v>0</v>
      </c>
      <c r="T113" s="337">
        <f t="shared" si="237"/>
        <v>0</v>
      </c>
      <c r="U113" s="337">
        <f t="shared" si="237"/>
        <v>0</v>
      </c>
      <c r="V113" s="337">
        <f t="shared" si="237"/>
        <v>0</v>
      </c>
      <c r="W113" s="337">
        <f t="shared" si="237"/>
        <v>0</v>
      </c>
      <c r="X113" s="337">
        <f t="shared" si="237"/>
        <v>0</v>
      </c>
      <c r="Y113" s="337">
        <f t="shared" si="237"/>
        <v>0</v>
      </c>
      <c r="Z113" s="337">
        <f t="shared" si="237"/>
        <v>0</v>
      </c>
      <c r="AA113" s="337">
        <f t="shared" si="237"/>
        <v>0</v>
      </c>
      <c r="AB113" s="337">
        <f t="shared" si="237"/>
        <v>0</v>
      </c>
      <c r="AC113" s="337">
        <f t="shared" si="237"/>
        <v>0</v>
      </c>
      <c r="AD113" s="337">
        <f t="shared" si="237"/>
        <v>0</v>
      </c>
      <c r="AE113" s="337">
        <f t="shared" si="237"/>
        <v>0</v>
      </c>
      <c r="AF113" s="337">
        <f t="shared" si="237"/>
        <v>0</v>
      </c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 ht="13.5" x14ac:dyDescent="0.3">
      <c r="B114" s="8" t="s">
        <v>270</v>
      </c>
      <c r="I114" s="337">
        <f>I113*$F$15</f>
        <v>3743824.1408840665</v>
      </c>
      <c r="J114" s="337">
        <f t="shared" ref="J114" si="238">J113*$F$15</f>
        <v>2999031.5399124352</v>
      </c>
      <c r="K114" s="337">
        <f t="shared" ref="K114" si="239">K113*$F$15</f>
        <v>2254238.938940804</v>
      </c>
      <c r="L114" s="337">
        <f t="shared" ref="L114" si="240">L113*$F$15</f>
        <v>1509446.3379691727</v>
      </c>
      <c r="M114" s="337">
        <f t="shared" ref="M114" si="241">M113*$F$15</f>
        <v>764653.73699754139</v>
      </c>
      <c r="N114" s="337">
        <f t="shared" ref="N114" si="242">N113*$F$15</f>
        <v>19861.136025910168</v>
      </c>
      <c r="O114" s="337">
        <f t="shared" ref="O114" si="243">O113*$F$15</f>
        <v>0</v>
      </c>
      <c r="P114" s="337">
        <f t="shared" ref="P114" si="244">P113*$F$15</f>
        <v>0</v>
      </c>
      <c r="Q114" s="337">
        <f t="shared" ref="Q114" si="245">Q113*$F$15</f>
        <v>0</v>
      </c>
      <c r="R114" s="337">
        <f t="shared" ref="R114" si="246">R113*$F$15</f>
        <v>0</v>
      </c>
      <c r="S114" s="337">
        <f t="shared" ref="S114" si="247">S113*$F$15</f>
        <v>0</v>
      </c>
      <c r="T114" s="337">
        <f t="shared" ref="T114" si="248">T113*$F$15</f>
        <v>0</v>
      </c>
      <c r="U114" s="337">
        <f t="shared" ref="U114" si="249">U113*$F$15</f>
        <v>0</v>
      </c>
      <c r="V114" s="337">
        <f t="shared" ref="V114" si="250">V113*$F$15</f>
        <v>0</v>
      </c>
      <c r="W114" s="337">
        <f t="shared" ref="W114" si="251">W113*$F$15</f>
        <v>0</v>
      </c>
      <c r="X114" s="337">
        <f t="shared" ref="X114" si="252">X113*$F$15</f>
        <v>0</v>
      </c>
      <c r="Y114" s="337">
        <f t="shared" ref="Y114" si="253">Y113*$F$15</f>
        <v>0</v>
      </c>
      <c r="Z114" s="337">
        <f t="shared" ref="Z114" si="254">Z113*$F$15</f>
        <v>0</v>
      </c>
      <c r="AA114" s="337">
        <f t="shared" ref="AA114" si="255">AA113*$F$15</f>
        <v>0</v>
      </c>
      <c r="AB114" s="337">
        <f t="shared" ref="AB114" si="256">AB113*$F$15</f>
        <v>0</v>
      </c>
      <c r="AC114" s="337">
        <f t="shared" ref="AC114" si="257">AC113*$F$15</f>
        <v>0</v>
      </c>
      <c r="AD114" s="337">
        <f t="shared" ref="AD114" si="258">AD113*$F$15</f>
        <v>0</v>
      </c>
      <c r="AE114" s="337">
        <f t="shared" ref="AE114" si="259">AE113*$F$15</f>
        <v>0</v>
      </c>
      <c r="AF114" s="337">
        <f t="shared" ref="AF114" si="260">AF113*$F$15</f>
        <v>0</v>
      </c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ht="13.5" x14ac:dyDescent="0.3">
      <c r="B115" s="14" t="s">
        <v>271</v>
      </c>
      <c r="E115" s="8" t="s">
        <v>40</v>
      </c>
      <c r="F115" s="331">
        <v>1756.6587999999999</v>
      </c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  <c r="AA115" s="337"/>
      <c r="AB115" s="337"/>
      <c r="AC115" s="337"/>
      <c r="AD115" s="337"/>
      <c r="AE115" s="337"/>
      <c r="AF115" s="337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ht="13.5" x14ac:dyDescent="0.3">
      <c r="B116" s="8" t="s">
        <v>271</v>
      </c>
      <c r="I116" s="337">
        <f t="shared" ref="I116:AF116" si="261">$F$9*H112</f>
        <v>41.25461705600199</v>
      </c>
      <c r="J116" s="337">
        <f t="shared" si="261"/>
        <v>33.047465121784086</v>
      </c>
      <c r="K116" s="337">
        <f t="shared" si="261"/>
        <v>24.840313187566185</v>
      </c>
      <c r="L116" s="337">
        <f t="shared" si="261"/>
        <v>16.63316125334828</v>
      </c>
      <c r="M116" s="337">
        <f t="shared" si="261"/>
        <v>8.4260093191303795</v>
      </c>
      <c r="N116" s="337">
        <f t="shared" si="261"/>
        <v>0.21885738491247742</v>
      </c>
      <c r="O116" s="337">
        <f t="shared" si="261"/>
        <v>0</v>
      </c>
      <c r="P116" s="337">
        <f t="shared" si="261"/>
        <v>0</v>
      </c>
      <c r="Q116" s="337">
        <f t="shared" si="261"/>
        <v>0</v>
      </c>
      <c r="R116" s="337">
        <f t="shared" si="261"/>
        <v>0</v>
      </c>
      <c r="S116" s="337">
        <f t="shared" si="261"/>
        <v>0</v>
      </c>
      <c r="T116" s="337">
        <f t="shared" si="261"/>
        <v>0</v>
      </c>
      <c r="U116" s="337">
        <f t="shared" si="261"/>
        <v>0</v>
      </c>
      <c r="V116" s="337">
        <f t="shared" si="261"/>
        <v>0</v>
      </c>
      <c r="W116" s="337">
        <f t="shared" si="261"/>
        <v>0</v>
      </c>
      <c r="X116" s="337">
        <f t="shared" si="261"/>
        <v>0</v>
      </c>
      <c r="Y116" s="337">
        <f t="shared" si="261"/>
        <v>0</v>
      </c>
      <c r="Z116" s="337">
        <f t="shared" si="261"/>
        <v>0</v>
      </c>
      <c r="AA116" s="337">
        <f t="shared" si="261"/>
        <v>0</v>
      </c>
      <c r="AB116" s="337">
        <f t="shared" si="261"/>
        <v>0</v>
      </c>
      <c r="AC116" s="337">
        <f t="shared" si="261"/>
        <v>0</v>
      </c>
      <c r="AD116" s="337">
        <f t="shared" si="261"/>
        <v>0</v>
      </c>
      <c r="AE116" s="337">
        <f t="shared" si="261"/>
        <v>0</v>
      </c>
      <c r="AF116" s="337">
        <f t="shared" si="261"/>
        <v>0</v>
      </c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ht="13.5" x14ac:dyDescent="0.3">
      <c r="B117" s="8" t="s">
        <v>298</v>
      </c>
      <c r="F117" s="337">
        <f>F114*$F$16</f>
        <v>0</v>
      </c>
      <c r="I117" s="337">
        <f>I116*$F$17</f>
        <v>1084554.6632052278</v>
      </c>
      <c r="J117" s="337">
        <f t="shared" ref="J117" si="262">J116*$F$17</f>
        <v>868794.45169225137</v>
      </c>
      <c r="K117" s="337">
        <f t="shared" ref="K117" si="263">K116*$F$17</f>
        <v>653034.24017927516</v>
      </c>
      <c r="L117" s="337">
        <f t="shared" ref="L117" si="264">L116*$F$17</f>
        <v>437274.02866629872</v>
      </c>
      <c r="M117" s="337">
        <f t="shared" ref="M117" si="265">M116*$F$17</f>
        <v>221513.81715332239</v>
      </c>
      <c r="N117" s="337">
        <f t="shared" ref="N117" si="266">N116*$F$17</f>
        <v>5753.605640346037</v>
      </c>
      <c r="O117" s="337">
        <f t="shared" ref="O117" si="267">O116*$F$17</f>
        <v>0</v>
      </c>
      <c r="P117" s="337">
        <f t="shared" ref="P117" si="268">P116*$F$17</f>
        <v>0</v>
      </c>
      <c r="Q117" s="337">
        <f t="shared" ref="Q117" si="269">Q116*$F$17</f>
        <v>0</v>
      </c>
      <c r="R117" s="337">
        <f t="shared" ref="R117" si="270">R116*$F$17</f>
        <v>0</v>
      </c>
      <c r="S117" s="337">
        <f t="shared" ref="S117" si="271">S116*$F$17</f>
        <v>0</v>
      </c>
      <c r="T117" s="337">
        <f t="shared" ref="T117" si="272">T116*$F$17</f>
        <v>0</v>
      </c>
      <c r="U117" s="337">
        <f t="shared" ref="U117" si="273">U116*$F$17</f>
        <v>0</v>
      </c>
      <c r="V117" s="337">
        <f t="shared" ref="V117" si="274">V116*$F$17</f>
        <v>0</v>
      </c>
      <c r="W117" s="337">
        <f t="shared" ref="W117" si="275">W116*$F$17</f>
        <v>0</v>
      </c>
      <c r="X117" s="337">
        <f t="shared" ref="X117" si="276">X116*$F$17</f>
        <v>0</v>
      </c>
      <c r="Y117" s="337">
        <f t="shared" ref="Y117" si="277">Y116*$F$17</f>
        <v>0</v>
      </c>
      <c r="Z117" s="337">
        <f t="shared" ref="Z117" si="278">Z116*$F$17</f>
        <v>0</v>
      </c>
      <c r="AA117" s="337">
        <f t="shared" ref="AA117" si="279">AA116*$F$17</f>
        <v>0</v>
      </c>
      <c r="AB117" s="337">
        <f t="shared" ref="AB117" si="280">AB116*$F$17</f>
        <v>0</v>
      </c>
      <c r="AC117" s="337">
        <f t="shared" ref="AC117" si="281">AC116*$F$17</f>
        <v>0</v>
      </c>
      <c r="AD117" s="337">
        <f t="shared" ref="AD117" si="282">AD116*$F$17</f>
        <v>0</v>
      </c>
      <c r="AE117" s="337">
        <f t="shared" ref="AE117" si="283">AE116*$F$17</f>
        <v>0</v>
      </c>
      <c r="AF117" s="337">
        <f t="shared" ref="AF117" si="284">AF116*$F$17</f>
        <v>0</v>
      </c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ht="13.5" x14ac:dyDescent="0.3">
      <c r="B118" s="14" t="s">
        <v>300</v>
      </c>
      <c r="C118" s="14"/>
      <c r="D118" s="14"/>
      <c r="E118" s="14"/>
      <c r="F118" s="14"/>
      <c r="G118" s="14"/>
      <c r="H118" s="14"/>
      <c r="I118" s="348">
        <f t="shared" ref="I118:AF118" si="285">I114+I117</f>
        <v>4828378.8040892947</v>
      </c>
      <c r="J118" s="348">
        <f t="shared" si="285"/>
        <v>3867825.9916046867</v>
      </c>
      <c r="K118" s="348">
        <f t="shared" si="285"/>
        <v>2907273.1791200791</v>
      </c>
      <c r="L118" s="348">
        <f t="shared" si="285"/>
        <v>1946720.3666354716</v>
      </c>
      <c r="M118" s="348">
        <f t="shared" si="285"/>
        <v>986167.55415086378</v>
      </c>
      <c r="N118" s="348">
        <f t="shared" si="285"/>
        <v>25614.741666256203</v>
      </c>
      <c r="O118" s="348">
        <f t="shared" si="285"/>
        <v>0</v>
      </c>
      <c r="P118" s="348">
        <f t="shared" si="285"/>
        <v>0</v>
      </c>
      <c r="Q118" s="348">
        <f t="shared" si="285"/>
        <v>0</v>
      </c>
      <c r="R118" s="348">
        <f t="shared" si="285"/>
        <v>0</v>
      </c>
      <c r="S118" s="348">
        <f t="shared" si="285"/>
        <v>0</v>
      </c>
      <c r="T118" s="348">
        <f t="shared" si="285"/>
        <v>0</v>
      </c>
      <c r="U118" s="348">
        <f t="shared" si="285"/>
        <v>0</v>
      </c>
      <c r="V118" s="348">
        <f t="shared" si="285"/>
        <v>0</v>
      </c>
      <c r="W118" s="348">
        <f t="shared" si="285"/>
        <v>0</v>
      </c>
      <c r="X118" s="348">
        <f t="shared" si="285"/>
        <v>0</v>
      </c>
      <c r="Y118" s="348">
        <f t="shared" si="285"/>
        <v>0</v>
      </c>
      <c r="Z118" s="348">
        <f t="shared" si="285"/>
        <v>0</v>
      </c>
      <c r="AA118" s="348">
        <f t="shared" si="285"/>
        <v>0</v>
      </c>
      <c r="AB118" s="348">
        <f t="shared" si="285"/>
        <v>0</v>
      </c>
      <c r="AC118" s="348">
        <f t="shared" si="285"/>
        <v>0</v>
      </c>
      <c r="AD118" s="348">
        <f t="shared" si="285"/>
        <v>0</v>
      </c>
      <c r="AE118" s="348">
        <f t="shared" si="285"/>
        <v>0</v>
      </c>
      <c r="AF118" s="348">
        <f t="shared" si="285"/>
        <v>0</v>
      </c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ht="13.5" x14ac:dyDescent="0.3"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ht="13.5" x14ac:dyDescent="0.3">
      <c r="A120" s="14" t="s">
        <v>272</v>
      </c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 ht="13.5" x14ac:dyDescent="0.3">
      <c r="B121" s="8" t="s">
        <v>273</v>
      </c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 ht="13.5" x14ac:dyDescent="0.3">
      <c r="B122" s="8" t="s">
        <v>274</v>
      </c>
      <c r="E122" s="8" t="s">
        <v>40</v>
      </c>
      <c r="F122" s="336">
        <v>7.0337034132705228E-2</v>
      </c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 ht="13.5" x14ac:dyDescent="0.3">
      <c r="B123" s="8" t="s">
        <v>284</v>
      </c>
      <c r="I123" s="40">
        <v>1.1884953648680771E-3</v>
      </c>
      <c r="J123" s="40">
        <v>7.1309721892084618E-4</v>
      </c>
      <c r="K123" s="40">
        <v>4.7539814594723079E-4</v>
      </c>
      <c r="L123" s="40">
        <v>2.3769907297361539E-4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40">
        <v>0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>
        <v>0</v>
      </c>
      <c r="AH123">
        <v>0</v>
      </c>
      <c r="AI123">
        <v>0</v>
      </c>
      <c r="AJ123">
        <v>0</v>
      </c>
      <c r="AK123"/>
      <c r="AL123"/>
      <c r="AM123"/>
      <c r="AN123"/>
      <c r="AO123"/>
      <c r="AP123"/>
      <c r="AQ123"/>
      <c r="AR123"/>
      <c r="AS123"/>
      <c r="AT123"/>
    </row>
    <row r="124" spans="1:46" ht="13.5" x14ac:dyDescent="0.3">
      <c r="B124" s="8" t="s">
        <v>275</v>
      </c>
      <c r="I124" s="8">
        <f>I123*$F$12</f>
        <v>19.078916092227242</v>
      </c>
      <c r="J124" s="8">
        <f t="shared" ref="J124" si="286">J123*$F$12</f>
        <v>11.447349655336344</v>
      </c>
      <c r="K124" s="8">
        <f t="shared" ref="K124" si="287">K123*$F$12</f>
        <v>7.6315664368908962</v>
      </c>
      <c r="L124" s="8">
        <f t="shared" ref="L124" si="288">L123*$F$12</f>
        <v>3.8157832184454481</v>
      </c>
      <c r="M124" s="8">
        <f t="shared" ref="M124" si="289">M123*$F$12</f>
        <v>0</v>
      </c>
      <c r="N124" s="8">
        <f t="shared" ref="N124" si="290">N123*$F$12</f>
        <v>0</v>
      </c>
      <c r="O124" s="8">
        <f t="shared" ref="O124" si="291">O123*$F$12</f>
        <v>0</v>
      </c>
      <c r="P124" s="8">
        <f t="shared" ref="P124" si="292">P123*$F$12</f>
        <v>0</v>
      </c>
      <c r="Q124" s="8">
        <f t="shared" ref="Q124" si="293">Q123*$F$12</f>
        <v>0</v>
      </c>
      <c r="R124" s="8">
        <f t="shared" ref="R124" si="294">R123*$F$12</f>
        <v>0</v>
      </c>
      <c r="S124" s="8">
        <f t="shared" ref="S124" si="295">S123*$F$12</f>
        <v>0</v>
      </c>
      <c r="T124" s="8">
        <f t="shared" ref="T124" si="296">T123*$F$12</f>
        <v>0</v>
      </c>
      <c r="U124" s="8">
        <f t="shared" ref="U124" si="297">U123*$F$12</f>
        <v>0</v>
      </c>
      <c r="V124" s="8">
        <f t="shared" ref="V124" si="298">V123*$F$12</f>
        <v>0</v>
      </c>
      <c r="W124" s="8">
        <f t="shared" ref="W124" si="299">W123*$F$12</f>
        <v>0</v>
      </c>
      <c r="X124" s="8">
        <f t="shared" ref="X124" si="300">X123*$F$12</f>
        <v>0</v>
      </c>
      <c r="Y124" s="8">
        <f t="shared" ref="Y124" si="301">Y123*$F$12</f>
        <v>0</v>
      </c>
      <c r="Z124" s="8">
        <f t="shared" ref="Z124" si="302">Z123*$F$12</f>
        <v>0</v>
      </c>
      <c r="AA124" s="8">
        <f t="shared" ref="AA124" si="303">AA123*$F$12</f>
        <v>0</v>
      </c>
      <c r="AB124" s="8">
        <f t="shared" ref="AB124" si="304">AB123*$F$12</f>
        <v>0</v>
      </c>
      <c r="AC124" s="8">
        <f t="shared" ref="AC124" si="305">AC123*$F$12</f>
        <v>0</v>
      </c>
      <c r="AD124" s="8">
        <f t="shared" ref="AD124" si="306">AD123*$F$12</f>
        <v>0</v>
      </c>
      <c r="AE124" s="8">
        <f t="shared" ref="AE124" si="307">AE123*$F$12</f>
        <v>0</v>
      </c>
      <c r="AF124" s="8">
        <f t="shared" ref="AF124" si="308">AF123*$F$12</f>
        <v>0</v>
      </c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ht="13.5" x14ac:dyDescent="0.3">
      <c r="B125" s="8" t="s">
        <v>276</v>
      </c>
      <c r="F125" s="331">
        <v>4</v>
      </c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ht="13.5" x14ac:dyDescent="0.3">
      <c r="B126" s="8" t="s">
        <v>106</v>
      </c>
      <c r="F126" s="8" t="s">
        <v>40</v>
      </c>
      <c r="I126" s="337">
        <f t="shared" ref="I126:V126" si="309">I124*$F$83*$F$80</f>
        <v>5.3678174895760264</v>
      </c>
      <c r="J126" s="337">
        <f t="shared" si="309"/>
        <v>3.2206904937456153</v>
      </c>
      <c r="K126" s="337">
        <f t="shared" si="309"/>
        <v>2.1471269958304102</v>
      </c>
      <c r="L126" s="337">
        <f t="shared" si="309"/>
        <v>1.0735634979152051</v>
      </c>
      <c r="M126" s="337">
        <f t="shared" si="309"/>
        <v>0</v>
      </c>
      <c r="N126" s="337">
        <f t="shared" si="309"/>
        <v>0</v>
      </c>
      <c r="O126" s="337">
        <f t="shared" si="309"/>
        <v>0</v>
      </c>
      <c r="P126" s="337">
        <f t="shared" si="309"/>
        <v>0</v>
      </c>
      <c r="Q126" s="337">
        <f t="shared" si="309"/>
        <v>0</v>
      </c>
      <c r="R126" s="337">
        <f t="shared" si="309"/>
        <v>0</v>
      </c>
      <c r="S126" s="337">
        <f t="shared" si="309"/>
        <v>0</v>
      </c>
      <c r="T126" s="337">
        <f t="shared" si="309"/>
        <v>0</v>
      </c>
      <c r="U126" s="337">
        <f t="shared" si="309"/>
        <v>0</v>
      </c>
      <c r="V126" s="337">
        <f t="shared" si="309"/>
        <v>0</v>
      </c>
      <c r="W126" s="337">
        <f t="shared" ref="W126:AB126" si="310">W124*$F$83*$F$80</f>
        <v>0</v>
      </c>
      <c r="X126" s="337">
        <f t="shared" si="310"/>
        <v>0</v>
      </c>
      <c r="Y126" s="337">
        <f t="shared" si="310"/>
        <v>0</v>
      </c>
      <c r="Z126" s="337">
        <f t="shared" si="310"/>
        <v>0</v>
      </c>
      <c r="AA126" s="337">
        <f t="shared" si="310"/>
        <v>0</v>
      </c>
      <c r="AB126" s="337">
        <f t="shared" si="310"/>
        <v>0</v>
      </c>
      <c r="AC126" s="337">
        <f t="shared" ref="AC126:AF126" si="311">AC124*$F$83*$F$80</f>
        <v>0</v>
      </c>
      <c r="AD126" s="337">
        <f t="shared" si="311"/>
        <v>0</v>
      </c>
      <c r="AE126" s="337">
        <f t="shared" si="311"/>
        <v>0</v>
      </c>
      <c r="AF126" s="337">
        <f t="shared" si="311"/>
        <v>0</v>
      </c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 ht="13.5" x14ac:dyDescent="0.3">
      <c r="B127" s="8" t="s">
        <v>270</v>
      </c>
      <c r="F127" s="337"/>
      <c r="I127" s="337">
        <f>I126*$F$15</f>
        <v>235193.53327376166</v>
      </c>
      <c r="J127" s="337">
        <f t="shared" ref="J127" si="312">J126*$F$15</f>
        <v>141116.11996425697</v>
      </c>
      <c r="K127" s="337">
        <f t="shared" ref="K127" si="313">K126*$F$15</f>
        <v>94077.413309504642</v>
      </c>
      <c r="L127" s="337">
        <f t="shared" ref="L127" si="314">L126*$F$15</f>
        <v>47038.706654752321</v>
      </c>
      <c r="M127" s="337">
        <f t="shared" ref="M127" si="315">M126*$F$15</f>
        <v>0</v>
      </c>
      <c r="N127" s="337">
        <f t="shared" ref="N127" si="316">N126*$F$15</f>
        <v>0</v>
      </c>
      <c r="O127" s="337">
        <f t="shared" ref="O127" si="317">O126*$F$15</f>
        <v>0</v>
      </c>
      <c r="P127" s="337">
        <f t="shared" ref="P127" si="318">P126*$F$15</f>
        <v>0</v>
      </c>
      <c r="Q127" s="337">
        <f t="shared" ref="Q127" si="319">Q126*$F$15</f>
        <v>0</v>
      </c>
      <c r="R127" s="337">
        <f t="shared" ref="R127" si="320">R126*$F$15</f>
        <v>0</v>
      </c>
      <c r="S127" s="337">
        <f t="shared" ref="S127" si="321">S126*$F$15</f>
        <v>0</v>
      </c>
      <c r="T127" s="337">
        <f t="shared" ref="T127" si="322">T126*$F$15</f>
        <v>0</v>
      </c>
      <c r="U127" s="337">
        <f t="shared" ref="U127" si="323">U126*$F$15</f>
        <v>0</v>
      </c>
      <c r="V127" s="337">
        <f t="shared" ref="V127" si="324">V126*$F$15</f>
        <v>0</v>
      </c>
      <c r="W127" s="337">
        <f t="shared" ref="W127" si="325">W126*$F$15</f>
        <v>0</v>
      </c>
      <c r="X127" s="337">
        <f t="shared" ref="X127" si="326">X126*$F$15</f>
        <v>0</v>
      </c>
      <c r="Y127" s="337">
        <f t="shared" ref="Y127" si="327">Y126*$F$15</f>
        <v>0</v>
      </c>
      <c r="Z127" s="337">
        <f t="shared" ref="Z127" si="328">Z126*$F$15</f>
        <v>0</v>
      </c>
      <c r="AA127" s="337">
        <f t="shared" ref="AA127" si="329">AA126*$F$15</f>
        <v>0</v>
      </c>
      <c r="AB127" s="337">
        <f t="shared" ref="AB127" si="330">AB126*$F$15</f>
        <v>0</v>
      </c>
      <c r="AC127" s="337">
        <f t="shared" ref="AC127" si="331">AC126*$F$15</f>
        <v>0</v>
      </c>
      <c r="AD127" s="337">
        <f t="shared" ref="AD127" si="332">AD126*$F$15</f>
        <v>0</v>
      </c>
      <c r="AE127" s="337">
        <f t="shared" ref="AE127" si="333">AE126*$F$15</f>
        <v>0</v>
      </c>
      <c r="AF127" s="337">
        <f t="shared" ref="AF127" si="334">AF126*$F$15</f>
        <v>0</v>
      </c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 ht="13.5" x14ac:dyDescent="0.3"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1:46" ht="13.5" x14ac:dyDescent="0.3">
      <c r="A129" s="14" t="s">
        <v>278</v>
      </c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1:46" ht="13.5" x14ac:dyDescent="0.3">
      <c r="B130" s="8" t="s">
        <v>279</v>
      </c>
      <c r="I130" s="337">
        <f t="shared" ref="I130:U130" si="335">I106</f>
        <v>75</v>
      </c>
      <c r="J130" s="337">
        <f t="shared" si="335"/>
        <v>75</v>
      </c>
      <c r="K130" s="337">
        <f t="shared" si="335"/>
        <v>75</v>
      </c>
      <c r="L130" s="337">
        <f t="shared" si="335"/>
        <v>75</v>
      </c>
      <c r="M130" s="337">
        <f t="shared" si="335"/>
        <v>75</v>
      </c>
      <c r="N130" s="337">
        <f t="shared" si="335"/>
        <v>2</v>
      </c>
      <c r="O130" s="337">
        <f t="shared" si="335"/>
        <v>0</v>
      </c>
      <c r="P130" s="337">
        <f t="shared" si="335"/>
        <v>0</v>
      </c>
      <c r="Q130" s="337">
        <f t="shared" si="335"/>
        <v>0</v>
      </c>
      <c r="R130" s="337">
        <f t="shared" si="335"/>
        <v>0</v>
      </c>
      <c r="S130" s="337">
        <f t="shared" si="335"/>
        <v>0</v>
      </c>
      <c r="T130" s="337">
        <f t="shared" si="335"/>
        <v>0</v>
      </c>
      <c r="U130" s="337">
        <f t="shared" si="335"/>
        <v>0</v>
      </c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1:46" ht="13.5" x14ac:dyDescent="0.3">
      <c r="B131" s="8" t="s">
        <v>280</v>
      </c>
      <c r="F131" s="333">
        <v>0.4</v>
      </c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1:46" ht="13.5" x14ac:dyDescent="0.3">
      <c r="B132" s="8" t="s">
        <v>106</v>
      </c>
      <c r="I132" s="337">
        <f t="shared" ref="I132:AF132" si="336">$F125*$F$38*$F$47*I130</f>
        <v>8.4404440959246276</v>
      </c>
      <c r="J132" s="337">
        <f t="shared" si="336"/>
        <v>8.4404440959246276</v>
      </c>
      <c r="K132" s="337">
        <f t="shared" si="336"/>
        <v>8.4404440959246276</v>
      </c>
      <c r="L132" s="337">
        <f t="shared" si="336"/>
        <v>8.4404440959246276</v>
      </c>
      <c r="M132" s="337">
        <f t="shared" si="336"/>
        <v>8.4404440959246276</v>
      </c>
      <c r="N132" s="337">
        <f t="shared" si="336"/>
        <v>0.22507850922465675</v>
      </c>
      <c r="O132" s="337">
        <f t="shared" si="336"/>
        <v>0</v>
      </c>
      <c r="P132" s="337">
        <f t="shared" si="336"/>
        <v>0</v>
      </c>
      <c r="Q132" s="337">
        <f t="shared" si="336"/>
        <v>0</v>
      </c>
      <c r="R132" s="337">
        <f t="shared" si="336"/>
        <v>0</v>
      </c>
      <c r="S132" s="337">
        <f t="shared" si="336"/>
        <v>0</v>
      </c>
      <c r="T132" s="337">
        <f t="shared" si="336"/>
        <v>0</v>
      </c>
      <c r="U132" s="337">
        <f t="shared" si="336"/>
        <v>0</v>
      </c>
      <c r="V132" s="337">
        <f t="shared" si="336"/>
        <v>0</v>
      </c>
      <c r="W132" s="337">
        <f t="shared" si="336"/>
        <v>0</v>
      </c>
      <c r="X132" s="337">
        <f t="shared" si="336"/>
        <v>0</v>
      </c>
      <c r="Y132" s="337">
        <f t="shared" si="336"/>
        <v>0</v>
      </c>
      <c r="Z132" s="337">
        <f t="shared" si="336"/>
        <v>0</v>
      </c>
      <c r="AA132" s="337">
        <f t="shared" si="336"/>
        <v>0</v>
      </c>
      <c r="AB132" s="337">
        <f t="shared" si="336"/>
        <v>0</v>
      </c>
      <c r="AC132" s="337">
        <f t="shared" si="336"/>
        <v>0</v>
      </c>
      <c r="AD132" s="337">
        <f t="shared" si="336"/>
        <v>0</v>
      </c>
      <c r="AE132" s="337">
        <f t="shared" si="336"/>
        <v>0</v>
      </c>
      <c r="AF132" s="337">
        <f t="shared" si="336"/>
        <v>0</v>
      </c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1:46" ht="13.5" x14ac:dyDescent="0.3">
      <c r="B133" s="8" t="s">
        <v>297</v>
      </c>
      <c r="F133" s="337"/>
      <c r="I133" s="337">
        <f>I132*$F$15</f>
        <v>369822.16201932915</v>
      </c>
      <c r="J133" s="337">
        <f t="shared" ref="J133" si="337">J132*$F$15</f>
        <v>369822.16201932915</v>
      </c>
      <c r="K133" s="337">
        <f t="shared" ref="K133" si="338">K132*$F$15</f>
        <v>369822.16201932915</v>
      </c>
      <c r="L133" s="337">
        <f t="shared" ref="L133" si="339">L132*$F$15</f>
        <v>369822.16201932915</v>
      </c>
      <c r="M133" s="337">
        <f t="shared" ref="M133" si="340">M132*$F$15</f>
        <v>369822.16201932915</v>
      </c>
      <c r="N133" s="337">
        <f t="shared" ref="N133" si="341">N132*$F$15</f>
        <v>9861.9243205154453</v>
      </c>
      <c r="O133" s="337">
        <f t="shared" ref="O133" si="342">O132*$F$15</f>
        <v>0</v>
      </c>
      <c r="P133" s="337">
        <f t="shared" ref="P133" si="343">P132*$F$15</f>
        <v>0</v>
      </c>
      <c r="Q133" s="337">
        <f t="shared" ref="Q133" si="344">Q132*$F$15</f>
        <v>0</v>
      </c>
      <c r="R133" s="337">
        <f t="shared" ref="R133" si="345">R132*$F$15</f>
        <v>0</v>
      </c>
      <c r="S133" s="337">
        <f t="shared" ref="S133" si="346">S132*$F$15</f>
        <v>0</v>
      </c>
      <c r="T133" s="337">
        <f t="shared" ref="T133" si="347">T132*$F$15</f>
        <v>0</v>
      </c>
      <c r="U133" s="337">
        <f t="shared" ref="U133" si="348">U132*$F$15</f>
        <v>0</v>
      </c>
      <c r="V133" s="337">
        <f t="shared" ref="V133" si="349">V132*$F$15</f>
        <v>0</v>
      </c>
      <c r="W133" s="337">
        <f t="shared" ref="W133" si="350">W132*$F$15</f>
        <v>0</v>
      </c>
      <c r="X133" s="337">
        <f t="shared" ref="X133" si="351">X132*$F$15</f>
        <v>0</v>
      </c>
      <c r="Y133" s="337">
        <f t="shared" ref="Y133" si="352">Y132*$F$15</f>
        <v>0</v>
      </c>
      <c r="Z133" s="337">
        <f t="shared" ref="Z133" si="353">Z132*$F$15</f>
        <v>0</v>
      </c>
      <c r="AA133" s="337">
        <f t="shared" ref="AA133" si="354">AA132*$F$15</f>
        <v>0</v>
      </c>
      <c r="AB133" s="337">
        <f t="shared" ref="AB133" si="355">AB132*$F$15</f>
        <v>0</v>
      </c>
      <c r="AC133" s="337">
        <f t="shared" ref="AC133" si="356">AC132*$F$15</f>
        <v>0</v>
      </c>
      <c r="AD133" s="337">
        <f t="shared" ref="AD133" si="357">AD132*$F$15</f>
        <v>0</v>
      </c>
      <c r="AE133" s="337">
        <f t="shared" ref="AE133" si="358">AE132*$F$15</f>
        <v>0</v>
      </c>
      <c r="AF133" s="337">
        <f t="shared" ref="AF133" si="359">AF132*$F$15</f>
        <v>0</v>
      </c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 ht="13.5" x14ac:dyDescent="0.3"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 ht="13.5" x14ac:dyDescent="0.3">
      <c r="A135" s="14" t="s">
        <v>277</v>
      </c>
      <c r="B135" s="8" t="s">
        <v>292</v>
      </c>
      <c r="F135" s="337" cm="1">
        <f t="array" ref="F135">SUMPRODUCT((Assumptions!$G$70:$G$72)*(Assumptions!$H$70:$H$72)*(Assumptions!$I$70:$I$72))</f>
        <v>108349.14389581641</v>
      </c>
      <c r="I135" s="337">
        <f t="shared" ref="I135:T135" si="360">$F$51*I124</f>
        <v>2067184.2250529367</v>
      </c>
      <c r="J135" s="337">
        <f t="shared" si="360"/>
        <v>1240310.535031762</v>
      </c>
      <c r="K135" s="337">
        <f t="shared" si="360"/>
        <v>826873.69002117461</v>
      </c>
      <c r="L135" s="337">
        <f t="shared" si="360"/>
        <v>413436.84501058731</v>
      </c>
      <c r="M135" s="337">
        <f t="shared" si="360"/>
        <v>0</v>
      </c>
      <c r="N135" s="337">
        <f t="shared" si="360"/>
        <v>0</v>
      </c>
      <c r="O135" s="337">
        <f t="shared" si="360"/>
        <v>0</v>
      </c>
      <c r="P135" s="337">
        <f t="shared" si="360"/>
        <v>0</v>
      </c>
      <c r="Q135" s="337">
        <f t="shared" si="360"/>
        <v>0</v>
      </c>
      <c r="R135" s="337">
        <f t="shared" si="360"/>
        <v>0</v>
      </c>
      <c r="S135" s="337">
        <f t="shared" si="360"/>
        <v>0</v>
      </c>
      <c r="T135" s="337">
        <f t="shared" si="360"/>
        <v>0</v>
      </c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1:46" ht="13.5" x14ac:dyDescent="0.3">
      <c r="B136"/>
      <c r="C136"/>
      <c r="D136"/>
      <c r="E136"/>
      <c r="F136"/>
      <c r="G136"/>
      <c r="H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1:46" ht="13.5" x14ac:dyDescent="0.3"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 ht="13.5" x14ac:dyDescent="0.3">
      <c r="A138" s="8" t="s">
        <v>130</v>
      </c>
      <c r="B138" s="14" t="s">
        <v>295</v>
      </c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 ht="13.5" x14ac:dyDescent="0.3">
      <c r="A139" s="8" t="s">
        <v>130</v>
      </c>
      <c r="B139" s="1" t="s">
        <v>114</v>
      </c>
      <c r="F139" s="351" t="str">
        <f>F97</f>
        <v>Safety</v>
      </c>
      <c r="G139" s="351" t="str">
        <f>A139&amp;F139</f>
        <v>Option 3Safety</v>
      </c>
      <c r="I139" s="337">
        <f t="shared" ref="I139:AF139" si="361">I135</f>
        <v>2067184.2250529367</v>
      </c>
      <c r="J139" s="337">
        <f t="shared" si="361"/>
        <v>1240310.535031762</v>
      </c>
      <c r="K139" s="337">
        <f t="shared" si="361"/>
        <v>826873.69002117461</v>
      </c>
      <c r="L139" s="337">
        <f t="shared" si="361"/>
        <v>413436.84501058731</v>
      </c>
      <c r="M139" s="337">
        <f t="shared" si="361"/>
        <v>0</v>
      </c>
      <c r="N139" s="337">
        <f t="shared" si="361"/>
        <v>0</v>
      </c>
      <c r="O139" s="337">
        <f t="shared" si="361"/>
        <v>0</v>
      </c>
      <c r="P139" s="337">
        <f t="shared" si="361"/>
        <v>0</v>
      </c>
      <c r="Q139" s="337">
        <f t="shared" si="361"/>
        <v>0</v>
      </c>
      <c r="R139" s="337">
        <f t="shared" si="361"/>
        <v>0</v>
      </c>
      <c r="S139" s="337">
        <f t="shared" si="361"/>
        <v>0</v>
      </c>
      <c r="T139" s="337">
        <f t="shared" si="361"/>
        <v>0</v>
      </c>
      <c r="U139" s="337">
        <f t="shared" si="361"/>
        <v>0</v>
      </c>
      <c r="V139" s="337">
        <f t="shared" si="361"/>
        <v>0</v>
      </c>
      <c r="W139" s="337">
        <f t="shared" si="361"/>
        <v>0</v>
      </c>
      <c r="X139" s="337">
        <f t="shared" si="361"/>
        <v>0</v>
      </c>
      <c r="Y139" s="337">
        <f t="shared" si="361"/>
        <v>0</v>
      </c>
      <c r="Z139" s="337">
        <f t="shared" si="361"/>
        <v>0</v>
      </c>
      <c r="AA139" s="337">
        <f t="shared" si="361"/>
        <v>0</v>
      </c>
      <c r="AB139" s="337">
        <f t="shared" si="361"/>
        <v>0</v>
      </c>
      <c r="AC139" s="337">
        <f t="shared" si="361"/>
        <v>0</v>
      </c>
      <c r="AD139" s="337">
        <f t="shared" si="361"/>
        <v>0</v>
      </c>
      <c r="AE139" s="337">
        <f t="shared" si="361"/>
        <v>0</v>
      </c>
      <c r="AF139" s="337">
        <f t="shared" si="361"/>
        <v>0</v>
      </c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 ht="13.5" x14ac:dyDescent="0.3">
      <c r="A140" s="8" t="s">
        <v>130</v>
      </c>
      <c r="B140" s="1" t="s">
        <v>298</v>
      </c>
      <c r="F140" s="351" t="str">
        <f>F98</f>
        <v>Outages</v>
      </c>
      <c r="G140" s="351" t="str">
        <f t="shared" ref="G140:G142" si="362">A140&amp;F140</f>
        <v>Option 3Outages</v>
      </c>
      <c r="I140" s="337">
        <f>I118</f>
        <v>4828378.8040892947</v>
      </c>
      <c r="J140" s="337">
        <f t="shared" ref="J140:AF140" si="363">J118</f>
        <v>3867825.9916046867</v>
      </c>
      <c r="K140" s="337">
        <f t="shared" si="363"/>
        <v>2907273.1791200791</v>
      </c>
      <c r="L140" s="337">
        <f t="shared" si="363"/>
        <v>1946720.3666354716</v>
      </c>
      <c r="M140" s="337">
        <f t="shared" si="363"/>
        <v>986167.55415086378</v>
      </c>
      <c r="N140" s="337">
        <f t="shared" si="363"/>
        <v>25614.741666256203</v>
      </c>
      <c r="O140" s="337">
        <f t="shared" si="363"/>
        <v>0</v>
      </c>
      <c r="P140" s="337">
        <f t="shared" si="363"/>
        <v>0</v>
      </c>
      <c r="Q140" s="337">
        <f t="shared" si="363"/>
        <v>0</v>
      </c>
      <c r="R140" s="337">
        <f t="shared" si="363"/>
        <v>0</v>
      </c>
      <c r="S140" s="337">
        <f t="shared" si="363"/>
        <v>0</v>
      </c>
      <c r="T140" s="337">
        <f t="shared" si="363"/>
        <v>0</v>
      </c>
      <c r="U140" s="337">
        <f t="shared" si="363"/>
        <v>0</v>
      </c>
      <c r="V140" s="337">
        <f t="shared" si="363"/>
        <v>0</v>
      </c>
      <c r="W140" s="337">
        <f t="shared" si="363"/>
        <v>0</v>
      </c>
      <c r="X140" s="337">
        <f t="shared" si="363"/>
        <v>0</v>
      </c>
      <c r="Y140" s="337">
        <f t="shared" si="363"/>
        <v>0</v>
      </c>
      <c r="Z140" s="337">
        <f t="shared" si="363"/>
        <v>0</v>
      </c>
      <c r="AA140" s="337">
        <f t="shared" si="363"/>
        <v>0</v>
      </c>
      <c r="AB140" s="337">
        <f t="shared" si="363"/>
        <v>0</v>
      </c>
      <c r="AC140" s="337">
        <f t="shared" si="363"/>
        <v>0</v>
      </c>
      <c r="AD140" s="337">
        <f t="shared" si="363"/>
        <v>0</v>
      </c>
      <c r="AE140" s="337">
        <f t="shared" si="363"/>
        <v>0</v>
      </c>
      <c r="AF140" s="337">
        <f t="shared" si="363"/>
        <v>0</v>
      </c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 ht="13.5" x14ac:dyDescent="0.3">
      <c r="A141" s="8" t="s">
        <v>130</v>
      </c>
      <c r="B141" s="1" t="s">
        <v>288</v>
      </c>
      <c r="F141" s="351" t="str">
        <f>F99</f>
        <v>Failures</v>
      </c>
      <c r="G141" s="351" t="str">
        <f t="shared" si="362"/>
        <v>Option 3Failures</v>
      </c>
      <c r="I141" s="337">
        <f t="shared" ref="I141:AF141" si="364">I127</f>
        <v>235193.53327376166</v>
      </c>
      <c r="J141" s="337">
        <f t="shared" si="364"/>
        <v>141116.11996425697</v>
      </c>
      <c r="K141" s="337">
        <f t="shared" si="364"/>
        <v>94077.413309504642</v>
      </c>
      <c r="L141" s="337">
        <f t="shared" si="364"/>
        <v>47038.706654752321</v>
      </c>
      <c r="M141" s="337">
        <f t="shared" si="364"/>
        <v>0</v>
      </c>
      <c r="N141" s="337">
        <f t="shared" si="364"/>
        <v>0</v>
      </c>
      <c r="O141" s="337">
        <f t="shared" si="364"/>
        <v>0</v>
      </c>
      <c r="P141" s="337">
        <f t="shared" si="364"/>
        <v>0</v>
      </c>
      <c r="Q141" s="337">
        <f t="shared" si="364"/>
        <v>0</v>
      </c>
      <c r="R141" s="337">
        <f t="shared" si="364"/>
        <v>0</v>
      </c>
      <c r="S141" s="337">
        <f t="shared" si="364"/>
        <v>0</v>
      </c>
      <c r="T141" s="337">
        <f t="shared" si="364"/>
        <v>0</v>
      </c>
      <c r="U141" s="337">
        <f t="shared" si="364"/>
        <v>0</v>
      </c>
      <c r="V141" s="337">
        <f t="shared" si="364"/>
        <v>0</v>
      </c>
      <c r="W141" s="337">
        <f t="shared" si="364"/>
        <v>0</v>
      </c>
      <c r="X141" s="337">
        <f t="shared" si="364"/>
        <v>0</v>
      </c>
      <c r="Y141" s="337">
        <f t="shared" si="364"/>
        <v>0</v>
      </c>
      <c r="Z141" s="337">
        <f t="shared" si="364"/>
        <v>0</v>
      </c>
      <c r="AA141" s="337">
        <f t="shared" si="364"/>
        <v>0</v>
      </c>
      <c r="AB141" s="337">
        <f t="shared" si="364"/>
        <v>0</v>
      </c>
      <c r="AC141" s="337">
        <f t="shared" si="364"/>
        <v>0</v>
      </c>
      <c r="AD141" s="337">
        <f t="shared" si="364"/>
        <v>0</v>
      </c>
      <c r="AE141" s="337">
        <f t="shared" si="364"/>
        <v>0</v>
      </c>
      <c r="AF141" s="337">
        <f t="shared" si="364"/>
        <v>0</v>
      </c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 ht="13.5" x14ac:dyDescent="0.3">
      <c r="A142" s="8" t="s">
        <v>130</v>
      </c>
      <c r="B142" s="1" t="s">
        <v>289</v>
      </c>
      <c r="F142" s="351" t="str">
        <f>F100</f>
        <v>Planned</v>
      </c>
      <c r="G142" s="351" t="str">
        <f t="shared" si="362"/>
        <v>Option 3Planned</v>
      </c>
      <c r="I142" s="337">
        <f t="shared" ref="I142:AF142" si="365">I133</f>
        <v>369822.16201932915</v>
      </c>
      <c r="J142" s="337">
        <f t="shared" si="365"/>
        <v>369822.16201932915</v>
      </c>
      <c r="K142" s="337">
        <f t="shared" si="365"/>
        <v>369822.16201932915</v>
      </c>
      <c r="L142" s="337">
        <f t="shared" si="365"/>
        <v>369822.16201932915</v>
      </c>
      <c r="M142" s="337">
        <f t="shared" si="365"/>
        <v>369822.16201932915</v>
      </c>
      <c r="N142" s="337">
        <f t="shared" si="365"/>
        <v>9861.9243205154453</v>
      </c>
      <c r="O142" s="337">
        <f t="shared" si="365"/>
        <v>0</v>
      </c>
      <c r="P142" s="337">
        <f t="shared" si="365"/>
        <v>0</v>
      </c>
      <c r="Q142" s="337">
        <f t="shared" si="365"/>
        <v>0</v>
      </c>
      <c r="R142" s="337">
        <f t="shared" si="365"/>
        <v>0</v>
      </c>
      <c r="S142" s="337">
        <f t="shared" si="365"/>
        <v>0</v>
      </c>
      <c r="T142" s="337">
        <f t="shared" si="365"/>
        <v>0</v>
      </c>
      <c r="U142" s="337">
        <f t="shared" si="365"/>
        <v>0</v>
      </c>
      <c r="V142" s="337">
        <f t="shared" si="365"/>
        <v>0</v>
      </c>
      <c r="W142" s="337">
        <f t="shared" si="365"/>
        <v>0</v>
      </c>
      <c r="X142" s="337">
        <f t="shared" si="365"/>
        <v>0</v>
      </c>
      <c r="Y142" s="337">
        <f t="shared" si="365"/>
        <v>0</v>
      </c>
      <c r="Z142" s="337">
        <f t="shared" si="365"/>
        <v>0</v>
      </c>
      <c r="AA142" s="337">
        <f t="shared" si="365"/>
        <v>0</v>
      </c>
      <c r="AB142" s="337">
        <f t="shared" si="365"/>
        <v>0</v>
      </c>
      <c r="AC142" s="337">
        <f t="shared" si="365"/>
        <v>0</v>
      </c>
      <c r="AD142" s="337">
        <f t="shared" si="365"/>
        <v>0</v>
      </c>
      <c r="AE142" s="337">
        <f t="shared" si="365"/>
        <v>0</v>
      </c>
      <c r="AF142" s="337">
        <f t="shared" si="365"/>
        <v>0</v>
      </c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 ht="13.5" x14ac:dyDescent="0.3">
      <c r="B143" s="342" t="s">
        <v>138</v>
      </c>
      <c r="C143" s="339"/>
      <c r="D143" s="339"/>
      <c r="E143" s="339"/>
      <c r="F143" s="339"/>
      <c r="G143" s="339"/>
      <c r="H143" s="339"/>
      <c r="I143" s="343">
        <f t="shared" ref="I143:V143" si="366">SUM(I139:I142)</f>
        <v>7500578.7244353229</v>
      </c>
      <c r="J143" s="343">
        <f t="shared" si="366"/>
        <v>5619074.8086200347</v>
      </c>
      <c r="K143" s="343">
        <f t="shared" si="366"/>
        <v>4198046.4444700871</v>
      </c>
      <c r="L143" s="343">
        <f t="shared" si="366"/>
        <v>2777018.0803201403</v>
      </c>
      <c r="M143" s="343">
        <f t="shared" si="366"/>
        <v>1355989.7161701929</v>
      </c>
      <c r="N143" s="343">
        <f t="shared" si="366"/>
        <v>35476.665986771652</v>
      </c>
      <c r="O143" s="343">
        <f t="shared" si="366"/>
        <v>0</v>
      </c>
      <c r="P143" s="343">
        <f t="shared" si="366"/>
        <v>0</v>
      </c>
      <c r="Q143" s="343">
        <f t="shared" si="366"/>
        <v>0</v>
      </c>
      <c r="R143" s="343">
        <f t="shared" si="366"/>
        <v>0</v>
      </c>
      <c r="S143" s="343">
        <f t="shared" si="366"/>
        <v>0</v>
      </c>
      <c r="T143" s="343">
        <f t="shared" si="366"/>
        <v>0</v>
      </c>
      <c r="U143" s="343">
        <f t="shared" si="366"/>
        <v>0</v>
      </c>
      <c r="V143" s="343">
        <f t="shared" si="366"/>
        <v>0</v>
      </c>
      <c r="W143" s="343">
        <f t="shared" ref="W143:AB143" si="367">SUM(W139:W142)</f>
        <v>0</v>
      </c>
      <c r="X143" s="343">
        <f t="shared" si="367"/>
        <v>0</v>
      </c>
      <c r="Y143" s="343">
        <f t="shared" si="367"/>
        <v>0</v>
      </c>
      <c r="Z143" s="343">
        <f t="shared" si="367"/>
        <v>0</v>
      </c>
      <c r="AA143" s="343">
        <f t="shared" si="367"/>
        <v>0</v>
      </c>
      <c r="AB143" s="343">
        <f t="shared" si="367"/>
        <v>0</v>
      </c>
      <c r="AC143" s="343">
        <f t="shared" ref="AC143" si="368">SUM(AC139:AC142)</f>
        <v>0</v>
      </c>
      <c r="AD143" s="343">
        <f t="shared" ref="AD143" si="369">SUM(AD139:AD142)</f>
        <v>0</v>
      </c>
      <c r="AE143" s="343">
        <f t="shared" ref="AE143" si="370">SUM(AE139:AE142)</f>
        <v>0</v>
      </c>
      <c r="AF143" s="343">
        <f t="shared" ref="AF143" si="371">SUM(AF139:AF142)</f>
        <v>0</v>
      </c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 ht="13.5" x14ac:dyDescent="0.3"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46" ht="13.5" x14ac:dyDescent="0.3"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1:46" customFormat="1" ht="14.5" x14ac:dyDescent="0.3">
      <c r="A146" s="18" t="s">
        <v>131</v>
      </c>
      <c r="B146" s="18"/>
      <c r="C146" s="18"/>
      <c r="D146" s="18"/>
      <c r="E146" s="142"/>
      <c r="F146" s="142"/>
      <c r="G146" s="334"/>
      <c r="H146" s="334">
        <v>46203</v>
      </c>
      <c r="I146" s="17" t="s">
        <v>19</v>
      </c>
      <c r="J146" s="17" t="s">
        <v>21</v>
      </c>
      <c r="K146" s="17" t="s">
        <v>20</v>
      </c>
      <c r="L146" s="17" t="s">
        <v>22</v>
      </c>
      <c r="M146" s="17" t="s">
        <v>93</v>
      </c>
      <c r="N146" s="17" t="s">
        <v>94</v>
      </c>
      <c r="O146" s="17" t="s">
        <v>250</v>
      </c>
      <c r="P146" s="17" t="s">
        <v>251</v>
      </c>
      <c r="Q146" s="17" t="s">
        <v>252</v>
      </c>
      <c r="R146" s="17" t="s">
        <v>253</v>
      </c>
      <c r="S146" s="17" t="s">
        <v>254</v>
      </c>
      <c r="T146" s="17" t="s">
        <v>255</v>
      </c>
      <c r="U146" s="17" t="s">
        <v>256</v>
      </c>
      <c r="V146" s="17" t="s">
        <v>257</v>
      </c>
      <c r="W146" s="17" t="s">
        <v>257</v>
      </c>
      <c r="X146" s="17" t="s">
        <v>257</v>
      </c>
      <c r="Y146" s="17" t="s">
        <v>257</v>
      </c>
      <c r="Z146" s="17" t="s">
        <v>257</v>
      </c>
      <c r="AA146" s="17" t="s">
        <v>257</v>
      </c>
      <c r="AB146" s="17" t="s">
        <v>257</v>
      </c>
      <c r="AC146" s="17" t="s">
        <v>257</v>
      </c>
      <c r="AD146" s="17" t="s">
        <v>257</v>
      </c>
      <c r="AE146" s="17" t="s">
        <v>257</v>
      </c>
      <c r="AF146" s="17" t="s">
        <v>257</v>
      </c>
    </row>
    <row r="147" spans="1:46" ht="13.5" x14ac:dyDescent="0.3"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1:46" ht="13.5" x14ac:dyDescent="0.3">
      <c r="B148" s="360" t="s">
        <v>281</v>
      </c>
      <c r="C148" s="360"/>
      <c r="D148" s="360"/>
      <c r="E148" s="360"/>
      <c r="F148" s="360"/>
      <c r="G148" s="360"/>
      <c r="H148" s="360"/>
      <c r="I148" s="361">
        <f>INDEX(Workings_costs!K$27:K$79, MATCH($A146&amp;$B148, Workings_costs!$G$27:$G$79,0))</f>
        <v>38</v>
      </c>
      <c r="J148" s="361">
        <f>INDEX(Workings_costs!L$27:L$79, MATCH($A146&amp;$B148, Workings_costs!$G$27:$G$79,0))</f>
        <v>38</v>
      </c>
      <c r="K148" s="361">
        <f>INDEX(Workings_costs!M$27:M$79, MATCH($A146&amp;$B148, Workings_costs!$G$27:$G$79,0))</f>
        <v>38</v>
      </c>
      <c r="L148" s="361">
        <f>INDEX(Workings_costs!N$27:N$79, MATCH($A146&amp;$B148, Workings_costs!$G$27:$G$79,0))</f>
        <v>38</v>
      </c>
      <c r="M148" s="361">
        <f>INDEX(Workings_costs!O$27:O$79, MATCH($A146&amp;$B148, Workings_costs!$G$27:$G$79,0))</f>
        <v>38</v>
      </c>
      <c r="N148" s="361">
        <f>INDEX(Workings_costs!P$27:P$79, MATCH($A146&amp;$B148, Workings_costs!$G$27:$G$79,0))</f>
        <v>38</v>
      </c>
      <c r="O148" s="361">
        <f>INDEX(Workings_costs!Q$27:Q$79, MATCH($A146&amp;$B148, Workings_costs!$G$27:$G$79,0))</f>
        <v>38</v>
      </c>
      <c r="P148" s="361">
        <f>INDEX(Workings_costs!R$27:R$79, MATCH($A146&amp;$B148, Workings_costs!$G$27:$G$79,0))</f>
        <v>38</v>
      </c>
      <c r="Q148" s="361">
        <f>INDEX(Workings_costs!S$27:S$79, MATCH($A146&amp;$B148, Workings_costs!$G$27:$G$79,0))</f>
        <v>38</v>
      </c>
      <c r="R148" s="361">
        <f>INDEX(Workings_costs!T$27:T$79, MATCH($A146&amp;$B148, Workings_costs!$G$27:$G$79,0))</f>
        <v>35</v>
      </c>
      <c r="S148" s="361">
        <f>INDEX(Workings_costs!U$27:U$79, MATCH($A146&amp;$B148, Workings_costs!$G$27:$G$79,0))</f>
        <v>0</v>
      </c>
      <c r="T148" s="361">
        <f>INDEX(Workings_costs!V$27:V$79, MATCH($A146&amp;$B148, Workings_costs!$G$27:$G$79,0))</f>
        <v>0</v>
      </c>
      <c r="U148" s="361">
        <f>INDEX(Workings_costs!W$27:W$79, MATCH($A146&amp;$B148, Workings_costs!$G$27:$G$79,0))</f>
        <v>0</v>
      </c>
      <c r="V148" s="361">
        <f>INDEX(Workings_costs!X$27:X$79, MATCH($A146&amp;$B148, Workings_costs!$G$27:$G$79,0))</f>
        <v>0</v>
      </c>
      <c r="W148" s="361">
        <f>INDEX(Workings_costs!Y$27:Y$79, MATCH($A146&amp;$B148, Workings_costs!$G$27:$G$79,0))</f>
        <v>0</v>
      </c>
      <c r="X148" s="361">
        <f>INDEX(Workings_costs!Z$27:Z$79, MATCH($A146&amp;$B148, Workings_costs!$G$27:$G$79,0))</f>
        <v>0</v>
      </c>
      <c r="Y148" s="361">
        <f>INDEX(Workings_costs!AA$27:AA$79, MATCH($A146&amp;$B148, Workings_costs!$G$27:$G$79,0))</f>
        <v>0</v>
      </c>
      <c r="Z148" s="361">
        <f>INDEX(Workings_costs!AB$27:AB$79, MATCH($A146&amp;$B148, Workings_costs!$G$27:$G$79,0))</f>
        <v>0</v>
      </c>
      <c r="AA148" s="361">
        <f>INDEX(Workings_costs!AC$27:AC$79, MATCH($A146&amp;$B148, Workings_costs!$G$27:$G$79,0))</f>
        <v>0</v>
      </c>
      <c r="AB148" s="361">
        <f>INDEX(Workings_costs!AD$27:AD$79, MATCH($A146&amp;$B148, Workings_costs!$G$27:$G$79,0))</f>
        <v>0</v>
      </c>
      <c r="AC148" s="361">
        <f>INDEX(Workings_costs!AE$27:AE$79, MATCH($A146&amp;$B148, Workings_costs!$G$27:$G$79,0))</f>
        <v>0</v>
      </c>
      <c r="AD148" s="361">
        <f>INDEX(Workings_costs!AF$27:AF$79, MATCH($A146&amp;$B148, Workings_costs!$G$27:$G$79,0))</f>
        <v>0</v>
      </c>
      <c r="AE148" s="361">
        <f>INDEX(Workings_costs!AG$27:AG$79, MATCH($A146&amp;$B148, Workings_costs!$G$27:$G$79,0))</f>
        <v>0</v>
      </c>
      <c r="AF148" s="361">
        <f>INDEX(Workings_costs!AH$27:AH$79, MATCH($A146&amp;$B148, Workings_costs!$G$27:$G$79,0))</f>
        <v>0</v>
      </c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1:46" ht="13.5" x14ac:dyDescent="0.3">
      <c r="B149" s="360" t="s">
        <v>282</v>
      </c>
      <c r="C149" s="360"/>
      <c r="D149" s="360"/>
      <c r="E149" s="360"/>
      <c r="F149" s="360"/>
      <c r="G149" s="360"/>
      <c r="H149" s="361">
        <f>$F$7</f>
        <v>377</v>
      </c>
      <c r="I149" s="361">
        <f>H149-I148</f>
        <v>339</v>
      </c>
      <c r="J149" s="361">
        <f t="shared" ref="J149" si="372">I149-J148</f>
        <v>301</v>
      </c>
      <c r="K149" s="361">
        <f t="shared" ref="K149" si="373">J149-K148</f>
        <v>263</v>
      </c>
      <c r="L149" s="361">
        <f t="shared" ref="L149" si="374">K149-L148</f>
        <v>225</v>
      </c>
      <c r="M149" s="361">
        <f t="shared" ref="M149" si="375">L149-M148</f>
        <v>187</v>
      </c>
      <c r="N149" s="361">
        <f t="shared" ref="N149" si="376">M149-N148</f>
        <v>149</v>
      </c>
      <c r="O149" s="361">
        <f t="shared" ref="O149" si="377">N149-O148</f>
        <v>111</v>
      </c>
      <c r="P149" s="361">
        <f t="shared" ref="P149" si="378">O149-P148</f>
        <v>73</v>
      </c>
      <c r="Q149" s="361">
        <f t="shared" ref="Q149" si="379">P149-Q148</f>
        <v>35</v>
      </c>
      <c r="R149" s="361">
        <f t="shared" ref="R149" si="380">Q149-R148</f>
        <v>0</v>
      </c>
      <c r="S149" s="361">
        <f t="shared" ref="S149" si="381">R149-S148</f>
        <v>0</v>
      </c>
      <c r="T149" s="361">
        <f t="shared" ref="T149" si="382">S149-T148</f>
        <v>0</v>
      </c>
      <c r="U149" s="361">
        <f t="shared" ref="U149" si="383">T149-U148</f>
        <v>0</v>
      </c>
      <c r="V149" s="361">
        <f t="shared" ref="V149" si="384">U149-V148</f>
        <v>0</v>
      </c>
      <c r="W149" s="361">
        <f t="shared" ref="W149" si="385">V149-W148</f>
        <v>0</v>
      </c>
      <c r="X149" s="361">
        <f t="shared" ref="X149" si="386">W149-X148</f>
        <v>0</v>
      </c>
      <c r="Y149" s="361">
        <f t="shared" ref="Y149" si="387">X149-Y148</f>
        <v>0</v>
      </c>
      <c r="Z149" s="361">
        <f t="shared" ref="Z149" si="388">Y149-Z148</f>
        <v>0</v>
      </c>
      <c r="AA149" s="361">
        <f t="shared" ref="AA149" si="389">Z149-AA148</f>
        <v>0</v>
      </c>
      <c r="AB149" s="361">
        <f t="shared" ref="AB149" si="390">AA149-AB148</f>
        <v>0</v>
      </c>
      <c r="AC149" s="361">
        <f t="shared" ref="AC149" si="391">AB149-AC148</f>
        <v>0</v>
      </c>
      <c r="AD149" s="361">
        <f t="shared" ref="AD149" si="392">AC149-AD148</f>
        <v>0</v>
      </c>
      <c r="AE149" s="361">
        <f t="shared" ref="AE149" si="393">AD149-AE148</f>
        <v>0</v>
      </c>
      <c r="AF149" s="361">
        <f t="shared" ref="AF149" si="394">AE149-AF148</f>
        <v>0</v>
      </c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1:46" ht="13.5" x14ac:dyDescent="0.3">
      <c r="B150" s="360" t="s">
        <v>283</v>
      </c>
      <c r="C150" s="360"/>
      <c r="D150" s="360"/>
      <c r="E150" s="360"/>
      <c r="F150" s="360"/>
      <c r="G150" s="360"/>
      <c r="H150" s="360"/>
      <c r="I150" s="361">
        <f t="shared" ref="I150:AB150" si="395">I148+H150</f>
        <v>38</v>
      </c>
      <c r="J150" s="361">
        <f t="shared" si="395"/>
        <v>76</v>
      </c>
      <c r="K150" s="361">
        <f t="shared" si="395"/>
        <v>114</v>
      </c>
      <c r="L150" s="361">
        <f t="shared" si="395"/>
        <v>152</v>
      </c>
      <c r="M150" s="361">
        <f t="shared" si="395"/>
        <v>190</v>
      </c>
      <c r="N150" s="361">
        <f t="shared" si="395"/>
        <v>228</v>
      </c>
      <c r="O150" s="361">
        <f t="shared" si="395"/>
        <v>266</v>
      </c>
      <c r="P150" s="361">
        <f t="shared" si="395"/>
        <v>304</v>
      </c>
      <c r="Q150" s="361">
        <f t="shared" si="395"/>
        <v>342</v>
      </c>
      <c r="R150" s="361">
        <f t="shared" si="395"/>
        <v>377</v>
      </c>
      <c r="S150" s="361">
        <f t="shared" si="395"/>
        <v>377</v>
      </c>
      <c r="T150" s="361">
        <f t="shared" si="395"/>
        <v>377</v>
      </c>
      <c r="U150" s="361">
        <f t="shared" si="395"/>
        <v>377</v>
      </c>
      <c r="V150" s="361">
        <f t="shared" si="395"/>
        <v>377</v>
      </c>
      <c r="W150" s="361">
        <f t="shared" si="395"/>
        <v>377</v>
      </c>
      <c r="X150" s="361">
        <f t="shared" si="395"/>
        <v>377</v>
      </c>
      <c r="Y150" s="361">
        <f t="shared" si="395"/>
        <v>377</v>
      </c>
      <c r="Z150" s="361">
        <f t="shared" si="395"/>
        <v>377</v>
      </c>
      <c r="AA150" s="361">
        <f t="shared" si="395"/>
        <v>377</v>
      </c>
      <c r="AB150" s="361">
        <f t="shared" si="395"/>
        <v>377</v>
      </c>
      <c r="AC150" s="361">
        <f t="shared" ref="AC150:AF150" si="396">AC148+AB150</f>
        <v>377</v>
      </c>
      <c r="AD150" s="361">
        <f t="shared" si="396"/>
        <v>377</v>
      </c>
      <c r="AE150" s="361">
        <f t="shared" si="396"/>
        <v>377</v>
      </c>
      <c r="AF150" s="361">
        <f t="shared" si="396"/>
        <v>377</v>
      </c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1:46" ht="13.5" x14ac:dyDescent="0.3"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1:46" ht="13.5" x14ac:dyDescent="0.3">
      <c r="A152" s="14" t="s">
        <v>296</v>
      </c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1:46" ht="13.5" x14ac:dyDescent="0.3">
      <c r="B153" s="14" t="s">
        <v>269</v>
      </c>
      <c r="E153" s="8" t="s">
        <v>40</v>
      </c>
      <c r="F153" s="331">
        <v>3638</v>
      </c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1:46" ht="13.5" x14ac:dyDescent="0.3">
      <c r="B154" s="8" t="s">
        <v>293</v>
      </c>
      <c r="H154" s="347">
        <f t="shared" ref="H154:AB154" si="397">H149/$F$12</f>
        <v>2.3484706908366036E-2</v>
      </c>
      <c r="I154" s="347">
        <f t="shared" si="397"/>
        <v>2.1117548121846384E-2</v>
      </c>
      <c r="J154" s="347">
        <f t="shared" si="397"/>
        <v>1.8750389335326731E-2</v>
      </c>
      <c r="K154" s="347">
        <f t="shared" si="397"/>
        <v>1.6383230548807078E-2</v>
      </c>
      <c r="L154" s="347">
        <f t="shared" si="397"/>
        <v>1.4016071762287422E-2</v>
      </c>
      <c r="M154" s="347">
        <f t="shared" si="397"/>
        <v>1.164891297576777E-2</v>
      </c>
      <c r="N154" s="347">
        <f t="shared" si="397"/>
        <v>9.2817541892481151E-3</v>
      </c>
      <c r="O154" s="347">
        <f t="shared" si="397"/>
        <v>6.9145954027284616E-3</v>
      </c>
      <c r="P154" s="347">
        <f t="shared" si="397"/>
        <v>4.5474366162088081E-3</v>
      </c>
      <c r="Q154" s="347">
        <f t="shared" si="397"/>
        <v>2.1802778296891546E-3</v>
      </c>
      <c r="R154" s="347">
        <f t="shared" si="397"/>
        <v>0</v>
      </c>
      <c r="S154" s="347">
        <f t="shared" si="397"/>
        <v>0</v>
      </c>
      <c r="T154" s="347">
        <f t="shared" si="397"/>
        <v>0</v>
      </c>
      <c r="U154" s="347">
        <f t="shared" si="397"/>
        <v>0</v>
      </c>
      <c r="V154" s="347">
        <f t="shared" si="397"/>
        <v>0</v>
      </c>
      <c r="W154" s="347">
        <f t="shared" si="397"/>
        <v>0</v>
      </c>
      <c r="X154" s="347">
        <f t="shared" si="397"/>
        <v>0</v>
      </c>
      <c r="Y154" s="347">
        <f t="shared" si="397"/>
        <v>0</v>
      </c>
      <c r="Z154" s="347">
        <f t="shared" si="397"/>
        <v>0</v>
      </c>
      <c r="AA154" s="347">
        <f t="shared" si="397"/>
        <v>0</v>
      </c>
      <c r="AB154" s="347">
        <f t="shared" si="397"/>
        <v>0</v>
      </c>
      <c r="AC154" s="347">
        <f t="shared" ref="AC154:AF154" si="398">AC149/$F$12</f>
        <v>0</v>
      </c>
      <c r="AD154" s="347">
        <f t="shared" si="398"/>
        <v>0</v>
      </c>
      <c r="AE154" s="347">
        <f t="shared" si="398"/>
        <v>0</v>
      </c>
      <c r="AF154" s="347">
        <f t="shared" si="398"/>
        <v>0</v>
      </c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1:46" ht="13.5" x14ac:dyDescent="0.3">
      <c r="B155" s="8" t="s">
        <v>106</v>
      </c>
      <c r="I155" s="337">
        <f>$F$10*H154</f>
        <v>85.445226412508575</v>
      </c>
      <c r="J155" s="337">
        <f t="shared" ref="J155:AF155" si="399">$F$10*I154</f>
        <v>76.832710222388343</v>
      </c>
      <c r="K155" s="337">
        <f t="shared" si="399"/>
        <v>68.220194032268125</v>
      </c>
      <c r="L155" s="337">
        <f t="shared" si="399"/>
        <v>59.607677842147901</v>
      </c>
      <c r="M155" s="337">
        <f t="shared" si="399"/>
        <v>50.995161652027662</v>
      </c>
      <c r="N155" s="337">
        <f t="shared" si="399"/>
        <v>42.382645461907437</v>
      </c>
      <c r="O155" s="337">
        <f t="shared" si="399"/>
        <v>33.770129271787205</v>
      </c>
      <c r="P155" s="337">
        <f t="shared" si="399"/>
        <v>25.15761308166698</v>
      </c>
      <c r="Q155" s="337">
        <f t="shared" si="399"/>
        <v>16.545096891546752</v>
      </c>
      <c r="R155" s="337">
        <f t="shared" si="399"/>
        <v>7.9325807014265255</v>
      </c>
      <c r="S155" s="337">
        <f t="shared" si="399"/>
        <v>0</v>
      </c>
      <c r="T155" s="337">
        <f t="shared" si="399"/>
        <v>0</v>
      </c>
      <c r="U155" s="337">
        <f t="shared" si="399"/>
        <v>0</v>
      </c>
      <c r="V155" s="337">
        <f t="shared" si="399"/>
        <v>0</v>
      </c>
      <c r="W155" s="337">
        <f t="shared" si="399"/>
        <v>0</v>
      </c>
      <c r="X155" s="337">
        <f t="shared" si="399"/>
        <v>0</v>
      </c>
      <c r="Y155" s="337">
        <f t="shared" si="399"/>
        <v>0</v>
      </c>
      <c r="Z155" s="337">
        <f t="shared" si="399"/>
        <v>0</v>
      </c>
      <c r="AA155" s="337">
        <f t="shared" si="399"/>
        <v>0</v>
      </c>
      <c r="AB155" s="337">
        <f t="shared" si="399"/>
        <v>0</v>
      </c>
      <c r="AC155" s="337">
        <f t="shared" si="399"/>
        <v>0</v>
      </c>
      <c r="AD155" s="337">
        <f t="shared" si="399"/>
        <v>0</v>
      </c>
      <c r="AE155" s="337">
        <f t="shared" si="399"/>
        <v>0</v>
      </c>
      <c r="AF155" s="337">
        <f t="shared" si="399"/>
        <v>0</v>
      </c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1:46" ht="13.5" x14ac:dyDescent="0.3">
      <c r="B156" s="8" t="s">
        <v>270</v>
      </c>
      <c r="I156" s="337">
        <f>I155*$F$15</f>
        <v>3743824.1408840665</v>
      </c>
      <c r="J156" s="337">
        <f t="shared" ref="J156" si="400">J155*$F$15</f>
        <v>3366462.5563917733</v>
      </c>
      <c r="K156" s="337">
        <f t="shared" ref="K156" si="401">K155*$F$15</f>
        <v>2989100.9718994806</v>
      </c>
      <c r="L156" s="337">
        <f t="shared" ref="L156" si="402">L155*$F$15</f>
        <v>2611739.3874071874</v>
      </c>
      <c r="M156" s="337">
        <f t="shared" ref="M156" si="403">M155*$F$15</f>
        <v>2234377.8029148937</v>
      </c>
      <c r="N156" s="337">
        <f t="shared" ref="N156" si="404">N155*$F$15</f>
        <v>1857016.2184226005</v>
      </c>
      <c r="O156" s="337">
        <f t="shared" ref="O156" si="405">O155*$F$15</f>
        <v>1479654.6339303073</v>
      </c>
      <c r="P156" s="337">
        <f t="shared" ref="P156" si="406">P155*$F$15</f>
        <v>1102293.0494380142</v>
      </c>
      <c r="Q156" s="337">
        <f t="shared" ref="Q156" si="407">Q155*$F$15</f>
        <v>724931.46494572109</v>
      </c>
      <c r="R156" s="337">
        <f t="shared" ref="R156" si="408">R155*$F$15</f>
        <v>347569.8804534279</v>
      </c>
      <c r="S156" s="337">
        <f t="shared" ref="S156" si="409">S155*$F$15</f>
        <v>0</v>
      </c>
      <c r="T156" s="337">
        <f t="shared" ref="T156" si="410">T155*$F$15</f>
        <v>0</v>
      </c>
      <c r="U156" s="337">
        <f t="shared" ref="U156" si="411">U155*$F$15</f>
        <v>0</v>
      </c>
      <c r="V156" s="337">
        <f t="shared" ref="V156" si="412">V155*$F$15</f>
        <v>0</v>
      </c>
      <c r="W156" s="337">
        <f t="shared" ref="W156" si="413">W155*$F$15</f>
        <v>0</v>
      </c>
      <c r="X156" s="337">
        <f t="shared" ref="X156" si="414">X155*$F$15</f>
        <v>0</v>
      </c>
      <c r="Y156" s="337">
        <f t="shared" ref="Y156" si="415">Y155*$F$15</f>
        <v>0</v>
      </c>
      <c r="Z156" s="337">
        <f t="shared" ref="Z156" si="416">Z155*$F$15</f>
        <v>0</v>
      </c>
      <c r="AA156" s="337">
        <f t="shared" ref="AA156" si="417">AA155*$F$15</f>
        <v>0</v>
      </c>
      <c r="AB156" s="337">
        <f t="shared" ref="AB156" si="418">AB155*$F$15</f>
        <v>0</v>
      </c>
      <c r="AC156" s="337">
        <f t="shared" ref="AC156" si="419">AC155*$F$15</f>
        <v>0</v>
      </c>
      <c r="AD156" s="337">
        <f t="shared" ref="AD156" si="420">AD155*$F$15</f>
        <v>0</v>
      </c>
      <c r="AE156" s="337">
        <f t="shared" ref="AE156" si="421">AE155*$F$15</f>
        <v>0</v>
      </c>
      <c r="AF156" s="337">
        <f t="shared" ref="AF156" si="422">AF155*$F$15</f>
        <v>0</v>
      </c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1:46" ht="13.5" x14ac:dyDescent="0.3">
      <c r="B157" s="14" t="s">
        <v>271</v>
      </c>
      <c r="E157" s="8" t="s">
        <v>40</v>
      </c>
      <c r="F157" s="331">
        <v>1756.6587999999999</v>
      </c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  <c r="AA157" s="337"/>
      <c r="AB157" s="337"/>
      <c r="AC157" s="337"/>
      <c r="AD157" s="337"/>
      <c r="AE157" s="337"/>
      <c r="AF157" s="33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1:46" ht="13.5" x14ac:dyDescent="0.3">
      <c r="B158" s="8" t="s">
        <v>271</v>
      </c>
      <c r="I158" s="337">
        <f t="shared" ref="I158:AF158" si="423">$F$9*H154</f>
        <v>41.25461705600199</v>
      </c>
      <c r="J158" s="337">
        <f t="shared" si="423"/>
        <v>37.096326742664921</v>
      </c>
      <c r="K158" s="337">
        <f t="shared" si="423"/>
        <v>32.938036429327852</v>
      </c>
      <c r="L158" s="337">
        <f t="shared" si="423"/>
        <v>28.779746115990783</v>
      </c>
      <c r="M158" s="337">
        <f t="shared" si="423"/>
        <v>24.621455802653706</v>
      </c>
      <c r="N158" s="337">
        <f t="shared" si="423"/>
        <v>20.463165489316637</v>
      </c>
      <c r="O158" s="337">
        <f t="shared" si="423"/>
        <v>16.304875175979568</v>
      </c>
      <c r="P158" s="337">
        <f t="shared" si="423"/>
        <v>12.146584862642495</v>
      </c>
      <c r="Q158" s="337">
        <f t="shared" si="423"/>
        <v>7.9882945493054249</v>
      </c>
      <c r="R158" s="337">
        <f t="shared" si="423"/>
        <v>3.8300042359683544</v>
      </c>
      <c r="S158" s="337">
        <f t="shared" si="423"/>
        <v>0</v>
      </c>
      <c r="T158" s="337">
        <f t="shared" si="423"/>
        <v>0</v>
      </c>
      <c r="U158" s="337">
        <f t="shared" si="423"/>
        <v>0</v>
      </c>
      <c r="V158" s="337">
        <f t="shared" si="423"/>
        <v>0</v>
      </c>
      <c r="W158" s="337">
        <f t="shared" si="423"/>
        <v>0</v>
      </c>
      <c r="X158" s="337">
        <f t="shared" si="423"/>
        <v>0</v>
      </c>
      <c r="Y158" s="337">
        <f t="shared" si="423"/>
        <v>0</v>
      </c>
      <c r="Z158" s="337">
        <f t="shared" si="423"/>
        <v>0</v>
      </c>
      <c r="AA158" s="337">
        <f t="shared" si="423"/>
        <v>0</v>
      </c>
      <c r="AB158" s="337">
        <f t="shared" si="423"/>
        <v>0</v>
      </c>
      <c r="AC158" s="337">
        <f t="shared" si="423"/>
        <v>0</v>
      </c>
      <c r="AD158" s="337">
        <f t="shared" si="423"/>
        <v>0</v>
      </c>
      <c r="AE158" s="337">
        <f t="shared" si="423"/>
        <v>0</v>
      </c>
      <c r="AF158" s="337">
        <f t="shared" si="423"/>
        <v>0</v>
      </c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1:46" ht="13.5" x14ac:dyDescent="0.3">
      <c r="B159" s="8" t="s">
        <v>298</v>
      </c>
      <c r="F159" s="337">
        <f>F156*$F$16</f>
        <v>0</v>
      </c>
      <c r="I159" s="337">
        <f>I158*$F$17</f>
        <v>1084554.6632052278</v>
      </c>
      <c r="J159" s="337">
        <f t="shared" ref="J159" si="424">J158*$F$17</f>
        <v>975236.15603865322</v>
      </c>
      <c r="K159" s="337">
        <f t="shared" ref="K159" si="425">K158*$F$17</f>
        <v>865917.64887207851</v>
      </c>
      <c r="L159" s="337">
        <f t="shared" ref="L159" si="426">L158*$F$17</f>
        <v>756599.14170550392</v>
      </c>
      <c r="M159" s="337">
        <f t="shared" ref="M159" si="427">M158*$F$17</f>
        <v>647280.63453892909</v>
      </c>
      <c r="N159" s="337">
        <f t="shared" ref="N159" si="428">N158*$F$17</f>
        <v>537962.12737235439</v>
      </c>
      <c r="O159" s="337">
        <f t="shared" ref="O159" si="429">O158*$F$17</f>
        <v>428643.62020577973</v>
      </c>
      <c r="P159" s="337">
        <f t="shared" ref="P159" si="430">P158*$F$17</f>
        <v>319325.11303920497</v>
      </c>
      <c r="Q159" s="337">
        <f t="shared" ref="Q159" si="431">Q158*$F$17</f>
        <v>210006.60587263032</v>
      </c>
      <c r="R159" s="337">
        <f t="shared" ref="R159" si="432">R158*$F$17</f>
        <v>100688.09870605564</v>
      </c>
      <c r="S159" s="337">
        <f t="shared" ref="S159" si="433">S158*$F$17</f>
        <v>0</v>
      </c>
      <c r="T159" s="337">
        <f t="shared" ref="T159" si="434">T158*$F$17</f>
        <v>0</v>
      </c>
      <c r="U159" s="337">
        <f t="shared" ref="U159" si="435">U158*$F$17</f>
        <v>0</v>
      </c>
      <c r="V159" s="337">
        <f t="shared" ref="V159" si="436">V158*$F$17</f>
        <v>0</v>
      </c>
      <c r="W159" s="337">
        <f t="shared" ref="W159" si="437">W158*$F$17</f>
        <v>0</v>
      </c>
      <c r="X159" s="337">
        <f t="shared" ref="X159" si="438">X158*$F$17</f>
        <v>0</v>
      </c>
      <c r="Y159" s="337">
        <f t="shared" ref="Y159" si="439">Y158*$F$17</f>
        <v>0</v>
      </c>
      <c r="Z159" s="337">
        <f t="shared" ref="Z159" si="440">Z158*$F$17</f>
        <v>0</v>
      </c>
      <c r="AA159" s="337">
        <f t="shared" ref="AA159" si="441">AA158*$F$17</f>
        <v>0</v>
      </c>
      <c r="AB159" s="337">
        <f t="shared" ref="AB159" si="442">AB158*$F$17</f>
        <v>0</v>
      </c>
      <c r="AC159" s="337">
        <f t="shared" ref="AC159" si="443">AC158*$F$17</f>
        <v>0</v>
      </c>
      <c r="AD159" s="337">
        <f t="shared" ref="AD159" si="444">AD158*$F$17</f>
        <v>0</v>
      </c>
      <c r="AE159" s="337">
        <f t="shared" ref="AE159" si="445">AE158*$F$17</f>
        <v>0</v>
      </c>
      <c r="AF159" s="337">
        <f t="shared" ref="AF159" si="446">AF158*$F$17</f>
        <v>0</v>
      </c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1:46" ht="13.5" x14ac:dyDescent="0.3">
      <c r="B160" s="14" t="s">
        <v>300</v>
      </c>
      <c r="C160" s="14"/>
      <c r="D160" s="14"/>
      <c r="E160" s="14"/>
      <c r="F160" s="14"/>
      <c r="G160" s="14"/>
      <c r="H160" s="14"/>
      <c r="I160" s="348">
        <f t="shared" ref="I160:AF160" si="447">I156+I159</f>
        <v>4828378.8040892947</v>
      </c>
      <c r="J160" s="348">
        <f t="shared" si="447"/>
        <v>4341698.7124304269</v>
      </c>
      <c r="K160" s="348">
        <f t="shared" si="447"/>
        <v>3855018.620771559</v>
      </c>
      <c r="L160" s="348">
        <f t="shared" si="447"/>
        <v>3368338.5291126911</v>
      </c>
      <c r="M160" s="348">
        <f t="shared" si="447"/>
        <v>2881658.4374538227</v>
      </c>
      <c r="N160" s="348">
        <f t="shared" si="447"/>
        <v>2394978.3457949548</v>
      </c>
      <c r="O160" s="348">
        <f t="shared" si="447"/>
        <v>1908298.2541360871</v>
      </c>
      <c r="P160" s="348">
        <f t="shared" si="447"/>
        <v>1421618.162477219</v>
      </c>
      <c r="Q160" s="348">
        <f t="shared" si="447"/>
        <v>934938.07081835135</v>
      </c>
      <c r="R160" s="348">
        <f t="shared" si="447"/>
        <v>448257.97915948357</v>
      </c>
      <c r="S160" s="348">
        <f t="shared" si="447"/>
        <v>0</v>
      </c>
      <c r="T160" s="348">
        <f t="shared" si="447"/>
        <v>0</v>
      </c>
      <c r="U160" s="348">
        <f t="shared" si="447"/>
        <v>0</v>
      </c>
      <c r="V160" s="348">
        <f t="shared" si="447"/>
        <v>0</v>
      </c>
      <c r="W160" s="348">
        <f t="shared" si="447"/>
        <v>0</v>
      </c>
      <c r="X160" s="348">
        <f t="shared" si="447"/>
        <v>0</v>
      </c>
      <c r="Y160" s="348">
        <f t="shared" si="447"/>
        <v>0</v>
      </c>
      <c r="Z160" s="348">
        <f t="shared" si="447"/>
        <v>0</v>
      </c>
      <c r="AA160" s="348">
        <f t="shared" si="447"/>
        <v>0</v>
      </c>
      <c r="AB160" s="348">
        <f t="shared" si="447"/>
        <v>0</v>
      </c>
      <c r="AC160" s="348">
        <f t="shared" si="447"/>
        <v>0</v>
      </c>
      <c r="AD160" s="348">
        <f t="shared" si="447"/>
        <v>0</v>
      </c>
      <c r="AE160" s="348">
        <f t="shared" si="447"/>
        <v>0</v>
      </c>
      <c r="AF160" s="348">
        <f t="shared" si="447"/>
        <v>0</v>
      </c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6" ht="13.5" x14ac:dyDescent="0.3"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:46" ht="13.5" x14ac:dyDescent="0.3">
      <c r="A162" s="14" t="s">
        <v>272</v>
      </c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:46" ht="13.5" x14ac:dyDescent="0.3">
      <c r="B163" s="8" t="s">
        <v>273</v>
      </c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:46" ht="13.5" x14ac:dyDescent="0.3">
      <c r="B164" s="8" t="s">
        <v>274</v>
      </c>
      <c r="E164" s="8" t="s">
        <v>40</v>
      </c>
      <c r="F164" s="336">
        <v>7.0337034132705228E-2</v>
      </c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1:46" ht="13.5" x14ac:dyDescent="0.3">
      <c r="B165" s="8" t="s">
        <v>284</v>
      </c>
      <c r="I165" s="40">
        <v>3.1146826138416493E-4</v>
      </c>
      <c r="J165" s="40">
        <v>3.1146826138416493E-4</v>
      </c>
      <c r="K165" s="40">
        <v>2.4917460910733197E-4</v>
      </c>
      <c r="L165" s="40">
        <v>1.8688095683049897E-4</v>
      </c>
      <c r="M165" s="40">
        <v>1.2458730455366598E-4</v>
      </c>
      <c r="N165" s="40">
        <v>1.2458730455366598E-4</v>
      </c>
      <c r="O165" s="40">
        <v>6.2293652276832991E-5</v>
      </c>
      <c r="P165" s="40">
        <v>6.2293652276832991E-5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0</v>
      </c>
      <c r="Z165" s="40">
        <v>0</v>
      </c>
      <c r="AA165" s="40">
        <v>0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 ht="13.5" x14ac:dyDescent="0.3">
      <c r="B166" s="8" t="s">
        <v>275</v>
      </c>
      <c r="I166" s="8">
        <f>I165*$F$12</f>
        <v>5</v>
      </c>
      <c r="J166" s="8">
        <f t="shared" ref="J166" si="448">J165*$F$12</f>
        <v>5</v>
      </c>
      <c r="K166" s="8">
        <f t="shared" ref="K166" si="449">K165*$F$12</f>
        <v>4</v>
      </c>
      <c r="L166" s="8">
        <f t="shared" ref="L166" si="450">L165*$F$12</f>
        <v>3</v>
      </c>
      <c r="M166" s="8">
        <f t="shared" ref="M166" si="451">M165*$F$12</f>
        <v>2</v>
      </c>
      <c r="N166" s="8">
        <f t="shared" ref="N166" si="452">N165*$F$12</f>
        <v>2</v>
      </c>
      <c r="O166" s="8">
        <f t="shared" ref="O166" si="453">O165*$F$12</f>
        <v>1</v>
      </c>
      <c r="P166" s="8">
        <f t="shared" ref="P166" si="454">P165*$F$12</f>
        <v>1</v>
      </c>
      <c r="Q166" s="8">
        <f t="shared" ref="Q166" si="455">Q165*$F$12</f>
        <v>0</v>
      </c>
      <c r="R166" s="8">
        <f t="shared" ref="R166" si="456">R165*$F$12</f>
        <v>0</v>
      </c>
      <c r="S166" s="8">
        <f t="shared" ref="S166" si="457">S165*$F$12</f>
        <v>0</v>
      </c>
      <c r="T166" s="8">
        <f t="shared" ref="T166" si="458">T165*$F$12</f>
        <v>0</v>
      </c>
      <c r="U166" s="8">
        <f t="shared" ref="U166" si="459">U165*$F$12</f>
        <v>0</v>
      </c>
      <c r="V166" s="8">
        <f t="shared" ref="V166" si="460">V165*$F$12</f>
        <v>0</v>
      </c>
      <c r="W166" s="8">
        <f t="shared" ref="W166" si="461">W165*$F$12</f>
        <v>0</v>
      </c>
      <c r="X166" s="8">
        <f t="shared" ref="X166" si="462">X165*$F$12</f>
        <v>0</v>
      </c>
      <c r="Y166" s="8">
        <f t="shared" ref="Y166" si="463">Y165*$F$12</f>
        <v>0</v>
      </c>
      <c r="Z166" s="8">
        <f t="shared" ref="Z166" si="464">Z165*$F$12</f>
        <v>0</v>
      </c>
      <c r="AA166" s="8">
        <f t="shared" ref="AA166" si="465">AA165*$F$12</f>
        <v>0</v>
      </c>
      <c r="AB166" s="8">
        <f t="shared" ref="AB166" si="466">AB165*$F$12</f>
        <v>0</v>
      </c>
      <c r="AC166" s="8">
        <f t="shared" ref="AC166" si="467">AC165*$F$12</f>
        <v>0</v>
      </c>
      <c r="AD166" s="8">
        <f t="shared" ref="AD166" si="468">AD165*$F$12</f>
        <v>0</v>
      </c>
      <c r="AE166" s="8">
        <f t="shared" ref="AE166" si="469">AE165*$F$12</f>
        <v>0</v>
      </c>
      <c r="AF166" s="8">
        <f t="shared" ref="AF166" si="470">AF165*$F$12</f>
        <v>0</v>
      </c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1:46" ht="13.5" x14ac:dyDescent="0.3">
      <c r="B167" s="8" t="s">
        <v>276</v>
      </c>
      <c r="F167" s="331">
        <v>4</v>
      </c>
      <c r="I167" s="337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  <c r="W167" s="337"/>
      <c r="X167" s="337"/>
      <c r="Y167" s="337"/>
      <c r="Z167" s="337"/>
      <c r="AA167" s="337"/>
      <c r="AB167" s="337"/>
      <c r="AC167" s="337"/>
      <c r="AD167" s="337"/>
      <c r="AE167" s="337"/>
      <c r="AF167" s="33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:46" ht="13.5" x14ac:dyDescent="0.3">
      <c r="B168" s="8" t="s">
        <v>106</v>
      </c>
      <c r="F168" s="8" t="s">
        <v>40</v>
      </c>
      <c r="I168" s="337">
        <f t="shared" ref="I168:V168" si="471">I166*$F$83*$F$80</f>
        <v>1.4067406826541045</v>
      </c>
      <c r="J168" s="337">
        <f t="shared" si="471"/>
        <v>1.4067406826541045</v>
      </c>
      <c r="K168" s="337">
        <f t="shared" si="471"/>
        <v>1.1253925461232837</v>
      </c>
      <c r="L168" s="337">
        <f t="shared" si="471"/>
        <v>0.84404440959246274</v>
      </c>
      <c r="M168" s="337">
        <f t="shared" si="471"/>
        <v>0.56269627306164183</v>
      </c>
      <c r="N168" s="337">
        <f t="shared" si="471"/>
        <v>0.56269627306164183</v>
      </c>
      <c r="O168" s="337">
        <f t="shared" si="471"/>
        <v>0.28134813653082091</v>
      </c>
      <c r="P168" s="337">
        <f t="shared" si="471"/>
        <v>0.28134813653082091</v>
      </c>
      <c r="Q168" s="337">
        <f t="shared" si="471"/>
        <v>0</v>
      </c>
      <c r="R168" s="337">
        <f t="shared" si="471"/>
        <v>0</v>
      </c>
      <c r="S168" s="337">
        <f t="shared" si="471"/>
        <v>0</v>
      </c>
      <c r="T168" s="337">
        <f t="shared" si="471"/>
        <v>0</v>
      </c>
      <c r="U168" s="337">
        <f t="shared" si="471"/>
        <v>0</v>
      </c>
      <c r="V168" s="337">
        <f t="shared" si="471"/>
        <v>0</v>
      </c>
      <c r="W168" s="337">
        <f t="shared" ref="W168:AB168" si="472">W166*$F$83*$F$80</f>
        <v>0</v>
      </c>
      <c r="X168" s="337">
        <f t="shared" si="472"/>
        <v>0</v>
      </c>
      <c r="Y168" s="337">
        <f t="shared" si="472"/>
        <v>0</v>
      </c>
      <c r="Z168" s="337">
        <f t="shared" si="472"/>
        <v>0</v>
      </c>
      <c r="AA168" s="337">
        <f t="shared" si="472"/>
        <v>0</v>
      </c>
      <c r="AB168" s="337">
        <f t="shared" si="472"/>
        <v>0</v>
      </c>
      <c r="AC168" s="337">
        <f t="shared" ref="AC168:AF168" si="473">AC166*$F$83*$F$80</f>
        <v>0</v>
      </c>
      <c r="AD168" s="337">
        <f t="shared" si="473"/>
        <v>0</v>
      </c>
      <c r="AE168" s="337">
        <f t="shared" si="473"/>
        <v>0</v>
      </c>
      <c r="AF168" s="337">
        <f t="shared" si="473"/>
        <v>0</v>
      </c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1:46" ht="13.5" x14ac:dyDescent="0.3">
      <c r="B169" s="8" t="s">
        <v>270</v>
      </c>
      <c r="F169" s="337"/>
      <c r="I169" s="337">
        <f>I168*$F$15</f>
        <v>61637.027003221519</v>
      </c>
      <c r="J169" s="337">
        <f t="shared" ref="J169" si="474">J168*$F$15</f>
        <v>61637.027003221519</v>
      </c>
      <c r="K169" s="337">
        <f t="shared" ref="K169" si="475">K168*$F$15</f>
        <v>49309.621602577223</v>
      </c>
      <c r="L169" s="337">
        <f t="shared" ref="L169" si="476">L168*$F$15</f>
        <v>36982.216201932919</v>
      </c>
      <c r="M169" s="337">
        <f t="shared" ref="M169" si="477">M168*$F$15</f>
        <v>24654.810801288611</v>
      </c>
      <c r="N169" s="337">
        <f t="shared" ref="N169" si="478">N168*$F$15</f>
        <v>24654.810801288611</v>
      </c>
      <c r="O169" s="337">
        <f t="shared" ref="O169" si="479">O168*$F$15</f>
        <v>12327.405400644306</v>
      </c>
      <c r="P169" s="337">
        <f t="shared" ref="P169" si="480">P168*$F$15</f>
        <v>12327.405400644306</v>
      </c>
      <c r="Q169" s="337">
        <f t="shared" ref="Q169" si="481">Q168*$F$15</f>
        <v>0</v>
      </c>
      <c r="R169" s="337">
        <f t="shared" ref="R169" si="482">R168*$F$15</f>
        <v>0</v>
      </c>
      <c r="S169" s="337">
        <f t="shared" ref="S169" si="483">S168*$F$15</f>
        <v>0</v>
      </c>
      <c r="T169" s="337">
        <f t="shared" ref="T169" si="484">T168*$F$15</f>
        <v>0</v>
      </c>
      <c r="U169" s="337">
        <f t="shared" ref="U169" si="485">U168*$F$15</f>
        <v>0</v>
      </c>
      <c r="V169" s="337">
        <f t="shared" ref="V169" si="486">V168*$F$15</f>
        <v>0</v>
      </c>
      <c r="W169" s="337">
        <f t="shared" ref="W169" si="487">W168*$F$15</f>
        <v>0</v>
      </c>
      <c r="X169" s="337">
        <f t="shared" ref="X169" si="488">X168*$F$15</f>
        <v>0</v>
      </c>
      <c r="Y169" s="337">
        <f t="shared" ref="Y169" si="489">Y168*$F$15</f>
        <v>0</v>
      </c>
      <c r="Z169" s="337">
        <f t="shared" ref="Z169" si="490">Z168*$F$15</f>
        <v>0</v>
      </c>
      <c r="AA169" s="337">
        <f t="shared" ref="AA169" si="491">AA168*$F$15</f>
        <v>0</v>
      </c>
      <c r="AB169" s="337">
        <f t="shared" ref="AB169" si="492">AB168*$F$15</f>
        <v>0</v>
      </c>
      <c r="AC169" s="337">
        <f t="shared" ref="AC169" si="493">AC168*$F$15</f>
        <v>0</v>
      </c>
      <c r="AD169" s="337">
        <f t="shared" ref="AD169" si="494">AD168*$F$15</f>
        <v>0</v>
      </c>
      <c r="AE169" s="337">
        <f t="shared" ref="AE169" si="495">AE168*$F$15</f>
        <v>0</v>
      </c>
      <c r="AF169" s="337">
        <f t="shared" ref="AF169" si="496">AF168*$F$15</f>
        <v>0</v>
      </c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1:46" ht="13.5" x14ac:dyDescent="0.3"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1:46" ht="13.5" x14ac:dyDescent="0.3">
      <c r="A171" s="14" t="s">
        <v>278</v>
      </c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:46" ht="13.5" x14ac:dyDescent="0.3">
      <c r="B172" s="8" t="s">
        <v>279</v>
      </c>
      <c r="I172" s="337">
        <f t="shared" ref="I172:U172" si="497">I148</f>
        <v>38</v>
      </c>
      <c r="J172" s="337">
        <f t="shared" si="497"/>
        <v>38</v>
      </c>
      <c r="K172" s="337">
        <f t="shared" si="497"/>
        <v>38</v>
      </c>
      <c r="L172" s="337">
        <f t="shared" si="497"/>
        <v>38</v>
      </c>
      <c r="M172" s="337">
        <f t="shared" si="497"/>
        <v>38</v>
      </c>
      <c r="N172" s="337">
        <f t="shared" si="497"/>
        <v>38</v>
      </c>
      <c r="O172" s="337">
        <f t="shared" si="497"/>
        <v>38</v>
      </c>
      <c r="P172" s="337">
        <f t="shared" si="497"/>
        <v>38</v>
      </c>
      <c r="Q172" s="337">
        <f t="shared" si="497"/>
        <v>38</v>
      </c>
      <c r="R172" s="337">
        <f t="shared" si="497"/>
        <v>35</v>
      </c>
      <c r="S172" s="337">
        <f t="shared" si="497"/>
        <v>0</v>
      </c>
      <c r="T172" s="337">
        <f t="shared" si="497"/>
        <v>0</v>
      </c>
      <c r="U172" s="337">
        <f t="shared" si="497"/>
        <v>0</v>
      </c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:46" ht="13.5" x14ac:dyDescent="0.3">
      <c r="B173" s="8" t="s">
        <v>280</v>
      </c>
      <c r="F173" s="333">
        <v>0.4</v>
      </c>
      <c r="I173" s="337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:46" ht="13.5" x14ac:dyDescent="0.3">
      <c r="B174" s="8" t="s">
        <v>106</v>
      </c>
      <c r="I174" s="337">
        <f t="shared" ref="I174:AF174" si="498">$F167*$F$38*$F$47*I172</f>
        <v>4.2764916752684785</v>
      </c>
      <c r="J174" s="337">
        <f t="shared" si="498"/>
        <v>4.2764916752684785</v>
      </c>
      <c r="K174" s="337">
        <f t="shared" si="498"/>
        <v>4.2764916752684785</v>
      </c>
      <c r="L174" s="337">
        <f t="shared" si="498"/>
        <v>4.2764916752684785</v>
      </c>
      <c r="M174" s="337">
        <f t="shared" si="498"/>
        <v>4.2764916752684785</v>
      </c>
      <c r="N174" s="337">
        <f t="shared" si="498"/>
        <v>4.2764916752684785</v>
      </c>
      <c r="O174" s="337">
        <f t="shared" si="498"/>
        <v>4.2764916752684785</v>
      </c>
      <c r="P174" s="337">
        <f t="shared" si="498"/>
        <v>4.2764916752684785</v>
      </c>
      <c r="Q174" s="337">
        <f t="shared" si="498"/>
        <v>4.2764916752684785</v>
      </c>
      <c r="R174" s="337">
        <f t="shared" si="498"/>
        <v>3.938873911431493</v>
      </c>
      <c r="S174" s="337">
        <f t="shared" si="498"/>
        <v>0</v>
      </c>
      <c r="T174" s="337">
        <f t="shared" si="498"/>
        <v>0</v>
      </c>
      <c r="U174" s="337">
        <f t="shared" si="498"/>
        <v>0</v>
      </c>
      <c r="V174" s="337">
        <f t="shared" si="498"/>
        <v>0</v>
      </c>
      <c r="W174" s="337">
        <f t="shared" si="498"/>
        <v>0</v>
      </c>
      <c r="X174" s="337">
        <f t="shared" si="498"/>
        <v>0</v>
      </c>
      <c r="Y174" s="337">
        <f t="shared" si="498"/>
        <v>0</v>
      </c>
      <c r="Z174" s="337">
        <f t="shared" si="498"/>
        <v>0</v>
      </c>
      <c r="AA174" s="337">
        <f t="shared" si="498"/>
        <v>0</v>
      </c>
      <c r="AB174" s="337">
        <f t="shared" si="498"/>
        <v>0</v>
      </c>
      <c r="AC174" s="337">
        <f t="shared" si="498"/>
        <v>0</v>
      </c>
      <c r="AD174" s="337">
        <f t="shared" si="498"/>
        <v>0</v>
      </c>
      <c r="AE174" s="337">
        <f t="shared" si="498"/>
        <v>0</v>
      </c>
      <c r="AF174" s="337">
        <f t="shared" si="498"/>
        <v>0</v>
      </c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1:46" ht="13.5" x14ac:dyDescent="0.3">
      <c r="B175" s="8" t="s">
        <v>297</v>
      </c>
      <c r="F175" s="337"/>
      <c r="I175" s="337">
        <f>I174*$F$15</f>
        <v>187376.56208979347</v>
      </c>
      <c r="J175" s="337">
        <f t="shared" ref="J175" si="499">J174*$F$15</f>
        <v>187376.56208979347</v>
      </c>
      <c r="K175" s="337">
        <f t="shared" ref="K175" si="500">K174*$F$15</f>
        <v>187376.56208979347</v>
      </c>
      <c r="L175" s="337">
        <f t="shared" ref="L175" si="501">L174*$F$15</f>
        <v>187376.56208979347</v>
      </c>
      <c r="M175" s="337">
        <f t="shared" ref="M175" si="502">M174*$F$15</f>
        <v>187376.56208979347</v>
      </c>
      <c r="N175" s="337">
        <f t="shared" ref="N175" si="503">N174*$F$15</f>
        <v>187376.56208979347</v>
      </c>
      <c r="O175" s="337">
        <f t="shared" ref="O175" si="504">O174*$F$15</f>
        <v>187376.56208979347</v>
      </c>
      <c r="P175" s="337">
        <f t="shared" ref="P175" si="505">P174*$F$15</f>
        <v>187376.56208979347</v>
      </c>
      <c r="Q175" s="337">
        <f t="shared" ref="Q175" si="506">Q174*$F$15</f>
        <v>187376.56208979347</v>
      </c>
      <c r="R175" s="337">
        <f t="shared" ref="R175" si="507">R174*$F$15</f>
        <v>172583.67560902028</v>
      </c>
      <c r="S175" s="337">
        <f t="shared" ref="S175" si="508">S174*$F$15</f>
        <v>0</v>
      </c>
      <c r="T175" s="337">
        <f t="shared" ref="T175" si="509">T174*$F$15</f>
        <v>0</v>
      </c>
      <c r="U175" s="337">
        <f t="shared" ref="U175" si="510">U174*$F$15</f>
        <v>0</v>
      </c>
      <c r="V175" s="337">
        <f t="shared" ref="V175" si="511">V174*$F$15</f>
        <v>0</v>
      </c>
      <c r="W175" s="337">
        <f t="shared" ref="W175" si="512">W174*$F$15</f>
        <v>0</v>
      </c>
      <c r="X175" s="337">
        <f t="shared" ref="X175" si="513">X174*$F$15</f>
        <v>0</v>
      </c>
      <c r="Y175" s="337">
        <f t="shared" ref="Y175" si="514">Y174*$F$15</f>
        <v>0</v>
      </c>
      <c r="Z175" s="337">
        <f t="shared" ref="Z175" si="515">Z174*$F$15</f>
        <v>0</v>
      </c>
      <c r="AA175" s="337">
        <f t="shared" ref="AA175" si="516">AA174*$F$15</f>
        <v>0</v>
      </c>
      <c r="AB175" s="337">
        <f t="shared" ref="AB175" si="517">AB174*$F$15</f>
        <v>0</v>
      </c>
      <c r="AC175" s="337">
        <f t="shared" ref="AC175" si="518">AC174*$F$15</f>
        <v>0</v>
      </c>
      <c r="AD175" s="337">
        <f t="shared" ref="AD175" si="519">AD174*$F$15</f>
        <v>0</v>
      </c>
      <c r="AE175" s="337">
        <f t="shared" ref="AE175" si="520">AE174*$F$15</f>
        <v>0</v>
      </c>
      <c r="AF175" s="337">
        <f t="shared" ref="AF175" si="521">AF174*$F$15</f>
        <v>0</v>
      </c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1:46" ht="13.5" x14ac:dyDescent="0.3"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1:46" ht="13.5" x14ac:dyDescent="0.3">
      <c r="A177" s="14" t="s">
        <v>277</v>
      </c>
      <c r="B177" s="8" t="s">
        <v>292</v>
      </c>
      <c r="F177" s="337" cm="1">
        <f t="array" ref="F177">SUMPRODUCT((Assumptions!$G$70:$G$72)*(Assumptions!$H$70:$H$72)*(Assumptions!$I$70:$I$72))</f>
        <v>108349.14389581641</v>
      </c>
      <c r="I177" s="337">
        <f t="shared" ref="I177:T177" si="522">$F$51*I166</f>
        <v>541745.71947908204</v>
      </c>
      <c r="J177" s="337">
        <f t="shared" si="522"/>
        <v>541745.71947908204</v>
      </c>
      <c r="K177" s="337">
        <f t="shared" si="522"/>
        <v>433396.57558326563</v>
      </c>
      <c r="L177" s="337">
        <f t="shared" si="522"/>
        <v>325047.43168744922</v>
      </c>
      <c r="M177" s="337">
        <f t="shared" si="522"/>
        <v>216698.28779163281</v>
      </c>
      <c r="N177" s="337">
        <f t="shared" si="522"/>
        <v>216698.28779163281</v>
      </c>
      <c r="O177" s="337">
        <f t="shared" si="522"/>
        <v>108349.14389581641</v>
      </c>
      <c r="P177" s="337">
        <f t="shared" si="522"/>
        <v>108349.14389581641</v>
      </c>
      <c r="Q177" s="337">
        <f t="shared" si="522"/>
        <v>0</v>
      </c>
      <c r="R177" s="337">
        <f t="shared" si="522"/>
        <v>0</v>
      </c>
      <c r="S177" s="337">
        <f t="shared" si="522"/>
        <v>0</v>
      </c>
      <c r="T177" s="337">
        <f t="shared" si="522"/>
        <v>0</v>
      </c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1:46" ht="13.5" x14ac:dyDescent="0.3"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1:46" ht="13.5" x14ac:dyDescent="0.3">
      <c r="A179" s="8" t="s">
        <v>131</v>
      </c>
      <c r="B179" s="14" t="s">
        <v>295</v>
      </c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1:46" ht="13.5" x14ac:dyDescent="0.3">
      <c r="A180" s="8" t="s">
        <v>131</v>
      </c>
      <c r="B180" s="1" t="s">
        <v>114</v>
      </c>
      <c r="F180" s="351" t="str">
        <f>F139</f>
        <v>Safety</v>
      </c>
      <c r="G180" s="351" t="str">
        <f>A180&amp;F180</f>
        <v>Option 4Safety</v>
      </c>
      <c r="I180" s="337">
        <f t="shared" ref="I180:AF180" si="523">I177</f>
        <v>541745.71947908204</v>
      </c>
      <c r="J180" s="337">
        <f t="shared" si="523"/>
        <v>541745.71947908204</v>
      </c>
      <c r="K180" s="337">
        <f t="shared" si="523"/>
        <v>433396.57558326563</v>
      </c>
      <c r="L180" s="337">
        <f t="shared" si="523"/>
        <v>325047.43168744922</v>
      </c>
      <c r="M180" s="337">
        <f t="shared" si="523"/>
        <v>216698.28779163281</v>
      </c>
      <c r="N180" s="337">
        <f t="shared" si="523"/>
        <v>216698.28779163281</v>
      </c>
      <c r="O180" s="337">
        <f t="shared" si="523"/>
        <v>108349.14389581641</v>
      </c>
      <c r="P180" s="337">
        <f t="shared" si="523"/>
        <v>108349.14389581641</v>
      </c>
      <c r="Q180" s="337">
        <f t="shared" si="523"/>
        <v>0</v>
      </c>
      <c r="R180" s="337">
        <f t="shared" si="523"/>
        <v>0</v>
      </c>
      <c r="S180" s="337">
        <f t="shared" si="523"/>
        <v>0</v>
      </c>
      <c r="T180" s="337">
        <f t="shared" si="523"/>
        <v>0</v>
      </c>
      <c r="U180" s="337">
        <f t="shared" si="523"/>
        <v>0</v>
      </c>
      <c r="V180" s="337">
        <f t="shared" si="523"/>
        <v>0</v>
      </c>
      <c r="W180" s="337">
        <f t="shared" si="523"/>
        <v>0</v>
      </c>
      <c r="X180" s="337">
        <f t="shared" si="523"/>
        <v>0</v>
      </c>
      <c r="Y180" s="337">
        <f t="shared" si="523"/>
        <v>0</v>
      </c>
      <c r="Z180" s="337">
        <f t="shared" si="523"/>
        <v>0</v>
      </c>
      <c r="AA180" s="337">
        <f t="shared" si="523"/>
        <v>0</v>
      </c>
      <c r="AB180" s="337">
        <f t="shared" si="523"/>
        <v>0</v>
      </c>
      <c r="AC180" s="337">
        <f t="shared" si="523"/>
        <v>0</v>
      </c>
      <c r="AD180" s="337">
        <f t="shared" si="523"/>
        <v>0</v>
      </c>
      <c r="AE180" s="337">
        <f t="shared" si="523"/>
        <v>0</v>
      </c>
      <c r="AF180" s="337">
        <f t="shared" si="523"/>
        <v>0</v>
      </c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1:46" ht="13.5" x14ac:dyDescent="0.3">
      <c r="A181" s="8" t="s">
        <v>131</v>
      </c>
      <c r="B181" s="1" t="s">
        <v>298</v>
      </c>
      <c r="F181" s="351" t="str">
        <f>F140</f>
        <v>Outages</v>
      </c>
      <c r="G181" s="351" t="str">
        <f t="shared" ref="G181:G183" si="524">A181&amp;F181</f>
        <v>Option 4Outages</v>
      </c>
      <c r="I181" s="337">
        <f t="shared" ref="I181:AF181" si="525">I160</f>
        <v>4828378.8040892947</v>
      </c>
      <c r="J181" s="337">
        <f t="shared" si="525"/>
        <v>4341698.7124304269</v>
      </c>
      <c r="K181" s="337">
        <f t="shared" si="525"/>
        <v>3855018.620771559</v>
      </c>
      <c r="L181" s="337">
        <f t="shared" si="525"/>
        <v>3368338.5291126911</v>
      </c>
      <c r="M181" s="337">
        <f t="shared" si="525"/>
        <v>2881658.4374538227</v>
      </c>
      <c r="N181" s="337">
        <f t="shared" si="525"/>
        <v>2394978.3457949548</v>
      </c>
      <c r="O181" s="337">
        <f t="shared" si="525"/>
        <v>1908298.2541360871</v>
      </c>
      <c r="P181" s="337">
        <f t="shared" si="525"/>
        <v>1421618.162477219</v>
      </c>
      <c r="Q181" s="337">
        <f t="shared" si="525"/>
        <v>934938.07081835135</v>
      </c>
      <c r="R181" s="337">
        <f t="shared" si="525"/>
        <v>448257.97915948357</v>
      </c>
      <c r="S181" s="337">
        <f t="shared" si="525"/>
        <v>0</v>
      </c>
      <c r="T181" s="337">
        <f t="shared" si="525"/>
        <v>0</v>
      </c>
      <c r="U181" s="337">
        <f t="shared" si="525"/>
        <v>0</v>
      </c>
      <c r="V181" s="337">
        <f t="shared" si="525"/>
        <v>0</v>
      </c>
      <c r="W181" s="337">
        <f t="shared" si="525"/>
        <v>0</v>
      </c>
      <c r="X181" s="337">
        <f t="shared" si="525"/>
        <v>0</v>
      </c>
      <c r="Y181" s="337">
        <f t="shared" si="525"/>
        <v>0</v>
      </c>
      <c r="Z181" s="337">
        <f t="shared" si="525"/>
        <v>0</v>
      </c>
      <c r="AA181" s="337">
        <f t="shared" si="525"/>
        <v>0</v>
      </c>
      <c r="AB181" s="337">
        <f t="shared" si="525"/>
        <v>0</v>
      </c>
      <c r="AC181" s="337">
        <f t="shared" si="525"/>
        <v>0</v>
      </c>
      <c r="AD181" s="337">
        <f t="shared" si="525"/>
        <v>0</v>
      </c>
      <c r="AE181" s="337">
        <f t="shared" si="525"/>
        <v>0</v>
      </c>
      <c r="AF181" s="337">
        <f t="shared" si="525"/>
        <v>0</v>
      </c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1:46" ht="13.5" x14ac:dyDescent="0.3">
      <c r="A182" s="8" t="s">
        <v>131</v>
      </c>
      <c r="B182" s="1" t="s">
        <v>288</v>
      </c>
      <c r="F182" s="351" t="str">
        <f>F141</f>
        <v>Failures</v>
      </c>
      <c r="G182" s="351" t="str">
        <f t="shared" si="524"/>
        <v>Option 4Failures</v>
      </c>
      <c r="I182" s="337">
        <f t="shared" ref="I182:AF182" si="526">I169</f>
        <v>61637.027003221519</v>
      </c>
      <c r="J182" s="337">
        <f t="shared" si="526"/>
        <v>61637.027003221519</v>
      </c>
      <c r="K182" s="337">
        <f t="shared" si="526"/>
        <v>49309.621602577223</v>
      </c>
      <c r="L182" s="337">
        <f t="shared" si="526"/>
        <v>36982.216201932919</v>
      </c>
      <c r="M182" s="337">
        <f t="shared" si="526"/>
        <v>24654.810801288611</v>
      </c>
      <c r="N182" s="337">
        <f t="shared" si="526"/>
        <v>24654.810801288611</v>
      </c>
      <c r="O182" s="337">
        <f t="shared" si="526"/>
        <v>12327.405400644306</v>
      </c>
      <c r="P182" s="337">
        <f t="shared" si="526"/>
        <v>12327.405400644306</v>
      </c>
      <c r="Q182" s="337">
        <f t="shared" si="526"/>
        <v>0</v>
      </c>
      <c r="R182" s="337">
        <f t="shared" si="526"/>
        <v>0</v>
      </c>
      <c r="S182" s="337">
        <f t="shared" si="526"/>
        <v>0</v>
      </c>
      <c r="T182" s="337">
        <f t="shared" si="526"/>
        <v>0</v>
      </c>
      <c r="U182" s="337">
        <f t="shared" si="526"/>
        <v>0</v>
      </c>
      <c r="V182" s="337">
        <f t="shared" si="526"/>
        <v>0</v>
      </c>
      <c r="W182" s="337">
        <f t="shared" si="526"/>
        <v>0</v>
      </c>
      <c r="X182" s="337">
        <f t="shared" si="526"/>
        <v>0</v>
      </c>
      <c r="Y182" s="337">
        <f t="shared" si="526"/>
        <v>0</v>
      </c>
      <c r="Z182" s="337">
        <f t="shared" si="526"/>
        <v>0</v>
      </c>
      <c r="AA182" s="337">
        <f t="shared" si="526"/>
        <v>0</v>
      </c>
      <c r="AB182" s="337">
        <f t="shared" si="526"/>
        <v>0</v>
      </c>
      <c r="AC182" s="337">
        <f t="shared" si="526"/>
        <v>0</v>
      </c>
      <c r="AD182" s="337">
        <f t="shared" si="526"/>
        <v>0</v>
      </c>
      <c r="AE182" s="337">
        <f t="shared" si="526"/>
        <v>0</v>
      </c>
      <c r="AF182" s="337">
        <f t="shared" si="526"/>
        <v>0</v>
      </c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1:46" ht="13.5" x14ac:dyDescent="0.3">
      <c r="A183" s="8" t="s">
        <v>131</v>
      </c>
      <c r="B183" s="1" t="s">
        <v>289</v>
      </c>
      <c r="F183" s="351" t="str">
        <f>F142</f>
        <v>Planned</v>
      </c>
      <c r="G183" s="351" t="str">
        <f t="shared" si="524"/>
        <v>Option 4Planned</v>
      </c>
      <c r="I183" s="337">
        <f t="shared" ref="I183:AF183" si="527">I175</f>
        <v>187376.56208979347</v>
      </c>
      <c r="J183" s="337">
        <f t="shared" si="527"/>
        <v>187376.56208979347</v>
      </c>
      <c r="K183" s="337">
        <f t="shared" si="527"/>
        <v>187376.56208979347</v>
      </c>
      <c r="L183" s="337">
        <f t="shared" si="527"/>
        <v>187376.56208979347</v>
      </c>
      <c r="M183" s="337">
        <f t="shared" si="527"/>
        <v>187376.56208979347</v>
      </c>
      <c r="N183" s="337">
        <f t="shared" si="527"/>
        <v>187376.56208979347</v>
      </c>
      <c r="O183" s="337">
        <f t="shared" si="527"/>
        <v>187376.56208979347</v>
      </c>
      <c r="P183" s="337">
        <f t="shared" si="527"/>
        <v>187376.56208979347</v>
      </c>
      <c r="Q183" s="337">
        <f t="shared" si="527"/>
        <v>187376.56208979347</v>
      </c>
      <c r="R183" s="337">
        <f t="shared" si="527"/>
        <v>172583.67560902028</v>
      </c>
      <c r="S183" s="337">
        <f t="shared" si="527"/>
        <v>0</v>
      </c>
      <c r="T183" s="337">
        <f t="shared" si="527"/>
        <v>0</v>
      </c>
      <c r="U183" s="337">
        <f t="shared" si="527"/>
        <v>0</v>
      </c>
      <c r="V183" s="337">
        <f t="shared" si="527"/>
        <v>0</v>
      </c>
      <c r="W183" s="337">
        <f t="shared" si="527"/>
        <v>0</v>
      </c>
      <c r="X183" s="337">
        <f t="shared" si="527"/>
        <v>0</v>
      </c>
      <c r="Y183" s="337">
        <f t="shared" si="527"/>
        <v>0</v>
      </c>
      <c r="Z183" s="337">
        <f t="shared" si="527"/>
        <v>0</v>
      </c>
      <c r="AA183" s="337">
        <f t="shared" si="527"/>
        <v>0</v>
      </c>
      <c r="AB183" s="337">
        <f t="shared" si="527"/>
        <v>0</v>
      </c>
      <c r="AC183" s="337">
        <f t="shared" si="527"/>
        <v>0</v>
      </c>
      <c r="AD183" s="337">
        <f t="shared" si="527"/>
        <v>0</v>
      </c>
      <c r="AE183" s="337">
        <f t="shared" si="527"/>
        <v>0</v>
      </c>
      <c r="AF183" s="337">
        <f t="shared" si="527"/>
        <v>0</v>
      </c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1:46" ht="13.5" x14ac:dyDescent="0.3">
      <c r="B184" s="342" t="s">
        <v>138</v>
      </c>
      <c r="C184" s="339"/>
      <c r="D184" s="339"/>
      <c r="E184" s="339"/>
      <c r="F184" s="339"/>
      <c r="G184" s="339"/>
      <c r="H184" s="339"/>
      <c r="I184" s="343">
        <f t="shared" ref="I184:V184" si="528">SUM(I180:I183)</f>
        <v>5619138.1126613915</v>
      </c>
      <c r="J184" s="343">
        <f t="shared" si="528"/>
        <v>5132458.0210025236</v>
      </c>
      <c r="K184" s="343">
        <f t="shared" si="528"/>
        <v>4525101.3800471956</v>
      </c>
      <c r="L184" s="343">
        <f t="shared" si="528"/>
        <v>3917744.7390918666</v>
      </c>
      <c r="M184" s="343">
        <f t="shared" si="528"/>
        <v>3310388.0981365372</v>
      </c>
      <c r="N184" s="343">
        <f t="shared" si="528"/>
        <v>2823708.0064776693</v>
      </c>
      <c r="O184" s="343">
        <f t="shared" si="528"/>
        <v>2216351.3655223413</v>
      </c>
      <c r="P184" s="343">
        <f t="shared" si="528"/>
        <v>1729671.2738634732</v>
      </c>
      <c r="Q184" s="343">
        <f t="shared" si="528"/>
        <v>1122314.6329081447</v>
      </c>
      <c r="R184" s="343">
        <f t="shared" si="528"/>
        <v>620841.65476850385</v>
      </c>
      <c r="S184" s="343">
        <f t="shared" si="528"/>
        <v>0</v>
      </c>
      <c r="T184" s="343">
        <f t="shared" si="528"/>
        <v>0</v>
      </c>
      <c r="U184" s="343">
        <f t="shared" si="528"/>
        <v>0</v>
      </c>
      <c r="V184" s="343">
        <f t="shared" si="528"/>
        <v>0</v>
      </c>
      <c r="W184" s="343">
        <f t="shared" ref="W184:AB184" si="529">SUM(W180:W183)</f>
        <v>0</v>
      </c>
      <c r="X184" s="343">
        <f t="shared" si="529"/>
        <v>0</v>
      </c>
      <c r="Y184" s="343">
        <f t="shared" si="529"/>
        <v>0</v>
      </c>
      <c r="Z184" s="343">
        <f t="shared" si="529"/>
        <v>0</v>
      </c>
      <c r="AA184" s="343">
        <f t="shared" si="529"/>
        <v>0</v>
      </c>
      <c r="AB184" s="343">
        <f t="shared" si="529"/>
        <v>0</v>
      </c>
      <c r="AC184" s="343">
        <f t="shared" ref="AC184" si="530">SUM(AC180:AC183)</f>
        <v>0</v>
      </c>
      <c r="AD184" s="343">
        <f t="shared" ref="AD184" si="531">SUM(AD180:AD183)</f>
        <v>0</v>
      </c>
      <c r="AE184" s="343">
        <f t="shared" ref="AE184" si="532">SUM(AE180:AE183)</f>
        <v>0</v>
      </c>
      <c r="AF184" s="343">
        <f t="shared" ref="AF184" si="533">SUM(AF180:AF183)</f>
        <v>0</v>
      </c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1:46" ht="13.5" x14ac:dyDescent="0.3"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7" spans="1:46" customFormat="1" ht="14.5" x14ac:dyDescent="0.3">
      <c r="A187" s="18" t="s">
        <v>151</v>
      </c>
      <c r="B187" s="18"/>
      <c r="C187" s="18"/>
      <c r="D187" s="18"/>
      <c r="E187" s="142"/>
      <c r="F187" s="142"/>
      <c r="G187" s="334"/>
      <c r="H187" s="334">
        <v>46203</v>
      </c>
      <c r="I187" s="17" t="s">
        <v>19</v>
      </c>
      <c r="J187" s="17" t="s">
        <v>21</v>
      </c>
      <c r="K187" s="17" t="s">
        <v>20</v>
      </c>
      <c r="L187" s="17" t="s">
        <v>22</v>
      </c>
      <c r="M187" s="17" t="s">
        <v>93</v>
      </c>
      <c r="N187" s="17" t="s">
        <v>94</v>
      </c>
      <c r="O187" s="17" t="s">
        <v>250</v>
      </c>
      <c r="P187" s="17" t="s">
        <v>251</v>
      </c>
      <c r="Q187" s="17" t="s">
        <v>252</v>
      </c>
      <c r="R187" s="17" t="s">
        <v>253</v>
      </c>
      <c r="S187" s="17" t="s">
        <v>254</v>
      </c>
      <c r="T187" s="17" t="s">
        <v>255</v>
      </c>
      <c r="U187" s="17" t="s">
        <v>256</v>
      </c>
      <c r="V187" s="17" t="s">
        <v>257</v>
      </c>
      <c r="W187" s="17" t="s">
        <v>257</v>
      </c>
      <c r="X187" s="17" t="s">
        <v>257</v>
      </c>
      <c r="Y187" s="17" t="s">
        <v>257</v>
      </c>
      <c r="Z187" s="17" t="s">
        <v>257</v>
      </c>
      <c r="AA187" s="17" t="s">
        <v>257</v>
      </c>
      <c r="AB187" s="17" t="s">
        <v>257</v>
      </c>
      <c r="AC187" s="17" t="s">
        <v>257</v>
      </c>
      <c r="AD187" s="17" t="s">
        <v>257</v>
      </c>
      <c r="AE187" s="17" t="s">
        <v>257</v>
      </c>
      <c r="AF187" s="17" t="s">
        <v>257</v>
      </c>
    </row>
    <row r="188" spans="1:46" ht="13.5" x14ac:dyDescent="0.3"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1:46" ht="13.5" x14ac:dyDescent="0.3">
      <c r="B189" s="360" t="s">
        <v>281</v>
      </c>
      <c r="C189" s="360"/>
      <c r="D189" s="360"/>
      <c r="E189" s="360"/>
      <c r="F189" s="360"/>
      <c r="G189" s="360"/>
      <c r="H189" s="360"/>
      <c r="I189" s="361">
        <f>INDEX(Workings_costs!K$27:K$79, MATCH($A187&amp;$B189, Workings_costs!$G$27:$G$79,0))</f>
        <v>25</v>
      </c>
      <c r="J189" s="361">
        <f>INDEX(Workings_costs!L$27:L$79, MATCH($A187&amp;$B189, Workings_costs!$G$27:$G$79,0))</f>
        <v>25</v>
      </c>
      <c r="K189" s="361">
        <f>INDEX(Workings_costs!M$27:M$79, MATCH($A187&amp;$B189, Workings_costs!$G$27:$G$79,0))</f>
        <v>25</v>
      </c>
      <c r="L189" s="361">
        <f>INDEX(Workings_costs!N$27:N$79, MATCH($A187&amp;$B189, Workings_costs!$G$27:$G$79,0))</f>
        <v>25</v>
      </c>
      <c r="M189" s="361">
        <f>INDEX(Workings_costs!O$27:O$79, MATCH($A187&amp;$B189, Workings_costs!$G$27:$G$79,0))</f>
        <v>25</v>
      </c>
      <c r="N189" s="361">
        <f>INDEX(Workings_costs!P$27:P$79, MATCH($A187&amp;$B189, Workings_costs!$G$27:$G$79,0))</f>
        <v>25</v>
      </c>
      <c r="O189" s="361">
        <f>INDEX(Workings_costs!Q$27:Q$79, MATCH($A187&amp;$B189, Workings_costs!$G$27:$G$79,0))</f>
        <v>25</v>
      </c>
      <c r="P189" s="361">
        <f>INDEX(Workings_costs!R$27:R$79, MATCH($A187&amp;$B189, Workings_costs!$G$27:$G$79,0))</f>
        <v>25</v>
      </c>
      <c r="Q189" s="361">
        <f>INDEX(Workings_costs!S$27:S$79, MATCH($A187&amp;$B189, Workings_costs!$G$27:$G$79,0))</f>
        <v>25</v>
      </c>
      <c r="R189" s="361">
        <f>INDEX(Workings_costs!T$27:T$79, MATCH($A187&amp;$B189, Workings_costs!$G$27:$G$79,0))</f>
        <v>25</v>
      </c>
      <c r="S189" s="361">
        <f>INDEX(Workings_costs!U$27:U$79, MATCH($A187&amp;$B189, Workings_costs!$G$27:$G$79,0))</f>
        <v>25</v>
      </c>
      <c r="T189" s="361">
        <f>INDEX(Workings_costs!V$27:V$79, MATCH($A187&amp;$B189, Workings_costs!$G$27:$G$79,0))</f>
        <v>25</v>
      </c>
      <c r="U189" s="361">
        <f>INDEX(Workings_costs!W$27:W$79, MATCH($A187&amp;$B189, Workings_costs!$G$27:$G$79,0))</f>
        <v>25</v>
      </c>
      <c r="V189" s="361">
        <f>INDEX(Workings_costs!X$27:X$79, MATCH($A187&amp;$B189, Workings_costs!$G$27:$G$79,0))</f>
        <v>25</v>
      </c>
      <c r="W189" s="361">
        <f>INDEX(Workings_costs!Y$27:Y$79, MATCH($A187&amp;$B189, Workings_costs!$G$27:$G$79,0))</f>
        <v>25</v>
      </c>
      <c r="X189" s="361">
        <f>INDEX(Workings_costs!Z$27:Z$79, MATCH($A187&amp;$B189, Workings_costs!$G$27:$G$79,0))</f>
        <v>2</v>
      </c>
      <c r="Y189" s="361">
        <f>INDEX(Workings_costs!AA$27:AA$79, MATCH($A187&amp;$B189, Workings_costs!$G$27:$G$79,0))</f>
        <v>0</v>
      </c>
      <c r="Z189" s="361">
        <f>INDEX(Workings_costs!AB$27:AB$79, MATCH($A187&amp;$B189, Workings_costs!$G$27:$G$79,0))</f>
        <v>0</v>
      </c>
      <c r="AA189" s="361">
        <f>INDEX(Workings_costs!AC$27:AC$79, MATCH($A187&amp;$B189, Workings_costs!$G$27:$G$79,0))</f>
        <v>0</v>
      </c>
      <c r="AB189" s="361">
        <f>INDEX(Workings_costs!AD$27:AD$79, MATCH($A187&amp;$B189, Workings_costs!$G$27:$G$79,0))</f>
        <v>0</v>
      </c>
      <c r="AC189" s="361">
        <f>INDEX(Workings_costs!AE$27:AE$79, MATCH($A187&amp;$B189, Workings_costs!$G$27:$G$79,0))</f>
        <v>0</v>
      </c>
      <c r="AD189" s="361">
        <f>INDEX(Workings_costs!AF$27:AF$79, MATCH($A187&amp;$B189, Workings_costs!$G$27:$G$79,0))</f>
        <v>0</v>
      </c>
      <c r="AE189" s="361">
        <f>INDEX(Workings_costs!AG$27:AG$79, MATCH($A187&amp;$B189, Workings_costs!$G$27:$G$79,0))</f>
        <v>0</v>
      </c>
      <c r="AF189" s="361">
        <f>INDEX(Workings_costs!AH$27:AH$79, MATCH($A187&amp;$B189, Workings_costs!$G$27:$G$79,0))</f>
        <v>0</v>
      </c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1:46" ht="13.5" x14ac:dyDescent="0.3">
      <c r="B190" s="360" t="s">
        <v>282</v>
      </c>
      <c r="C190" s="360"/>
      <c r="D190" s="360"/>
      <c r="E190" s="360"/>
      <c r="F190" s="360"/>
      <c r="G190" s="360"/>
      <c r="H190" s="361">
        <f>$F$7</f>
        <v>377</v>
      </c>
      <c r="I190" s="361">
        <f>H190-I189</f>
        <v>352</v>
      </c>
      <c r="J190" s="361">
        <f t="shared" ref="J190" si="534">I190-J189</f>
        <v>327</v>
      </c>
      <c r="K190" s="361">
        <f t="shared" ref="K190" si="535">J190-K189</f>
        <v>302</v>
      </c>
      <c r="L190" s="361">
        <f t="shared" ref="L190" si="536">K190-L189</f>
        <v>277</v>
      </c>
      <c r="M190" s="361">
        <f t="shared" ref="M190" si="537">L190-M189</f>
        <v>252</v>
      </c>
      <c r="N190" s="361">
        <f t="shared" ref="N190" si="538">M190-N189</f>
        <v>227</v>
      </c>
      <c r="O190" s="361">
        <f t="shared" ref="O190" si="539">N190-O189</f>
        <v>202</v>
      </c>
      <c r="P190" s="361">
        <f t="shared" ref="P190" si="540">O190-P189</f>
        <v>177</v>
      </c>
      <c r="Q190" s="361">
        <f t="shared" ref="Q190" si="541">P190-Q189</f>
        <v>152</v>
      </c>
      <c r="R190" s="361">
        <f t="shared" ref="R190" si="542">Q190-R189</f>
        <v>127</v>
      </c>
      <c r="S190" s="361">
        <f t="shared" ref="S190" si="543">R190-S189</f>
        <v>102</v>
      </c>
      <c r="T190" s="361">
        <f t="shared" ref="T190" si="544">S190-T189</f>
        <v>77</v>
      </c>
      <c r="U190" s="361">
        <f t="shared" ref="U190" si="545">T190-U189</f>
        <v>52</v>
      </c>
      <c r="V190" s="361">
        <f t="shared" ref="V190" si="546">U190-V189</f>
        <v>27</v>
      </c>
      <c r="W190" s="361">
        <f t="shared" ref="W190" si="547">V190-W189</f>
        <v>2</v>
      </c>
      <c r="X190" s="361">
        <f t="shared" ref="X190" si="548">W190-X189</f>
        <v>0</v>
      </c>
      <c r="Y190" s="361">
        <f t="shared" ref="Y190" si="549">X190-Y189</f>
        <v>0</v>
      </c>
      <c r="Z190" s="361">
        <f t="shared" ref="Z190" si="550">Y190-Z189</f>
        <v>0</v>
      </c>
      <c r="AA190" s="361">
        <f t="shared" ref="AA190" si="551">Z190-AA189</f>
        <v>0</v>
      </c>
      <c r="AB190" s="361">
        <f t="shared" ref="AB190" si="552">AA190-AB189</f>
        <v>0</v>
      </c>
      <c r="AC190" s="361">
        <f t="shared" ref="AC190" si="553">AB190-AC189</f>
        <v>0</v>
      </c>
      <c r="AD190" s="361">
        <f t="shared" ref="AD190" si="554">AC190-AD189</f>
        <v>0</v>
      </c>
      <c r="AE190" s="361">
        <f t="shared" ref="AE190" si="555">AD190-AE189</f>
        <v>0</v>
      </c>
      <c r="AF190" s="361">
        <f t="shared" ref="AF190" si="556">AE190-AF189</f>
        <v>0</v>
      </c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1:46" ht="13.5" x14ac:dyDescent="0.3">
      <c r="B191" s="360" t="s">
        <v>283</v>
      </c>
      <c r="C191" s="360"/>
      <c r="D191" s="360"/>
      <c r="E191" s="360"/>
      <c r="F191" s="360"/>
      <c r="G191" s="360"/>
      <c r="H191" s="360"/>
      <c r="I191" s="361">
        <f t="shared" ref="I191:AB191" si="557">I189+H191</f>
        <v>25</v>
      </c>
      <c r="J191" s="361">
        <f t="shared" si="557"/>
        <v>50</v>
      </c>
      <c r="K191" s="361">
        <f t="shared" si="557"/>
        <v>75</v>
      </c>
      <c r="L191" s="361">
        <f t="shared" si="557"/>
        <v>100</v>
      </c>
      <c r="M191" s="361">
        <f t="shared" si="557"/>
        <v>125</v>
      </c>
      <c r="N191" s="361">
        <f t="shared" si="557"/>
        <v>150</v>
      </c>
      <c r="O191" s="361">
        <f t="shared" si="557"/>
        <v>175</v>
      </c>
      <c r="P191" s="361">
        <f t="shared" si="557"/>
        <v>200</v>
      </c>
      <c r="Q191" s="361">
        <f t="shared" si="557"/>
        <v>225</v>
      </c>
      <c r="R191" s="361">
        <f t="shared" si="557"/>
        <v>250</v>
      </c>
      <c r="S191" s="361">
        <f t="shared" si="557"/>
        <v>275</v>
      </c>
      <c r="T191" s="361">
        <f t="shared" si="557"/>
        <v>300</v>
      </c>
      <c r="U191" s="361">
        <f t="shared" si="557"/>
        <v>325</v>
      </c>
      <c r="V191" s="361">
        <f t="shared" si="557"/>
        <v>350</v>
      </c>
      <c r="W191" s="361">
        <f t="shared" si="557"/>
        <v>375</v>
      </c>
      <c r="X191" s="361">
        <f t="shared" si="557"/>
        <v>377</v>
      </c>
      <c r="Y191" s="361">
        <f t="shared" si="557"/>
        <v>377</v>
      </c>
      <c r="Z191" s="361">
        <f t="shared" si="557"/>
        <v>377</v>
      </c>
      <c r="AA191" s="361">
        <f t="shared" si="557"/>
        <v>377</v>
      </c>
      <c r="AB191" s="361">
        <f t="shared" si="557"/>
        <v>377</v>
      </c>
      <c r="AC191" s="361">
        <f t="shared" ref="AC191:AF191" si="558">AC189+AB191</f>
        <v>377</v>
      </c>
      <c r="AD191" s="361">
        <f t="shared" si="558"/>
        <v>377</v>
      </c>
      <c r="AE191" s="361">
        <f t="shared" si="558"/>
        <v>377</v>
      </c>
      <c r="AF191" s="361">
        <f t="shared" si="558"/>
        <v>377</v>
      </c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1:46" ht="13.5" x14ac:dyDescent="0.3"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1:46" ht="13.5" x14ac:dyDescent="0.3">
      <c r="A193" s="14" t="s">
        <v>296</v>
      </c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1:46" ht="13.5" x14ac:dyDescent="0.3">
      <c r="B194" s="14" t="s">
        <v>269</v>
      </c>
      <c r="E194" s="8" t="s">
        <v>40</v>
      </c>
      <c r="F194" s="331">
        <v>3638</v>
      </c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1:46" ht="13.5" x14ac:dyDescent="0.3">
      <c r="B195" s="8" t="s">
        <v>293</v>
      </c>
      <c r="H195" s="347">
        <f t="shared" ref="H195:AB195" si="559">H190/$F$12</f>
        <v>2.3484706908366036E-2</v>
      </c>
      <c r="I195" s="347">
        <f t="shared" si="559"/>
        <v>2.1927365601445214E-2</v>
      </c>
      <c r="J195" s="347">
        <f t="shared" si="559"/>
        <v>2.0370024294524388E-2</v>
      </c>
      <c r="K195" s="347">
        <f t="shared" si="559"/>
        <v>1.8812682987603562E-2</v>
      </c>
      <c r="L195" s="347">
        <f t="shared" si="559"/>
        <v>1.725534168068274E-2</v>
      </c>
      <c r="M195" s="347">
        <f t="shared" si="559"/>
        <v>1.5698000373761914E-2</v>
      </c>
      <c r="N195" s="347">
        <f t="shared" si="559"/>
        <v>1.4140659066841088E-2</v>
      </c>
      <c r="O195" s="347">
        <f t="shared" si="559"/>
        <v>1.2583317759920264E-2</v>
      </c>
      <c r="P195" s="347">
        <f t="shared" si="559"/>
        <v>1.102597645299944E-2</v>
      </c>
      <c r="Q195" s="347">
        <f t="shared" si="559"/>
        <v>9.468635146078614E-3</v>
      </c>
      <c r="R195" s="347">
        <f t="shared" si="559"/>
        <v>7.9112938391577899E-3</v>
      </c>
      <c r="S195" s="347">
        <f t="shared" si="559"/>
        <v>6.353952532236965E-3</v>
      </c>
      <c r="T195" s="347">
        <f t="shared" si="559"/>
        <v>4.79661122531614E-3</v>
      </c>
      <c r="U195" s="347">
        <f t="shared" si="559"/>
        <v>3.2392699183953154E-3</v>
      </c>
      <c r="V195" s="347">
        <f t="shared" si="559"/>
        <v>1.6819286114744907E-3</v>
      </c>
      <c r="W195" s="347">
        <f t="shared" si="559"/>
        <v>1.2458730455366598E-4</v>
      </c>
      <c r="X195" s="347">
        <f t="shared" si="559"/>
        <v>0</v>
      </c>
      <c r="Y195" s="347">
        <f t="shared" si="559"/>
        <v>0</v>
      </c>
      <c r="Z195" s="347">
        <f t="shared" si="559"/>
        <v>0</v>
      </c>
      <c r="AA195" s="347">
        <f t="shared" si="559"/>
        <v>0</v>
      </c>
      <c r="AB195" s="347">
        <f t="shared" si="559"/>
        <v>0</v>
      </c>
      <c r="AC195" s="347">
        <f t="shared" ref="AC195:AF195" si="560">AC190/$F$12</f>
        <v>0</v>
      </c>
      <c r="AD195" s="347">
        <f t="shared" si="560"/>
        <v>0</v>
      </c>
      <c r="AE195" s="347">
        <f t="shared" si="560"/>
        <v>0</v>
      </c>
      <c r="AF195" s="347">
        <f t="shared" si="560"/>
        <v>0</v>
      </c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1:46" ht="13.5" x14ac:dyDescent="0.3">
      <c r="B196" s="8" t="s">
        <v>106</v>
      </c>
      <c r="I196" s="337">
        <f>$F$10*H195</f>
        <v>85.445226412508575</v>
      </c>
      <c r="J196" s="337">
        <f t="shared" ref="J196:AF196" si="561">$F$10*I195</f>
        <v>79.779097340061057</v>
      </c>
      <c r="K196" s="337">
        <f t="shared" si="561"/>
        <v>74.112968267613539</v>
      </c>
      <c r="L196" s="337">
        <f t="shared" si="561"/>
        <v>68.446839195166021</v>
      </c>
      <c r="M196" s="337">
        <f t="shared" si="561"/>
        <v>62.78071012271851</v>
      </c>
      <c r="N196" s="337">
        <f t="shared" si="561"/>
        <v>57.114581050270985</v>
      </c>
      <c r="O196" s="337">
        <f t="shared" si="561"/>
        <v>51.448451977823467</v>
      </c>
      <c r="P196" s="337">
        <f t="shared" si="561"/>
        <v>45.782322905375949</v>
      </c>
      <c r="Q196" s="337">
        <f t="shared" si="561"/>
        <v>40.116193832928431</v>
      </c>
      <c r="R196" s="337">
        <f t="shared" si="561"/>
        <v>34.450064760480913</v>
      </c>
      <c r="S196" s="337">
        <f t="shared" si="561"/>
        <v>28.783935688033395</v>
      </c>
      <c r="T196" s="337">
        <f t="shared" si="561"/>
        <v>23.117806615585874</v>
      </c>
      <c r="U196" s="337">
        <f t="shared" si="561"/>
        <v>17.451677543138356</v>
      </c>
      <c r="V196" s="337">
        <f t="shared" si="561"/>
        <v>11.785548470690838</v>
      </c>
      <c r="W196" s="337">
        <f t="shared" si="561"/>
        <v>6.1194193982433198</v>
      </c>
      <c r="X196" s="337">
        <f t="shared" si="561"/>
        <v>0.45329032579580147</v>
      </c>
      <c r="Y196" s="337">
        <f t="shared" si="561"/>
        <v>0</v>
      </c>
      <c r="Z196" s="337">
        <f t="shared" si="561"/>
        <v>0</v>
      </c>
      <c r="AA196" s="337">
        <f t="shared" si="561"/>
        <v>0</v>
      </c>
      <c r="AB196" s="337">
        <f t="shared" si="561"/>
        <v>0</v>
      </c>
      <c r="AC196" s="337">
        <f t="shared" si="561"/>
        <v>0</v>
      </c>
      <c r="AD196" s="337">
        <f t="shared" si="561"/>
        <v>0</v>
      </c>
      <c r="AE196" s="337">
        <f t="shared" si="561"/>
        <v>0</v>
      </c>
      <c r="AF196" s="337">
        <f t="shared" si="561"/>
        <v>0</v>
      </c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1:46" ht="13.5" x14ac:dyDescent="0.3">
      <c r="B197" s="8" t="s">
        <v>270</v>
      </c>
      <c r="I197" s="337">
        <f>I196*$F$15</f>
        <v>3743824.1408840665</v>
      </c>
      <c r="J197" s="337">
        <f t="shared" ref="J197" si="562">J196*$F$15</f>
        <v>3495559.9405601895</v>
      </c>
      <c r="K197" s="337">
        <f t="shared" ref="K197" si="563">K196*$F$15</f>
        <v>3247295.7402363122</v>
      </c>
      <c r="L197" s="337">
        <f t="shared" ref="L197" si="564">L196*$F$15</f>
        <v>2999031.5399124352</v>
      </c>
      <c r="M197" s="337">
        <f t="shared" ref="M197" si="565">M196*$F$15</f>
        <v>2750767.3395885583</v>
      </c>
      <c r="N197" s="337">
        <f t="shared" ref="N197" si="566">N196*$F$15</f>
        <v>2502503.1392646809</v>
      </c>
      <c r="O197" s="337">
        <f t="shared" ref="O197" si="567">O196*$F$15</f>
        <v>2254238.938940804</v>
      </c>
      <c r="P197" s="337">
        <f t="shared" ref="P197" si="568">P196*$F$15</f>
        <v>2005974.7386169268</v>
      </c>
      <c r="Q197" s="337">
        <f t="shared" ref="Q197" si="569">Q196*$F$15</f>
        <v>1757710.5382930499</v>
      </c>
      <c r="R197" s="337">
        <f t="shared" ref="R197" si="570">R196*$F$15</f>
        <v>1509446.3379691727</v>
      </c>
      <c r="S197" s="337">
        <f t="shared" ref="S197" si="571">S196*$F$15</f>
        <v>1261182.1376452958</v>
      </c>
      <c r="T197" s="337">
        <f t="shared" ref="T197" si="572">T196*$F$15</f>
        <v>1012917.9373214184</v>
      </c>
      <c r="U197" s="337">
        <f t="shared" ref="U197" si="573">U196*$F$15</f>
        <v>764653.73699754139</v>
      </c>
      <c r="V197" s="337">
        <f t="shared" ref="V197" si="574">V196*$F$15</f>
        <v>516389.53667366435</v>
      </c>
      <c r="W197" s="337">
        <f t="shared" ref="W197" si="575">W196*$F$15</f>
        <v>268125.33634978725</v>
      </c>
      <c r="X197" s="337">
        <f t="shared" ref="X197" si="576">X196*$F$15</f>
        <v>19861.136025910168</v>
      </c>
      <c r="Y197" s="337">
        <f t="shared" ref="Y197" si="577">Y196*$F$15</f>
        <v>0</v>
      </c>
      <c r="Z197" s="337">
        <f t="shared" ref="Z197" si="578">Z196*$F$15</f>
        <v>0</v>
      </c>
      <c r="AA197" s="337">
        <f t="shared" ref="AA197" si="579">AA196*$F$15</f>
        <v>0</v>
      </c>
      <c r="AB197" s="337">
        <f t="shared" ref="AB197" si="580">AB196*$F$15</f>
        <v>0</v>
      </c>
      <c r="AC197" s="337">
        <f t="shared" ref="AC197" si="581">AC196*$F$15</f>
        <v>0</v>
      </c>
      <c r="AD197" s="337">
        <f t="shared" ref="AD197" si="582">AD196*$F$15</f>
        <v>0</v>
      </c>
      <c r="AE197" s="337">
        <f t="shared" ref="AE197" si="583">AE196*$F$15</f>
        <v>0</v>
      </c>
      <c r="AF197" s="337">
        <f t="shared" ref="AF197" si="584">AF196*$F$15</f>
        <v>0</v>
      </c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1:46" ht="13.5" x14ac:dyDescent="0.3">
      <c r="B198" s="14" t="s">
        <v>271</v>
      </c>
      <c r="E198" s="8" t="s">
        <v>40</v>
      </c>
      <c r="F198" s="331">
        <v>1756.6587999999999</v>
      </c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7"/>
      <c r="AB198" s="337"/>
      <c r="AC198" s="337"/>
      <c r="AD198" s="337"/>
      <c r="AE198" s="337"/>
      <c r="AF198" s="337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1:46" ht="13.5" x14ac:dyDescent="0.3">
      <c r="B199" s="8" t="s">
        <v>271</v>
      </c>
      <c r="I199" s="337">
        <f t="shared" ref="I199:AF199" si="585">$F$9*H195</f>
        <v>41.25461705600199</v>
      </c>
      <c r="J199" s="337">
        <f t="shared" si="585"/>
        <v>38.518899744596027</v>
      </c>
      <c r="K199" s="337">
        <f t="shared" si="585"/>
        <v>35.783182433190056</v>
      </c>
      <c r="L199" s="337">
        <f t="shared" si="585"/>
        <v>33.047465121784086</v>
      </c>
      <c r="M199" s="337">
        <f t="shared" si="585"/>
        <v>30.311747810378122</v>
      </c>
      <c r="N199" s="337">
        <f t="shared" si="585"/>
        <v>27.576030498972155</v>
      </c>
      <c r="O199" s="337">
        <f t="shared" si="585"/>
        <v>24.840313187566185</v>
      </c>
      <c r="P199" s="337">
        <f t="shared" si="585"/>
        <v>22.104595876160218</v>
      </c>
      <c r="Q199" s="337">
        <f t="shared" si="585"/>
        <v>19.368878564754251</v>
      </c>
      <c r="R199" s="337">
        <f t="shared" si="585"/>
        <v>16.63316125334828</v>
      </c>
      <c r="S199" s="337">
        <f t="shared" si="585"/>
        <v>13.897443941942315</v>
      </c>
      <c r="T199" s="337">
        <f t="shared" si="585"/>
        <v>11.161726630536348</v>
      </c>
      <c r="U199" s="337">
        <f t="shared" si="585"/>
        <v>8.4260093191303795</v>
      </c>
      <c r="V199" s="337">
        <f t="shared" si="585"/>
        <v>5.6902920077244126</v>
      </c>
      <c r="W199" s="337">
        <f t="shared" si="585"/>
        <v>2.9545746963184447</v>
      </c>
      <c r="X199" s="337">
        <f t="shared" si="585"/>
        <v>0.21885738491247742</v>
      </c>
      <c r="Y199" s="337">
        <f t="shared" si="585"/>
        <v>0</v>
      </c>
      <c r="Z199" s="337">
        <f t="shared" si="585"/>
        <v>0</v>
      </c>
      <c r="AA199" s="337">
        <f t="shared" si="585"/>
        <v>0</v>
      </c>
      <c r="AB199" s="337">
        <f t="shared" si="585"/>
        <v>0</v>
      </c>
      <c r="AC199" s="337">
        <f t="shared" si="585"/>
        <v>0</v>
      </c>
      <c r="AD199" s="337">
        <f t="shared" si="585"/>
        <v>0</v>
      </c>
      <c r="AE199" s="337">
        <f t="shared" si="585"/>
        <v>0</v>
      </c>
      <c r="AF199" s="337">
        <f t="shared" si="585"/>
        <v>0</v>
      </c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1:46" ht="13.5" x14ac:dyDescent="0.3">
      <c r="B200" s="8" t="s">
        <v>298</v>
      </c>
      <c r="F200" s="337">
        <f>F197*$F$16</f>
        <v>0</v>
      </c>
      <c r="I200" s="337">
        <f>I199*$F$17</f>
        <v>1084554.6632052278</v>
      </c>
      <c r="J200" s="337">
        <f t="shared" ref="J200" si="586">J199*$F$17</f>
        <v>1012634.5927009025</v>
      </c>
      <c r="K200" s="337">
        <f t="shared" ref="K200" si="587">K199*$F$17</f>
        <v>940714.52219657693</v>
      </c>
      <c r="L200" s="337">
        <f t="shared" ref="L200" si="588">L199*$F$17</f>
        <v>868794.45169225137</v>
      </c>
      <c r="M200" s="337">
        <f t="shared" ref="M200" si="589">M199*$F$17</f>
        <v>796874.38118792605</v>
      </c>
      <c r="N200" s="337">
        <f t="shared" ref="N200" si="590">N199*$F$17</f>
        <v>724954.3106836006</v>
      </c>
      <c r="O200" s="337">
        <f t="shared" ref="O200" si="591">O199*$F$17</f>
        <v>653034.24017927516</v>
      </c>
      <c r="P200" s="337">
        <f t="shared" ref="P200" si="592">P199*$F$17</f>
        <v>581114.16967494972</v>
      </c>
      <c r="Q200" s="337">
        <f t="shared" ref="Q200" si="593">Q199*$F$17</f>
        <v>509194.09917062422</v>
      </c>
      <c r="R200" s="337">
        <f t="shared" ref="R200" si="594">R199*$F$17</f>
        <v>437274.02866629872</v>
      </c>
      <c r="S200" s="337">
        <f t="shared" ref="S200" si="595">S199*$F$17</f>
        <v>365353.95816197334</v>
      </c>
      <c r="T200" s="337">
        <f t="shared" ref="T200" si="596">T199*$F$17</f>
        <v>293433.88765764789</v>
      </c>
      <c r="U200" s="337">
        <f t="shared" ref="U200" si="597">U199*$F$17</f>
        <v>221513.81715332239</v>
      </c>
      <c r="V200" s="337">
        <f t="shared" ref="V200" si="598">V199*$F$17</f>
        <v>149593.74664899695</v>
      </c>
      <c r="W200" s="337">
        <f t="shared" ref="W200" si="599">W199*$F$17</f>
        <v>77673.676144671481</v>
      </c>
      <c r="X200" s="337">
        <f t="shared" ref="X200" si="600">X199*$F$17</f>
        <v>5753.605640346037</v>
      </c>
      <c r="Y200" s="337">
        <f t="shared" ref="Y200" si="601">Y199*$F$17</f>
        <v>0</v>
      </c>
      <c r="Z200" s="337">
        <f t="shared" ref="Z200" si="602">Z199*$F$17</f>
        <v>0</v>
      </c>
      <c r="AA200" s="337">
        <f t="shared" ref="AA200" si="603">AA199*$F$17</f>
        <v>0</v>
      </c>
      <c r="AB200" s="337">
        <f t="shared" ref="AB200" si="604">AB199*$F$17</f>
        <v>0</v>
      </c>
      <c r="AC200" s="337">
        <f t="shared" ref="AC200" si="605">AC199*$F$17</f>
        <v>0</v>
      </c>
      <c r="AD200" s="337">
        <f t="shared" ref="AD200" si="606">AD199*$F$17</f>
        <v>0</v>
      </c>
      <c r="AE200" s="337">
        <f t="shared" ref="AE200" si="607">AE199*$F$17</f>
        <v>0</v>
      </c>
      <c r="AF200" s="337">
        <f t="shared" ref="AF200" si="608">AF199*$F$17</f>
        <v>0</v>
      </c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1:46" ht="13.5" x14ac:dyDescent="0.3">
      <c r="B201" s="14" t="s">
        <v>300</v>
      </c>
      <c r="C201" s="14"/>
      <c r="D201" s="14"/>
      <c r="E201" s="14"/>
      <c r="F201" s="14"/>
      <c r="G201" s="14"/>
      <c r="H201" s="14"/>
      <c r="I201" s="348">
        <f t="shared" ref="I201:AF201" si="609">I197+I200</f>
        <v>4828378.8040892947</v>
      </c>
      <c r="J201" s="348">
        <f t="shared" si="609"/>
        <v>4508194.5332610924</v>
      </c>
      <c r="K201" s="348">
        <f t="shared" si="609"/>
        <v>4188010.2624328891</v>
      </c>
      <c r="L201" s="348">
        <f t="shared" si="609"/>
        <v>3867825.9916046867</v>
      </c>
      <c r="M201" s="348">
        <f t="shared" si="609"/>
        <v>3547641.7207764843</v>
      </c>
      <c r="N201" s="348">
        <f t="shared" si="609"/>
        <v>3227457.4499482815</v>
      </c>
      <c r="O201" s="348">
        <f t="shared" si="609"/>
        <v>2907273.1791200791</v>
      </c>
      <c r="P201" s="348">
        <f t="shared" si="609"/>
        <v>2587088.9082918763</v>
      </c>
      <c r="Q201" s="348">
        <f t="shared" si="609"/>
        <v>2266904.6374636739</v>
      </c>
      <c r="R201" s="348">
        <f t="shared" si="609"/>
        <v>1946720.3666354716</v>
      </c>
      <c r="S201" s="348">
        <f t="shared" si="609"/>
        <v>1626536.0958072692</v>
      </c>
      <c r="T201" s="348">
        <f t="shared" si="609"/>
        <v>1306351.8249790664</v>
      </c>
      <c r="U201" s="348">
        <f t="shared" si="609"/>
        <v>986167.55415086378</v>
      </c>
      <c r="V201" s="348">
        <f t="shared" si="609"/>
        <v>665983.2833226613</v>
      </c>
      <c r="W201" s="348">
        <f t="shared" si="609"/>
        <v>345799.0124944587</v>
      </c>
      <c r="X201" s="348">
        <f t="shared" si="609"/>
        <v>25614.741666256203</v>
      </c>
      <c r="Y201" s="348">
        <f t="shared" si="609"/>
        <v>0</v>
      </c>
      <c r="Z201" s="348">
        <f t="shared" si="609"/>
        <v>0</v>
      </c>
      <c r="AA201" s="348">
        <f t="shared" si="609"/>
        <v>0</v>
      </c>
      <c r="AB201" s="348">
        <f t="shared" si="609"/>
        <v>0</v>
      </c>
      <c r="AC201" s="348">
        <f t="shared" si="609"/>
        <v>0</v>
      </c>
      <c r="AD201" s="348">
        <f t="shared" si="609"/>
        <v>0</v>
      </c>
      <c r="AE201" s="348">
        <f t="shared" si="609"/>
        <v>0</v>
      </c>
      <c r="AF201" s="348">
        <f t="shared" si="609"/>
        <v>0</v>
      </c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1:46" ht="13.5" x14ac:dyDescent="0.3"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1:46" ht="13.5" x14ac:dyDescent="0.3">
      <c r="A203" s="14" t="s">
        <v>272</v>
      </c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1:46" ht="13.5" x14ac:dyDescent="0.3">
      <c r="B204" s="8" t="s">
        <v>273</v>
      </c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1:46" ht="13.5" x14ac:dyDescent="0.3">
      <c r="B205" s="8" t="s">
        <v>274</v>
      </c>
      <c r="E205" s="8" t="s">
        <v>40</v>
      </c>
      <c r="F205" s="336">
        <v>7.0337034132705228E-2</v>
      </c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1:46" ht="13.5" x14ac:dyDescent="0.3">
      <c r="B206" s="8" t="s">
        <v>284</v>
      </c>
      <c r="I206" s="40">
        <v>3.1146826138416493E-4</v>
      </c>
      <c r="J206" s="40">
        <v>3.1146826138416493E-4</v>
      </c>
      <c r="K206" s="40">
        <v>3.1146826138416493E-4</v>
      </c>
      <c r="L206" s="40">
        <v>2.4917460910733197E-4</v>
      </c>
      <c r="M206" s="40">
        <v>1.8688095683049897E-4</v>
      </c>
      <c r="N206" s="40">
        <v>1.8688095683049897E-4</v>
      </c>
      <c r="O206" s="40">
        <v>1.2458730455366598E-4</v>
      </c>
      <c r="P206" s="40">
        <v>1.2458730455366598E-4</v>
      </c>
      <c r="Q206" s="40">
        <v>1.2458730455366598E-4</v>
      </c>
      <c r="R206" s="40">
        <v>6.2293652276832991E-5</v>
      </c>
      <c r="S206" s="40">
        <v>6.2293652276832991E-5</v>
      </c>
      <c r="T206" s="40">
        <v>0</v>
      </c>
      <c r="U206" s="40">
        <v>0</v>
      </c>
      <c r="V206" s="40">
        <v>0</v>
      </c>
      <c r="W206" s="40">
        <v>0</v>
      </c>
      <c r="X206" s="40">
        <v>0</v>
      </c>
      <c r="Y206" s="40">
        <v>0</v>
      </c>
      <c r="Z206" s="40">
        <v>0</v>
      </c>
      <c r="AA206" s="40">
        <v>0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1:46" ht="13.5" x14ac:dyDescent="0.3">
      <c r="B207" s="8" t="s">
        <v>275</v>
      </c>
      <c r="I207" s="8">
        <f>I206*$F$12</f>
        <v>5</v>
      </c>
      <c r="J207" s="8">
        <f t="shared" ref="J207" si="610">J206*$F$12</f>
        <v>5</v>
      </c>
      <c r="K207" s="8">
        <f t="shared" ref="K207" si="611">K206*$F$12</f>
        <v>5</v>
      </c>
      <c r="L207" s="8">
        <f t="shared" ref="L207" si="612">L206*$F$12</f>
        <v>4</v>
      </c>
      <c r="M207" s="8">
        <f t="shared" ref="M207" si="613">M206*$F$12</f>
        <v>3</v>
      </c>
      <c r="N207" s="8">
        <f t="shared" ref="N207" si="614">N206*$F$12</f>
        <v>3</v>
      </c>
      <c r="O207" s="8">
        <f t="shared" ref="O207" si="615">O206*$F$12</f>
        <v>2</v>
      </c>
      <c r="P207" s="8">
        <f t="shared" ref="P207" si="616">P206*$F$12</f>
        <v>2</v>
      </c>
      <c r="Q207" s="8">
        <f t="shared" ref="Q207" si="617">Q206*$F$12</f>
        <v>2</v>
      </c>
      <c r="R207" s="8">
        <f t="shared" ref="R207" si="618">R206*$F$12</f>
        <v>1</v>
      </c>
      <c r="S207" s="8">
        <f t="shared" ref="S207" si="619">S206*$F$12</f>
        <v>1</v>
      </c>
      <c r="T207" s="8">
        <f t="shared" ref="T207" si="620">T206*$F$12</f>
        <v>0</v>
      </c>
      <c r="U207" s="8">
        <f t="shared" ref="U207" si="621">U206*$F$12</f>
        <v>0</v>
      </c>
      <c r="V207" s="8">
        <f t="shared" ref="V207" si="622">V206*$F$12</f>
        <v>0</v>
      </c>
      <c r="W207" s="8">
        <f t="shared" ref="W207" si="623">W206*$F$12</f>
        <v>0</v>
      </c>
      <c r="X207" s="8">
        <f t="shared" ref="X207" si="624">X206*$F$12</f>
        <v>0</v>
      </c>
      <c r="Y207" s="8">
        <f t="shared" ref="Y207" si="625">Y206*$F$12</f>
        <v>0</v>
      </c>
      <c r="Z207" s="8">
        <f t="shared" ref="Z207" si="626">Z206*$F$12</f>
        <v>0</v>
      </c>
      <c r="AA207" s="8">
        <f t="shared" ref="AA207" si="627">AA206*$F$12</f>
        <v>0</v>
      </c>
      <c r="AB207" s="8">
        <f t="shared" ref="AB207" si="628">AB206*$F$12</f>
        <v>0</v>
      </c>
      <c r="AC207" s="8">
        <f t="shared" ref="AC207" si="629">AC206*$F$12</f>
        <v>0</v>
      </c>
      <c r="AD207" s="8">
        <f t="shared" ref="AD207" si="630">AD206*$F$12</f>
        <v>0</v>
      </c>
      <c r="AE207" s="8">
        <f t="shared" ref="AE207" si="631">AE206*$F$12</f>
        <v>0</v>
      </c>
      <c r="AF207" s="8">
        <f t="shared" ref="AF207" si="632">AF206*$F$12</f>
        <v>0</v>
      </c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1:46" ht="13.5" x14ac:dyDescent="0.3">
      <c r="B208" s="8" t="s">
        <v>276</v>
      </c>
      <c r="F208" s="331">
        <v>4</v>
      </c>
      <c r="I208" s="337"/>
      <c r="J208" s="337"/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7"/>
      <c r="W208" s="337"/>
      <c r="X208" s="337"/>
      <c r="Y208" s="337"/>
      <c r="Z208" s="337"/>
      <c r="AA208" s="337"/>
      <c r="AB208" s="337"/>
      <c r="AC208" s="337"/>
      <c r="AD208" s="337"/>
      <c r="AE208" s="337"/>
      <c r="AF208" s="337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1:46" ht="13.5" x14ac:dyDescent="0.3">
      <c r="B209" s="8" t="s">
        <v>106</v>
      </c>
      <c r="F209" s="8" t="s">
        <v>40</v>
      </c>
      <c r="I209" s="337">
        <f t="shared" ref="I209:V209" si="633">I207*$F$83*$F$80</f>
        <v>1.4067406826541045</v>
      </c>
      <c r="J209" s="337">
        <f t="shared" si="633"/>
        <v>1.4067406826541045</v>
      </c>
      <c r="K209" s="337">
        <f t="shared" si="633"/>
        <v>1.4067406826541045</v>
      </c>
      <c r="L209" s="337">
        <f t="shared" si="633"/>
        <v>1.1253925461232837</v>
      </c>
      <c r="M209" s="337">
        <f t="shared" si="633"/>
        <v>0.84404440959246274</v>
      </c>
      <c r="N209" s="337">
        <f t="shared" si="633"/>
        <v>0.84404440959246274</v>
      </c>
      <c r="O209" s="337">
        <f t="shared" si="633"/>
        <v>0.56269627306164183</v>
      </c>
      <c r="P209" s="337">
        <f t="shared" si="633"/>
        <v>0.56269627306164183</v>
      </c>
      <c r="Q209" s="337">
        <f t="shared" si="633"/>
        <v>0.56269627306164183</v>
      </c>
      <c r="R209" s="337">
        <f t="shared" si="633"/>
        <v>0.28134813653082091</v>
      </c>
      <c r="S209" s="337">
        <f t="shared" si="633"/>
        <v>0.28134813653082091</v>
      </c>
      <c r="T209" s="337">
        <f t="shared" si="633"/>
        <v>0</v>
      </c>
      <c r="U209" s="337">
        <f t="shared" si="633"/>
        <v>0</v>
      </c>
      <c r="V209" s="337">
        <f t="shared" si="633"/>
        <v>0</v>
      </c>
      <c r="W209" s="337">
        <f t="shared" ref="W209:AB209" si="634">W207*$F$83*$F$80</f>
        <v>0</v>
      </c>
      <c r="X209" s="337">
        <f t="shared" si="634"/>
        <v>0</v>
      </c>
      <c r="Y209" s="337">
        <f t="shared" si="634"/>
        <v>0</v>
      </c>
      <c r="Z209" s="337">
        <f t="shared" si="634"/>
        <v>0</v>
      </c>
      <c r="AA209" s="337">
        <f t="shared" si="634"/>
        <v>0</v>
      </c>
      <c r="AB209" s="337">
        <f t="shared" si="634"/>
        <v>0</v>
      </c>
      <c r="AC209" s="337">
        <f t="shared" ref="AC209:AF209" si="635">AC207*$F$83*$F$80</f>
        <v>0</v>
      </c>
      <c r="AD209" s="337">
        <f t="shared" si="635"/>
        <v>0</v>
      </c>
      <c r="AE209" s="337">
        <f t="shared" si="635"/>
        <v>0</v>
      </c>
      <c r="AF209" s="337">
        <f t="shared" si="635"/>
        <v>0</v>
      </c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1:46" ht="13.5" x14ac:dyDescent="0.3">
      <c r="B210" s="8" t="s">
        <v>270</v>
      </c>
      <c r="F210" s="337"/>
      <c r="I210" s="337">
        <f>I209*$F$15</f>
        <v>61637.027003221519</v>
      </c>
      <c r="J210" s="337">
        <f t="shared" ref="J210" si="636">J209*$F$15</f>
        <v>61637.027003221519</v>
      </c>
      <c r="K210" s="337">
        <f t="shared" ref="K210" si="637">K209*$F$15</f>
        <v>61637.027003221519</v>
      </c>
      <c r="L210" s="337">
        <f t="shared" ref="L210" si="638">L209*$F$15</f>
        <v>49309.621602577223</v>
      </c>
      <c r="M210" s="337">
        <f t="shared" ref="M210" si="639">M209*$F$15</f>
        <v>36982.216201932919</v>
      </c>
      <c r="N210" s="337">
        <f t="shared" ref="N210" si="640">N209*$F$15</f>
        <v>36982.216201932919</v>
      </c>
      <c r="O210" s="337">
        <f t="shared" ref="O210" si="641">O209*$F$15</f>
        <v>24654.810801288611</v>
      </c>
      <c r="P210" s="337">
        <f t="shared" ref="P210" si="642">P209*$F$15</f>
        <v>24654.810801288611</v>
      </c>
      <c r="Q210" s="337">
        <f t="shared" ref="Q210" si="643">Q209*$F$15</f>
        <v>24654.810801288611</v>
      </c>
      <c r="R210" s="337">
        <f t="shared" ref="R210" si="644">R209*$F$15</f>
        <v>12327.405400644306</v>
      </c>
      <c r="S210" s="337">
        <f t="shared" ref="S210" si="645">S209*$F$15</f>
        <v>12327.405400644306</v>
      </c>
      <c r="T210" s="337">
        <f t="shared" ref="T210" si="646">T209*$F$15</f>
        <v>0</v>
      </c>
      <c r="U210" s="337">
        <f t="shared" ref="U210" si="647">U209*$F$15</f>
        <v>0</v>
      </c>
      <c r="V210" s="337">
        <f t="shared" ref="V210" si="648">V209*$F$15</f>
        <v>0</v>
      </c>
      <c r="W210" s="337">
        <f t="shared" ref="W210" si="649">W209*$F$15</f>
        <v>0</v>
      </c>
      <c r="X210" s="337">
        <f t="shared" ref="X210" si="650">X209*$F$15</f>
        <v>0</v>
      </c>
      <c r="Y210" s="337">
        <f t="shared" ref="Y210" si="651">Y209*$F$15</f>
        <v>0</v>
      </c>
      <c r="Z210" s="337">
        <f t="shared" ref="Z210" si="652">Z209*$F$15</f>
        <v>0</v>
      </c>
      <c r="AA210" s="337">
        <f t="shared" ref="AA210" si="653">AA209*$F$15</f>
        <v>0</v>
      </c>
      <c r="AB210" s="337">
        <f t="shared" ref="AB210" si="654">AB209*$F$15</f>
        <v>0</v>
      </c>
      <c r="AC210" s="337">
        <f t="shared" ref="AC210" si="655">AC209*$F$15</f>
        <v>0</v>
      </c>
      <c r="AD210" s="337">
        <f t="shared" ref="AD210" si="656">AD209*$F$15</f>
        <v>0</v>
      </c>
      <c r="AE210" s="337">
        <f t="shared" ref="AE210" si="657">AE209*$F$15</f>
        <v>0</v>
      </c>
      <c r="AF210" s="337">
        <f t="shared" ref="AF210" si="658">AF209*$F$15</f>
        <v>0</v>
      </c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1:46" ht="13.5" x14ac:dyDescent="0.3"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1:46" ht="13.5" x14ac:dyDescent="0.3">
      <c r="A212" s="14" t="s">
        <v>278</v>
      </c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1:46" ht="13.5" x14ac:dyDescent="0.3">
      <c r="B213" s="8" t="s">
        <v>279</v>
      </c>
      <c r="I213" s="337">
        <f t="shared" ref="I213:U213" si="659">I189</f>
        <v>25</v>
      </c>
      <c r="J213" s="337">
        <f t="shared" si="659"/>
        <v>25</v>
      </c>
      <c r="K213" s="337">
        <f t="shared" si="659"/>
        <v>25</v>
      </c>
      <c r="L213" s="337">
        <f t="shared" si="659"/>
        <v>25</v>
      </c>
      <c r="M213" s="337">
        <f t="shared" si="659"/>
        <v>25</v>
      </c>
      <c r="N213" s="337">
        <f t="shared" si="659"/>
        <v>25</v>
      </c>
      <c r="O213" s="337">
        <f t="shared" si="659"/>
        <v>25</v>
      </c>
      <c r="P213" s="337">
        <f t="shared" si="659"/>
        <v>25</v>
      </c>
      <c r="Q213" s="337">
        <f t="shared" si="659"/>
        <v>25</v>
      </c>
      <c r="R213" s="337">
        <f t="shared" si="659"/>
        <v>25</v>
      </c>
      <c r="S213" s="337">
        <f t="shared" si="659"/>
        <v>25</v>
      </c>
      <c r="T213" s="337">
        <f t="shared" si="659"/>
        <v>25</v>
      </c>
      <c r="U213" s="337">
        <f t="shared" si="659"/>
        <v>25</v>
      </c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1:46" ht="13.5" x14ac:dyDescent="0.3">
      <c r="B214" s="8" t="s">
        <v>280</v>
      </c>
      <c r="F214" s="333">
        <v>0.4</v>
      </c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1:46" ht="13.5" x14ac:dyDescent="0.3">
      <c r="B215" s="8" t="s">
        <v>106</v>
      </c>
      <c r="I215" s="337">
        <f t="shared" ref="I215:AF215" si="660">$F208*$F$38*$F$47*I213</f>
        <v>2.8134813653082094</v>
      </c>
      <c r="J215" s="337">
        <f t="shared" si="660"/>
        <v>2.8134813653082094</v>
      </c>
      <c r="K215" s="337">
        <f t="shared" si="660"/>
        <v>2.8134813653082094</v>
      </c>
      <c r="L215" s="337">
        <f t="shared" si="660"/>
        <v>2.8134813653082094</v>
      </c>
      <c r="M215" s="337">
        <f t="shared" si="660"/>
        <v>2.8134813653082094</v>
      </c>
      <c r="N215" s="337">
        <f t="shared" si="660"/>
        <v>2.8134813653082094</v>
      </c>
      <c r="O215" s="337">
        <f t="shared" si="660"/>
        <v>2.8134813653082094</v>
      </c>
      <c r="P215" s="337">
        <f t="shared" si="660"/>
        <v>2.8134813653082094</v>
      </c>
      <c r="Q215" s="337">
        <f t="shared" si="660"/>
        <v>2.8134813653082094</v>
      </c>
      <c r="R215" s="337">
        <f t="shared" si="660"/>
        <v>2.8134813653082094</v>
      </c>
      <c r="S215" s="337">
        <f t="shared" si="660"/>
        <v>2.8134813653082094</v>
      </c>
      <c r="T215" s="337">
        <f t="shared" si="660"/>
        <v>2.8134813653082094</v>
      </c>
      <c r="U215" s="337">
        <f t="shared" si="660"/>
        <v>2.8134813653082094</v>
      </c>
      <c r="V215" s="337">
        <f t="shared" si="660"/>
        <v>0</v>
      </c>
      <c r="W215" s="337">
        <f t="shared" si="660"/>
        <v>0</v>
      </c>
      <c r="X215" s="337">
        <f t="shared" si="660"/>
        <v>0</v>
      </c>
      <c r="Y215" s="337">
        <f t="shared" si="660"/>
        <v>0</v>
      </c>
      <c r="Z215" s="337">
        <f t="shared" si="660"/>
        <v>0</v>
      </c>
      <c r="AA215" s="337">
        <f t="shared" si="660"/>
        <v>0</v>
      </c>
      <c r="AB215" s="337">
        <f t="shared" si="660"/>
        <v>0</v>
      </c>
      <c r="AC215" s="337">
        <f t="shared" si="660"/>
        <v>0</v>
      </c>
      <c r="AD215" s="337">
        <f t="shared" si="660"/>
        <v>0</v>
      </c>
      <c r="AE215" s="337">
        <f t="shared" si="660"/>
        <v>0</v>
      </c>
      <c r="AF215" s="337">
        <f t="shared" si="660"/>
        <v>0</v>
      </c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1:46" ht="13.5" x14ac:dyDescent="0.3">
      <c r="B216" s="8" t="s">
        <v>297</v>
      </c>
      <c r="F216" s="337"/>
      <c r="I216" s="337">
        <f>I215*$F$15</f>
        <v>123274.05400644307</v>
      </c>
      <c r="J216" s="337">
        <f t="shared" ref="J216" si="661">J215*$F$15</f>
        <v>123274.05400644307</v>
      </c>
      <c r="K216" s="337">
        <f t="shared" ref="K216" si="662">K215*$F$15</f>
        <v>123274.05400644307</v>
      </c>
      <c r="L216" s="337">
        <f t="shared" ref="L216" si="663">L215*$F$15</f>
        <v>123274.05400644307</v>
      </c>
      <c r="M216" s="337">
        <f t="shared" ref="M216" si="664">M215*$F$15</f>
        <v>123274.05400644307</v>
      </c>
      <c r="N216" s="337">
        <f t="shared" ref="N216" si="665">N215*$F$15</f>
        <v>123274.05400644307</v>
      </c>
      <c r="O216" s="337">
        <f t="shared" ref="O216" si="666">O215*$F$15</f>
        <v>123274.05400644307</v>
      </c>
      <c r="P216" s="337">
        <f t="shared" ref="P216" si="667">P215*$F$15</f>
        <v>123274.05400644307</v>
      </c>
      <c r="Q216" s="337">
        <f t="shared" ref="Q216" si="668">Q215*$F$15</f>
        <v>123274.05400644307</v>
      </c>
      <c r="R216" s="337">
        <f t="shared" ref="R216" si="669">R215*$F$15</f>
        <v>123274.05400644307</v>
      </c>
      <c r="S216" s="337">
        <f t="shared" ref="S216" si="670">S215*$F$15</f>
        <v>123274.05400644307</v>
      </c>
      <c r="T216" s="337">
        <f t="shared" ref="T216" si="671">T215*$F$15</f>
        <v>123274.05400644307</v>
      </c>
      <c r="U216" s="337">
        <f t="shared" ref="U216" si="672">U215*$F$15</f>
        <v>123274.05400644307</v>
      </c>
      <c r="V216" s="337">
        <f t="shared" ref="V216" si="673">V215*$F$15</f>
        <v>0</v>
      </c>
      <c r="W216" s="337">
        <f t="shared" ref="W216" si="674">W215*$F$15</f>
        <v>0</v>
      </c>
      <c r="X216" s="337">
        <f t="shared" ref="X216" si="675">X215*$F$15</f>
        <v>0</v>
      </c>
      <c r="Y216" s="337">
        <f t="shared" ref="Y216" si="676">Y215*$F$15</f>
        <v>0</v>
      </c>
      <c r="Z216" s="337">
        <f t="shared" ref="Z216" si="677">Z215*$F$15</f>
        <v>0</v>
      </c>
      <c r="AA216" s="337">
        <f t="shared" ref="AA216" si="678">AA215*$F$15</f>
        <v>0</v>
      </c>
      <c r="AB216" s="337">
        <f t="shared" ref="AB216" si="679">AB215*$F$15</f>
        <v>0</v>
      </c>
      <c r="AC216" s="337">
        <f t="shared" ref="AC216" si="680">AC215*$F$15</f>
        <v>0</v>
      </c>
      <c r="AD216" s="337">
        <f t="shared" ref="AD216" si="681">AD215*$F$15</f>
        <v>0</v>
      </c>
      <c r="AE216" s="337">
        <f t="shared" ref="AE216" si="682">AE215*$F$15</f>
        <v>0</v>
      </c>
      <c r="AF216" s="337">
        <f t="shared" ref="AF216" si="683">AF215*$F$15</f>
        <v>0</v>
      </c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1:46" ht="13.5" x14ac:dyDescent="0.3"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1:46" ht="13.5" x14ac:dyDescent="0.3">
      <c r="A218" s="14" t="s">
        <v>277</v>
      </c>
      <c r="B218" s="8" t="s">
        <v>292</v>
      </c>
      <c r="F218" s="337" cm="1">
        <f t="array" ref="F218">SUMPRODUCT((Assumptions!$G$70:$G$72)*(Assumptions!$H$70:$H$72)*(Assumptions!$I$70:$I$72))</f>
        <v>108349.14389581641</v>
      </c>
      <c r="I218" s="337">
        <f t="shared" ref="I218:T218" si="684">$F$51*I207</f>
        <v>541745.71947908204</v>
      </c>
      <c r="J218" s="337">
        <f t="shared" si="684"/>
        <v>541745.71947908204</v>
      </c>
      <c r="K218" s="337">
        <f t="shared" si="684"/>
        <v>541745.71947908204</v>
      </c>
      <c r="L218" s="337">
        <f t="shared" si="684"/>
        <v>433396.57558326563</v>
      </c>
      <c r="M218" s="337">
        <f t="shared" si="684"/>
        <v>325047.43168744922</v>
      </c>
      <c r="N218" s="337">
        <f t="shared" si="684"/>
        <v>325047.43168744922</v>
      </c>
      <c r="O218" s="337">
        <f t="shared" si="684"/>
        <v>216698.28779163281</v>
      </c>
      <c r="P218" s="337">
        <f t="shared" si="684"/>
        <v>216698.28779163281</v>
      </c>
      <c r="Q218" s="337">
        <f t="shared" si="684"/>
        <v>216698.28779163281</v>
      </c>
      <c r="R218" s="337">
        <f t="shared" si="684"/>
        <v>108349.14389581641</v>
      </c>
      <c r="S218" s="337">
        <f t="shared" si="684"/>
        <v>108349.14389581641</v>
      </c>
      <c r="T218" s="337">
        <f t="shared" si="684"/>
        <v>0</v>
      </c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1:46" ht="13.5" x14ac:dyDescent="0.3">
      <c r="B219"/>
      <c r="C219"/>
      <c r="D219"/>
      <c r="E219"/>
      <c r="F219"/>
      <c r="G219"/>
      <c r="H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1:46" ht="13.5" x14ac:dyDescent="0.3"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1:46" ht="13.5" x14ac:dyDescent="0.3">
      <c r="A221" s="8" t="s">
        <v>151</v>
      </c>
      <c r="B221" s="14" t="s">
        <v>295</v>
      </c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1:46" ht="13.5" x14ac:dyDescent="0.3">
      <c r="A222" s="8" t="s">
        <v>151</v>
      </c>
      <c r="B222" s="1" t="s">
        <v>114</v>
      </c>
      <c r="F222" s="351" t="str">
        <f>F180</f>
        <v>Safety</v>
      </c>
      <c r="G222" s="351" t="str">
        <f>A222&amp;F222</f>
        <v>Option 5Safety</v>
      </c>
      <c r="I222" s="337">
        <f t="shared" ref="I222:AF222" si="685">I218</f>
        <v>541745.71947908204</v>
      </c>
      <c r="J222" s="337">
        <f t="shared" si="685"/>
        <v>541745.71947908204</v>
      </c>
      <c r="K222" s="337">
        <f t="shared" si="685"/>
        <v>541745.71947908204</v>
      </c>
      <c r="L222" s="337">
        <f t="shared" si="685"/>
        <v>433396.57558326563</v>
      </c>
      <c r="M222" s="337">
        <f t="shared" si="685"/>
        <v>325047.43168744922</v>
      </c>
      <c r="N222" s="337">
        <f t="shared" si="685"/>
        <v>325047.43168744922</v>
      </c>
      <c r="O222" s="337">
        <f t="shared" si="685"/>
        <v>216698.28779163281</v>
      </c>
      <c r="P222" s="337">
        <f t="shared" si="685"/>
        <v>216698.28779163281</v>
      </c>
      <c r="Q222" s="337">
        <f t="shared" si="685"/>
        <v>216698.28779163281</v>
      </c>
      <c r="R222" s="337">
        <f t="shared" si="685"/>
        <v>108349.14389581641</v>
      </c>
      <c r="S222" s="337">
        <f t="shared" si="685"/>
        <v>108349.14389581641</v>
      </c>
      <c r="T222" s="337">
        <f t="shared" si="685"/>
        <v>0</v>
      </c>
      <c r="U222" s="337">
        <f t="shared" si="685"/>
        <v>0</v>
      </c>
      <c r="V222" s="337">
        <f t="shared" si="685"/>
        <v>0</v>
      </c>
      <c r="W222" s="337">
        <f t="shared" si="685"/>
        <v>0</v>
      </c>
      <c r="X222" s="337">
        <f t="shared" si="685"/>
        <v>0</v>
      </c>
      <c r="Y222" s="337">
        <f t="shared" si="685"/>
        <v>0</v>
      </c>
      <c r="Z222" s="337">
        <f t="shared" si="685"/>
        <v>0</v>
      </c>
      <c r="AA222" s="337">
        <f t="shared" si="685"/>
        <v>0</v>
      </c>
      <c r="AB222" s="337">
        <f t="shared" si="685"/>
        <v>0</v>
      </c>
      <c r="AC222" s="337">
        <f t="shared" si="685"/>
        <v>0</v>
      </c>
      <c r="AD222" s="337">
        <f t="shared" si="685"/>
        <v>0</v>
      </c>
      <c r="AE222" s="337">
        <f t="shared" si="685"/>
        <v>0</v>
      </c>
      <c r="AF222" s="337">
        <f t="shared" si="685"/>
        <v>0</v>
      </c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1:46" ht="13.5" x14ac:dyDescent="0.3">
      <c r="A223" s="8" t="s">
        <v>151</v>
      </c>
      <c r="B223" s="1" t="s">
        <v>298</v>
      </c>
      <c r="F223" s="351" t="str">
        <f>F181</f>
        <v>Outages</v>
      </c>
      <c r="G223" s="351" t="str">
        <f t="shared" ref="G223:G225" si="686">A223&amp;F223</f>
        <v>Option 5Outages</v>
      </c>
      <c r="I223" s="337">
        <f>I201</f>
        <v>4828378.8040892947</v>
      </c>
      <c r="J223" s="337">
        <f t="shared" ref="J223:AF223" si="687">J201</f>
        <v>4508194.5332610924</v>
      </c>
      <c r="K223" s="337">
        <f t="shared" si="687"/>
        <v>4188010.2624328891</v>
      </c>
      <c r="L223" s="337">
        <f t="shared" si="687"/>
        <v>3867825.9916046867</v>
      </c>
      <c r="M223" s="337">
        <f t="shared" si="687"/>
        <v>3547641.7207764843</v>
      </c>
      <c r="N223" s="337">
        <f t="shared" si="687"/>
        <v>3227457.4499482815</v>
      </c>
      <c r="O223" s="337">
        <f t="shared" si="687"/>
        <v>2907273.1791200791</v>
      </c>
      <c r="P223" s="337">
        <f t="shared" si="687"/>
        <v>2587088.9082918763</v>
      </c>
      <c r="Q223" s="337">
        <f t="shared" si="687"/>
        <v>2266904.6374636739</v>
      </c>
      <c r="R223" s="337">
        <f t="shared" si="687"/>
        <v>1946720.3666354716</v>
      </c>
      <c r="S223" s="337">
        <f t="shared" si="687"/>
        <v>1626536.0958072692</v>
      </c>
      <c r="T223" s="337">
        <f t="shared" si="687"/>
        <v>1306351.8249790664</v>
      </c>
      <c r="U223" s="337">
        <f t="shared" si="687"/>
        <v>986167.55415086378</v>
      </c>
      <c r="V223" s="337">
        <f t="shared" si="687"/>
        <v>665983.2833226613</v>
      </c>
      <c r="W223" s="337">
        <f t="shared" si="687"/>
        <v>345799.0124944587</v>
      </c>
      <c r="X223" s="337">
        <f t="shared" si="687"/>
        <v>25614.741666256203</v>
      </c>
      <c r="Y223" s="337">
        <f t="shared" si="687"/>
        <v>0</v>
      </c>
      <c r="Z223" s="337">
        <f t="shared" si="687"/>
        <v>0</v>
      </c>
      <c r="AA223" s="337">
        <f t="shared" si="687"/>
        <v>0</v>
      </c>
      <c r="AB223" s="337">
        <f t="shared" si="687"/>
        <v>0</v>
      </c>
      <c r="AC223" s="337">
        <f t="shared" si="687"/>
        <v>0</v>
      </c>
      <c r="AD223" s="337">
        <f t="shared" si="687"/>
        <v>0</v>
      </c>
      <c r="AE223" s="337">
        <f t="shared" si="687"/>
        <v>0</v>
      </c>
      <c r="AF223" s="337">
        <f t="shared" si="687"/>
        <v>0</v>
      </c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1:46" ht="13.5" x14ac:dyDescent="0.3">
      <c r="A224" s="8" t="s">
        <v>151</v>
      </c>
      <c r="B224" s="1" t="s">
        <v>288</v>
      </c>
      <c r="F224" s="351" t="str">
        <f>F182</f>
        <v>Failures</v>
      </c>
      <c r="G224" s="351" t="str">
        <f t="shared" si="686"/>
        <v>Option 5Failures</v>
      </c>
      <c r="I224" s="337">
        <f t="shared" ref="I224:V224" si="688">I210</f>
        <v>61637.027003221519</v>
      </c>
      <c r="J224" s="337">
        <f t="shared" si="688"/>
        <v>61637.027003221519</v>
      </c>
      <c r="K224" s="337">
        <f t="shared" si="688"/>
        <v>61637.027003221519</v>
      </c>
      <c r="L224" s="337">
        <f t="shared" si="688"/>
        <v>49309.621602577223</v>
      </c>
      <c r="M224" s="337">
        <f t="shared" si="688"/>
        <v>36982.216201932919</v>
      </c>
      <c r="N224" s="337">
        <f t="shared" si="688"/>
        <v>36982.216201932919</v>
      </c>
      <c r="O224" s="337">
        <f t="shared" si="688"/>
        <v>24654.810801288611</v>
      </c>
      <c r="P224" s="337">
        <f t="shared" si="688"/>
        <v>24654.810801288611</v>
      </c>
      <c r="Q224" s="337">
        <f t="shared" si="688"/>
        <v>24654.810801288611</v>
      </c>
      <c r="R224" s="337">
        <f t="shared" si="688"/>
        <v>12327.405400644306</v>
      </c>
      <c r="S224" s="337">
        <f t="shared" si="688"/>
        <v>12327.405400644306</v>
      </c>
      <c r="T224" s="337">
        <f t="shared" si="688"/>
        <v>0</v>
      </c>
      <c r="U224" s="337">
        <f t="shared" si="688"/>
        <v>0</v>
      </c>
      <c r="V224" s="337">
        <f t="shared" si="688"/>
        <v>0</v>
      </c>
      <c r="W224" s="337">
        <f t="shared" ref="W224:AB224" si="689">W210</f>
        <v>0</v>
      </c>
      <c r="X224" s="337">
        <f t="shared" si="689"/>
        <v>0</v>
      </c>
      <c r="Y224" s="337">
        <f t="shared" si="689"/>
        <v>0</v>
      </c>
      <c r="Z224" s="337">
        <f t="shared" si="689"/>
        <v>0</v>
      </c>
      <c r="AA224" s="337">
        <f t="shared" si="689"/>
        <v>0</v>
      </c>
      <c r="AB224" s="337">
        <f t="shared" si="689"/>
        <v>0</v>
      </c>
      <c r="AC224" s="337">
        <f t="shared" ref="AC224:AF224" si="690">AC210</f>
        <v>0</v>
      </c>
      <c r="AD224" s="337">
        <f t="shared" si="690"/>
        <v>0</v>
      </c>
      <c r="AE224" s="337">
        <f t="shared" si="690"/>
        <v>0</v>
      </c>
      <c r="AF224" s="337">
        <f t="shared" si="690"/>
        <v>0</v>
      </c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1:46" ht="13.5" x14ac:dyDescent="0.3">
      <c r="A225" s="8" t="s">
        <v>151</v>
      </c>
      <c r="B225" s="1" t="s">
        <v>289</v>
      </c>
      <c r="F225" s="351" t="str">
        <f>F183</f>
        <v>Planned</v>
      </c>
      <c r="G225" s="351" t="str">
        <f t="shared" si="686"/>
        <v>Option 5Planned</v>
      </c>
      <c r="I225" s="337">
        <f t="shared" ref="I225:AF225" si="691">I216</f>
        <v>123274.05400644307</v>
      </c>
      <c r="J225" s="337">
        <f t="shared" si="691"/>
        <v>123274.05400644307</v>
      </c>
      <c r="K225" s="337">
        <f t="shared" si="691"/>
        <v>123274.05400644307</v>
      </c>
      <c r="L225" s="337">
        <f t="shared" si="691"/>
        <v>123274.05400644307</v>
      </c>
      <c r="M225" s="337">
        <f t="shared" si="691"/>
        <v>123274.05400644307</v>
      </c>
      <c r="N225" s="337">
        <f t="shared" si="691"/>
        <v>123274.05400644307</v>
      </c>
      <c r="O225" s="337">
        <f t="shared" si="691"/>
        <v>123274.05400644307</v>
      </c>
      <c r="P225" s="337">
        <f t="shared" si="691"/>
        <v>123274.05400644307</v>
      </c>
      <c r="Q225" s="337">
        <f t="shared" si="691"/>
        <v>123274.05400644307</v>
      </c>
      <c r="R225" s="337">
        <f t="shared" si="691"/>
        <v>123274.05400644307</v>
      </c>
      <c r="S225" s="337">
        <f t="shared" si="691"/>
        <v>123274.05400644307</v>
      </c>
      <c r="T225" s="337">
        <f t="shared" si="691"/>
        <v>123274.05400644307</v>
      </c>
      <c r="U225" s="337">
        <f t="shared" si="691"/>
        <v>123274.05400644307</v>
      </c>
      <c r="V225" s="337">
        <f t="shared" si="691"/>
        <v>0</v>
      </c>
      <c r="W225" s="337">
        <f t="shared" si="691"/>
        <v>0</v>
      </c>
      <c r="X225" s="337">
        <f t="shared" si="691"/>
        <v>0</v>
      </c>
      <c r="Y225" s="337">
        <f t="shared" si="691"/>
        <v>0</v>
      </c>
      <c r="Z225" s="337">
        <f t="shared" si="691"/>
        <v>0</v>
      </c>
      <c r="AA225" s="337">
        <f t="shared" si="691"/>
        <v>0</v>
      </c>
      <c r="AB225" s="337">
        <f t="shared" si="691"/>
        <v>0</v>
      </c>
      <c r="AC225" s="337">
        <f t="shared" si="691"/>
        <v>0</v>
      </c>
      <c r="AD225" s="337">
        <f t="shared" si="691"/>
        <v>0</v>
      </c>
      <c r="AE225" s="337">
        <f t="shared" si="691"/>
        <v>0</v>
      </c>
      <c r="AF225" s="337">
        <f t="shared" si="691"/>
        <v>0</v>
      </c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1:46" ht="13.5" x14ac:dyDescent="0.3">
      <c r="B226" s="342" t="s">
        <v>138</v>
      </c>
      <c r="C226" s="339"/>
      <c r="D226" s="339"/>
      <c r="E226" s="339"/>
      <c r="F226" s="339"/>
      <c r="G226" s="339"/>
      <c r="H226" s="339"/>
      <c r="I226" s="343">
        <f t="shared" ref="I226:V226" si="692">SUM(I222:I225)</f>
        <v>5555035.6045780415</v>
      </c>
      <c r="J226" s="343">
        <f t="shared" si="692"/>
        <v>5234851.3337498391</v>
      </c>
      <c r="K226" s="343">
        <f t="shared" si="692"/>
        <v>4914667.0629216358</v>
      </c>
      <c r="L226" s="343">
        <f t="shared" si="692"/>
        <v>4473806.2427969724</v>
      </c>
      <c r="M226" s="343">
        <f t="shared" si="692"/>
        <v>4032945.4226723094</v>
      </c>
      <c r="N226" s="343">
        <f t="shared" si="692"/>
        <v>3712761.1518441066</v>
      </c>
      <c r="O226" s="343">
        <f t="shared" si="692"/>
        <v>3271900.3317194432</v>
      </c>
      <c r="P226" s="343">
        <f t="shared" si="692"/>
        <v>2951716.0608912408</v>
      </c>
      <c r="Q226" s="343">
        <f t="shared" si="692"/>
        <v>2631531.7900630385</v>
      </c>
      <c r="R226" s="343">
        <f t="shared" si="692"/>
        <v>2190670.9699383755</v>
      </c>
      <c r="S226" s="343">
        <f t="shared" si="692"/>
        <v>1870486.6991101732</v>
      </c>
      <c r="T226" s="343">
        <f t="shared" si="692"/>
        <v>1429625.8789855095</v>
      </c>
      <c r="U226" s="343">
        <f t="shared" si="692"/>
        <v>1109441.6081573069</v>
      </c>
      <c r="V226" s="343">
        <f t="shared" si="692"/>
        <v>665983.2833226613</v>
      </c>
      <c r="W226" s="343">
        <f t="shared" ref="W226:AB226" si="693">SUM(W222:W225)</f>
        <v>345799.0124944587</v>
      </c>
      <c r="X226" s="343">
        <f t="shared" si="693"/>
        <v>25614.741666256203</v>
      </c>
      <c r="Y226" s="343">
        <f t="shared" si="693"/>
        <v>0</v>
      </c>
      <c r="Z226" s="343">
        <f t="shared" si="693"/>
        <v>0</v>
      </c>
      <c r="AA226" s="343">
        <f t="shared" si="693"/>
        <v>0</v>
      </c>
      <c r="AB226" s="343">
        <f t="shared" si="693"/>
        <v>0</v>
      </c>
      <c r="AC226" s="343">
        <f t="shared" ref="AC226" si="694">SUM(AC222:AC225)</f>
        <v>0</v>
      </c>
      <c r="AD226" s="343">
        <f t="shared" ref="AD226" si="695">SUM(AD222:AD225)</f>
        <v>0</v>
      </c>
      <c r="AE226" s="343">
        <f t="shared" ref="AE226" si="696">SUM(AE222:AE225)</f>
        <v>0</v>
      </c>
      <c r="AF226" s="343">
        <f t="shared" ref="AF226" si="697">SUM(AF222:AF225)</f>
        <v>0</v>
      </c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1:46" ht="13.5" x14ac:dyDescent="0.3"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A41" sqref="A41"/>
    </sheetView>
  </sheetViews>
  <sheetFormatPr defaultRowHeight="13.5" x14ac:dyDescent="0.3"/>
  <cols>
    <col min="2" max="2" width="21.3828125" customWidth="1"/>
    <col min="3" max="3" width="20.4609375" customWidth="1"/>
    <col min="4" max="4" width="14.4609375" style="49" customWidth="1"/>
    <col min="5" max="5" width="14.4609375" customWidth="1"/>
    <col min="8" max="11" width="14.3828125" customWidth="1"/>
    <col min="12" max="12" width="15.765625" customWidth="1"/>
    <col min="13" max="18" width="14.3828125" customWidth="1"/>
  </cols>
  <sheetData>
    <row r="1" spans="1:23" ht="18.5" x14ac:dyDescent="0.45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5" x14ac:dyDescent="0.45">
      <c r="A2" s="56" t="str">
        <f>proj</f>
        <v>Recplacement of CRO inoperable RMUs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5" x14ac:dyDescent="0.35">
      <c r="A3" s="5"/>
    </row>
    <row r="4" spans="1:23" s="1" customFormat="1" ht="14.5" x14ac:dyDescent="0.3">
      <c r="A4" s="18" t="s">
        <v>195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ht="13" x14ac:dyDescent="0.3"/>
    <row r="6" spans="1:23" s="1" customFormat="1" ht="13" x14ac:dyDescent="0.3">
      <c r="B6" s="77" t="s">
        <v>126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3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3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3">
      <c r="D9" s="12"/>
      <c r="O9"/>
      <c r="P9"/>
      <c r="Q9"/>
      <c r="R9"/>
      <c r="S9"/>
      <c r="T9"/>
      <c r="U9"/>
      <c r="V9"/>
      <c r="W9"/>
    </row>
    <row r="10" spans="1:23" s="1" customFormat="1" x14ac:dyDescent="0.3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3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3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3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3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3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3">
      <c r="A16"/>
      <c r="B16" s="80" t="s">
        <v>180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3">
      <c r="A17"/>
      <c r="B17" s="80" t="s">
        <v>181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3">
      <c r="B19" s="81" t="s">
        <v>77</v>
      </c>
      <c r="D19" s="41">
        <f>D17/D16</f>
        <v>1.1129126464165968</v>
      </c>
      <c r="L19" s="292"/>
    </row>
    <row r="20" spans="1:34" x14ac:dyDescent="0.3">
      <c r="B20" s="81"/>
      <c r="D20" s="41"/>
    </row>
    <row r="21" spans="1:34" x14ac:dyDescent="0.3">
      <c r="B21" s="80" t="s">
        <v>206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3">
      <c r="B22" s="80" t="s">
        <v>207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3">
      <c r="B23" s="81" t="s">
        <v>208</v>
      </c>
      <c r="D23" s="41">
        <f>D22/D21</f>
        <v>1</v>
      </c>
    </row>
    <row r="25" spans="1:34" x14ac:dyDescent="0.3">
      <c r="B25" s="81" t="s">
        <v>233</v>
      </c>
      <c r="C25" s="8" t="str">
        <f>start</f>
        <v>2026-27</v>
      </c>
    </row>
    <row r="28" spans="1:34" s="1" customFormat="1" ht="14.5" x14ac:dyDescent="0.3">
      <c r="A28" s="18" t="s">
        <v>204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3">
      <c r="B31" s="192" t="s">
        <v>1</v>
      </c>
      <c r="C31" s="193" t="s">
        <v>187</v>
      </c>
      <c r="D31" s="194" t="s">
        <v>194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3">
      <c r="B32" s="135" t="s">
        <v>129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3">
      <c r="B33" s="135" t="s">
        <v>130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3">
      <c r="B34" s="135" t="s">
        <v>131</v>
      </c>
      <c r="C34" s="191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3">
      <c r="B35" s="135" t="s">
        <v>151</v>
      </c>
      <c r="C35" s="191">
        <f>Option5!$G$92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3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3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3">
      <c r="B38" s="195" t="s">
        <v>187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3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3">
      <c r="D4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3">
      <c r="D41"/>
    </row>
    <row r="42" spans="1:34" x14ac:dyDescent="0.3">
      <c r="D42"/>
    </row>
    <row r="43" spans="1:34" x14ac:dyDescent="0.3">
      <c r="D43"/>
    </row>
    <row r="44" spans="1:34" x14ac:dyDescent="0.3">
      <c r="D44"/>
    </row>
    <row r="45" spans="1:34" x14ac:dyDescent="0.3">
      <c r="D45"/>
    </row>
    <row r="46" spans="1:34" s="1" customFormat="1" ht="14.5" x14ac:dyDescent="0.3">
      <c r="A46" s="18" t="s">
        <v>238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3">
      <c r="B49" t="s">
        <v>140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3">
      <c r="C50" t="b">
        <f>AND(SUM('Option1 (base case)'!$I15:$AG15)&lt;&gt;0, 'Option1 (base case)'!E15=0)</f>
        <v>0</v>
      </c>
    </row>
    <row r="51" spans="2:4" x14ac:dyDescent="0.3">
      <c r="C51" t="b">
        <f>AND(SUM('Option1 (base case)'!$I16:$AG16)&lt;&gt;0, 'Option1 (base case)'!E16=0)</f>
        <v>0</v>
      </c>
    </row>
    <row r="53" spans="2:4" x14ac:dyDescent="0.3">
      <c r="B53" t="s">
        <v>129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3">
      <c r="C54" t="b">
        <f>AND(SUM(Option2!$I15:$AG15)&lt;&gt;0, Option2!E15=0)</f>
        <v>0</v>
      </c>
    </row>
    <row r="55" spans="2:4" x14ac:dyDescent="0.3">
      <c r="C55" t="b">
        <f>AND(SUM(Option2!$I16:$AG16)&lt;&gt;0, Option2!E16=0)</f>
        <v>0</v>
      </c>
    </row>
    <row r="57" spans="2:4" x14ac:dyDescent="0.3">
      <c r="B57" t="s">
        <v>130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3">
      <c r="C58" t="b">
        <f>AND(SUM(Option3!$I15:$AG15)&lt;&gt;0, Option3!E15=0)</f>
        <v>0</v>
      </c>
    </row>
    <row r="59" spans="2:4" x14ac:dyDescent="0.3">
      <c r="C59" t="b">
        <f>AND(SUM(Option3!$I16:$AG16)&lt;&gt;0, Option3!E16=0)</f>
        <v>0</v>
      </c>
    </row>
    <row r="61" spans="2:4" x14ac:dyDescent="0.3">
      <c r="B61" t="s">
        <v>131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3">
      <c r="C62" t="b">
        <f>AND(SUM(Option4!$I15:$AG15)&lt;&gt;0, Option4!E15=0)</f>
        <v>0</v>
      </c>
    </row>
    <row r="63" spans="2:4" x14ac:dyDescent="0.3">
      <c r="C63" t="b">
        <f>AND(SUM(Option4!$I16:$AG16)&lt;&gt;0, Option4!E16=0)</f>
        <v>0</v>
      </c>
    </row>
    <row r="65" spans="1:4" x14ac:dyDescent="0.3">
      <c r="B65" t="s">
        <v>151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3">
      <c r="C66" t="b">
        <f>AND(SUM(Option5!$I15:$AG15)&lt;&gt;0, Option5!E15=0)</f>
        <v>0</v>
      </c>
    </row>
    <row r="67" spans="1:4" x14ac:dyDescent="0.3">
      <c r="C67" t="b">
        <f>AND(SUM(Option5!$I16:$AG16)&lt;&gt;0, Option5!E16=0)</f>
        <v>0</v>
      </c>
    </row>
    <row r="70" spans="1:4" x14ac:dyDescent="0.3">
      <c r="A70" t="s">
        <v>160</v>
      </c>
      <c r="B70" s="239" t="s">
        <v>205</v>
      </c>
    </row>
    <row r="74" spans="1:4" x14ac:dyDescent="0.3">
      <c r="B74" s="238" t="str">
        <f>IF(AND(SUM(E73:AC73)&lt;&gt;0, A74=0), "!", "")</f>
        <v/>
      </c>
    </row>
    <row r="76" spans="1:4" x14ac:dyDescent="0.3">
      <c r="B76" t="s">
        <v>203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3" x14ac:dyDescent="0.3"/>
  <cols>
    <col min="1" max="1" width="5.3828125" style="8" customWidth="1"/>
    <col min="2" max="2" width="24.4609375" style="8" customWidth="1"/>
    <col min="3" max="3" width="9" style="8"/>
    <col min="4" max="4" width="9.84375" style="8" bestFit="1" customWidth="1"/>
    <col min="5" max="5" width="10.84375" style="8" customWidth="1"/>
    <col min="6" max="14" width="9" style="8"/>
    <col min="15" max="15" width="30.15234375" style="8" customWidth="1"/>
    <col min="16" max="16" width="43.23046875" style="8" customWidth="1"/>
    <col min="17" max="20" width="9" style="8"/>
    <col min="21" max="21" width="11.3828125" style="8" bestFit="1" customWidth="1"/>
    <col min="22" max="26" width="9" style="8"/>
    <col min="27" max="27" width="19.15234375" style="8" customWidth="1"/>
    <col min="28" max="16384" width="9" style="8"/>
  </cols>
  <sheetData>
    <row r="1" spans="1:27" ht="18.5" x14ac:dyDescent="0.4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5" x14ac:dyDescent="0.45">
      <c r="A2" s="56" t="str">
        <f>proj</f>
        <v>Recplacement of CRO inoperable RMUs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5" x14ac:dyDescent="0.35">
      <c r="A3" s="5"/>
      <c r="B3" s="5"/>
      <c r="C3" s="5"/>
      <c r="D3" s="5"/>
      <c r="E3" s="5"/>
      <c r="F3" s="5"/>
      <c r="T3"/>
      <c r="U3"/>
      <c r="V3"/>
      <c r="W3"/>
    </row>
    <row r="4" spans="1:27" ht="13.5" x14ac:dyDescent="0.3">
      <c r="T4"/>
      <c r="U4"/>
      <c r="V4"/>
    </row>
    <row r="5" spans="1:27" ht="14.5" x14ac:dyDescent="0.3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ht="13.5" x14ac:dyDescent="0.3">
      <c r="T6"/>
      <c r="U6"/>
      <c r="V6"/>
    </row>
    <row r="7" spans="1:27" ht="13.5" x14ac:dyDescent="0.3">
      <c r="A7" s="14" t="s">
        <v>80</v>
      </c>
      <c r="T7"/>
      <c r="U7"/>
      <c r="V7"/>
    </row>
    <row r="8" spans="1:27" ht="13.5" x14ac:dyDescent="0.3">
      <c r="A8" s="59"/>
      <c r="B8" s="59"/>
      <c r="C8" s="53" t="s">
        <v>83</v>
      </c>
      <c r="D8" s="53" t="s">
        <v>193</v>
      </c>
      <c r="F8" s="8" t="s">
        <v>223</v>
      </c>
      <c r="T8"/>
      <c r="U8"/>
      <c r="V8"/>
    </row>
    <row r="9" spans="1:27" ht="13.5" x14ac:dyDescent="0.3">
      <c r="A9" s="27" t="s">
        <v>141</v>
      </c>
      <c r="B9" s="86" t="s">
        <v>140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ht="13.5" x14ac:dyDescent="0.3">
      <c r="A10" s="27" t="s">
        <v>142</v>
      </c>
      <c r="B10" s="86" t="s">
        <v>129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ht="13.5" x14ac:dyDescent="0.3">
      <c r="A11" s="27" t="s">
        <v>143</v>
      </c>
      <c r="B11" s="86" t="s">
        <v>130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ht="13.5" x14ac:dyDescent="0.3">
      <c r="A12" s="27" t="s">
        <v>144</v>
      </c>
      <c r="B12" s="86" t="s">
        <v>131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ht="13.5" x14ac:dyDescent="0.3">
      <c r="A13" s="27" t="s">
        <v>152</v>
      </c>
      <c r="B13" s="86" t="s">
        <v>151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ht="13.5" x14ac:dyDescent="0.3">
      <c r="T14"/>
      <c r="U14"/>
      <c r="V14"/>
      <c r="W14"/>
      <c r="Z14"/>
      <c r="AA14"/>
    </row>
    <row r="15" spans="1:27" ht="13.5" x14ac:dyDescent="0.3">
      <c r="T15"/>
      <c r="U15"/>
      <c r="V15"/>
      <c r="W15"/>
      <c r="Z15"/>
      <c r="AA15"/>
    </row>
    <row r="16" spans="1:27" ht="13.5" x14ac:dyDescent="0.3">
      <c r="A16" s="8" t="s">
        <v>219</v>
      </c>
      <c r="D16" s="23" t="s">
        <v>221</v>
      </c>
      <c r="E16" s="8" t="b">
        <f>Assumptions!E20=Data!D16</f>
        <v>0</v>
      </c>
      <c r="T16"/>
      <c r="U16"/>
      <c r="V16"/>
      <c r="W16"/>
      <c r="Z16"/>
      <c r="AA16"/>
    </row>
    <row r="17" spans="1:27" ht="13.5" x14ac:dyDescent="0.3">
      <c r="T17"/>
      <c r="U17"/>
      <c r="V17"/>
      <c r="W17"/>
      <c r="Z17"/>
      <c r="AA17"/>
    </row>
    <row r="18" spans="1:27" ht="13.5" x14ac:dyDescent="0.3">
      <c r="T18"/>
      <c r="U18"/>
      <c r="V18"/>
      <c r="W18"/>
      <c r="Z18"/>
      <c r="AA18"/>
    </row>
    <row r="19" spans="1:27" ht="13.5" x14ac:dyDescent="0.3">
      <c r="B19" s="86" t="s">
        <v>58</v>
      </c>
      <c r="C19" s="87"/>
      <c r="T19"/>
      <c r="U19"/>
      <c r="V19"/>
      <c r="W19"/>
      <c r="Z19"/>
      <c r="AA19"/>
    </row>
    <row r="20" spans="1:27" ht="13.5" x14ac:dyDescent="0.3">
      <c r="B20" s="86" t="s">
        <v>95</v>
      </c>
      <c r="C20" s="87"/>
      <c r="T20"/>
      <c r="U20"/>
      <c r="V20"/>
      <c r="W20"/>
      <c r="Z20"/>
      <c r="AA20"/>
    </row>
    <row r="21" spans="1:27" ht="13.5" x14ac:dyDescent="0.3">
      <c r="B21" s="86" t="s">
        <v>96</v>
      </c>
      <c r="T21"/>
      <c r="U21"/>
      <c r="V21"/>
      <c r="W21"/>
      <c r="Z21"/>
      <c r="AA21"/>
    </row>
    <row r="22" spans="1:27" ht="13.5" x14ac:dyDescent="0.3">
      <c r="T22"/>
      <c r="U22"/>
      <c r="V22"/>
      <c r="W22"/>
      <c r="Z22"/>
      <c r="AA22"/>
    </row>
    <row r="23" spans="1:27" ht="13.5" x14ac:dyDescent="0.3">
      <c r="T23"/>
      <c r="U23"/>
      <c r="V23"/>
      <c r="W23"/>
    </row>
    <row r="24" spans="1:27" ht="13.5" x14ac:dyDescent="0.3">
      <c r="A24" s="8" t="s">
        <v>217</v>
      </c>
      <c r="B24" s="102"/>
      <c r="T24"/>
      <c r="U24"/>
      <c r="V24"/>
      <c r="W24"/>
    </row>
    <row r="25" spans="1:27" ht="13.5" x14ac:dyDescent="0.3">
      <c r="B25" s="23" t="s">
        <v>57</v>
      </c>
      <c r="T25"/>
      <c r="U25"/>
      <c r="V25"/>
      <c r="W25"/>
    </row>
    <row r="26" spans="1:27" ht="13.5" x14ac:dyDescent="0.3">
      <c r="T26"/>
      <c r="U26"/>
      <c r="V26"/>
      <c r="W26"/>
    </row>
    <row r="27" spans="1:27" ht="13.5" x14ac:dyDescent="0.3">
      <c r="T27"/>
      <c r="U27"/>
      <c r="V27"/>
      <c r="W27"/>
    </row>
    <row r="28" spans="1:27" ht="13.5" x14ac:dyDescent="0.3">
      <c r="A28" s="14" t="s">
        <v>85</v>
      </c>
      <c r="T28"/>
      <c r="U28"/>
      <c r="V28"/>
      <c r="W28"/>
    </row>
    <row r="29" spans="1:27" ht="13.5" x14ac:dyDescent="0.3">
      <c r="A29" s="14"/>
      <c r="B29" s="53"/>
      <c r="C29" s="53" t="s">
        <v>87</v>
      </c>
      <c r="T29"/>
      <c r="U29"/>
      <c r="V29"/>
      <c r="W29"/>
    </row>
    <row r="30" spans="1:27" ht="13.5" x14ac:dyDescent="0.3">
      <c r="B30" s="23" t="s">
        <v>30</v>
      </c>
      <c r="C30" s="23">
        <v>-1</v>
      </c>
      <c r="T30"/>
      <c r="U30"/>
      <c r="V30"/>
      <c r="W30"/>
    </row>
    <row r="31" spans="1:27" ht="13.5" x14ac:dyDescent="0.3">
      <c r="B31" s="23" t="s">
        <v>91</v>
      </c>
      <c r="C31" s="23">
        <v>-1</v>
      </c>
      <c r="T31"/>
      <c r="U31"/>
      <c r="V31"/>
      <c r="W31"/>
      <c r="AA31" s="66"/>
    </row>
    <row r="32" spans="1:27" ht="13.5" x14ac:dyDescent="0.3">
      <c r="B32" s="23" t="s">
        <v>31</v>
      </c>
      <c r="C32" s="23">
        <v>-1</v>
      </c>
      <c r="T32"/>
      <c r="U32"/>
      <c r="V32"/>
      <c r="W32"/>
      <c r="AA32" s="66"/>
    </row>
    <row r="33" spans="1:23" ht="13.5" x14ac:dyDescent="0.3">
      <c r="B33" s="23" t="s">
        <v>137</v>
      </c>
      <c r="C33" s="23">
        <v>1</v>
      </c>
      <c r="T33"/>
      <c r="U33"/>
      <c r="V33"/>
      <c r="W33"/>
    </row>
    <row r="34" spans="1:23" ht="13.5" x14ac:dyDescent="0.3">
      <c r="B34" s="23" t="s">
        <v>120</v>
      </c>
      <c r="C34" s="23">
        <v>1</v>
      </c>
      <c r="T34"/>
      <c r="U34"/>
      <c r="V34"/>
      <c r="W34"/>
    </row>
    <row r="35" spans="1:23" ht="13.5" x14ac:dyDescent="0.3">
      <c r="B35" s="23" t="s">
        <v>182</v>
      </c>
      <c r="C35" s="23">
        <v>1</v>
      </c>
      <c r="T35"/>
      <c r="U35"/>
      <c r="V35"/>
      <c r="W35"/>
    </row>
    <row r="36" spans="1:23" ht="13.5" x14ac:dyDescent="0.3">
      <c r="B36" s="23" t="s">
        <v>167</v>
      </c>
      <c r="C36" s="23">
        <v>1</v>
      </c>
      <c r="T36"/>
      <c r="U36"/>
      <c r="V36"/>
      <c r="W36"/>
    </row>
    <row r="37" spans="1:23" ht="13.5" x14ac:dyDescent="0.3">
      <c r="T37"/>
      <c r="U37"/>
      <c r="V37"/>
      <c r="W37"/>
    </row>
    <row r="38" spans="1:23" ht="13.5" x14ac:dyDescent="0.3">
      <c r="T38"/>
      <c r="U38"/>
      <c r="V38"/>
      <c r="W38"/>
    </row>
    <row r="39" spans="1:23" ht="13.5" x14ac:dyDescent="0.3">
      <c r="T39"/>
      <c r="U39"/>
      <c r="V39"/>
      <c r="W39"/>
    </row>
    <row r="40" spans="1:23" ht="13.5" x14ac:dyDescent="0.3">
      <c r="T40"/>
      <c r="U40"/>
      <c r="V40"/>
      <c r="W40"/>
    </row>
    <row r="41" spans="1:23" ht="13.5" x14ac:dyDescent="0.3">
      <c r="A41" s="14" t="s">
        <v>54</v>
      </c>
      <c r="T41"/>
      <c r="U41"/>
      <c r="V41"/>
      <c r="W41"/>
    </row>
    <row r="42" spans="1:23" ht="13.5" x14ac:dyDescent="0.3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ht="13.5" x14ac:dyDescent="0.3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ht="13.5" x14ac:dyDescent="0.3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ht="13.5" x14ac:dyDescent="0.3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ht="13.5" x14ac:dyDescent="0.3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4" x14ac:dyDescent="0.3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ht="13.5" x14ac:dyDescent="0.3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ht="13.5" x14ac:dyDescent="0.3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ht="13.5" x14ac:dyDescent="0.3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ht="13.5" x14ac:dyDescent="0.3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ht="13.5" x14ac:dyDescent="0.3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ht="13.5" x14ac:dyDescent="0.3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ht="13.5" x14ac:dyDescent="0.3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ht="13.5" x14ac:dyDescent="0.3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ht="13.5" x14ac:dyDescent="0.3">
      <c r="O56"/>
      <c r="P56"/>
      <c r="Q56"/>
      <c r="R56"/>
      <c r="S56"/>
      <c r="T56"/>
      <c r="U56"/>
      <c r="V56"/>
      <c r="W56"/>
    </row>
    <row r="57" spans="1:23" ht="13.5" x14ac:dyDescent="0.3">
      <c r="O57"/>
      <c r="P57"/>
      <c r="Q57"/>
      <c r="R57"/>
      <c r="S57"/>
      <c r="T57"/>
      <c r="U57"/>
      <c r="V57"/>
      <c r="W57"/>
    </row>
    <row r="58" spans="1:23" ht="13.5" x14ac:dyDescent="0.3">
      <c r="A58" s="14" t="s">
        <v>84</v>
      </c>
      <c r="O58"/>
      <c r="P58"/>
      <c r="Q58"/>
      <c r="R58"/>
      <c r="S58"/>
      <c r="T58"/>
      <c r="U58"/>
      <c r="V58"/>
      <c r="W58"/>
    </row>
    <row r="59" spans="1:23" ht="13.5" x14ac:dyDescent="0.3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ht="13.5" x14ac:dyDescent="0.3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ht="13.5" x14ac:dyDescent="0.3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ht="13.5" x14ac:dyDescent="0.3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ht="13.5" x14ac:dyDescent="0.3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ht="13.5" x14ac:dyDescent="0.3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ht="13.5" x14ac:dyDescent="0.3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ht="13.5" x14ac:dyDescent="0.3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ht="13.5" x14ac:dyDescent="0.3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ht="13.5" x14ac:dyDescent="0.3">
      <c r="H68"/>
      <c r="I68"/>
      <c r="J68"/>
      <c r="O68"/>
      <c r="P68"/>
      <c r="Q68"/>
      <c r="R68"/>
      <c r="S68"/>
      <c r="T68"/>
      <c r="U68"/>
      <c r="V68"/>
      <c r="W68"/>
    </row>
    <row r="69" spans="1:23" ht="13.5" x14ac:dyDescent="0.3">
      <c r="A69" s="8" t="s">
        <v>156</v>
      </c>
      <c r="O69"/>
      <c r="P69"/>
      <c r="Q69"/>
      <c r="R69"/>
      <c r="S69"/>
      <c r="T69"/>
      <c r="U69"/>
      <c r="V69"/>
      <c r="W69"/>
    </row>
    <row r="70" spans="1:23" ht="13.5" x14ac:dyDescent="0.3">
      <c r="B70" s="8" t="s">
        <v>157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ht="13.5" x14ac:dyDescent="0.3">
      <c r="B71" s="8" t="s">
        <v>158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ht="13.5" x14ac:dyDescent="0.3">
      <c r="O72"/>
      <c r="P72"/>
      <c r="Q72"/>
      <c r="R72"/>
      <c r="S72"/>
      <c r="T72"/>
      <c r="U72"/>
      <c r="V72"/>
      <c r="W72"/>
    </row>
    <row r="73" spans="1:23" ht="13.5" x14ac:dyDescent="0.3">
      <c r="O73"/>
      <c r="P73"/>
      <c r="Q73"/>
      <c r="R73"/>
      <c r="S73"/>
      <c r="T73"/>
      <c r="U73"/>
      <c r="V73"/>
      <c r="W73"/>
    </row>
    <row r="74" spans="1:23" ht="13.5" x14ac:dyDescent="0.3">
      <c r="A74" s="8" t="s">
        <v>160</v>
      </c>
      <c r="O74"/>
      <c r="P74"/>
      <c r="Q74"/>
      <c r="R74"/>
      <c r="S74"/>
      <c r="T74"/>
      <c r="U74"/>
      <c r="V74"/>
      <c r="W74"/>
    </row>
    <row r="75" spans="1:23" ht="13.5" x14ac:dyDescent="0.3">
      <c r="B75" s="8" t="s">
        <v>160</v>
      </c>
      <c r="C75" s="153" t="s">
        <v>159</v>
      </c>
      <c r="O75"/>
      <c r="P75"/>
      <c r="Q75"/>
      <c r="R75"/>
      <c r="S75"/>
      <c r="T75"/>
      <c r="U75"/>
      <c r="V75"/>
      <c r="W75"/>
    </row>
    <row r="76" spans="1:23" ht="13.5" x14ac:dyDescent="0.3">
      <c r="O76"/>
      <c r="P76"/>
      <c r="Q76"/>
      <c r="R76"/>
      <c r="S76"/>
      <c r="T76"/>
      <c r="U76"/>
      <c r="V76"/>
      <c r="W76"/>
    </row>
    <row r="77" spans="1:23" ht="13.5" x14ac:dyDescent="0.3">
      <c r="O77"/>
      <c r="P77"/>
      <c r="Q77"/>
      <c r="R77"/>
      <c r="S77"/>
      <c r="T77"/>
      <c r="U77"/>
      <c r="V77"/>
      <c r="W77"/>
    </row>
    <row r="78" spans="1:23" ht="13.5" x14ac:dyDescent="0.3">
      <c r="A78" s="8" t="s">
        <v>185</v>
      </c>
      <c r="C78" s="8" t="s">
        <v>186</v>
      </c>
      <c r="O78"/>
      <c r="P78"/>
      <c r="Q78"/>
      <c r="R78"/>
      <c r="S78"/>
      <c r="T78"/>
      <c r="U78"/>
      <c r="V78"/>
      <c r="W78"/>
    </row>
    <row r="79" spans="1:23" ht="13.5" x14ac:dyDescent="0.3">
      <c r="O79"/>
      <c r="P79"/>
      <c r="Q79"/>
      <c r="R79"/>
      <c r="S79"/>
      <c r="T79"/>
      <c r="U79"/>
      <c r="V79"/>
      <c r="W79"/>
    </row>
    <row r="80" spans="1:23" ht="13.5" x14ac:dyDescent="0.3">
      <c r="O80"/>
      <c r="P80"/>
      <c r="Q80"/>
      <c r="R80"/>
      <c r="S80"/>
      <c r="T80"/>
      <c r="U80"/>
      <c r="V80"/>
      <c r="W80"/>
    </row>
    <row r="81" spans="1:23" ht="13.5" x14ac:dyDescent="0.3">
      <c r="O81"/>
      <c r="P81"/>
      <c r="Q81"/>
      <c r="R81"/>
      <c r="S81"/>
      <c r="T81"/>
      <c r="U81"/>
      <c r="V81"/>
      <c r="W81"/>
    </row>
    <row r="82" spans="1:23" ht="13.5" x14ac:dyDescent="0.3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ht="13.5" x14ac:dyDescent="0.3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ht="13.5" x14ac:dyDescent="0.3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ht="13.5" x14ac:dyDescent="0.3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ht="13.5" x14ac:dyDescent="0.3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ht="13.5" x14ac:dyDescent="0.3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ht="13.5" x14ac:dyDescent="0.3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ht="13.5" x14ac:dyDescent="0.3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3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3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3">
      <c r="A92" s="1"/>
      <c r="B92" s="8" t="s">
        <v>172</v>
      </c>
      <c r="F92" s="155">
        <v>6</v>
      </c>
      <c r="K92" s="1"/>
      <c r="L92" s="1"/>
      <c r="M92" s="1"/>
      <c r="N92" s="1"/>
      <c r="O92" s="1"/>
    </row>
    <row r="93" spans="1:23" x14ac:dyDescent="0.3">
      <c r="A93" s="1"/>
      <c r="B93" s="8" t="s">
        <v>173</v>
      </c>
      <c r="F93" s="155">
        <v>10</v>
      </c>
      <c r="K93" s="1"/>
      <c r="L93" s="1"/>
      <c r="M93" s="1"/>
      <c r="N93" s="1"/>
      <c r="O93" s="1"/>
    </row>
    <row r="94" spans="1:23" x14ac:dyDescent="0.3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3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3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3">
      <c r="A97" s="1"/>
      <c r="B97" s="145" t="s">
        <v>154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3">
      <c r="A98" s="1"/>
      <c r="B98" s="145" t="s">
        <v>122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3">
      <c r="A99" s="1"/>
      <c r="B99" s="145" t="s">
        <v>123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3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3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ht="13.5" x14ac:dyDescent="0.3">
      <c r="T102"/>
      <c r="U102"/>
      <c r="V102"/>
      <c r="W102"/>
    </row>
    <row r="103" spans="1:25" ht="13.5" x14ac:dyDescent="0.3">
      <c r="T103"/>
      <c r="U103"/>
      <c r="V103"/>
      <c r="W103"/>
    </row>
    <row r="104" spans="1:25" ht="14.5" x14ac:dyDescent="0.3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ht="13.5" x14ac:dyDescent="0.3">
      <c r="U105"/>
      <c r="V105"/>
      <c r="W105"/>
      <c r="X105"/>
      <c r="Y105"/>
    </row>
    <row r="106" spans="1:25" ht="13.5" x14ac:dyDescent="0.3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156</v>
      </c>
      <c r="R106" s="8" t="s">
        <v>27</v>
      </c>
      <c r="T106" s="8" t="s">
        <v>220</v>
      </c>
      <c r="U106"/>
      <c r="V106" s="8" t="s">
        <v>230</v>
      </c>
      <c r="W106"/>
      <c r="Y106"/>
    </row>
    <row r="107" spans="1:25" ht="13.5" x14ac:dyDescent="0.3">
      <c r="B107" s="25" t="s">
        <v>42</v>
      </c>
      <c r="C107" s="130" t="s">
        <v>134</v>
      </c>
      <c r="D107" s="130" t="s">
        <v>226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222</v>
      </c>
      <c r="U107"/>
      <c r="V107" s="23" t="s">
        <v>19</v>
      </c>
      <c r="W107"/>
    </row>
    <row r="108" spans="1:25" ht="13.5" x14ac:dyDescent="0.3">
      <c r="B108" s="25" t="s">
        <v>3</v>
      </c>
      <c r="C108" s="130" t="s">
        <v>135</v>
      </c>
      <c r="D108" s="130" t="s">
        <v>227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221</v>
      </c>
      <c r="U108"/>
      <c r="V108" s="23" t="s">
        <v>47</v>
      </c>
      <c r="W108"/>
    </row>
    <row r="109" spans="1:25" ht="13.5" x14ac:dyDescent="0.3">
      <c r="B109" s="25" t="s">
        <v>43</v>
      </c>
      <c r="C109" s="130" t="s">
        <v>136</v>
      </c>
      <c r="D109" s="130" t="s">
        <v>228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231</v>
      </c>
      <c r="W109"/>
      <c r="X109"/>
      <c r="Y109"/>
    </row>
    <row r="110" spans="1:25" ht="13.5" x14ac:dyDescent="0.3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ht="13.5" x14ac:dyDescent="0.3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ht="13.5" x14ac:dyDescent="0.3">
      <c r="J112" s="21"/>
      <c r="K112" s="21"/>
      <c r="R112" s="23">
        <f t="shared" si="1"/>
        <v>2021</v>
      </c>
      <c r="U112"/>
      <c r="W112"/>
      <c r="X112"/>
      <c r="Y112"/>
    </row>
    <row r="113" spans="18:25" ht="13.5" x14ac:dyDescent="0.3">
      <c r="R113" s="23">
        <f t="shared" si="1"/>
        <v>2020</v>
      </c>
      <c r="U113"/>
      <c r="V113" s="250"/>
      <c r="W113"/>
      <c r="X113"/>
      <c r="Y113"/>
    </row>
    <row r="114" spans="18:25" ht="13.5" x14ac:dyDescent="0.3">
      <c r="R114" s="23"/>
      <c r="U114"/>
      <c r="V114" s="250"/>
      <c r="W114"/>
      <c r="X114"/>
      <c r="Y114"/>
    </row>
    <row r="115" spans="18:25" ht="13.5" x14ac:dyDescent="0.3">
      <c r="U115"/>
      <c r="V115" s="250"/>
      <c r="W115"/>
      <c r="X115"/>
      <c r="Y115"/>
    </row>
    <row r="116" spans="18:25" ht="13.5" x14ac:dyDescent="0.3">
      <c r="U116"/>
      <c r="V116" s="251"/>
      <c r="W116"/>
      <c r="X116"/>
      <c r="Y116"/>
    </row>
    <row r="117" spans="18:25" ht="13.5" x14ac:dyDescent="0.3">
      <c r="U117"/>
      <c r="V117"/>
      <c r="W117"/>
      <c r="X117"/>
      <c r="Y117"/>
    </row>
    <row r="118" spans="18:25" ht="13.5" x14ac:dyDescent="0.3">
      <c r="U118"/>
      <c r="V118"/>
      <c r="W118"/>
      <c r="X118"/>
    </row>
    <row r="119" spans="18:25" ht="13.5" x14ac:dyDescent="0.3">
      <c r="U119"/>
      <c r="V119"/>
      <c r="W119"/>
      <c r="X119"/>
    </row>
    <row r="120" spans="18:25" ht="13.5" x14ac:dyDescent="0.3">
      <c r="V120"/>
      <c r="W120"/>
      <c r="X120"/>
    </row>
    <row r="121" spans="18:25" ht="13.5" x14ac:dyDescent="0.3">
      <c r="U121"/>
      <c r="V121"/>
      <c r="W121"/>
      <c r="X121"/>
    </row>
    <row r="122" spans="18:25" ht="13.5" x14ac:dyDescent="0.3">
      <c r="U122"/>
      <c r="V122"/>
      <c r="W122"/>
      <c r="X122"/>
    </row>
    <row r="123" spans="18:25" ht="13.5" x14ac:dyDescent="0.3">
      <c r="U123"/>
      <c r="V123"/>
      <c r="W123"/>
      <c r="X123"/>
    </row>
    <row r="124" spans="18:25" ht="13.5" x14ac:dyDescent="0.3">
      <c r="U124"/>
      <c r="V124"/>
      <c r="W124"/>
      <c r="X124"/>
    </row>
    <row r="125" spans="18:25" ht="13.5" x14ac:dyDescent="0.3">
      <c r="U125"/>
      <c r="V125"/>
      <c r="W125"/>
      <c r="X125"/>
    </row>
    <row r="126" spans="18:25" ht="13.5" x14ac:dyDescent="0.3">
      <c r="U126"/>
      <c r="V126"/>
      <c r="W126"/>
      <c r="X126"/>
    </row>
    <row r="127" spans="18:25" ht="13.5" x14ac:dyDescent="0.3">
      <c r="T127"/>
      <c r="U127"/>
      <c r="V127"/>
      <c r="W127"/>
    </row>
    <row r="128" spans="18:25" ht="13.5" x14ac:dyDescent="0.3">
      <c r="T128"/>
      <c r="U128"/>
      <c r="V128"/>
      <c r="W128"/>
    </row>
    <row r="129" spans="20:23" ht="13.5" x14ac:dyDescent="0.3">
      <c r="T129"/>
      <c r="U129"/>
      <c r="V129"/>
      <c r="W129"/>
    </row>
    <row r="130" spans="20:23" ht="13.5" x14ac:dyDescent="0.3">
      <c r="T130"/>
      <c r="U130"/>
      <c r="V130"/>
      <c r="W130"/>
    </row>
    <row r="131" spans="20:23" ht="13.5" x14ac:dyDescent="0.3">
      <c r="T131"/>
      <c r="U131"/>
      <c r="V131"/>
      <c r="W131"/>
    </row>
    <row r="132" spans="20:23" ht="13.5" x14ac:dyDescent="0.3">
      <c r="T132"/>
      <c r="U132"/>
      <c r="V132"/>
      <c r="W132"/>
    </row>
    <row r="133" spans="20:23" ht="13.5" x14ac:dyDescent="0.3">
      <c r="T133"/>
      <c r="U133"/>
      <c r="V133"/>
      <c r="W133"/>
    </row>
    <row r="134" spans="20:23" ht="13.5" x14ac:dyDescent="0.3">
      <c r="T134"/>
      <c r="U134"/>
      <c r="V134"/>
      <c r="W134"/>
    </row>
    <row r="135" spans="20:23" ht="13.5" x14ac:dyDescent="0.3">
      <c r="T135"/>
      <c r="U135"/>
      <c r="V135"/>
      <c r="W135"/>
    </row>
    <row r="136" spans="20:23" ht="13.5" x14ac:dyDescent="0.3">
      <c r="T136"/>
      <c r="U136"/>
      <c r="V136"/>
      <c r="W136"/>
    </row>
    <row r="137" spans="20:23" ht="13.5" x14ac:dyDescent="0.3">
      <c r="T137"/>
      <c r="U137"/>
      <c r="V137"/>
      <c r="W137"/>
    </row>
    <row r="138" spans="20:23" ht="13.5" x14ac:dyDescent="0.3">
      <c r="T138"/>
      <c r="U138"/>
      <c r="V138"/>
      <c r="W138"/>
    </row>
    <row r="139" spans="20:23" ht="13.5" x14ac:dyDescent="0.3">
      <c r="T139"/>
      <c r="U139"/>
      <c r="V139"/>
      <c r="W139"/>
    </row>
    <row r="140" spans="20:23" ht="13.5" x14ac:dyDescent="0.3">
      <c r="T140"/>
      <c r="U140"/>
      <c r="V140"/>
      <c r="W140"/>
    </row>
    <row r="141" spans="20:23" ht="13.5" x14ac:dyDescent="0.3">
      <c r="T141"/>
      <c r="U141"/>
      <c r="V141"/>
      <c r="W141"/>
    </row>
    <row r="142" spans="20:23" ht="13.5" x14ac:dyDescent="0.3">
      <c r="T142"/>
      <c r="U142"/>
      <c r="V142"/>
      <c r="W142"/>
    </row>
    <row r="143" spans="20:23" ht="13.5" x14ac:dyDescent="0.3">
      <c r="T143"/>
      <c r="U143"/>
      <c r="V143"/>
      <c r="W143"/>
    </row>
    <row r="144" spans="20:23" ht="13.5" x14ac:dyDescent="0.3">
      <c r="T144"/>
      <c r="U144"/>
      <c r="V144"/>
      <c r="W144"/>
    </row>
    <row r="145" spans="20:23" ht="13.5" x14ac:dyDescent="0.3">
      <c r="T145"/>
      <c r="U145"/>
      <c r="V145"/>
      <c r="W145"/>
    </row>
    <row r="146" spans="20:23" ht="13.5" x14ac:dyDescent="0.3">
      <c r="T146"/>
      <c r="U146"/>
      <c r="V146"/>
      <c r="W146"/>
    </row>
    <row r="147" spans="20:23" ht="13.5" x14ac:dyDescent="0.3">
      <c r="T147"/>
      <c r="U147"/>
      <c r="V147"/>
      <c r="W147"/>
    </row>
    <row r="148" spans="20:23" ht="13.5" x14ac:dyDescent="0.3">
      <c r="T148"/>
      <c r="U148"/>
      <c r="V148"/>
      <c r="W148"/>
    </row>
    <row r="149" spans="20:23" ht="13.5" x14ac:dyDescent="0.3">
      <c r="T149"/>
      <c r="U149"/>
      <c r="V149"/>
      <c r="W149"/>
    </row>
    <row r="150" spans="20:23" ht="13.5" x14ac:dyDescent="0.3">
      <c r="T150"/>
      <c r="U150"/>
      <c r="V150"/>
      <c r="W150"/>
    </row>
    <row r="151" spans="20:23" ht="13.5" x14ac:dyDescent="0.3">
      <c r="T151"/>
      <c r="U151"/>
      <c r="V151"/>
      <c r="W151"/>
    </row>
    <row r="152" spans="20:23" ht="13.5" x14ac:dyDescent="0.3">
      <c r="T152"/>
      <c r="U152"/>
      <c r="V152"/>
      <c r="W152"/>
    </row>
    <row r="153" spans="20:23" ht="13.5" x14ac:dyDescent="0.3">
      <c r="T153"/>
      <c r="U153"/>
      <c r="V153"/>
      <c r="W153"/>
    </row>
    <row r="154" spans="20:23" ht="13.5" x14ac:dyDescent="0.3">
      <c r="T154"/>
      <c r="U154"/>
      <c r="V154"/>
      <c r="W154"/>
    </row>
    <row r="155" spans="20:23" ht="13.5" x14ac:dyDescent="0.3">
      <c r="T155"/>
      <c r="U155"/>
      <c r="V155"/>
      <c r="W155"/>
    </row>
    <row r="156" spans="20:23" ht="13.5" x14ac:dyDescent="0.3">
      <c r="T156"/>
      <c r="U156"/>
      <c r="V156"/>
      <c r="W156"/>
    </row>
    <row r="157" spans="20:23" ht="13.5" x14ac:dyDescent="0.3">
      <c r="T157"/>
      <c r="U157"/>
      <c r="V157"/>
      <c r="W157"/>
    </row>
    <row r="158" spans="20:23" ht="13.5" x14ac:dyDescent="0.3">
      <c r="T158"/>
      <c r="U158"/>
      <c r="V158"/>
      <c r="W158"/>
    </row>
    <row r="159" spans="20:23" ht="13.5" x14ac:dyDescent="0.3">
      <c r="T159"/>
      <c r="U159"/>
      <c r="V159"/>
      <c r="W159"/>
    </row>
    <row r="160" spans="20:23" ht="13.5" x14ac:dyDescent="0.3">
      <c r="T160"/>
      <c r="U160"/>
      <c r="V160"/>
      <c r="W160"/>
    </row>
    <row r="161" spans="20:23" ht="13.5" x14ac:dyDescent="0.3">
      <c r="T161"/>
      <c r="U161"/>
      <c r="V161"/>
      <c r="W161"/>
    </row>
    <row r="162" spans="20:23" ht="13.5" x14ac:dyDescent="0.3">
      <c r="T162"/>
      <c r="U162"/>
      <c r="V162"/>
      <c r="W162"/>
    </row>
    <row r="163" spans="20:23" ht="13.5" x14ac:dyDescent="0.3">
      <c r="T163"/>
      <c r="U163"/>
      <c r="V163"/>
      <c r="W163"/>
    </row>
    <row r="164" spans="20:23" ht="13.5" x14ac:dyDescent="0.3">
      <c r="T164"/>
      <c r="U164"/>
      <c r="V164"/>
      <c r="W164"/>
    </row>
    <row r="165" spans="20:23" ht="13.5" x14ac:dyDescent="0.3">
      <c r="T165"/>
      <c r="U165"/>
      <c r="V165"/>
      <c r="W165"/>
    </row>
    <row r="166" spans="20:23" ht="13.5" x14ac:dyDescent="0.3">
      <c r="T166"/>
      <c r="U166"/>
      <c r="V166"/>
      <c r="W166"/>
    </row>
    <row r="167" spans="20:23" ht="13.5" x14ac:dyDescent="0.3">
      <c r="T167"/>
      <c r="U167"/>
      <c r="V167"/>
      <c r="W167"/>
    </row>
    <row r="168" spans="20:23" ht="13.5" x14ac:dyDescent="0.3">
      <c r="T168"/>
      <c r="U168"/>
      <c r="V168"/>
      <c r="W168"/>
    </row>
    <row r="169" spans="20:23" ht="13.5" x14ac:dyDescent="0.3">
      <c r="T169"/>
      <c r="U169"/>
      <c r="V169"/>
      <c r="W169"/>
    </row>
    <row r="170" spans="20:23" ht="13.5" x14ac:dyDescent="0.3">
      <c r="T170"/>
      <c r="U170"/>
      <c r="V170"/>
      <c r="W170"/>
    </row>
    <row r="171" spans="20:23" ht="13.5" x14ac:dyDescent="0.3">
      <c r="T171"/>
      <c r="U171"/>
      <c r="V171"/>
      <c r="W171"/>
    </row>
    <row r="172" spans="20:23" ht="13.5" x14ac:dyDescent="0.3">
      <c r="T172"/>
      <c r="U172"/>
      <c r="V172"/>
      <c r="W172"/>
    </row>
    <row r="173" spans="20:23" ht="13.5" x14ac:dyDescent="0.3">
      <c r="T173"/>
      <c r="U173"/>
      <c r="V173"/>
      <c r="W173"/>
    </row>
    <row r="174" spans="20:23" ht="13.5" x14ac:dyDescent="0.3">
      <c r="T174"/>
      <c r="U174"/>
      <c r="V174"/>
      <c r="W174"/>
    </row>
    <row r="175" spans="20:23" ht="13.5" x14ac:dyDescent="0.3">
      <c r="T175"/>
      <c r="U175"/>
      <c r="V175"/>
      <c r="W175"/>
    </row>
    <row r="176" spans="20:23" ht="13.5" x14ac:dyDescent="0.3">
      <c r="T176"/>
      <c r="U176"/>
      <c r="V176"/>
      <c r="W176"/>
    </row>
    <row r="177" spans="20:23" ht="13.5" x14ac:dyDescent="0.3">
      <c r="T177"/>
      <c r="U177"/>
      <c r="V177"/>
      <c r="W177"/>
    </row>
    <row r="178" spans="20:23" ht="13.5" x14ac:dyDescent="0.3">
      <c r="T178"/>
      <c r="U178"/>
      <c r="V178"/>
      <c r="W178"/>
    </row>
    <row r="179" spans="20:23" ht="13.5" x14ac:dyDescent="0.3">
      <c r="T179"/>
      <c r="U179"/>
      <c r="V179"/>
      <c r="W179"/>
    </row>
    <row r="180" spans="20:23" ht="13.5" x14ac:dyDescent="0.3">
      <c r="T180"/>
      <c r="U180"/>
      <c r="V180"/>
      <c r="W180"/>
    </row>
    <row r="181" spans="20:23" ht="13.5" x14ac:dyDescent="0.3">
      <c r="T181"/>
      <c r="U181"/>
      <c r="V181"/>
      <c r="W181"/>
    </row>
    <row r="182" spans="20:23" ht="13.5" x14ac:dyDescent="0.3">
      <c r="T182"/>
      <c r="U182"/>
      <c r="V182"/>
      <c r="W182"/>
    </row>
    <row r="183" spans="20:23" ht="13.5" x14ac:dyDescent="0.3">
      <c r="T183"/>
      <c r="U183"/>
      <c r="V183"/>
      <c r="W183"/>
    </row>
    <row r="184" spans="20:23" ht="13.5" x14ac:dyDescent="0.3">
      <c r="T184"/>
      <c r="U184"/>
      <c r="V184"/>
      <c r="W184"/>
    </row>
    <row r="185" spans="20:23" ht="13.5" x14ac:dyDescent="0.3">
      <c r="T185"/>
      <c r="U185"/>
      <c r="V185"/>
      <c r="W185"/>
    </row>
    <row r="186" spans="20:23" ht="13.5" x14ac:dyDescent="0.3">
      <c r="T186"/>
      <c r="U186"/>
      <c r="V186"/>
      <c r="W186"/>
    </row>
    <row r="187" spans="20:23" ht="13.5" x14ac:dyDescent="0.3">
      <c r="T187"/>
      <c r="U187"/>
      <c r="V187"/>
      <c r="W187"/>
    </row>
    <row r="188" spans="20:23" ht="13.5" x14ac:dyDescent="0.3">
      <c r="T188"/>
      <c r="U188"/>
      <c r="V188"/>
      <c r="W188"/>
    </row>
    <row r="189" spans="20:23" ht="13.5" x14ac:dyDescent="0.3">
      <c r="T189"/>
      <c r="U189"/>
      <c r="V189"/>
      <c r="W189"/>
    </row>
    <row r="190" spans="20:23" ht="13.5" x14ac:dyDescent="0.3">
      <c r="T190"/>
      <c r="U190"/>
      <c r="V190"/>
      <c r="W190"/>
    </row>
    <row r="191" spans="20:23" ht="13.5" x14ac:dyDescent="0.3">
      <c r="T191"/>
      <c r="U191"/>
      <c r="V191"/>
      <c r="W191"/>
    </row>
    <row r="192" spans="20:23" ht="13.5" x14ac:dyDescent="0.3">
      <c r="T192"/>
      <c r="U192"/>
      <c r="V192"/>
      <c r="W192"/>
    </row>
    <row r="193" spans="20:23" ht="13.5" x14ac:dyDescent="0.3">
      <c r="T193"/>
      <c r="U193"/>
      <c r="V193"/>
      <c r="W193"/>
    </row>
    <row r="194" spans="20:23" ht="13.5" x14ac:dyDescent="0.3">
      <c r="T194"/>
      <c r="U194"/>
      <c r="V194"/>
      <c r="W194"/>
    </row>
    <row r="195" spans="20:23" ht="13.5" x14ac:dyDescent="0.3">
      <c r="T195"/>
      <c r="U195"/>
      <c r="V195"/>
      <c r="W195"/>
    </row>
    <row r="196" spans="20:23" ht="13.5" x14ac:dyDescent="0.3">
      <c r="T196"/>
      <c r="U196"/>
      <c r="V196"/>
      <c r="W196"/>
    </row>
    <row r="197" spans="20:23" ht="13.5" x14ac:dyDescent="0.3">
      <c r="T197"/>
      <c r="U197"/>
      <c r="V197"/>
      <c r="W197"/>
    </row>
    <row r="198" spans="20:23" ht="13.5" x14ac:dyDescent="0.3">
      <c r="T198"/>
      <c r="U198"/>
      <c r="V198"/>
      <c r="W198"/>
    </row>
    <row r="199" spans="20:23" ht="13.5" x14ac:dyDescent="0.3">
      <c r="T199"/>
      <c r="U199"/>
      <c r="V199"/>
      <c r="W199"/>
    </row>
    <row r="200" spans="20:23" ht="13.5" x14ac:dyDescent="0.3">
      <c r="T200"/>
      <c r="U200"/>
      <c r="V200"/>
      <c r="W200"/>
    </row>
    <row r="201" spans="20:23" ht="13.5" x14ac:dyDescent="0.3">
      <c r="T201"/>
      <c r="U201"/>
      <c r="V201"/>
      <c r="W201"/>
    </row>
    <row r="202" spans="20:23" ht="13.5" x14ac:dyDescent="0.3">
      <c r="T202"/>
      <c r="U202"/>
      <c r="V202"/>
      <c r="W202"/>
    </row>
    <row r="203" spans="20:23" ht="13.5" x14ac:dyDescent="0.3">
      <c r="T203"/>
      <c r="U203"/>
      <c r="V203"/>
      <c r="W203"/>
    </row>
    <row r="204" spans="20:23" ht="13.5" x14ac:dyDescent="0.3">
      <c r="T204"/>
      <c r="U204"/>
      <c r="V204"/>
      <c r="W204"/>
    </row>
    <row r="205" spans="20:23" ht="13.5" x14ac:dyDescent="0.3">
      <c r="T205"/>
      <c r="U205"/>
      <c r="V205"/>
      <c r="W205"/>
    </row>
    <row r="206" spans="20:23" ht="13.5" x14ac:dyDescent="0.3">
      <c r="T206"/>
      <c r="U206"/>
      <c r="V206"/>
      <c r="W206"/>
    </row>
    <row r="207" spans="20:23" ht="13.5" x14ac:dyDescent="0.3">
      <c r="T207"/>
      <c r="U207"/>
      <c r="V207"/>
      <c r="W207"/>
    </row>
    <row r="208" spans="20:23" ht="13.5" x14ac:dyDescent="0.3">
      <c r="T208"/>
      <c r="U208"/>
      <c r="V208"/>
      <c r="W208"/>
    </row>
    <row r="209" spans="20:23" ht="13.5" x14ac:dyDescent="0.3">
      <c r="T209"/>
      <c r="U209"/>
      <c r="V209"/>
      <c r="W209"/>
    </row>
    <row r="210" spans="20:23" ht="13.5" x14ac:dyDescent="0.3">
      <c r="T210"/>
      <c r="U210"/>
      <c r="V210"/>
      <c r="W210"/>
    </row>
    <row r="211" spans="20:23" ht="13.5" x14ac:dyDescent="0.3">
      <c r="T211"/>
      <c r="U211"/>
      <c r="V211"/>
      <c r="W211"/>
    </row>
    <row r="212" spans="20:23" ht="13.5" x14ac:dyDescent="0.3">
      <c r="T212"/>
      <c r="U212"/>
      <c r="V212"/>
      <c r="W212"/>
    </row>
    <row r="213" spans="20:23" ht="13.5" x14ac:dyDescent="0.3">
      <c r="T213"/>
      <c r="U213"/>
      <c r="V213"/>
      <c r="W213"/>
    </row>
    <row r="214" spans="20:23" ht="13.5" x14ac:dyDescent="0.3">
      <c r="T214"/>
      <c r="U214"/>
      <c r="V214"/>
      <c r="W214"/>
    </row>
    <row r="215" spans="20:23" ht="13.5" x14ac:dyDescent="0.3">
      <c r="T215"/>
      <c r="U215"/>
      <c r="V215"/>
      <c r="W215"/>
    </row>
    <row r="216" spans="20:23" ht="13.5" x14ac:dyDescent="0.3">
      <c r="T216"/>
      <c r="U216"/>
      <c r="V216"/>
      <c r="W216"/>
    </row>
    <row r="217" spans="20:23" ht="13.5" x14ac:dyDescent="0.3">
      <c r="T217"/>
      <c r="U217"/>
      <c r="V217"/>
      <c r="W217"/>
    </row>
    <row r="218" spans="20:23" ht="13.5" x14ac:dyDescent="0.3">
      <c r="T218"/>
      <c r="U218"/>
      <c r="V218"/>
      <c r="W218"/>
    </row>
    <row r="219" spans="20:23" ht="13.5" x14ac:dyDescent="0.3">
      <c r="T219"/>
      <c r="U219"/>
      <c r="V219"/>
      <c r="W219"/>
    </row>
    <row r="220" spans="20:23" ht="13.5" x14ac:dyDescent="0.3">
      <c r="T220"/>
      <c r="U220"/>
      <c r="V220"/>
      <c r="W220"/>
    </row>
    <row r="221" spans="20:23" ht="13.5" x14ac:dyDescent="0.3">
      <c r="T221"/>
      <c r="U221"/>
      <c r="V221"/>
      <c r="W221"/>
    </row>
    <row r="222" spans="20:23" ht="13.5" x14ac:dyDescent="0.3">
      <c r="T222"/>
      <c r="U222"/>
      <c r="V222"/>
      <c r="W222"/>
    </row>
    <row r="223" spans="20:23" ht="13.5" x14ac:dyDescent="0.3">
      <c r="T223"/>
      <c r="U223"/>
      <c r="V223"/>
      <c r="W223"/>
    </row>
    <row r="224" spans="20:23" ht="13.5" x14ac:dyDescent="0.3">
      <c r="T224"/>
      <c r="U224"/>
      <c r="V224"/>
      <c r="W224"/>
    </row>
    <row r="225" spans="20:23" ht="13.5" x14ac:dyDescent="0.3">
      <c r="T225"/>
      <c r="U225"/>
      <c r="V225"/>
      <c r="W225"/>
    </row>
    <row r="226" spans="20:23" ht="13.5" x14ac:dyDescent="0.3">
      <c r="T226"/>
      <c r="U226"/>
      <c r="V226"/>
      <c r="W226"/>
    </row>
    <row r="227" spans="20:23" ht="13.5" x14ac:dyDescent="0.3">
      <c r="T227"/>
      <c r="U227"/>
      <c r="V227"/>
      <c r="W227"/>
    </row>
    <row r="228" spans="20:23" ht="13.5" x14ac:dyDescent="0.3">
      <c r="T228"/>
      <c r="U228"/>
      <c r="V228"/>
      <c r="W228"/>
    </row>
    <row r="229" spans="20:23" ht="13.5" x14ac:dyDescent="0.3">
      <c r="T229"/>
      <c r="U229"/>
      <c r="V229"/>
      <c r="W229"/>
    </row>
    <row r="230" spans="20:23" ht="13.5" x14ac:dyDescent="0.3">
      <c r="T230"/>
      <c r="U230"/>
      <c r="V230"/>
      <c r="W230"/>
    </row>
    <row r="231" spans="20:23" ht="13.5" x14ac:dyDescent="0.3">
      <c r="T231"/>
      <c r="U231"/>
      <c r="V231"/>
      <c r="W231"/>
    </row>
    <row r="232" spans="20:23" ht="13.5" x14ac:dyDescent="0.3">
      <c r="T232"/>
      <c r="U232"/>
      <c r="V232"/>
      <c r="W232"/>
    </row>
    <row r="233" spans="20:23" ht="13.5" x14ac:dyDescent="0.3">
      <c r="T233"/>
      <c r="U233"/>
      <c r="V233"/>
      <c r="W233"/>
    </row>
    <row r="234" spans="20:23" ht="13.5" x14ac:dyDescent="0.3">
      <c r="T234"/>
      <c r="U234"/>
      <c r="V234"/>
      <c r="W234"/>
    </row>
    <row r="235" spans="20:23" ht="13.5" x14ac:dyDescent="0.3">
      <c r="T235"/>
      <c r="U235"/>
      <c r="V235"/>
      <c r="W235"/>
    </row>
    <row r="236" spans="20:23" ht="13.5" x14ac:dyDescent="0.3">
      <c r="T236"/>
      <c r="U236"/>
      <c r="V236"/>
      <c r="W236"/>
    </row>
    <row r="237" spans="20:23" ht="13.5" x14ac:dyDescent="0.3">
      <c r="T237"/>
      <c r="U237"/>
      <c r="V237"/>
      <c r="W237"/>
    </row>
    <row r="238" spans="20:23" ht="13.5" x14ac:dyDescent="0.3">
      <c r="T238"/>
      <c r="U238"/>
      <c r="V238"/>
      <c r="W238"/>
    </row>
    <row r="239" spans="20:23" ht="13.5" x14ac:dyDescent="0.3">
      <c r="T239"/>
      <c r="U239"/>
      <c r="V239"/>
      <c r="W239"/>
    </row>
    <row r="240" spans="20:23" ht="13.5" x14ac:dyDescent="0.3">
      <c r="T240"/>
      <c r="U240"/>
      <c r="V240"/>
      <c r="W240"/>
    </row>
    <row r="241" spans="20:23" ht="13.5" x14ac:dyDescent="0.3">
      <c r="T241"/>
      <c r="U241"/>
      <c r="V241"/>
      <c r="W241"/>
    </row>
    <row r="242" spans="20:23" ht="13.5" x14ac:dyDescent="0.3">
      <c r="T242"/>
      <c r="U242"/>
      <c r="V242"/>
      <c r="W242"/>
    </row>
    <row r="243" spans="20:23" ht="13.5" x14ac:dyDescent="0.3">
      <c r="T243"/>
      <c r="U243"/>
      <c r="V243"/>
      <c r="W243"/>
    </row>
    <row r="244" spans="20:23" ht="13.5" x14ac:dyDescent="0.3">
      <c r="T244"/>
      <c r="U244"/>
      <c r="V244"/>
      <c r="W244"/>
    </row>
    <row r="245" spans="20:23" ht="13.5" x14ac:dyDescent="0.3">
      <c r="T245"/>
      <c r="U245"/>
      <c r="V245"/>
      <c r="W245"/>
    </row>
    <row r="246" spans="20:23" ht="13.5" x14ac:dyDescent="0.3">
      <c r="T246"/>
      <c r="U246"/>
      <c r="V246"/>
      <c r="W246"/>
    </row>
    <row r="247" spans="20:23" ht="13.5" x14ac:dyDescent="0.3">
      <c r="T247"/>
      <c r="U247"/>
      <c r="V247"/>
      <c r="W247"/>
    </row>
    <row r="248" spans="20:23" ht="13.5" x14ac:dyDescent="0.3">
      <c r="T248"/>
      <c r="U248"/>
      <c r="V248"/>
      <c r="W248"/>
    </row>
    <row r="249" spans="20:23" ht="13.5" x14ac:dyDescent="0.3">
      <c r="T249"/>
      <c r="U249"/>
      <c r="V249"/>
      <c r="W249"/>
    </row>
    <row r="250" spans="20:23" ht="13.5" x14ac:dyDescent="0.3">
      <c r="T250"/>
      <c r="U250"/>
      <c r="V250"/>
      <c r="W250"/>
    </row>
    <row r="251" spans="20:23" ht="13.5" x14ac:dyDescent="0.3">
      <c r="T251"/>
      <c r="U251"/>
      <c r="V251"/>
      <c r="W251"/>
    </row>
    <row r="252" spans="20:23" ht="13.5" x14ac:dyDescent="0.3">
      <c r="T252"/>
      <c r="U252"/>
      <c r="V252"/>
      <c r="W252"/>
    </row>
    <row r="253" spans="20:23" ht="13.5" x14ac:dyDescent="0.3">
      <c r="T253"/>
      <c r="U253"/>
      <c r="V253"/>
      <c r="W253"/>
    </row>
    <row r="254" spans="20:23" ht="13.5" x14ac:dyDescent="0.3">
      <c r="T254"/>
      <c r="U254"/>
      <c r="V254"/>
      <c r="W254"/>
    </row>
    <row r="255" spans="20:23" ht="13.5" x14ac:dyDescent="0.3">
      <c r="T255"/>
      <c r="U255"/>
      <c r="V255"/>
      <c r="W255"/>
    </row>
    <row r="256" spans="20:23" ht="13.5" x14ac:dyDescent="0.3">
      <c r="T256"/>
      <c r="U256"/>
      <c r="V256"/>
      <c r="W256"/>
    </row>
    <row r="257" spans="20:23" ht="13.5" x14ac:dyDescent="0.3">
      <c r="T257"/>
      <c r="U257"/>
      <c r="V257"/>
      <c r="W257"/>
    </row>
    <row r="258" spans="20:23" ht="13.5" x14ac:dyDescent="0.3">
      <c r="T258"/>
      <c r="U258"/>
      <c r="V258"/>
      <c r="W258"/>
    </row>
    <row r="259" spans="20:23" ht="13.5" x14ac:dyDescent="0.3">
      <c r="T259"/>
      <c r="U259"/>
      <c r="V259"/>
      <c r="W259"/>
    </row>
    <row r="260" spans="20:23" ht="13.5" x14ac:dyDescent="0.3">
      <c r="T260"/>
      <c r="U260"/>
      <c r="V260"/>
      <c r="W260"/>
    </row>
    <row r="261" spans="20:23" ht="13.5" x14ac:dyDescent="0.3">
      <c r="T261"/>
      <c r="U261"/>
      <c r="V261"/>
      <c r="W261"/>
    </row>
    <row r="262" spans="20:23" ht="13.5" x14ac:dyDescent="0.3">
      <c r="T262"/>
      <c r="U262"/>
      <c r="V262"/>
      <c r="W262"/>
    </row>
    <row r="263" spans="20:23" ht="13.5" x14ac:dyDescent="0.3">
      <c r="T263"/>
      <c r="U263"/>
      <c r="V263"/>
    </row>
    <row r="264" spans="20:23" ht="13.5" x14ac:dyDescent="0.3">
      <c r="T264"/>
      <c r="U264"/>
      <c r="V264"/>
    </row>
    <row r="265" spans="20:23" ht="13.5" x14ac:dyDescent="0.3">
      <c r="T265"/>
      <c r="U265"/>
      <c r="V265"/>
    </row>
    <row r="266" spans="20:23" ht="13.5" x14ac:dyDescent="0.3">
      <c r="T266"/>
      <c r="U266"/>
      <c r="V266"/>
    </row>
    <row r="267" spans="20:23" ht="13.5" x14ac:dyDescent="0.3">
      <c r="T267"/>
      <c r="U267"/>
      <c r="V267"/>
    </row>
    <row r="268" spans="20:23" ht="13.5" x14ac:dyDescent="0.3">
      <c r="T268"/>
      <c r="U268"/>
      <c r="V268"/>
    </row>
    <row r="269" spans="20:23" ht="13.5" x14ac:dyDescent="0.3">
      <c r="T269"/>
      <c r="U269"/>
      <c r="V269"/>
    </row>
    <row r="270" spans="20:23" ht="13.5" x14ac:dyDescent="0.3">
      <c r="T270"/>
      <c r="U270"/>
      <c r="V270"/>
    </row>
    <row r="271" spans="20:23" ht="13.5" x14ac:dyDescent="0.3">
      <c r="T271"/>
      <c r="U271"/>
      <c r="V271"/>
    </row>
    <row r="272" spans="20:23" ht="13.5" x14ac:dyDescent="0.3">
      <c r="T272"/>
      <c r="U272"/>
      <c r="V272"/>
    </row>
    <row r="273" spans="20:22" ht="13.5" x14ac:dyDescent="0.3">
      <c r="T273"/>
      <c r="U273"/>
      <c r="V273"/>
    </row>
    <row r="274" spans="20:22" ht="13.5" x14ac:dyDescent="0.3">
      <c r="T274"/>
      <c r="U274"/>
      <c r="V274"/>
    </row>
    <row r="275" spans="20:22" ht="13.5" x14ac:dyDescent="0.3">
      <c r="T275"/>
      <c r="U275"/>
      <c r="V275"/>
    </row>
    <row r="276" spans="20:22" ht="13.5" x14ac:dyDescent="0.3">
      <c r="T276"/>
      <c r="U276"/>
      <c r="V276"/>
    </row>
    <row r="277" spans="20:22" ht="13.5" x14ac:dyDescent="0.3">
      <c r="T277"/>
      <c r="U277"/>
      <c r="V277"/>
    </row>
    <row r="278" spans="20:22" ht="13.5" x14ac:dyDescent="0.3">
      <c r="T278"/>
      <c r="U278"/>
      <c r="V278"/>
    </row>
    <row r="279" spans="20:22" ht="13.5" x14ac:dyDescent="0.3">
      <c r="T279"/>
      <c r="U279"/>
      <c r="V279"/>
    </row>
    <row r="280" spans="20:22" ht="13.5" x14ac:dyDescent="0.3">
      <c r="T280"/>
      <c r="U280"/>
      <c r="V280"/>
    </row>
    <row r="281" spans="20:22" ht="13.5" x14ac:dyDescent="0.3">
      <c r="T281"/>
      <c r="U281"/>
      <c r="V281"/>
    </row>
    <row r="282" spans="20:22" ht="13.5" x14ac:dyDescent="0.3">
      <c r="T282"/>
      <c r="U282"/>
      <c r="V282"/>
    </row>
    <row r="283" spans="20:22" ht="13.5" x14ac:dyDescent="0.3">
      <c r="T283"/>
      <c r="U283"/>
      <c r="V283"/>
    </row>
    <row r="284" spans="20:22" ht="13.5" x14ac:dyDescent="0.3">
      <c r="T284"/>
      <c r="U284"/>
      <c r="V284"/>
    </row>
    <row r="285" spans="20:22" ht="13.5" x14ac:dyDescent="0.3">
      <c r="T285"/>
      <c r="U285"/>
      <c r="V285"/>
    </row>
    <row r="286" spans="20:22" ht="13.5" x14ac:dyDescent="0.3">
      <c r="T286"/>
      <c r="U286"/>
      <c r="V286"/>
    </row>
    <row r="287" spans="20:22" ht="13.5" x14ac:dyDescent="0.3">
      <c r="T287"/>
      <c r="U287"/>
      <c r="V287"/>
    </row>
    <row r="288" spans="20:22" ht="13.5" x14ac:dyDescent="0.3">
      <c r="T288"/>
      <c r="U288"/>
      <c r="V288"/>
    </row>
    <row r="289" spans="20:22" ht="13.5" x14ac:dyDescent="0.3">
      <c r="T289"/>
      <c r="U289"/>
      <c r="V289"/>
    </row>
    <row r="290" spans="20:22" ht="13.5" x14ac:dyDescent="0.3">
      <c r="T290"/>
      <c r="U290"/>
      <c r="V290"/>
    </row>
    <row r="291" spans="20:22" ht="13.5" x14ac:dyDescent="0.3">
      <c r="T291"/>
      <c r="U291"/>
      <c r="V291"/>
    </row>
    <row r="292" spans="20:22" ht="13.5" x14ac:dyDescent="0.3">
      <c r="T292"/>
      <c r="U292"/>
      <c r="V292"/>
    </row>
    <row r="293" spans="20:22" ht="13.5" x14ac:dyDescent="0.3">
      <c r="T293"/>
      <c r="U293"/>
      <c r="V293"/>
    </row>
    <row r="294" spans="20:22" ht="13.5" x14ac:dyDescent="0.3">
      <c r="T294"/>
      <c r="U294"/>
      <c r="V294"/>
    </row>
    <row r="295" spans="20:22" ht="13.5" x14ac:dyDescent="0.3">
      <c r="T295"/>
      <c r="U295"/>
      <c r="V295"/>
    </row>
    <row r="296" spans="20:22" ht="13.5" x14ac:dyDescent="0.3">
      <c r="T296"/>
      <c r="U296"/>
      <c r="V296"/>
    </row>
    <row r="297" spans="20:22" ht="13.5" x14ac:dyDescent="0.3">
      <c r="T297"/>
      <c r="U297"/>
      <c r="V297"/>
    </row>
    <row r="298" spans="20:22" ht="13.5" x14ac:dyDescent="0.3">
      <c r="T298"/>
      <c r="U298"/>
      <c r="V298"/>
    </row>
    <row r="299" spans="20:22" ht="13.5" x14ac:dyDescent="0.3">
      <c r="T299"/>
      <c r="U299"/>
      <c r="V299"/>
    </row>
    <row r="300" spans="20:22" ht="13.5" x14ac:dyDescent="0.3">
      <c r="T300"/>
      <c r="U300"/>
      <c r="V300"/>
    </row>
    <row r="301" spans="20:22" ht="13.5" x14ac:dyDescent="0.3">
      <c r="T301"/>
      <c r="U301"/>
      <c r="V301"/>
    </row>
    <row r="302" spans="20:22" ht="13.5" x14ac:dyDescent="0.3">
      <c r="T302"/>
      <c r="U302"/>
      <c r="V302"/>
    </row>
    <row r="303" spans="20:22" ht="13.5" x14ac:dyDescent="0.3">
      <c r="T303"/>
      <c r="U303"/>
      <c r="V303"/>
    </row>
    <row r="304" spans="20:22" ht="13.5" x14ac:dyDescent="0.3">
      <c r="T304"/>
      <c r="U304"/>
      <c r="V304"/>
    </row>
    <row r="305" spans="20:22" ht="13.5" x14ac:dyDescent="0.3">
      <c r="T305"/>
      <c r="U305"/>
      <c r="V305"/>
    </row>
    <row r="306" spans="20:22" ht="13.5" x14ac:dyDescent="0.3">
      <c r="T306"/>
      <c r="U306"/>
      <c r="V306"/>
    </row>
    <row r="307" spans="20:22" ht="13.5" x14ac:dyDescent="0.3">
      <c r="T307"/>
      <c r="U307"/>
      <c r="V307"/>
    </row>
    <row r="308" spans="20:22" ht="13.5" x14ac:dyDescent="0.3">
      <c r="T308"/>
      <c r="U308"/>
      <c r="V308"/>
    </row>
    <row r="309" spans="20:22" ht="13.5" x14ac:dyDescent="0.3">
      <c r="T309"/>
      <c r="U309"/>
      <c r="V309"/>
    </row>
    <row r="310" spans="20:22" ht="13.5" x14ac:dyDescent="0.3">
      <c r="T310"/>
      <c r="U310"/>
      <c r="V310"/>
    </row>
    <row r="311" spans="20:22" ht="13.5" x14ac:dyDescent="0.3">
      <c r="T311"/>
      <c r="U311"/>
      <c r="V311"/>
    </row>
    <row r="312" spans="20:22" ht="13.5" x14ac:dyDescent="0.3">
      <c r="T312"/>
      <c r="U312"/>
      <c r="V312"/>
    </row>
    <row r="313" spans="20:22" ht="13.5" x14ac:dyDescent="0.3">
      <c r="T313"/>
      <c r="U313"/>
      <c r="V313"/>
    </row>
    <row r="314" spans="20:22" ht="13.5" x14ac:dyDescent="0.3">
      <c r="T314"/>
      <c r="U314"/>
      <c r="V314"/>
    </row>
    <row r="315" spans="20:22" ht="13.5" x14ac:dyDescent="0.3">
      <c r="T315"/>
      <c r="U315"/>
    </row>
    <row r="316" spans="20:22" ht="13.5" x14ac:dyDescent="0.3">
      <c r="T316"/>
      <c r="U316"/>
    </row>
    <row r="317" spans="20:22" ht="13.5" x14ac:dyDescent="0.3">
      <c r="T317"/>
      <c r="U317"/>
    </row>
    <row r="318" spans="20:22" ht="13.5" x14ac:dyDescent="0.3">
      <c r="T318"/>
      <c r="U318"/>
    </row>
    <row r="319" spans="20:22" ht="13.5" x14ac:dyDescent="0.3">
      <c r="T319"/>
      <c r="U319"/>
    </row>
    <row r="320" spans="20:22" ht="13.5" x14ac:dyDescent="0.3">
      <c r="T320"/>
    </row>
    <row r="321" spans="20:20" ht="13.5" x14ac:dyDescent="0.3">
      <c r="T321"/>
    </row>
    <row r="322" spans="20:20" ht="13.5" x14ac:dyDescent="0.3">
      <c r="T322"/>
    </row>
    <row r="323" spans="20:20" ht="13.5" x14ac:dyDescent="0.3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2025-01-31T03:58:01Z</dcterms:modified>
</cp:coreProperties>
</file>