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F6AB7C0-87F3-4BE9-B746-64DA5F51DC79}" xr6:coauthVersionLast="47" xr6:coauthVersionMax="47" xr10:uidLastSave="{00000000-0000-0000-0000-000000000000}"/>
  <bookViews>
    <workbookView xWindow="3285" yWindow="3285" windowWidth="21795" windowHeight="994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Misc_calcs" sheetId="62" r:id="rId13"/>
    <sheet name="Data" sheetId="47" r:id="rId14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J34" i="87"/>
  <c r="K34" i="87" s="1"/>
  <c r="J33" i="87"/>
  <c r="K33" i="87" s="1"/>
  <c r="J32" i="87"/>
  <c r="K32" i="87" s="1"/>
  <c r="J31" i="87"/>
  <c r="K31" i="87" s="1"/>
  <c r="J23" i="87"/>
  <c r="K23" i="87" s="1"/>
  <c r="J22" i="87"/>
  <c r="K22" i="87" s="1"/>
  <c r="J21" i="87"/>
  <c r="K21" i="87" s="1"/>
  <c r="J20" i="87"/>
  <c r="K20" i="87" s="1"/>
  <c r="J10" i="87"/>
  <c r="J11" i="87"/>
  <c r="J12" i="87"/>
  <c r="J9" i="87"/>
  <c r="H5" i="75" l="1"/>
  <c r="I5" i="75"/>
  <c r="J5" i="75" s="1"/>
  <c r="K5" i="75" s="1"/>
  <c r="L5" i="75" s="1"/>
  <c r="M5" i="75" s="1"/>
  <c r="N5" i="75" s="1"/>
  <c r="O5" i="75" s="1"/>
  <c r="P5" i="75" s="1"/>
  <c r="Q5" i="75" s="1"/>
  <c r="R5" i="75" s="1"/>
  <c r="S5" i="75" s="1"/>
  <c r="T5" i="75" s="1"/>
  <c r="U5" i="75" s="1"/>
  <c r="V5" i="75" s="1"/>
  <c r="W5" i="75" s="1"/>
  <c r="X5" i="75" s="1"/>
  <c r="Y5" i="75" s="1"/>
  <c r="Z5" i="75" s="1"/>
  <c r="AA5" i="75" s="1"/>
  <c r="AB5" i="75" s="1"/>
  <c r="AC5" i="75" s="1"/>
  <c r="AD5" i="75" s="1"/>
  <c r="AE5" i="75" s="1"/>
  <c r="AF5" i="75" s="1"/>
  <c r="AG5" i="75" s="1"/>
  <c r="H9" i="85"/>
  <c r="H9" i="75"/>
  <c r="H9" i="68"/>
  <c r="K10" i="87" l="1"/>
  <c r="K11" i="87"/>
  <c r="K12" i="87"/>
  <c r="K9" i="87" l="1"/>
  <c r="C115" i="43" l="1"/>
  <c r="C196" i="88"/>
  <c r="M16" i="82" l="1"/>
  <c r="L16" i="82"/>
  <c r="K16" i="82"/>
  <c r="J16" i="82"/>
  <c r="I16" i="82"/>
  <c r="M15" i="82"/>
  <c r="L15" i="82"/>
  <c r="K15" i="82"/>
  <c r="J15" i="82"/>
  <c r="I15" i="82"/>
  <c r="I15" i="73"/>
  <c r="J14" i="73"/>
  <c r="K14" i="73"/>
  <c r="L14" i="73"/>
  <c r="M14" i="73"/>
  <c r="I14" i="73"/>
  <c r="K36" i="87"/>
  <c r="H36" i="87"/>
  <c r="G36" i="87"/>
  <c r="K25" i="87"/>
  <c r="H25" i="87"/>
  <c r="G25" i="87"/>
  <c r="K14" i="87"/>
  <c r="F43" i="87" s="1"/>
  <c r="F54" i="87" s="1"/>
  <c r="J14" i="82" s="1"/>
  <c r="G14" i="87"/>
  <c r="H14" i="87"/>
  <c r="J14" i="81" l="1"/>
  <c r="E45" i="87"/>
  <c r="I14" i="72" s="1"/>
  <c r="I45" i="87"/>
  <c r="M14" i="72" s="1"/>
  <c r="H45" i="87"/>
  <c r="L14" i="72" s="1"/>
  <c r="G45" i="87"/>
  <c r="K14" i="72" s="1"/>
  <c r="F45" i="87"/>
  <c r="J14" i="72" s="1"/>
  <c r="F51" i="87"/>
  <c r="J15" i="73" s="1"/>
  <c r="G51" i="87"/>
  <c r="K15" i="73" s="1"/>
  <c r="H51" i="87"/>
  <c r="L15" i="73" s="1"/>
  <c r="I51" i="87"/>
  <c r="M15" i="73" s="1"/>
  <c r="E43" i="87"/>
  <c r="I43" i="87"/>
  <c r="H43" i="87"/>
  <c r="G43" i="87"/>
  <c r="G54" i="87" l="1"/>
  <c r="K14" i="82" s="1"/>
  <c r="K14" i="81"/>
  <c r="H54" i="87"/>
  <c r="L14" i="82" s="1"/>
  <c r="L14" i="81"/>
  <c r="I54" i="87"/>
  <c r="M14" i="82" s="1"/>
  <c r="M14" i="81"/>
  <c r="E54" i="87"/>
  <c r="I14" i="82" s="1"/>
  <c r="I14" i="81"/>
  <c r="C190" i="88" l="1"/>
  <c r="C171" i="88"/>
  <c r="D212" i="88"/>
  <c r="D211" i="88"/>
  <c r="D210" i="88"/>
  <c r="D209" i="88"/>
  <c r="D206" i="88"/>
  <c r="D205" i="88"/>
  <c r="D204" i="88"/>
  <c r="D203" i="88"/>
  <c r="F171" i="88" a="1"/>
  <c r="A163" i="88"/>
  <c r="F180" i="88" l="1"/>
  <c r="F179" i="88"/>
  <c r="F178" i="88"/>
  <c r="C209" i="88"/>
  <c r="C172" i="88"/>
  <c r="C191" i="88"/>
  <c r="C197" i="88" s="1"/>
  <c r="H172" i="88"/>
  <c r="F171" i="88"/>
  <c r="R178" i="88" l="1"/>
  <c r="S178" i="88"/>
  <c r="I178" i="88"/>
  <c r="T178" i="88"/>
  <c r="U178" i="88"/>
  <c r="V178" i="88"/>
  <c r="W178" i="88"/>
  <c r="H178" i="88"/>
  <c r="X178" i="88"/>
  <c r="Y178" i="88"/>
  <c r="Z178" i="88"/>
  <c r="AA178" i="88"/>
  <c r="AB178" i="88"/>
  <c r="AD178" i="88"/>
  <c r="K178" i="88"/>
  <c r="M178" i="88"/>
  <c r="P178" i="88"/>
  <c r="Q178" i="88"/>
  <c r="N178" i="88"/>
  <c r="AC178" i="88"/>
  <c r="J178" i="88"/>
  <c r="AE178" i="88"/>
  <c r="L178" i="88"/>
  <c r="AF178" i="88"/>
  <c r="O178" i="88"/>
  <c r="O179" i="88"/>
  <c r="P179" i="88"/>
  <c r="Q179" i="88"/>
  <c r="I179" i="88"/>
  <c r="S179" i="88"/>
  <c r="T179" i="88"/>
  <c r="U179" i="88"/>
  <c r="H179" i="88"/>
  <c r="V179" i="88"/>
  <c r="X179" i="88"/>
  <c r="Z179" i="88"/>
  <c r="AB179" i="88"/>
  <c r="AC179" i="88"/>
  <c r="AD179" i="88"/>
  <c r="AE179" i="88"/>
  <c r="L179" i="88"/>
  <c r="M179" i="88"/>
  <c r="N179" i="88"/>
  <c r="R179" i="88"/>
  <c r="W179" i="88"/>
  <c r="Y179" i="88"/>
  <c r="AA179" i="88"/>
  <c r="J179" i="88"/>
  <c r="K179" i="88"/>
  <c r="AF179" i="88"/>
  <c r="L180" i="88"/>
  <c r="AF180" i="88"/>
  <c r="M180" i="88"/>
  <c r="N180" i="88"/>
  <c r="O180" i="88"/>
  <c r="I180" i="88"/>
  <c r="P180" i="88"/>
  <c r="Q180" i="88"/>
  <c r="R180" i="88"/>
  <c r="S180" i="88"/>
  <c r="H180" i="88"/>
  <c r="T180" i="88"/>
  <c r="V180" i="88"/>
  <c r="X180" i="88"/>
  <c r="AC180" i="88"/>
  <c r="AD180" i="88"/>
  <c r="AE180" i="88"/>
  <c r="Z180" i="88"/>
  <c r="U180" i="88"/>
  <c r="W180" i="88"/>
  <c r="Y180" i="88"/>
  <c r="AA180" i="88"/>
  <c r="AB180" i="88"/>
  <c r="J180" i="88"/>
  <c r="K180" i="88"/>
  <c r="S171" i="88"/>
  <c r="F177" i="88"/>
  <c r="AF171" i="88"/>
  <c r="I172" i="88"/>
  <c r="C210" i="88"/>
  <c r="AF172" i="88"/>
  <c r="I171" i="88"/>
  <c r="AB171" i="88"/>
  <c r="AA171" i="88"/>
  <c r="Z171" i="88"/>
  <c r="X171" i="88"/>
  <c r="W171" i="88"/>
  <c r="R171" i="88"/>
  <c r="Y171" i="88"/>
  <c r="V171" i="88"/>
  <c r="Q171" i="88"/>
  <c r="F191" i="88"/>
  <c r="F192" i="88"/>
  <c r="AC171" i="88"/>
  <c r="P171" i="88"/>
  <c r="O171" i="88"/>
  <c r="F193" i="88"/>
  <c r="N171" i="88"/>
  <c r="M171" i="88"/>
  <c r="L171" i="88"/>
  <c r="AE171" i="88"/>
  <c r="K171" i="88"/>
  <c r="AD171" i="88"/>
  <c r="U171" i="88"/>
  <c r="J171" i="88"/>
  <c r="T171" i="88"/>
  <c r="C173" i="88"/>
  <c r="AA172" i="88"/>
  <c r="AB172" i="88"/>
  <c r="AC172" i="88"/>
  <c r="J172" i="88"/>
  <c r="AD172" i="88"/>
  <c r="K172" i="88"/>
  <c r="AE172" i="88"/>
  <c r="L172" i="88"/>
  <c r="M172" i="88"/>
  <c r="N172" i="88"/>
  <c r="O172" i="88"/>
  <c r="P172" i="88"/>
  <c r="Q172" i="88"/>
  <c r="R172" i="88"/>
  <c r="S172" i="88"/>
  <c r="T172" i="88"/>
  <c r="U172" i="88"/>
  <c r="V172" i="88"/>
  <c r="W172" i="88"/>
  <c r="X172" i="88"/>
  <c r="Y172" i="88"/>
  <c r="Z172" i="88"/>
  <c r="C192" i="88"/>
  <c r="C198" i="88" s="1"/>
  <c r="H171" i="88"/>
  <c r="I177" i="88" l="1"/>
  <c r="U177" i="88"/>
  <c r="V177" i="88"/>
  <c r="W177" i="88"/>
  <c r="X177" i="88"/>
  <c r="Y177" i="88"/>
  <c r="H177" i="88"/>
  <c r="Z177" i="88"/>
  <c r="AB177" i="88"/>
  <c r="AC177" i="88"/>
  <c r="J177" i="88"/>
  <c r="K177" i="88"/>
  <c r="AF177" i="88"/>
  <c r="M177" i="88"/>
  <c r="O177" i="88"/>
  <c r="Q177" i="88"/>
  <c r="R177" i="88"/>
  <c r="AA177" i="88"/>
  <c r="AD177" i="88"/>
  <c r="AE177" i="88"/>
  <c r="L177" i="88"/>
  <c r="N177" i="88"/>
  <c r="P177" i="88"/>
  <c r="S177" i="88"/>
  <c r="T177" i="88"/>
  <c r="I173" i="88"/>
  <c r="C211" i="88"/>
  <c r="AF173" i="88"/>
  <c r="F199" i="88"/>
  <c r="F197" i="88"/>
  <c r="F198" i="88"/>
  <c r="F190" i="88"/>
  <c r="Y173" i="88"/>
  <c r="Z173" i="88"/>
  <c r="AA173" i="88"/>
  <c r="AB173" i="88"/>
  <c r="AC173" i="88"/>
  <c r="J173" i="88"/>
  <c r="AD173" i="88"/>
  <c r="K173" i="88"/>
  <c r="AE173" i="88"/>
  <c r="L173" i="88"/>
  <c r="N173" i="88"/>
  <c r="O173" i="88"/>
  <c r="P173" i="88"/>
  <c r="Q173" i="88"/>
  <c r="R173" i="88"/>
  <c r="S173" i="88"/>
  <c r="T173" i="88"/>
  <c r="U173" i="88"/>
  <c r="V173" i="88"/>
  <c r="W173" i="88"/>
  <c r="X173" i="88"/>
  <c r="M173" i="88"/>
  <c r="C174" i="88"/>
  <c r="H173" i="88"/>
  <c r="C193" i="88"/>
  <c r="C199" i="88" s="1"/>
  <c r="I174" i="88" l="1"/>
  <c r="AF174" i="88"/>
  <c r="C212" i="88"/>
  <c r="F196" i="88"/>
  <c r="W174" i="88"/>
  <c r="X174" i="88"/>
  <c r="Y174" i="88"/>
  <c r="Z174" i="88"/>
  <c r="AA174" i="88"/>
  <c r="AB174" i="88"/>
  <c r="AC174" i="88"/>
  <c r="J174" i="88"/>
  <c r="AD174" i="88"/>
  <c r="T174" i="88"/>
  <c r="U174" i="88"/>
  <c r="V174" i="88"/>
  <c r="AE174" i="88"/>
  <c r="K174" i="88"/>
  <c r="L174" i="88"/>
  <c r="M174" i="88"/>
  <c r="N174" i="88"/>
  <c r="O174" i="88"/>
  <c r="P174" i="88"/>
  <c r="Q174" i="88"/>
  <c r="R174" i="88"/>
  <c r="S174" i="88"/>
  <c r="H174" i="88"/>
  <c r="E209" i="88" l="1"/>
  <c r="E210" i="88" l="1"/>
  <c r="E212" i="88" l="1"/>
  <c r="E211" i="88"/>
  <c r="D21" i="88" l="1"/>
  <c r="D22" i="88"/>
  <c r="D23" i="88"/>
  <c r="D24" i="88"/>
  <c r="D20" i="88"/>
  <c r="J27" i="82" l="1"/>
  <c r="K27" i="82"/>
  <c r="L27" i="82"/>
  <c r="M27" i="82"/>
  <c r="N27" i="82"/>
  <c r="O27" i="82"/>
  <c r="P27" i="82"/>
  <c r="Q27" i="82"/>
  <c r="R27" i="82"/>
  <c r="S27" i="82"/>
  <c r="T27" i="82"/>
  <c r="U27" i="82"/>
  <c r="V27" i="82"/>
  <c r="W27" i="82"/>
  <c r="X27" i="82"/>
  <c r="Y27" i="82"/>
  <c r="Z27" i="82"/>
  <c r="AA27" i="82"/>
  <c r="AB27" i="82"/>
  <c r="AC27" i="82"/>
  <c r="AD27" i="82"/>
  <c r="AE27" i="82"/>
  <c r="AF27" i="82"/>
  <c r="AG27" i="82"/>
  <c r="AG27" i="68"/>
  <c r="AF27" i="68"/>
  <c r="AE27" i="68"/>
  <c r="AD27" i="68"/>
  <c r="AC27" i="68"/>
  <c r="AB27" i="68"/>
  <c r="AA27" i="68"/>
  <c r="Z27" i="68"/>
  <c r="Y27" i="68"/>
  <c r="X27" i="68"/>
  <c r="W27" i="68"/>
  <c r="V27" i="68"/>
  <c r="U27" i="68"/>
  <c r="T27" i="68"/>
  <c r="S27" i="68"/>
  <c r="R27" i="68"/>
  <c r="Q27" i="68"/>
  <c r="P27" i="68"/>
  <c r="O27" i="68"/>
  <c r="N27" i="68"/>
  <c r="M27" i="68"/>
  <c r="L27" i="68"/>
  <c r="K27" i="68"/>
  <c r="J27" i="68"/>
  <c r="J27" i="81"/>
  <c r="K27" i="81"/>
  <c r="L27" i="81"/>
  <c r="M27" i="81"/>
  <c r="N27" i="81"/>
  <c r="O27" i="81"/>
  <c r="P27" i="81"/>
  <c r="Q27" i="81"/>
  <c r="R27" i="81"/>
  <c r="S27" i="81"/>
  <c r="T27" i="81"/>
  <c r="U27" i="81"/>
  <c r="V27" i="81"/>
  <c r="W27" i="81"/>
  <c r="X27" i="81"/>
  <c r="Y27" i="81"/>
  <c r="Z27" i="81"/>
  <c r="AA27" i="81"/>
  <c r="AB27" i="81"/>
  <c r="AC27" i="81"/>
  <c r="AD27" i="81"/>
  <c r="AE27" i="81"/>
  <c r="AF27" i="81"/>
  <c r="AG27" i="81"/>
  <c r="J27" i="72"/>
  <c r="K27" i="72"/>
  <c r="L27" i="72"/>
  <c r="M27" i="72"/>
  <c r="N27" i="72"/>
  <c r="O27" i="72"/>
  <c r="P27" i="72"/>
  <c r="Q27" i="72"/>
  <c r="R27" i="72"/>
  <c r="S27" i="72"/>
  <c r="T27" i="72"/>
  <c r="U27" i="72"/>
  <c r="V27" i="72"/>
  <c r="W27" i="72"/>
  <c r="X27" i="72"/>
  <c r="Y27" i="72"/>
  <c r="Z27" i="72"/>
  <c r="AA27" i="72"/>
  <c r="AB27" i="72"/>
  <c r="AC27" i="72"/>
  <c r="AD27" i="72"/>
  <c r="AE27" i="72"/>
  <c r="AF27" i="72"/>
  <c r="AG27" i="72"/>
  <c r="J27" i="73"/>
  <c r="K27" i="73"/>
  <c r="L27" i="73"/>
  <c r="M27" i="73"/>
  <c r="N27" i="73"/>
  <c r="O27" i="73"/>
  <c r="P27" i="73"/>
  <c r="Q27" i="73"/>
  <c r="R27" i="73"/>
  <c r="S27" i="73"/>
  <c r="T27" i="73"/>
  <c r="U27" i="73"/>
  <c r="V27" i="73"/>
  <c r="W27" i="73"/>
  <c r="X27" i="73"/>
  <c r="Y27" i="73"/>
  <c r="Z27" i="73"/>
  <c r="AA27" i="73"/>
  <c r="AB27" i="73"/>
  <c r="AC27" i="73"/>
  <c r="AD27" i="73"/>
  <c r="AE27" i="73"/>
  <c r="AF27" i="73"/>
  <c r="AG27" i="73"/>
  <c r="C33" i="82"/>
  <c r="C32" i="82"/>
  <c r="C31" i="82"/>
  <c r="C30" i="82"/>
  <c r="C33" i="73"/>
  <c r="C32" i="73"/>
  <c r="C31" i="73"/>
  <c r="C30" i="73"/>
  <c r="C33" i="72"/>
  <c r="C32" i="72"/>
  <c r="C31" i="72"/>
  <c r="C30" i="72"/>
  <c r="C31" i="81"/>
  <c r="C32" i="81"/>
  <c r="C33" i="81"/>
  <c r="C30" i="81"/>
  <c r="I27" i="82"/>
  <c r="I27" i="73"/>
  <c r="I27" i="72"/>
  <c r="I27" i="81"/>
  <c r="I27" i="68"/>
  <c r="C137" i="88"/>
  <c r="C105" i="88"/>
  <c r="C75" i="88"/>
  <c r="C63" i="88"/>
  <c r="A58" i="88"/>
  <c r="C64" i="88" l="1"/>
  <c r="D158" i="88"/>
  <c r="D157" i="88"/>
  <c r="D156" i="88"/>
  <c r="D155" i="88"/>
  <c r="D152" i="88"/>
  <c r="D151" i="88"/>
  <c r="D150" i="88"/>
  <c r="D149" i="88"/>
  <c r="D146" i="88"/>
  <c r="D145" i="88"/>
  <c r="D144" i="88"/>
  <c r="D143" i="88"/>
  <c r="F137" i="88" a="1"/>
  <c r="F144" i="88" s="1"/>
  <c r="A129" i="88"/>
  <c r="A100" i="88"/>
  <c r="A70" i="88"/>
  <c r="D126" i="88"/>
  <c r="D125" i="88"/>
  <c r="D124" i="88"/>
  <c r="D123" i="88"/>
  <c r="D120" i="88"/>
  <c r="D119" i="88"/>
  <c r="D118" i="88"/>
  <c r="D117" i="88"/>
  <c r="D114" i="88"/>
  <c r="D113" i="88"/>
  <c r="D112" i="88"/>
  <c r="D111" i="88"/>
  <c r="F105" i="88" a="1"/>
  <c r="D94" i="88"/>
  <c r="D95" i="88"/>
  <c r="D96" i="88"/>
  <c r="D93" i="88"/>
  <c r="D87" i="88"/>
  <c r="D81" i="88"/>
  <c r="F63" i="88" a="1"/>
  <c r="F63" i="88" s="1"/>
  <c r="AF63" i="88" s="1"/>
  <c r="D82" i="88"/>
  <c r="D83" i="88"/>
  <c r="D84" i="88"/>
  <c r="F75" i="88" a="1"/>
  <c r="D88" i="88"/>
  <c r="D89" i="88"/>
  <c r="D90" i="88"/>
  <c r="D64" i="88"/>
  <c r="D65" i="88"/>
  <c r="D66" i="88"/>
  <c r="D63" i="88"/>
  <c r="E63" i="88" s="1"/>
  <c r="AG33" i="68" l="1"/>
  <c r="C65" i="88"/>
  <c r="E64" i="88"/>
  <c r="F145" i="88"/>
  <c r="F146" i="88"/>
  <c r="F137" i="88"/>
  <c r="F105" i="88"/>
  <c r="AF105" i="88" s="1"/>
  <c r="F113" i="88"/>
  <c r="F114" i="88"/>
  <c r="F112" i="88"/>
  <c r="Q66" i="88"/>
  <c r="P65" i="88"/>
  <c r="O65" i="88"/>
  <c r="AE64" i="88"/>
  <c r="AD64" i="88"/>
  <c r="N65" i="88"/>
  <c r="AA64" i="88"/>
  <c r="Z64" i="88"/>
  <c r="V64" i="88"/>
  <c r="T63" i="88"/>
  <c r="S63" i="88"/>
  <c r="S66" i="88"/>
  <c r="AC64" i="88"/>
  <c r="AB64" i="88"/>
  <c r="Y63" i="88"/>
  <c r="X63" i="88"/>
  <c r="AE66" i="88"/>
  <c r="AD66" i="88"/>
  <c r="Z66" i="88"/>
  <c r="Y66" i="88"/>
  <c r="X66" i="88"/>
  <c r="R66" i="88"/>
  <c r="P66" i="88"/>
  <c r="AE65" i="88"/>
  <c r="AD65" i="88"/>
  <c r="AC65" i="88"/>
  <c r="AB65" i="88"/>
  <c r="AD63" i="88"/>
  <c r="AC63" i="88"/>
  <c r="W65" i="88"/>
  <c r="AB63" i="88"/>
  <c r="V65" i="88"/>
  <c r="AA63" i="88"/>
  <c r="O66" i="88"/>
  <c r="U64" i="88"/>
  <c r="N66" i="88"/>
  <c r="T64" i="88"/>
  <c r="O64" i="88"/>
  <c r="N64" i="88"/>
  <c r="AE63" i="88"/>
  <c r="X65" i="88"/>
  <c r="Q65" i="88"/>
  <c r="Z63" i="88"/>
  <c r="F75" i="88"/>
  <c r="AC66" i="88"/>
  <c r="AA65" i="88"/>
  <c r="Y64" i="88"/>
  <c r="W63" i="88"/>
  <c r="AB66" i="88"/>
  <c r="Z65" i="88"/>
  <c r="X64" i="88"/>
  <c r="V63" i="88"/>
  <c r="AA66" i="88"/>
  <c r="Y65" i="88"/>
  <c r="W64" i="88"/>
  <c r="U63" i="88"/>
  <c r="W66" i="88"/>
  <c r="U65" i="88"/>
  <c r="S64" i="88"/>
  <c r="Q63" i="88"/>
  <c r="AF66" i="88"/>
  <c r="V66" i="88"/>
  <c r="T65" i="88"/>
  <c r="R64" i="88"/>
  <c r="P63" i="88"/>
  <c r="AF65" i="88"/>
  <c r="U66" i="88"/>
  <c r="S65" i="88"/>
  <c r="Q64" i="88"/>
  <c r="O63" i="88"/>
  <c r="AF64" i="88"/>
  <c r="R63" i="88"/>
  <c r="T66" i="88"/>
  <c r="R65" i="88"/>
  <c r="P64" i="88"/>
  <c r="N63" i="88"/>
  <c r="H63" i="88"/>
  <c r="J63" i="88"/>
  <c r="F84" i="88"/>
  <c r="E193" i="88" s="1"/>
  <c r="F83" i="88"/>
  <c r="E192" i="88" s="1"/>
  <c r="F82" i="88"/>
  <c r="E191" i="88" s="1"/>
  <c r="I63" i="88"/>
  <c r="H65" i="88"/>
  <c r="L64" i="88"/>
  <c r="J64" i="88"/>
  <c r="L65" i="88"/>
  <c r="M66" i="88"/>
  <c r="H66" i="88"/>
  <c r="M64" i="88"/>
  <c r="H64" i="88"/>
  <c r="K64" i="88"/>
  <c r="I64" i="88"/>
  <c r="M65" i="88"/>
  <c r="K65" i="88"/>
  <c r="J65" i="88"/>
  <c r="I65" i="88"/>
  <c r="L66" i="88"/>
  <c r="L63" i="88"/>
  <c r="I66" i="88"/>
  <c r="K63" i="88"/>
  <c r="K66" i="88"/>
  <c r="M63" i="88"/>
  <c r="J66" i="88"/>
  <c r="H191" i="88" l="1"/>
  <c r="AF191" i="88"/>
  <c r="Z191" i="88"/>
  <c r="O191" i="88"/>
  <c r="AA191" i="88"/>
  <c r="Q191" i="88"/>
  <c r="AB191" i="88"/>
  <c r="S191" i="88"/>
  <c r="AC191" i="88"/>
  <c r="W191" i="88"/>
  <c r="I191" i="88"/>
  <c r="AD191" i="88"/>
  <c r="X191" i="88"/>
  <c r="AE191" i="88"/>
  <c r="J191" i="88"/>
  <c r="R191" i="88"/>
  <c r="T191" i="88"/>
  <c r="U191" i="88"/>
  <c r="P191" i="88"/>
  <c r="K191" i="88"/>
  <c r="L191" i="88"/>
  <c r="M191" i="88"/>
  <c r="V191" i="88"/>
  <c r="Y191" i="88"/>
  <c r="N191" i="88"/>
  <c r="J192" i="88"/>
  <c r="Y192" i="88"/>
  <c r="Z192" i="88"/>
  <c r="L192" i="88"/>
  <c r="AA192" i="88"/>
  <c r="AD192" i="88"/>
  <c r="M192" i="88"/>
  <c r="H192" i="88"/>
  <c r="AC192" i="88"/>
  <c r="V192" i="88"/>
  <c r="X192" i="88"/>
  <c r="AE192" i="88"/>
  <c r="Q192" i="88"/>
  <c r="AF192" i="88"/>
  <c r="K192" i="88"/>
  <c r="I192" i="88"/>
  <c r="AB192" i="88"/>
  <c r="R192" i="88"/>
  <c r="N192" i="88"/>
  <c r="S192" i="88"/>
  <c r="O192" i="88"/>
  <c r="U192" i="88"/>
  <c r="W192" i="88"/>
  <c r="T192" i="88"/>
  <c r="P192" i="88"/>
  <c r="Y193" i="88"/>
  <c r="N193" i="88"/>
  <c r="O193" i="88"/>
  <c r="AA193" i="88"/>
  <c r="P193" i="88"/>
  <c r="AB193" i="88"/>
  <c r="AC193" i="88"/>
  <c r="S193" i="88"/>
  <c r="W193" i="88"/>
  <c r="X193" i="88"/>
  <c r="AD193" i="88"/>
  <c r="AF193" i="88"/>
  <c r="J193" i="88"/>
  <c r="K193" i="88"/>
  <c r="I193" i="88"/>
  <c r="T193" i="88"/>
  <c r="U193" i="88"/>
  <c r="Z193" i="88"/>
  <c r="Q193" i="88"/>
  <c r="AE193" i="88"/>
  <c r="R193" i="88"/>
  <c r="L193" i="88"/>
  <c r="H193" i="88"/>
  <c r="M193" i="88"/>
  <c r="V193" i="88"/>
  <c r="AF75" i="88"/>
  <c r="I75" i="88"/>
  <c r="F143" i="88"/>
  <c r="AF137" i="88"/>
  <c r="E197" i="88"/>
  <c r="E198" i="88"/>
  <c r="E199" i="88"/>
  <c r="O33" i="68"/>
  <c r="V33" i="68"/>
  <c r="Z33" i="68"/>
  <c r="Y33" i="68"/>
  <c r="AA33" i="68"/>
  <c r="N33" i="68"/>
  <c r="L33" i="68"/>
  <c r="AB33" i="68"/>
  <c r="J33" i="68"/>
  <c r="R33" i="68"/>
  <c r="W33" i="68"/>
  <c r="AC33" i="68"/>
  <c r="P33" i="68"/>
  <c r="U33" i="68"/>
  <c r="AF33" i="68"/>
  <c r="M33" i="68"/>
  <c r="S33" i="68"/>
  <c r="T33" i="68"/>
  <c r="AD33" i="68"/>
  <c r="X33" i="68"/>
  <c r="AE33" i="68"/>
  <c r="Q33" i="68"/>
  <c r="K33" i="68"/>
  <c r="I33" i="68"/>
  <c r="AE31" i="68"/>
  <c r="Y31" i="68"/>
  <c r="J31" i="68"/>
  <c r="I31" i="68"/>
  <c r="W31" i="68"/>
  <c r="AB31" i="68"/>
  <c r="S31" i="68"/>
  <c r="M31" i="68"/>
  <c r="AF31" i="68"/>
  <c r="N31" i="68"/>
  <c r="Q31" i="68"/>
  <c r="T31" i="68"/>
  <c r="V31" i="68"/>
  <c r="AA31" i="68"/>
  <c r="K31" i="68"/>
  <c r="C66" i="88"/>
  <c r="E66" i="88" s="1"/>
  <c r="E65" i="88"/>
  <c r="AC31" i="68"/>
  <c r="R31" i="68"/>
  <c r="L31" i="68"/>
  <c r="P31" i="68"/>
  <c r="AD31" i="68"/>
  <c r="X31" i="68"/>
  <c r="Z31" i="68"/>
  <c r="O31" i="68"/>
  <c r="AG31" i="68"/>
  <c r="U31" i="68"/>
  <c r="F111" i="88"/>
  <c r="F81" i="88"/>
  <c r="E190" i="88" s="1"/>
  <c r="V190" i="88" l="1"/>
  <c r="K190" i="88"/>
  <c r="W190" i="88"/>
  <c r="AE190" i="88"/>
  <c r="X190" i="88"/>
  <c r="S190" i="88"/>
  <c r="I190" i="88"/>
  <c r="T190" i="88"/>
  <c r="N190" i="88"/>
  <c r="H190" i="88"/>
  <c r="Y190" i="88"/>
  <c r="O190" i="88"/>
  <c r="R190" i="88"/>
  <c r="J190" i="88"/>
  <c r="AC190" i="88"/>
  <c r="Z190" i="88"/>
  <c r="P190" i="88"/>
  <c r="AA190" i="88"/>
  <c r="AD190" i="88"/>
  <c r="L190" i="88"/>
  <c r="M190" i="88"/>
  <c r="AF190" i="88"/>
  <c r="Q190" i="88"/>
  <c r="U190" i="88"/>
  <c r="AB190" i="88"/>
  <c r="W199" i="88"/>
  <c r="X199" i="88"/>
  <c r="Y199" i="88"/>
  <c r="Z199" i="88"/>
  <c r="M199" i="88"/>
  <c r="AB199" i="88"/>
  <c r="AC199" i="88"/>
  <c r="R199" i="88"/>
  <c r="S199" i="88"/>
  <c r="T199" i="88"/>
  <c r="J199" i="88"/>
  <c r="U199" i="88"/>
  <c r="AA199" i="88"/>
  <c r="N199" i="88"/>
  <c r="K199" i="88"/>
  <c r="O199" i="88"/>
  <c r="AD199" i="88"/>
  <c r="H199" i="88"/>
  <c r="AE199" i="88"/>
  <c r="P199" i="88"/>
  <c r="AF199" i="88"/>
  <c r="I199" i="88"/>
  <c r="Q199" i="88"/>
  <c r="V199" i="88"/>
  <c r="L199" i="88"/>
  <c r="U198" i="88"/>
  <c r="J198" i="88"/>
  <c r="V198" i="88"/>
  <c r="W198" i="88"/>
  <c r="Y198" i="88"/>
  <c r="K198" i="88"/>
  <c r="L198" i="88"/>
  <c r="AD198" i="88"/>
  <c r="AE198" i="88"/>
  <c r="AF198" i="88"/>
  <c r="R198" i="88"/>
  <c r="T198" i="88"/>
  <c r="X198" i="88"/>
  <c r="N198" i="88"/>
  <c r="Q198" i="88"/>
  <c r="I198" i="88"/>
  <c r="Z198" i="88"/>
  <c r="AA198" i="88"/>
  <c r="AB198" i="88"/>
  <c r="M198" i="88"/>
  <c r="AC198" i="88"/>
  <c r="H198" i="88"/>
  <c r="O198" i="88"/>
  <c r="P198" i="88"/>
  <c r="S198" i="88"/>
  <c r="Q197" i="88"/>
  <c r="R197" i="88"/>
  <c r="I197" i="88"/>
  <c r="T197" i="88"/>
  <c r="U197" i="88"/>
  <c r="M197" i="88"/>
  <c r="H197" i="88"/>
  <c r="O197" i="88"/>
  <c r="P197" i="88"/>
  <c r="S197" i="88"/>
  <c r="V197" i="88"/>
  <c r="AA197" i="88"/>
  <c r="AB197" i="88"/>
  <c r="N197" i="88"/>
  <c r="J197" i="88"/>
  <c r="K197" i="88"/>
  <c r="L197" i="88"/>
  <c r="W197" i="88"/>
  <c r="X197" i="88"/>
  <c r="Y197" i="88"/>
  <c r="Z197" i="88"/>
  <c r="AC197" i="88"/>
  <c r="AD197" i="88"/>
  <c r="AE197" i="88"/>
  <c r="AF197" i="88"/>
  <c r="E196" i="88"/>
  <c r="S32" i="68"/>
  <c r="M30" i="68"/>
  <c r="U32" i="68"/>
  <c r="L32" i="68"/>
  <c r="AC32" i="68"/>
  <c r="AG32" i="68"/>
  <c r="Y30" i="68"/>
  <c r="I32" i="68"/>
  <c r="Z32" i="68"/>
  <c r="W30" i="68"/>
  <c r="T30" i="68"/>
  <c r="X32" i="68"/>
  <c r="AB32" i="68"/>
  <c r="O30" i="68"/>
  <c r="N30" i="68"/>
  <c r="V30" i="68"/>
  <c r="Q32" i="68"/>
  <c r="V32" i="68"/>
  <c r="M32" i="68"/>
  <c r="X30" i="68"/>
  <c r="AE32" i="68"/>
  <c r="P32" i="68"/>
  <c r="AD32" i="68"/>
  <c r="P30" i="68"/>
  <c r="AA32" i="68"/>
  <c r="Q30" i="68"/>
  <c r="R30" i="68"/>
  <c r="U30" i="68"/>
  <c r="K30" i="68"/>
  <c r="K32" i="68"/>
  <c r="N32" i="68"/>
  <c r="J30" i="68"/>
  <c r="AG30" i="68"/>
  <c r="Y32" i="68"/>
  <c r="L30" i="68"/>
  <c r="J32" i="68"/>
  <c r="I30" i="68"/>
  <c r="O32" i="68"/>
  <c r="AE30" i="68"/>
  <c r="AF30" i="68"/>
  <c r="Z30" i="68"/>
  <c r="AA30" i="68"/>
  <c r="AF32" i="68"/>
  <c r="S30" i="68"/>
  <c r="T32" i="68"/>
  <c r="AC30" i="68"/>
  <c r="R32" i="68"/>
  <c r="AD30" i="68"/>
  <c r="AB30" i="68"/>
  <c r="W32" i="68"/>
  <c r="C76" i="88"/>
  <c r="H75" i="88"/>
  <c r="P75" i="88"/>
  <c r="AB75" i="88"/>
  <c r="T75" i="88"/>
  <c r="M75" i="88"/>
  <c r="L75" i="88"/>
  <c r="K75" i="88"/>
  <c r="AD75" i="88"/>
  <c r="J75" i="88"/>
  <c r="AC75" i="88"/>
  <c r="U75" i="88"/>
  <c r="AA75" i="88"/>
  <c r="S75" i="88"/>
  <c r="V75" i="88"/>
  <c r="AE75" i="88"/>
  <c r="Q75" i="88"/>
  <c r="O75" i="88"/>
  <c r="N75" i="88"/>
  <c r="Z75" i="88"/>
  <c r="Y75" i="88"/>
  <c r="X75" i="88"/>
  <c r="W75" i="88"/>
  <c r="R75" i="88"/>
  <c r="H196" i="88" l="1"/>
  <c r="AC196" i="88"/>
  <c r="N196" i="88"/>
  <c r="AD196" i="88"/>
  <c r="O196" i="88"/>
  <c r="AE196" i="88"/>
  <c r="P196" i="88"/>
  <c r="L196" i="88"/>
  <c r="Q196" i="88"/>
  <c r="AF196" i="88"/>
  <c r="R196" i="88"/>
  <c r="S196" i="88"/>
  <c r="U196" i="88"/>
  <c r="V196" i="88"/>
  <c r="W196" i="88"/>
  <c r="J196" i="88"/>
  <c r="Y196" i="88"/>
  <c r="AA196" i="88"/>
  <c r="K196" i="88"/>
  <c r="M196" i="88"/>
  <c r="T196" i="88"/>
  <c r="I196" i="88"/>
  <c r="X196" i="88"/>
  <c r="Z196" i="88"/>
  <c r="AB196" i="88"/>
  <c r="Q76" i="88"/>
  <c r="AF76" i="88"/>
  <c r="U76" i="88"/>
  <c r="L76" i="88"/>
  <c r="Z76" i="88"/>
  <c r="AE76" i="88"/>
  <c r="R76" i="88"/>
  <c r="Y76" i="88"/>
  <c r="H76" i="88"/>
  <c r="C77" i="88"/>
  <c r="X76" i="88"/>
  <c r="AB76" i="88"/>
  <c r="AD76" i="88"/>
  <c r="V76" i="88"/>
  <c r="P76" i="88"/>
  <c r="O76" i="88"/>
  <c r="J76" i="88"/>
  <c r="N76" i="88"/>
  <c r="AC76" i="88"/>
  <c r="W76" i="88"/>
  <c r="T76" i="88"/>
  <c r="K76" i="88"/>
  <c r="S76" i="88"/>
  <c r="M76" i="88"/>
  <c r="AA76" i="88"/>
  <c r="I76" i="88"/>
  <c r="Q137" i="88"/>
  <c r="P137" i="88"/>
  <c r="O137" i="88"/>
  <c r="N137" i="88"/>
  <c r="AE137" i="88"/>
  <c r="AD137" i="88"/>
  <c r="AA137" i="88"/>
  <c r="Y137" i="88"/>
  <c r="X137" i="88"/>
  <c r="W137" i="88"/>
  <c r="AC137" i="88"/>
  <c r="AB137" i="88"/>
  <c r="Z137" i="88"/>
  <c r="R137" i="88"/>
  <c r="M137" i="88"/>
  <c r="L137" i="88"/>
  <c r="K137" i="88"/>
  <c r="J137" i="88"/>
  <c r="I137" i="88"/>
  <c r="H137" i="88"/>
  <c r="C138" i="88"/>
  <c r="AF138" i="88" s="1"/>
  <c r="U137" i="88"/>
  <c r="S137" i="88"/>
  <c r="V137" i="88"/>
  <c r="T137" i="88"/>
  <c r="C106" i="88"/>
  <c r="AF106" i="88" s="1"/>
  <c r="H105" i="88"/>
  <c r="V105" i="88"/>
  <c r="W105" i="88"/>
  <c r="AC105" i="88"/>
  <c r="N105" i="88"/>
  <c r="P105" i="88"/>
  <c r="Y105" i="88"/>
  <c r="X105" i="88"/>
  <c r="AE105" i="88"/>
  <c r="I105" i="88"/>
  <c r="R105" i="88"/>
  <c r="AA105" i="88"/>
  <c r="T105" i="88"/>
  <c r="L105" i="88"/>
  <c r="U105" i="88"/>
  <c r="J105" i="88"/>
  <c r="Z105" i="88"/>
  <c r="Q105" i="88"/>
  <c r="AB105" i="88"/>
  <c r="S105" i="88"/>
  <c r="O105" i="88"/>
  <c r="AD105" i="88"/>
  <c r="M105" i="88"/>
  <c r="K105" i="88"/>
  <c r="Q77" i="88" l="1"/>
  <c r="AF77" i="88"/>
  <c r="K77" i="88"/>
  <c r="AB77" i="88"/>
  <c r="J77" i="88"/>
  <c r="P77" i="88"/>
  <c r="AE77" i="88"/>
  <c r="AD77" i="88"/>
  <c r="H77" i="88"/>
  <c r="O77" i="88"/>
  <c r="X77" i="88"/>
  <c r="AC77" i="88"/>
  <c r="W77" i="88"/>
  <c r="C78" i="88"/>
  <c r="AA77" i="88"/>
  <c r="V77" i="88"/>
  <c r="N77" i="88"/>
  <c r="U77" i="88"/>
  <c r="Z77" i="88"/>
  <c r="R77" i="88"/>
  <c r="M77" i="88"/>
  <c r="L77" i="88"/>
  <c r="T77" i="88"/>
  <c r="Y77" i="88"/>
  <c r="S77" i="88"/>
  <c r="I77" i="88"/>
  <c r="C139" i="88"/>
  <c r="AF139" i="88" s="1"/>
  <c r="L138" i="88"/>
  <c r="AE138" i="88"/>
  <c r="K138" i="88"/>
  <c r="AD138" i="88"/>
  <c r="J138" i="88"/>
  <c r="AC138" i="88"/>
  <c r="I138" i="88"/>
  <c r="AB138" i="88"/>
  <c r="W138" i="88"/>
  <c r="AA138" i="88"/>
  <c r="Z138" i="88"/>
  <c r="Y138" i="88"/>
  <c r="X138" i="88"/>
  <c r="V138" i="88"/>
  <c r="U138" i="88"/>
  <c r="T138" i="88"/>
  <c r="S138" i="88"/>
  <c r="R138" i="88"/>
  <c r="Q138" i="88"/>
  <c r="P138" i="88"/>
  <c r="O138" i="88"/>
  <c r="H138" i="88"/>
  <c r="N138" i="88"/>
  <c r="M138" i="88"/>
  <c r="C107" i="88"/>
  <c r="AF107" i="88" s="1"/>
  <c r="N106" i="88"/>
  <c r="Z106" i="88"/>
  <c r="AD106" i="88"/>
  <c r="R106" i="88"/>
  <c r="P106" i="88"/>
  <c r="O106" i="88"/>
  <c r="M106" i="88"/>
  <c r="AB106" i="88"/>
  <c r="AA106" i="88"/>
  <c r="Y106" i="88"/>
  <c r="T106" i="88"/>
  <c r="S106" i="88"/>
  <c r="W106" i="88"/>
  <c r="L106" i="88"/>
  <c r="V106" i="88"/>
  <c r="K106" i="88"/>
  <c r="J106" i="88"/>
  <c r="I106" i="88"/>
  <c r="H106" i="88"/>
  <c r="U106" i="88"/>
  <c r="X106" i="88"/>
  <c r="AE106" i="88"/>
  <c r="AC106" i="88"/>
  <c r="Q106" i="88"/>
  <c r="H78" i="88" l="1"/>
  <c r="AF78" i="88"/>
  <c r="Y78" i="88"/>
  <c r="T78" i="88"/>
  <c r="S78" i="88"/>
  <c r="X78" i="88"/>
  <c r="J78" i="88"/>
  <c r="C81" i="88"/>
  <c r="AF81" i="88" s="1"/>
  <c r="P78" i="88"/>
  <c r="AE78" i="88"/>
  <c r="R78" i="88"/>
  <c r="W78" i="88"/>
  <c r="AD78" i="88"/>
  <c r="Z78" i="88"/>
  <c r="AB78" i="88"/>
  <c r="M78" i="88"/>
  <c r="N78" i="88"/>
  <c r="O78" i="88"/>
  <c r="I78" i="88"/>
  <c r="AA78" i="88"/>
  <c r="V78" i="88"/>
  <c r="K78" i="88"/>
  <c r="U78" i="88"/>
  <c r="L78" i="88"/>
  <c r="AC78" i="88"/>
  <c r="Q78" i="88"/>
  <c r="AA139" i="88"/>
  <c r="Z139" i="88"/>
  <c r="Y139" i="88"/>
  <c r="X139" i="88"/>
  <c r="I139" i="88"/>
  <c r="C140" i="88"/>
  <c r="AF140" i="88" s="1"/>
  <c r="H139" i="88"/>
  <c r="AC139" i="88"/>
  <c r="AB139" i="88"/>
  <c r="V139" i="88"/>
  <c r="AE139" i="88"/>
  <c r="AD139" i="88"/>
  <c r="W139" i="88"/>
  <c r="U139" i="88"/>
  <c r="N139" i="88"/>
  <c r="M139" i="88"/>
  <c r="L139" i="88"/>
  <c r="K139" i="88"/>
  <c r="J139" i="88"/>
  <c r="T139" i="88"/>
  <c r="S139" i="88"/>
  <c r="Q139" i="88"/>
  <c r="O139" i="88"/>
  <c r="R139" i="88"/>
  <c r="P139" i="88"/>
  <c r="C108" i="88"/>
  <c r="AF108" i="88" s="1"/>
  <c r="AE107" i="88"/>
  <c r="J107" i="88"/>
  <c r="K107" i="88"/>
  <c r="L107" i="88"/>
  <c r="V107" i="88"/>
  <c r="N107" i="88"/>
  <c r="Y107" i="88"/>
  <c r="Q107" i="88"/>
  <c r="AC107" i="88"/>
  <c r="I107" i="88"/>
  <c r="AB107" i="88"/>
  <c r="R107" i="88"/>
  <c r="AD107" i="88"/>
  <c r="H107" i="88"/>
  <c r="P107" i="88"/>
  <c r="T107" i="88"/>
  <c r="U107" i="88"/>
  <c r="Z107" i="88"/>
  <c r="M107" i="88"/>
  <c r="W107" i="88"/>
  <c r="O107" i="88"/>
  <c r="AA107" i="88"/>
  <c r="X107" i="88"/>
  <c r="S107" i="88"/>
  <c r="K81" i="88" l="1"/>
  <c r="H81" i="88"/>
  <c r="O81" i="88"/>
  <c r="AB81" i="88"/>
  <c r="AC81" i="88"/>
  <c r="Q81" i="88"/>
  <c r="P81" i="88"/>
  <c r="I81" i="88"/>
  <c r="T81" i="88"/>
  <c r="L81" i="88"/>
  <c r="AD81" i="88"/>
  <c r="Z81" i="88"/>
  <c r="J81" i="88"/>
  <c r="S81" i="88"/>
  <c r="M81" i="88"/>
  <c r="R81" i="88"/>
  <c r="N81" i="88"/>
  <c r="AA81" i="88"/>
  <c r="Y81" i="88"/>
  <c r="W81" i="88"/>
  <c r="X81" i="88"/>
  <c r="V81" i="88"/>
  <c r="C82" i="88"/>
  <c r="AF82" i="88" s="1"/>
  <c r="U81" i="88"/>
  <c r="AE81" i="88"/>
  <c r="V140" i="88"/>
  <c r="U140" i="88"/>
  <c r="T140" i="88"/>
  <c r="S140" i="88"/>
  <c r="C143" i="88"/>
  <c r="H140" i="88"/>
  <c r="AE140" i="88"/>
  <c r="Z140" i="88"/>
  <c r="Y140" i="88"/>
  <c r="AD140" i="88"/>
  <c r="AC140" i="88"/>
  <c r="AB140" i="88"/>
  <c r="AA140" i="88"/>
  <c r="X140" i="88"/>
  <c r="W140" i="88"/>
  <c r="R140" i="88"/>
  <c r="Q140" i="88"/>
  <c r="P140" i="88"/>
  <c r="O140" i="88"/>
  <c r="J140" i="88"/>
  <c r="I140" i="88"/>
  <c r="N140" i="88"/>
  <c r="M140" i="88"/>
  <c r="L140" i="88"/>
  <c r="K140" i="88"/>
  <c r="C111" i="88"/>
  <c r="AF111" i="88" s="1"/>
  <c r="X108" i="88"/>
  <c r="L108" i="88"/>
  <c r="AE108" i="88"/>
  <c r="J108" i="88"/>
  <c r="AA108" i="88"/>
  <c r="AC108" i="88"/>
  <c r="O108" i="88"/>
  <c r="I108" i="88"/>
  <c r="V108" i="88"/>
  <c r="T108" i="88"/>
  <c r="Q108" i="88"/>
  <c r="R108" i="88"/>
  <c r="Z108" i="88"/>
  <c r="K108" i="88"/>
  <c r="AD108" i="88"/>
  <c r="AB108" i="88"/>
  <c r="M108" i="88"/>
  <c r="H108" i="88"/>
  <c r="Y108" i="88"/>
  <c r="N108" i="88"/>
  <c r="P108" i="88"/>
  <c r="U108" i="88"/>
  <c r="S108" i="88"/>
  <c r="W108" i="88"/>
  <c r="U143" i="88" l="1"/>
  <c r="V143" i="88"/>
  <c r="W143" i="88"/>
  <c r="X143" i="88"/>
  <c r="Y143" i="88"/>
  <c r="Z143" i="88"/>
  <c r="AA143" i="88"/>
  <c r="AB143" i="88"/>
  <c r="H143" i="88"/>
  <c r="L143" i="88"/>
  <c r="M143" i="88"/>
  <c r="M136" i="88" s="1"/>
  <c r="O143" i="88"/>
  <c r="Q143" i="88"/>
  <c r="S143" i="88"/>
  <c r="AC143" i="88"/>
  <c r="AD143" i="88"/>
  <c r="AF143" i="88"/>
  <c r="I143" i="88"/>
  <c r="J143" i="88"/>
  <c r="K143" i="88"/>
  <c r="N143" i="88"/>
  <c r="P143" i="88"/>
  <c r="R143" i="88"/>
  <c r="T143" i="88"/>
  <c r="AE143" i="88"/>
  <c r="Z82" i="88"/>
  <c r="H82" i="88"/>
  <c r="M82" i="88"/>
  <c r="AD82" i="88"/>
  <c r="N82" i="88"/>
  <c r="U82" i="88"/>
  <c r="W82" i="88"/>
  <c r="K82" i="88"/>
  <c r="X82" i="88"/>
  <c r="V82" i="88"/>
  <c r="AC82" i="88"/>
  <c r="Y82" i="88"/>
  <c r="R82" i="88"/>
  <c r="Q82" i="88"/>
  <c r="T82" i="88"/>
  <c r="S82" i="88"/>
  <c r="I82" i="88"/>
  <c r="O82" i="88"/>
  <c r="P82" i="88"/>
  <c r="AA82" i="88"/>
  <c r="J82" i="88"/>
  <c r="C83" i="88"/>
  <c r="L82" i="88"/>
  <c r="AE82" i="88"/>
  <c r="AB82" i="88"/>
  <c r="C144" i="88"/>
  <c r="C112" i="88"/>
  <c r="AF112" i="88" s="1"/>
  <c r="I111" i="88"/>
  <c r="J111" i="88"/>
  <c r="M111" i="88"/>
  <c r="T111" i="88"/>
  <c r="AE111" i="88"/>
  <c r="L111" i="88"/>
  <c r="U111" i="88"/>
  <c r="S111" i="88"/>
  <c r="Z111" i="88"/>
  <c r="X111" i="88"/>
  <c r="H111" i="88"/>
  <c r="AB111" i="88"/>
  <c r="AA111" i="88"/>
  <c r="V111" i="88"/>
  <c r="O111" i="88"/>
  <c r="N111" i="88"/>
  <c r="AC111" i="88"/>
  <c r="AD111" i="88"/>
  <c r="W111" i="88"/>
  <c r="K111" i="88"/>
  <c r="P111" i="88"/>
  <c r="Q111" i="88"/>
  <c r="R111" i="88"/>
  <c r="Y111" i="88"/>
  <c r="Q144" i="88" l="1"/>
  <c r="R144" i="88"/>
  <c r="S144" i="88"/>
  <c r="T144" i="88"/>
  <c r="U144" i="88"/>
  <c r="H144" i="88"/>
  <c r="V144" i="88"/>
  <c r="W144" i="88"/>
  <c r="X144" i="88"/>
  <c r="J144" i="88"/>
  <c r="K144" i="88"/>
  <c r="L144" i="88"/>
  <c r="P144" i="88"/>
  <c r="Y144" i="88"/>
  <c r="AA144" i="88"/>
  <c r="AC144" i="88"/>
  <c r="AE144" i="88"/>
  <c r="I144" i="88"/>
  <c r="M144" i="88"/>
  <c r="N144" i="88"/>
  <c r="O144" i="88"/>
  <c r="Z144" i="88"/>
  <c r="AB144" i="88"/>
  <c r="AD144" i="88"/>
  <c r="AF144" i="88"/>
  <c r="AD83" i="88"/>
  <c r="AF83" i="88"/>
  <c r="N83" i="88"/>
  <c r="L83" i="88"/>
  <c r="T83" i="88"/>
  <c r="S83" i="88"/>
  <c r="R83" i="88"/>
  <c r="Q83" i="88"/>
  <c r="O83" i="88"/>
  <c r="AB83" i="88"/>
  <c r="AC83" i="88"/>
  <c r="X83" i="88"/>
  <c r="H83" i="88"/>
  <c r="M83" i="88"/>
  <c r="AA83" i="88"/>
  <c r="W83" i="88"/>
  <c r="V83" i="88"/>
  <c r="P83" i="88"/>
  <c r="J83" i="88"/>
  <c r="Y83" i="88"/>
  <c r="U83" i="88"/>
  <c r="I83" i="88"/>
  <c r="AE83" i="88"/>
  <c r="C84" i="88"/>
  <c r="AF84" i="88" s="1"/>
  <c r="K83" i="88"/>
  <c r="Z83" i="88"/>
  <c r="C145" i="88"/>
  <c r="C113" i="88"/>
  <c r="AF113" i="88" s="1"/>
  <c r="AA112" i="88"/>
  <c r="Y112" i="88"/>
  <c r="P112" i="88"/>
  <c r="AC112" i="88"/>
  <c r="W112" i="88"/>
  <c r="V112" i="88"/>
  <c r="M112" i="88"/>
  <c r="I112" i="88"/>
  <c r="AE112" i="88"/>
  <c r="T112" i="88"/>
  <c r="S112" i="88"/>
  <c r="N112" i="88"/>
  <c r="O112" i="88"/>
  <c r="X112" i="88"/>
  <c r="Q112" i="88"/>
  <c r="AB112" i="88"/>
  <c r="U112" i="88"/>
  <c r="H112" i="88"/>
  <c r="K112" i="88"/>
  <c r="J112" i="88"/>
  <c r="Z112" i="88"/>
  <c r="L112" i="88"/>
  <c r="AD112" i="88"/>
  <c r="R112" i="88"/>
  <c r="M145" i="88" l="1"/>
  <c r="N145" i="88"/>
  <c r="O145" i="88"/>
  <c r="P145" i="88"/>
  <c r="Q145" i="88"/>
  <c r="R145" i="88"/>
  <c r="H145" i="88"/>
  <c r="S145" i="88"/>
  <c r="T145" i="88"/>
  <c r="V145" i="88"/>
  <c r="W145" i="88"/>
  <c r="X145" i="88"/>
  <c r="Y145" i="88"/>
  <c r="AA145" i="88"/>
  <c r="AB145" i="88"/>
  <c r="AC145" i="88"/>
  <c r="AE145" i="88"/>
  <c r="I145" i="88"/>
  <c r="J145" i="88"/>
  <c r="K145" i="88"/>
  <c r="Z145" i="88"/>
  <c r="AD145" i="88"/>
  <c r="AF145" i="88"/>
  <c r="L145" i="88"/>
  <c r="U145" i="88"/>
  <c r="Q84" i="88"/>
  <c r="H84" i="88"/>
  <c r="W84" i="88"/>
  <c r="AD84" i="88"/>
  <c r="C87" i="88"/>
  <c r="Y84" i="88"/>
  <c r="V84" i="88"/>
  <c r="M84" i="88"/>
  <c r="AC84" i="88"/>
  <c r="U84" i="88"/>
  <c r="AA84" i="88"/>
  <c r="L84" i="88"/>
  <c r="X84" i="88"/>
  <c r="N84" i="88"/>
  <c r="K84" i="88"/>
  <c r="AE84" i="88"/>
  <c r="J84" i="88"/>
  <c r="T84" i="88"/>
  <c r="P84" i="88"/>
  <c r="Z84" i="88"/>
  <c r="AB84" i="88"/>
  <c r="S84" i="88"/>
  <c r="O84" i="88"/>
  <c r="R84" i="88"/>
  <c r="I84" i="88"/>
  <c r="C146" i="88"/>
  <c r="C114" i="88"/>
  <c r="AF114" i="88" s="1"/>
  <c r="H113" i="88"/>
  <c r="N113" i="88"/>
  <c r="P113" i="88"/>
  <c r="U113" i="88"/>
  <c r="L113" i="88"/>
  <c r="AA113" i="88"/>
  <c r="AB113" i="88"/>
  <c r="T113" i="88"/>
  <c r="S113" i="88"/>
  <c r="AE113" i="88"/>
  <c r="K113" i="88"/>
  <c r="Z113" i="88"/>
  <c r="W113" i="88"/>
  <c r="R113" i="88"/>
  <c r="Q113" i="88"/>
  <c r="I113" i="88"/>
  <c r="O113" i="88"/>
  <c r="M113" i="88"/>
  <c r="J113" i="88"/>
  <c r="AD113" i="88"/>
  <c r="Y113" i="88"/>
  <c r="X113" i="88"/>
  <c r="V113" i="88"/>
  <c r="AC113" i="88"/>
  <c r="I146" i="88" l="1"/>
  <c r="AC146" i="88"/>
  <c r="J146" i="88"/>
  <c r="AD146" i="88"/>
  <c r="K146" i="88"/>
  <c r="AE146" i="88"/>
  <c r="L146" i="88"/>
  <c r="AF146" i="88"/>
  <c r="M146" i="88"/>
  <c r="N146" i="88"/>
  <c r="O146" i="88"/>
  <c r="H146" i="88"/>
  <c r="P146" i="88"/>
  <c r="Z146" i="88"/>
  <c r="AA146" i="88"/>
  <c r="Q146" i="88"/>
  <c r="S146" i="88"/>
  <c r="U146" i="88"/>
  <c r="V146" i="88"/>
  <c r="X146" i="88"/>
  <c r="Y146" i="88"/>
  <c r="AB146" i="88"/>
  <c r="R146" i="88"/>
  <c r="T146" i="88"/>
  <c r="W146" i="88"/>
  <c r="C88" i="88"/>
  <c r="AF88" i="88" s="1"/>
  <c r="AF184" i="88" s="1"/>
  <c r="AF87" i="88"/>
  <c r="N88" i="88"/>
  <c r="N184" i="88" s="1"/>
  <c r="Q88" i="88"/>
  <c r="Q184" i="88" s="1"/>
  <c r="Z88" i="88"/>
  <c r="Z184" i="88" s="1"/>
  <c r="AA88" i="88"/>
  <c r="AA184" i="88" s="1"/>
  <c r="H88" i="88"/>
  <c r="H184" i="88" s="1"/>
  <c r="L87" i="88"/>
  <c r="L183" i="88" s="1"/>
  <c r="M87" i="88"/>
  <c r="M183" i="88" s="1"/>
  <c r="N87" i="88"/>
  <c r="N183" i="88" s="1"/>
  <c r="O87" i="88"/>
  <c r="O183" i="88" s="1"/>
  <c r="P87" i="88"/>
  <c r="P183" i="88" s="1"/>
  <c r="Q87" i="88"/>
  <c r="Q183" i="88" s="1"/>
  <c r="R87" i="88"/>
  <c r="R183" i="88" s="1"/>
  <c r="S87" i="88"/>
  <c r="S183" i="88" s="1"/>
  <c r="T87" i="88"/>
  <c r="T183" i="88" s="1"/>
  <c r="U87" i="88"/>
  <c r="U183" i="88" s="1"/>
  <c r="V87" i="88"/>
  <c r="V183" i="88" s="1"/>
  <c r="W87" i="88"/>
  <c r="W183" i="88" s="1"/>
  <c r="X87" i="88"/>
  <c r="X183" i="88" s="1"/>
  <c r="Y87" i="88"/>
  <c r="Y183" i="88" s="1"/>
  <c r="Z87" i="88"/>
  <c r="Z183" i="88" s="1"/>
  <c r="AA87" i="88"/>
  <c r="AA183" i="88" s="1"/>
  <c r="AB87" i="88"/>
  <c r="AB183" i="88" s="1"/>
  <c r="AC87" i="88"/>
  <c r="AC183" i="88" s="1"/>
  <c r="H87" i="88"/>
  <c r="H183" i="88" s="1"/>
  <c r="AD87" i="88"/>
  <c r="AD183" i="88" s="1"/>
  <c r="AE87" i="88"/>
  <c r="AE183" i="88" s="1"/>
  <c r="J87" i="88"/>
  <c r="J183" i="88" s="1"/>
  <c r="K87" i="88"/>
  <c r="K183" i="88" s="1"/>
  <c r="I87" i="88"/>
  <c r="I183" i="88" s="1"/>
  <c r="C149" i="88"/>
  <c r="AF149" i="88" s="1"/>
  <c r="C117" i="88"/>
  <c r="AF117" i="88" s="1"/>
  <c r="N114" i="88"/>
  <c r="I114" i="88"/>
  <c r="R114" i="88"/>
  <c r="V114" i="88"/>
  <c r="J114" i="88"/>
  <c r="S114" i="88"/>
  <c r="T114" i="88"/>
  <c r="Q114" i="88"/>
  <c r="W114" i="88"/>
  <c r="U114" i="88"/>
  <c r="M114" i="88"/>
  <c r="O114" i="88"/>
  <c r="H114" i="88"/>
  <c r="L114" i="88"/>
  <c r="AB114" i="88"/>
  <c r="Z114" i="88"/>
  <c r="AE114" i="88"/>
  <c r="Y114" i="88"/>
  <c r="K114" i="88"/>
  <c r="AC114" i="88"/>
  <c r="AD114" i="88"/>
  <c r="P114" i="88"/>
  <c r="X114" i="88"/>
  <c r="AA114" i="88"/>
  <c r="Z204" i="88" l="1"/>
  <c r="Q204" i="88"/>
  <c r="P88" i="88"/>
  <c r="P184" i="88" s="1"/>
  <c r="O88" i="88"/>
  <c r="O184" i="88" s="1"/>
  <c r="K203" i="88"/>
  <c r="AA204" i="88"/>
  <c r="AF204" i="88"/>
  <c r="H204" i="88"/>
  <c r="N204" i="88"/>
  <c r="X203" i="88"/>
  <c r="V203" i="88"/>
  <c r="AC203" i="88"/>
  <c r="AF183" i="88"/>
  <c r="AF203" i="88" s="1"/>
  <c r="S203" i="88"/>
  <c r="R203" i="88"/>
  <c r="M88" i="88"/>
  <c r="M184" i="88" s="1"/>
  <c r="AD88" i="88"/>
  <c r="AD184" i="88" s="1"/>
  <c r="L88" i="88"/>
  <c r="L184" i="88" s="1"/>
  <c r="AE88" i="88"/>
  <c r="AE184" i="88" s="1"/>
  <c r="K88" i="88"/>
  <c r="K184" i="88" s="1"/>
  <c r="J88" i="88"/>
  <c r="J184" i="88" s="1"/>
  <c r="C89" i="88"/>
  <c r="AF89" i="88" s="1"/>
  <c r="AF185" i="88" s="1"/>
  <c r="W203" i="88"/>
  <c r="U203" i="88"/>
  <c r="Q203" i="88"/>
  <c r="P203" i="88"/>
  <c r="I203" i="88"/>
  <c r="O203" i="88"/>
  <c r="N203" i="88"/>
  <c r="AB203" i="88"/>
  <c r="AA203" i="88"/>
  <c r="Z203" i="88"/>
  <c r="Y203" i="88"/>
  <c r="T203" i="88"/>
  <c r="J203" i="88"/>
  <c r="M203" i="88"/>
  <c r="AE203" i="88"/>
  <c r="L203" i="88"/>
  <c r="AD203" i="88"/>
  <c r="Y88" i="88"/>
  <c r="Y184" i="88" s="1"/>
  <c r="H203" i="88"/>
  <c r="X88" i="88"/>
  <c r="X184" i="88" s="1"/>
  <c r="W88" i="88"/>
  <c r="W184" i="88" s="1"/>
  <c r="V88" i="88"/>
  <c r="V184" i="88" s="1"/>
  <c r="U88" i="88"/>
  <c r="U184" i="88" s="1"/>
  <c r="S88" i="88"/>
  <c r="S184" i="88" s="1"/>
  <c r="I88" i="88"/>
  <c r="I184" i="88" s="1"/>
  <c r="T88" i="88"/>
  <c r="T184" i="88" s="1"/>
  <c r="R88" i="88"/>
  <c r="R184" i="88" s="1"/>
  <c r="AC88" i="88"/>
  <c r="AC184" i="88" s="1"/>
  <c r="AB88" i="88"/>
  <c r="AB184" i="88" s="1"/>
  <c r="M149" i="88"/>
  <c r="P149" i="88"/>
  <c r="R149" i="88"/>
  <c r="S149" i="88"/>
  <c r="K149" i="88"/>
  <c r="I149" i="88"/>
  <c r="U149" i="88"/>
  <c r="H149" i="88"/>
  <c r="X149" i="88"/>
  <c r="L149" i="88"/>
  <c r="N149" i="88"/>
  <c r="O149" i="88"/>
  <c r="Q149" i="88"/>
  <c r="T149" i="88"/>
  <c r="V149" i="88"/>
  <c r="W149" i="88"/>
  <c r="Y149" i="88"/>
  <c r="Z149" i="88"/>
  <c r="AA149" i="88"/>
  <c r="AB149" i="88"/>
  <c r="AC149" i="88"/>
  <c r="AD149" i="88"/>
  <c r="AE149" i="88"/>
  <c r="J149" i="88"/>
  <c r="Y117" i="88"/>
  <c r="X117" i="88"/>
  <c r="W117" i="88"/>
  <c r="V117" i="88"/>
  <c r="U117" i="88"/>
  <c r="T117" i="88"/>
  <c r="S117" i="88"/>
  <c r="R117" i="88"/>
  <c r="AE117" i="88"/>
  <c r="AD117" i="88"/>
  <c r="AC117" i="88"/>
  <c r="AB117" i="88"/>
  <c r="AA117" i="88"/>
  <c r="Z117" i="88"/>
  <c r="Q117" i="88"/>
  <c r="P117" i="88"/>
  <c r="O117" i="88"/>
  <c r="N117" i="88"/>
  <c r="M117" i="88"/>
  <c r="L117" i="88"/>
  <c r="K117" i="88"/>
  <c r="J117" i="88"/>
  <c r="I117" i="88"/>
  <c r="H117" i="88"/>
  <c r="AE89" i="88"/>
  <c r="AE185" i="88" s="1"/>
  <c r="C118" i="88"/>
  <c r="AF118" i="88" s="1"/>
  <c r="C150" i="88"/>
  <c r="AF150" i="88" s="1"/>
  <c r="S89" i="88" l="1"/>
  <c r="S185" i="88" s="1"/>
  <c r="R89" i="88"/>
  <c r="R185" i="88" s="1"/>
  <c r="AE204" i="88"/>
  <c r="AF205" i="88"/>
  <c r="H89" i="88"/>
  <c r="H185" i="88" s="1"/>
  <c r="O89" i="88"/>
  <c r="O185" i="88" s="1"/>
  <c r="AC89" i="88"/>
  <c r="AC185" i="88" s="1"/>
  <c r="K204" i="88"/>
  <c r="L204" i="88"/>
  <c r="I89" i="88"/>
  <c r="I185" i="88" s="1"/>
  <c r="AB204" i="88"/>
  <c r="P89" i="88"/>
  <c r="P185" i="88" s="1"/>
  <c r="AE205" i="88"/>
  <c r="AD204" i="88"/>
  <c r="O204" i="88"/>
  <c r="Q89" i="88"/>
  <c r="Q185" i="88" s="1"/>
  <c r="U204" i="88"/>
  <c r="W204" i="88"/>
  <c r="P204" i="88"/>
  <c r="J204" i="88"/>
  <c r="C90" i="88"/>
  <c r="AF90" i="88" s="1"/>
  <c r="AF186" i="88" s="1"/>
  <c r="M204" i="88"/>
  <c r="N89" i="88"/>
  <c r="N185" i="88" s="1"/>
  <c r="M89" i="88"/>
  <c r="M185" i="88" s="1"/>
  <c r="L89" i="88"/>
  <c r="L185" i="88" s="1"/>
  <c r="K89" i="88"/>
  <c r="K185" i="88" s="1"/>
  <c r="AA89" i="88"/>
  <c r="AA185" i="88" s="1"/>
  <c r="AD89" i="88"/>
  <c r="AD185" i="88" s="1"/>
  <c r="Z89" i="88"/>
  <c r="Z185" i="88" s="1"/>
  <c r="J89" i="88"/>
  <c r="Y89" i="88"/>
  <c r="Y185" i="88" s="1"/>
  <c r="AB89" i="88"/>
  <c r="X89" i="88"/>
  <c r="X185" i="88" s="1"/>
  <c r="W89" i="88"/>
  <c r="W185" i="88" s="1"/>
  <c r="V89" i="88"/>
  <c r="V185" i="88" s="1"/>
  <c r="U89" i="88"/>
  <c r="U185" i="88" s="1"/>
  <c r="T89" i="88"/>
  <c r="T185" i="88" s="1"/>
  <c r="X204" i="88"/>
  <c r="Y204" i="88"/>
  <c r="AC204" i="88"/>
  <c r="R204" i="88"/>
  <c r="S204" i="88"/>
  <c r="T204" i="88"/>
  <c r="I204" i="88"/>
  <c r="V204" i="88"/>
  <c r="N150" i="88"/>
  <c r="R150" i="88"/>
  <c r="S150" i="88"/>
  <c r="I150" i="88"/>
  <c r="T150" i="88"/>
  <c r="V150" i="88"/>
  <c r="X150" i="88"/>
  <c r="Z150" i="88"/>
  <c r="AA150" i="88"/>
  <c r="O150" i="88"/>
  <c r="P150" i="88"/>
  <c r="Q150" i="88"/>
  <c r="K150" i="88"/>
  <c r="J150" i="88"/>
  <c r="U150" i="88"/>
  <c r="W150" i="88"/>
  <c r="L150" i="88"/>
  <c r="Y150" i="88"/>
  <c r="M150" i="88"/>
  <c r="AB150" i="88"/>
  <c r="AC150" i="88"/>
  <c r="AD150" i="88"/>
  <c r="AE150" i="88"/>
  <c r="H150" i="88"/>
  <c r="AC90" i="88"/>
  <c r="J90" i="88"/>
  <c r="AD90" i="88"/>
  <c r="K90" i="88"/>
  <c r="Q90" i="88"/>
  <c r="I90" i="88"/>
  <c r="U118" i="88"/>
  <c r="T118" i="88"/>
  <c r="S118" i="88"/>
  <c r="R118" i="88"/>
  <c r="Q118" i="88"/>
  <c r="P118" i="88"/>
  <c r="O118" i="88"/>
  <c r="N118" i="88"/>
  <c r="M118" i="88"/>
  <c r="I118" i="88"/>
  <c r="H118" i="88"/>
  <c r="AE118" i="88"/>
  <c r="AD118" i="88"/>
  <c r="AC118" i="88"/>
  <c r="AB118" i="88"/>
  <c r="AA118" i="88"/>
  <c r="Z118" i="88"/>
  <c r="Y118" i="88"/>
  <c r="X118" i="88"/>
  <c r="W118" i="88"/>
  <c r="V118" i="88"/>
  <c r="L118" i="88"/>
  <c r="K118" i="88"/>
  <c r="J118" i="88"/>
  <c r="C119" i="88"/>
  <c r="AF119" i="88" s="1"/>
  <c r="C151" i="88"/>
  <c r="AF151" i="88" s="1"/>
  <c r="AC186" i="88" l="1"/>
  <c r="AC206" i="88" s="1"/>
  <c r="H205" i="88"/>
  <c r="W90" i="88"/>
  <c r="X205" i="88"/>
  <c r="V90" i="88"/>
  <c r="AF93" i="88" a="1"/>
  <c r="AF93" i="88" s="1"/>
  <c r="AB185" i="88"/>
  <c r="AB205" i="88" s="1"/>
  <c r="Q205" i="88"/>
  <c r="J186" i="88"/>
  <c r="J206" i="88" s="1"/>
  <c r="AB90" i="88"/>
  <c r="I205" i="88"/>
  <c r="P90" i="88"/>
  <c r="O90" i="88"/>
  <c r="Y90" i="88"/>
  <c r="Y93" i="88" s="1" a="1"/>
  <c r="Y93" i="88" s="1"/>
  <c r="Y205" i="88"/>
  <c r="S90" i="88"/>
  <c r="S93" i="88" s="1" a="1"/>
  <c r="K186" i="88"/>
  <c r="K206" i="88" s="1"/>
  <c r="AF206" i="88"/>
  <c r="AF209" i="88" s="1" a="1"/>
  <c r="AF209" i="88" s="1"/>
  <c r="AA90" i="88"/>
  <c r="AA93" i="88" s="1" a="1"/>
  <c r="AA93" i="88" s="1"/>
  <c r="AB33" i="81" s="1"/>
  <c r="T205" i="88"/>
  <c r="N90" i="88"/>
  <c r="N93" i="88" s="1" a="1"/>
  <c r="N93" i="88" s="1"/>
  <c r="AC205" i="88"/>
  <c r="AC209" i="88" s="1" a="1"/>
  <c r="AC209" i="88" s="1"/>
  <c r="Z205" i="88"/>
  <c r="AD205" i="88"/>
  <c r="H90" i="88"/>
  <c r="H93" i="88" s="1" a="1"/>
  <c r="K205" i="88"/>
  <c r="N205" i="88"/>
  <c r="AD186" i="88"/>
  <c r="AD206" i="88" s="1"/>
  <c r="I186" i="88"/>
  <c r="I206" i="88" s="1"/>
  <c r="O205" i="88"/>
  <c r="Z90" i="88"/>
  <c r="Z93" i="88" s="1" a="1"/>
  <c r="Z93" i="88" s="1"/>
  <c r="U205" i="88"/>
  <c r="W205" i="88"/>
  <c r="U90" i="88"/>
  <c r="R90" i="88"/>
  <c r="R93" i="88" s="1" a="1"/>
  <c r="R93" i="88" s="1"/>
  <c r="C93" i="88"/>
  <c r="E93" i="88" s="1"/>
  <c r="AG33" i="81" s="1"/>
  <c r="L205" i="88"/>
  <c r="S205" i="88"/>
  <c r="Q186" i="88"/>
  <c r="Q206" i="88" s="1"/>
  <c r="Q209" i="88" s="1" a="1"/>
  <c r="Q209" i="88" s="1"/>
  <c r="V205" i="88"/>
  <c r="X90" i="88"/>
  <c r="X93" i="88" s="1" a="1"/>
  <c r="X93" i="88" s="1"/>
  <c r="T90" i="88"/>
  <c r="J185" i="88"/>
  <c r="J205" i="88" s="1"/>
  <c r="R205" i="88"/>
  <c r="M90" i="88"/>
  <c r="M93" i="88" s="1" a="1"/>
  <c r="M93" i="88" s="1"/>
  <c r="AA205" i="88"/>
  <c r="L90" i="88"/>
  <c r="L93" i="88" s="1" a="1"/>
  <c r="L93" i="88" s="1"/>
  <c r="AE90" i="88"/>
  <c r="M205" i="88"/>
  <c r="P205" i="88"/>
  <c r="AD93" i="88" a="1"/>
  <c r="AD93" i="88" s="1"/>
  <c r="AC93" i="88" a="1"/>
  <c r="AC93" i="88" s="1"/>
  <c r="AD33" i="81" s="1"/>
  <c r="P93" i="88" a="1"/>
  <c r="P93" i="88" s="1"/>
  <c r="K93" i="88" a="1"/>
  <c r="K93" i="88" s="1"/>
  <c r="Q93" i="88" a="1"/>
  <c r="Q93" i="88" s="1"/>
  <c r="W93" i="88" a="1"/>
  <c r="W93" i="88" s="1"/>
  <c r="U93" i="88" a="1"/>
  <c r="U93" i="88" s="1"/>
  <c r="O151" i="88"/>
  <c r="J151" i="88"/>
  <c r="T151" i="88"/>
  <c r="U151" i="88"/>
  <c r="Y151" i="88"/>
  <c r="AA151" i="88"/>
  <c r="P151" i="88"/>
  <c r="I151" i="88"/>
  <c r="Q151" i="88"/>
  <c r="H151" i="88"/>
  <c r="R151" i="88"/>
  <c r="S151" i="88"/>
  <c r="V151" i="88"/>
  <c r="W151" i="88"/>
  <c r="X151" i="88"/>
  <c r="L151" i="88"/>
  <c r="Z151" i="88"/>
  <c r="AC151" i="88"/>
  <c r="AD151" i="88"/>
  <c r="AE151" i="88"/>
  <c r="K151" i="88"/>
  <c r="M151" i="88"/>
  <c r="N151" i="88"/>
  <c r="AB151" i="88"/>
  <c r="J93" i="88" a="1"/>
  <c r="I93" i="88" a="1"/>
  <c r="Q119" i="88"/>
  <c r="P119" i="88"/>
  <c r="O119" i="88"/>
  <c r="N119" i="88"/>
  <c r="M119" i="88"/>
  <c r="L119" i="88"/>
  <c r="AE119" i="88"/>
  <c r="K119" i="88"/>
  <c r="AD119" i="88"/>
  <c r="J119" i="88"/>
  <c r="AC119" i="88"/>
  <c r="I119" i="88"/>
  <c r="W119" i="88"/>
  <c r="V119" i="88"/>
  <c r="U119" i="88"/>
  <c r="T119" i="88"/>
  <c r="S119" i="88"/>
  <c r="R119" i="88"/>
  <c r="H119" i="88"/>
  <c r="AB119" i="88"/>
  <c r="AA119" i="88"/>
  <c r="Z119" i="88"/>
  <c r="Y119" i="88"/>
  <c r="X119" i="88"/>
  <c r="C120" i="88"/>
  <c r="AF120" i="88" s="1"/>
  <c r="AF123" i="88" s="1" a="1"/>
  <c r="AF123" i="88" s="1"/>
  <c r="C152" i="88"/>
  <c r="AF152" i="88" s="1"/>
  <c r="AF155" i="88" s="1" a="1"/>
  <c r="AF155" i="88" s="1"/>
  <c r="AD209" i="88" l="1" a="1"/>
  <c r="AD209" i="88" s="1"/>
  <c r="I209" i="88" a="1"/>
  <c r="I209" i="88" s="1"/>
  <c r="Z33" i="81"/>
  <c r="AA33" i="81"/>
  <c r="AE33" i="81"/>
  <c r="Y33" i="81"/>
  <c r="K209" i="88" a="1"/>
  <c r="K209" i="88" s="1"/>
  <c r="J209" i="88" a="1"/>
  <c r="J209" i="88" s="1"/>
  <c r="O186" i="88"/>
  <c r="O206" i="88" s="1"/>
  <c r="O209" i="88" s="1" a="1"/>
  <c r="O209" i="88" s="1"/>
  <c r="AE186" i="88"/>
  <c r="AE206" i="88" s="1"/>
  <c r="AE209" i="88" s="1" a="1"/>
  <c r="AE209" i="88" s="1"/>
  <c r="AB186" i="88"/>
  <c r="AB206" i="88" s="1"/>
  <c r="AB209" i="88" s="1" a="1"/>
  <c r="AB209" i="88" s="1"/>
  <c r="T186" i="88"/>
  <c r="T206" i="88" s="1"/>
  <c r="T209" i="88" s="1" a="1"/>
  <c r="T209" i="88" s="1"/>
  <c r="AE93" i="88" a="1"/>
  <c r="AE93" i="88" s="1"/>
  <c r="AF33" i="81" s="1"/>
  <c r="Y186" i="88"/>
  <c r="Y206" i="88" s="1"/>
  <c r="Y209" i="88" s="1" a="1"/>
  <c r="Y209" i="88" s="1"/>
  <c r="P186" i="88"/>
  <c r="P206" i="88" s="1"/>
  <c r="P209" i="88" s="1" a="1"/>
  <c r="P209" i="88" s="1"/>
  <c r="V186" i="88"/>
  <c r="V206" i="88" s="1"/>
  <c r="V209" i="88" s="1" a="1"/>
  <c r="V209" i="88" s="1"/>
  <c r="C94" i="88"/>
  <c r="C95" i="88" s="1"/>
  <c r="R186" i="88"/>
  <c r="R206" i="88" s="1"/>
  <c r="R209" i="88" s="1" a="1"/>
  <c r="R209" i="88" s="1"/>
  <c r="U186" i="88"/>
  <c r="U206" i="88" s="1"/>
  <c r="U209" i="88" s="1" a="1"/>
  <c r="U209" i="88" s="1"/>
  <c r="Z186" i="88"/>
  <c r="Z206" i="88" s="1"/>
  <c r="Z209" i="88" s="1" a="1"/>
  <c r="Z209" i="88" s="1"/>
  <c r="L186" i="88"/>
  <c r="L206" i="88" s="1"/>
  <c r="L209" i="88" s="1" a="1"/>
  <c r="L209" i="88" s="1"/>
  <c r="X186" i="88"/>
  <c r="X206" i="88" s="1"/>
  <c r="X209" i="88" s="1" a="1"/>
  <c r="X209" i="88" s="1"/>
  <c r="H186" i="88"/>
  <c r="H206" i="88" s="1"/>
  <c r="H209" i="88" s="1" a="1"/>
  <c r="H209" i="88" s="1"/>
  <c r="T93" i="88" a="1"/>
  <c r="T93" i="88" s="1"/>
  <c r="W186" i="88"/>
  <c r="W206" i="88" s="1"/>
  <c r="W209" i="88" s="1" a="1"/>
  <c r="W209" i="88" s="1"/>
  <c r="O93" i="88" a="1"/>
  <c r="M186" i="88"/>
  <c r="M206" i="88" s="1"/>
  <c r="M209" i="88" s="1" a="1"/>
  <c r="M209" i="88" s="1"/>
  <c r="N186" i="88"/>
  <c r="N206" i="88" s="1"/>
  <c r="N209" i="88" s="1" a="1"/>
  <c r="N209" i="88" s="1"/>
  <c r="V93" i="88" a="1"/>
  <c r="V93" i="88" s="1"/>
  <c r="W33" i="81" s="1"/>
  <c r="AA186" i="88"/>
  <c r="AB93" i="88" a="1"/>
  <c r="AB93" i="88" s="1"/>
  <c r="AC33" i="81" s="1"/>
  <c r="S186" i="88"/>
  <c r="S206" i="88" s="1"/>
  <c r="S209" i="88" s="1" a="1"/>
  <c r="S209" i="88" s="1"/>
  <c r="S93" i="88"/>
  <c r="T33" i="81" s="1"/>
  <c r="R33" i="81"/>
  <c r="L33" i="81"/>
  <c r="O93" i="88"/>
  <c r="O33" i="81"/>
  <c r="Q33" i="81"/>
  <c r="M33" i="81"/>
  <c r="S33" i="81"/>
  <c r="V33" i="81"/>
  <c r="X33" i="81"/>
  <c r="I93" i="88"/>
  <c r="J93" i="88"/>
  <c r="N33" i="81"/>
  <c r="P152" i="88"/>
  <c r="P155" i="88" s="1" a="1"/>
  <c r="T152" i="88"/>
  <c r="T155" i="88" s="1" a="1"/>
  <c r="X152" i="88"/>
  <c r="X155" i="88" s="1" a="1"/>
  <c r="X155" i="88" s="1"/>
  <c r="Y152" i="88"/>
  <c r="Y155" i="88" s="1" a="1"/>
  <c r="Y155" i="88" s="1"/>
  <c r="Z152" i="88"/>
  <c r="Z155" i="88" s="1" a="1"/>
  <c r="Z155" i="88" s="1"/>
  <c r="AB152" i="88"/>
  <c r="AB155" i="88" s="1" a="1"/>
  <c r="AB155" i="88" s="1"/>
  <c r="Q152" i="88"/>
  <c r="Q155" i="88" s="1" a="1"/>
  <c r="R152" i="88"/>
  <c r="R155" i="88" s="1" a="1"/>
  <c r="S152" i="88"/>
  <c r="S155" i="88" s="1" a="1"/>
  <c r="U152" i="88"/>
  <c r="U155" i="88" s="1" a="1"/>
  <c r="V152" i="88"/>
  <c r="V155" i="88" s="1" a="1"/>
  <c r="W152" i="88"/>
  <c r="W155" i="88" s="1" a="1"/>
  <c r="AA152" i="88"/>
  <c r="AA155" i="88" s="1" a="1"/>
  <c r="AA155" i="88" s="1"/>
  <c r="M152" i="88"/>
  <c r="M155" i="88" s="1" a="1"/>
  <c r="N152" i="88"/>
  <c r="N155" i="88" s="1" a="1"/>
  <c r="O152" i="88"/>
  <c r="O155" i="88" s="1" a="1"/>
  <c r="AC152" i="88"/>
  <c r="AC155" i="88" s="1" a="1"/>
  <c r="AC155" i="88" s="1"/>
  <c r="AD152" i="88"/>
  <c r="AD155" i="88" s="1" a="1"/>
  <c r="AD155" i="88" s="1"/>
  <c r="AE152" i="88"/>
  <c r="AE155" i="88" s="1" a="1"/>
  <c r="AE155" i="88" s="1"/>
  <c r="K152" i="88"/>
  <c r="K155" i="88" s="1" a="1"/>
  <c r="J152" i="88"/>
  <c r="J155" i="88" s="1" a="1"/>
  <c r="I152" i="88"/>
  <c r="I155" i="88" s="1" a="1"/>
  <c r="H152" i="88"/>
  <c r="H155" i="88" s="1" a="1"/>
  <c r="L152" i="88"/>
  <c r="L155" i="88" s="1" a="1"/>
  <c r="H93" i="88"/>
  <c r="M120" i="88"/>
  <c r="M123" i="88" s="1" a="1"/>
  <c r="L120" i="88"/>
  <c r="L123" i="88" s="1" a="1"/>
  <c r="AE120" i="88"/>
  <c r="AE123" i="88" s="1" a="1"/>
  <c r="AE123" i="88" s="1"/>
  <c r="K120" i="88"/>
  <c r="K123" i="88" s="1" a="1"/>
  <c r="AD120" i="88"/>
  <c r="AD123" i="88" s="1" a="1"/>
  <c r="AD123" i="88" s="1"/>
  <c r="J120" i="88"/>
  <c r="J123" i="88" s="1" a="1"/>
  <c r="AC120" i="88"/>
  <c r="AC123" i="88" s="1" a="1"/>
  <c r="AC123" i="88" s="1"/>
  <c r="I120" i="88"/>
  <c r="AB120" i="88"/>
  <c r="AB123" i="88" s="1" a="1"/>
  <c r="AB123" i="88" s="1"/>
  <c r="H120" i="88"/>
  <c r="H123" i="88" s="1" a="1"/>
  <c r="AA120" i="88"/>
  <c r="AA123" i="88" s="1" a="1"/>
  <c r="AA123" i="88" s="1"/>
  <c r="Z120" i="88"/>
  <c r="Z123" i="88" s="1" a="1"/>
  <c r="Z123" i="88" s="1"/>
  <c r="Y120" i="88"/>
  <c r="Y123" i="88" s="1" a="1"/>
  <c r="Y123" i="88" s="1"/>
  <c r="X120" i="88"/>
  <c r="X123" i="88" s="1" a="1"/>
  <c r="X123" i="88" s="1"/>
  <c r="W120" i="88"/>
  <c r="W123" i="88" s="1" a="1"/>
  <c r="V120" i="88"/>
  <c r="V123" i="88" s="1" a="1"/>
  <c r="U120" i="88"/>
  <c r="U123" i="88" s="1" a="1"/>
  <c r="T120" i="88"/>
  <c r="T123" i="88" s="1" a="1"/>
  <c r="S120" i="88"/>
  <c r="S123" i="88" s="1" a="1"/>
  <c r="R120" i="88"/>
  <c r="R123" i="88" s="1" a="1"/>
  <c r="Q120" i="88"/>
  <c r="Q123" i="88" s="1" a="1"/>
  <c r="P120" i="88"/>
  <c r="P123" i="88" s="1" a="1"/>
  <c r="O120" i="88"/>
  <c r="O123" i="88" s="1" a="1"/>
  <c r="N120" i="88"/>
  <c r="N123" i="88" s="1" a="1"/>
  <c r="E94" i="88"/>
  <c r="C123" i="88"/>
  <c r="C155" i="88"/>
  <c r="AA206" i="88" l="1"/>
  <c r="AA209" i="88" s="1" a="1"/>
  <c r="AA209" i="88" s="1"/>
  <c r="P33" i="81"/>
  <c r="U33" i="81"/>
  <c r="I123" i="88" a="1"/>
  <c r="I123" i="88" s="1"/>
  <c r="W123" i="88"/>
  <c r="S123" i="88"/>
  <c r="V123" i="88"/>
  <c r="R155" i="88"/>
  <c r="M155" i="88"/>
  <c r="S155" i="88"/>
  <c r="N155" i="88"/>
  <c r="N123" i="88"/>
  <c r="Q123" i="88"/>
  <c r="L155" i="88"/>
  <c r="V155" i="88"/>
  <c r="K123" i="88"/>
  <c r="K33" i="81"/>
  <c r="L123" i="88"/>
  <c r="Q155" i="88"/>
  <c r="P155" i="88"/>
  <c r="U123" i="88"/>
  <c r="J155" i="88"/>
  <c r="H155" i="88"/>
  <c r="M123" i="88"/>
  <c r="W155" i="88"/>
  <c r="O123" i="88"/>
  <c r="U155" i="88"/>
  <c r="J33" i="81"/>
  <c r="R123" i="88"/>
  <c r="H123" i="88"/>
  <c r="I155" i="88"/>
  <c r="I33" i="81"/>
  <c r="K155" i="88"/>
  <c r="T155" i="88"/>
  <c r="O155" i="88"/>
  <c r="P123" i="88"/>
  <c r="T123" i="88"/>
  <c r="J123" i="88"/>
  <c r="C96" i="88"/>
  <c r="E96" i="88" s="1"/>
  <c r="E95" i="88"/>
  <c r="C156" i="88"/>
  <c r="E155" i="88"/>
  <c r="C124" i="88"/>
  <c r="E123" i="88"/>
  <c r="O31" i="81"/>
  <c r="Y31" i="81"/>
  <c r="M31" i="81"/>
  <c r="W31" i="81"/>
  <c r="T31" i="81"/>
  <c r="AB31" i="81"/>
  <c r="P31" i="81"/>
  <c r="AD31" i="81"/>
  <c r="R31" i="81"/>
  <c r="Q31" i="81"/>
  <c r="L31" i="81"/>
  <c r="Z31" i="81"/>
  <c r="I31" i="81"/>
  <c r="U31" i="81"/>
  <c r="AF31" i="81"/>
  <c r="AE31" i="81"/>
  <c r="X31" i="81"/>
  <c r="AA31" i="81"/>
  <c r="AG31" i="81"/>
  <c r="N31" i="81"/>
  <c r="S31" i="81"/>
  <c r="AC31" i="81"/>
  <c r="J31" i="81"/>
  <c r="K31" i="81"/>
  <c r="V31" i="81"/>
  <c r="I9" i="68"/>
  <c r="I9" i="75" s="1"/>
  <c r="V30" i="81" l="1"/>
  <c r="AB32" i="81"/>
  <c r="I30" i="81"/>
  <c r="M33" i="72"/>
  <c r="T32" i="81"/>
  <c r="AA32" i="81"/>
  <c r="AD33" i="72"/>
  <c r="W32" i="81"/>
  <c r="R30" i="81"/>
  <c r="AD32" i="81"/>
  <c r="T30" i="81"/>
  <c r="AE32" i="81"/>
  <c r="K30" i="81"/>
  <c r="O30" i="81"/>
  <c r="Q30" i="81"/>
  <c r="J30" i="81"/>
  <c r="S30" i="81"/>
  <c r="AE30" i="81"/>
  <c r="O32" i="81"/>
  <c r="U30" i="81"/>
  <c r="X32" i="81"/>
  <c r="U32" i="81"/>
  <c r="X30" i="81"/>
  <c r="L30" i="81"/>
  <c r="L33" i="72"/>
  <c r="AB33" i="72"/>
  <c r="AG33" i="72"/>
  <c r="Y30" i="81"/>
  <c r="AE33" i="72"/>
  <c r="Z30" i="81"/>
  <c r="M30" i="81"/>
  <c r="AC30" i="81"/>
  <c r="AC32" i="81"/>
  <c r="L32" i="81"/>
  <c r="W33" i="72"/>
  <c r="V33" i="72"/>
  <c r="P32" i="81"/>
  <c r="S33" i="72"/>
  <c r="J32" i="81"/>
  <c r="AG32" i="81"/>
  <c r="W30" i="81"/>
  <c r="T33" i="72"/>
  <c r="Q33" i="72"/>
  <c r="AA33" i="72"/>
  <c r="C125" i="88"/>
  <c r="E124" i="88"/>
  <c r="I32" i="81"/>
  <c r="Z33" i="72"/>
  <c r="R33" i="72"/>
  <c r="C157" i="88"/>
  <c r="E156" i="88"/>
  <c r="O33" i="72"/>
  <c r="K33" i="72"/>
  <c r="Z32" i="81"/>
  <c r="Y32" i="81"/>
  <c r="A2" i="88"/>
  <c r="A1" i="88"/>
  <c r="A2" i="87"/>
  <c r="A1" i="87"/>
  <c r="AE31" i="72" l="1"/>
  <c r="K31" i="72"/>
  <c r="W31" i="72"/>
  <c r="AG31" i="72"/>
  <c r="AC31" i="72"/>
  <c r="R31" i="72"/>
  <c r="C126" i="88"/>
  <c r="E126" i="88" s="1"/>
  <c r="E125" i="88"/>
  <c r="C158" i="88"/>
  <c r="E158" i="88" s="1"/>
  <c r="E157" i="88"/>
  <c r="I31" i="72"/>
  <c r="J31" i="72"/>
  <c r="Q31" i="72"/>
  <c r="S31" i="72"/>
  <c r="U31" i="72"/>
  <c r="AB31" i="72"/>
  <c r="M31" i="72"/>
  <c r="I33" i="72"/>
  <c r="AC33" i="72"/>
  <c r="N30" i="81"/>
  <c r="AF32" i="81"/>
  <c r="K32" i="81"/>
  <c r="S32" i="81"/>
  <c r="P30" i="81"/>
  <c r="V32" i="81"/>
  <c r="AA31" i="72"/>
  <c r="AF31" i="72"/>
  <c r="Z31" i="72"/>
  <c r="Y31" i="72"/>
  <c r="N31" i="72"/>
  <c r="V31" i="72"/>
  <c r="N32" i="81"/>
  <c r="AD30" i="81"/>
  <c r="U33" i="72"/>
  <c r="Q32" i="81"/>
  <c r="N33" i="72"/>
  <c r="Y33" i="72"/>
  <c r="R32" i="81"/>
  <c r="X33" i="72"/>
  <c r="M32" i="81"/>
  <c r="AF30" i="81"/>
  <c r="AG30" i="81"/>
  <c r="O31" i="72"/>
  <c r="AF33" i="72"/>
  <c r="T31" i="72"/>
  <c r="P31" i="72"/>
  <c r="AA30" i="81"/>
  <c r="X31" i="72"/>
  <c r="P33" i="72"/>
  <c r="AB30" i="81"/>
  <c r="J33" i="72"/>
  <c r="AD31" i="72"/>
  <c r="L31" i="72"/>
  <c r="O31" i="82" l="1"/>
  <c r="Y30" i="82"/>
  <c r="Y33" i="82"/>
  <c r="AF32" i="82"/>
  <c r="O30" i="82"/>
  <c r="AA32" i="82"/>
  <c r="U31" i="82"/>
  <c r="K31" i="82"/>
  <c r="V30" i="82"/>
  <c r="AD33" i="82"/>
  <c r="AF31" i="82"/>
  <c r="AC30" i="82"/>
  <c r="AB32" i="82"/>
  <c r="AB31" i="82"/>
  <c r="Z31" i="82"/>
  <c r="R33" i="82"/>
  <c r="V32" i="82"/>
  <c r="AA33" i="82"/>
  <c r="Q31" i="82"/>
  <c r="AC33" i="82"/>
  <c r="O32" i="82"/>
  <c r="S30" i="82"/>
  <c r="S33" i="82"/>
  <c r="Z32" i="82"/>
  <c r="AE32" i="82"/>
  <c r="Q32" i="82"/>
  <c r="M30" i="82"/>
  <c r="AD32" i="82"/>
  <c r="AE33" i="82"/>
  <c r="Z30" i="82"/>
  <c r="N31" i="82"/>
  <c r="N33" i="82"/>
  <c r="W30" i="82"/>
  <c r="R32" i="82"/>
  <c r="AC32" i="82"/>
  <c r="U32" i="82"/>
  <c r="K32" i="82"/>
  <c r="M31" i="82"/>
  <c r="AG30" i="82"/>
  <c r="AB30" i="82"/>
  <c r="M32" i="82"/>
  <c r="W32" i="82"/>
  <c r="W33" i="82"/>
  <c r="K33" i="82"/>
  <c r="J33" i="82"/>
  <c r="AC31" i="82"/>
  <c r="V33" i="82"/>
  <c r="I33" i="82"/>
  <c r="T30" i="82"/>
  <c r="Q33" i="82"/>
  <c r="X30" i="82"/>
  <c r="L32" i="82"/>
  <c r="AF30" i="82"/>
  <c r="AE31" i="82"/>
  <c r="X33" i="82"/>
  <c r="AB33" i="82"/>
  <c r="U33" i="82"/>
  <c r="O33" i="82"/>
  <c r="P31" i="82"/>
  <c r="T31" i="82"/>
  <c r="AD30" i="82"/>
  <c r="AD31" i="82"/>
  <c r="T33" i="82"/>
  <c r="P30" i="82"/>
  <c r="M33" i="82"/>
  <c r="K30" i="82"/>
  <c r="S31" i="82"/>
  <c r="X31" i="82"/>
  <c r="W31" i="82"/>
  <c r="L33" i="82"/>
  <c r="AA31" i="82"/>
  <c r="I31" i="82"/>
  <c r="U30" i="82"/>
  <c r="P33" i="82"/>
  <c r="R30" i="82"/>
  <c r="L30" i="82"/>
  <c r="J30" i="82"/>
  <c r="S32" i="82"/>
  <c r="AG33" i="82"/>
  <c r="Z33" i="82"/>
  <c r="V31" i="82"/>
  <c r="R31" i="82"/>
  <c r="J31" i="82"/>
  <c r="P32" i="82"/>
  <c r="AG32" i="82"/>
  <c r="AG31" i="82"/>
  <c r="Y31" i="82"/>
  <c r="X32" i="82"/>
  <c r="Q30" i="82"/>
  <c r="AF33" i="82"/>
  <c r="N32" i="82"/>
  <c r="Y32" i="82"/>
  <c r="I30" i="82"/>
  <c r="I32" i="82"/>
  <c r="AE30" i="82"/>
  <c r="T32" i="82"/>
  <c r="AA30" i="82"/>
  <c r="J32" i="82"/>
  <c r="L31" i="82"/>
  <c r="N30" i="82"/>
  <c r="P31" i="73"/>
  <c r="AD30" i="72"/>
  <c r="AG32" i="72"/>
  <c r="AE32" i="72"/>
  <c r="Y32" i="72"/>
  <c r="R32" i="72"/>
  <c r="J32" i="72"/>
  <c r="L30" i="72"/>
  <c r="Q31" i="73"/>
  <c r="X31" i="73"/>
  <c r="X30" i="72"/>
  <c r="AA32" i="72"/>
  <c r="AF30" i="72"/>
  <c r="P32" i="73"/>
  <c r="AA31" i="73"/>
  <c r="U30" i="72"/>
  <c r="AA32" i="73"/>
  <c r="T31" i="73"/>
  <c r="S30" i="73"/>
  <c r="O32" i="72"/>
  <c r="L32" i="73"/>
  <c r="AD31" i="73"/>
  <c r="AB30" i="72"/>
  <c r="Z30" i="73"/>
  <c r="N31" i="73"/>
  <c r="N30" i="72"/>
  <c r="L30" i="73"/>
  <c r="Z31" i="73"/>
  <c r="T32" i="73"/>
  <c r="K30" i="73"/>
  <c r="AC32" i="72"/>
  <c r="S32" i="72"/>
  <c r="AF31" i="73"/>
  <c r="AF33" i="73"/>
  <c r="R31" i="73"/>
  <c r="R33" i="73"/>
  <c r="AB33" i="73"/>
  <c r="S31" i="73"/>
  <c r="J31" i="73"/>
  <c r="J33" i="73"/>
  <c r="W33" i="73"/>
  <c r="AD32" i="73"/>
  <c r="M32" i="73"/>
  <c r="N32" i="73"/>
  <c r="AE32" i="73"/>
  <c r="M30" i="73"/>
  <c r="Y30" i="73"/>
  <c r="AC32" i="73"/>
  <c r="AE30" i="73"/>
  <c r="U31" i="73"/>
  <c r="AE31" i="73"/>
  <c r="I33" i="73"/>
  <c r="AC31" i="73"/>
  <c r="X32" i="73"/>
  <c r="U33" i="73"/>
  <c r="Q33" i="73"/>
  <c r="R32" i="73"/>
  <c r="AF30" i="73"/>
  <c r="P33" i="73"/>
  <c r="J32" i="73"/>
  <c r="R30" i="73"/>
  <c r="L33" i="73"/>
  <c r="M33" i="73"/>
  <c r="J30" i="73"/>
  <c r="AA33" i="73"/>
  <c r="AE33" i="73"/>
  <c r="O33" i="73"/>
  <c r="Z33" i="73"/>
  <c r="AC33" i="73"/>
  <c r="V33" i="73"/>
  <c r="T33" i="73"/>
  <c r="M31" i="73"/>
  <c r="K33" i="73"/>
  <c r="S33" i="73"/>
  <c r="AD33" i="73"/>
  <c r="N33" i="73"/>
  <c r="K31" i="73"/>
  <c r="Y33" i="73"/>
  <c r="X33" i="73"/>
  <c r="I30" i="73"/>
  <c r="Q30" i="73"/>
  <c r="K30" i="72"/>
  <c r="AE30" i="72"/>
  <c r="Y32" i="73"/>
  <c r="R30" i="72"/>
  <c r="V32" i="72"/>
  <c r="AG32" i="73"/>
  <c r="AF32" i="73"/>
  <c r="U32" i="72"/>
  <c r="L31" i="73"/>
  <c r="V30" i="73"/>
  <c r="K32" i="73"/>
  <c r="L32" i="72"/>
  <c r="AB32" i="73"/>
  <c r="AC30" i="73"/>
  <c r="W31" i="73"/>
  <c r="X30" i="73"/>
  <c r="AG31" i="73"/>
  <c r="O30" i="72"/>
  <c r="AB31" i="73"/>
  <c r="O31" i="73"/>
  <c r="W30" i="73"/>
  <c r="W32" i="72"/>
  <c r="T30" i="72"/>
  <c r="N30" i="73"/>
  <c r="T32" i="72"/>
  <c r="Z32" i="72"/>
  <c r="Y30" i="72"/>
  <c r="Q32" i="72"/>
  <c r="O30" i="73"/>
  <c r="AB30" i="73"/>
  <c r="U32" i="73"/>
  <c r="AA30" i="72"/>
  <c r="I30" i="72"/>
  <c r="AC30" i="72"/>
  <c r="V32" i="73"/>
  <c r="W32" i="73"/>
  <c r="I32" i="73"/>
  <c r="Z30" i="72"/>
  <c r="P30" i="72"/>
  <c r="AB32" i="72"/>
  <c r="K32" i="72"/>
  <c r="P32" i="72"/>
  <c r="AG33" i="73"/>
  <c r="Q30" i="72"/>
  <c r="S30" i="72"/>
  <c r="X32" i="72"/>
  <c r="M30" i="72"/>
  <c r="M32" i="72"/>
  <c r="J30" i="72"/>
  <c r="U30" i="73"/>
  <c r="I31" i="73"/>
  <c r="P30" i="73"/>
  <c r="O32" i="73"/>
  <c r="AG30" i="72"/>
  <c r="AD32" i="72"/>
  <c r="AG30" i="73"/>
  <c r="Q32" i="73"/>
  <c r="AA30" i="73"/>
  <c r="N32" i="72"/>
  <c r="W30" i="72"/>
  <c r="Z32" i="73"/>
  <c r="T30" i="73"/>
  <c r="S32" i="73"/>
  <c r="AD30" i="73"/>
  <c r="I32" i="72"/>
  <c r="AF32" i="72"/>
  <c r="V31" i="73"/>
  <c r="V30" i="72"/>
  <c r="Y31" i="73"/>
  <c r="C25" i="62"/>
  <c r="A2" i="43"/>
  <c r="C111" i="43" l="1"/>
  <c r="C112" i="43"/>
  <c r="C113" i="43"/>
  <c r="C114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G113" i="82"/>
  <c r="E113" i="82"/>
  <c r="D113" i="82"/>
  <c r="C113" i="82"/>
  <c r="A113" i="82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G112" i="73"/>
  <c r="E112" i="73"/>
  <c r="D112" i="73"/>
  <c r="C112" i="73"/>
  <c r="A112" i="73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7" i="68" l="1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I79" i="82"/>
  <c r="I78" i="82"/>
  <c r="I77" i="82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J79" i="82" s="1"/>
  <c r="I73" i="82" a="1"/>
  <c r="I73" i="82" s="1"/>
  <c r="J78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G90" i="73" s="1" a="1"/>
  <c r="G90" i="73" s="1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J78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D98" i="85"/>
  <c r="F98" i="85"/>
  <c r="I75" i="33" s="1"/>
  <c r="E98" i="85"/>
  <c r="D96" i="85"/>
  <c r="E97" i="85"/>
  <c r="G98" i="85"/>
  <c r="J75" i="33" s="1"/>
  <c r="G96" i="85"/>
  <c r="E96" i="85"/>
  <c r="G97" i="85"/>
  <c r="J74" i="33" s="1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K77" i="82" s="1"/>
  <c r="J74" i="82" a="1"/>
  <c r="J74" i="82" s="1"/>
  <c r="K79" i="82" s="1"/>
  <c r="J73" i="82" a="1"/>
  <c r="J73" i="82" s="1"/>
  <c r="K78" i="82" s="1"/>
  <c r="J74" i="73" a="1"/>
  <c r="J74" i="73" s="1"/>
  <c r="J73" i="73" a="1"/>
  <c r="J73" i="73" s="1"/>
  <c r="K78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L78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L78" i="82" s="1"/>
  <c r="K72" i="82" a="1"/>
  <c r="K72" i="82" s="1"/>
  <c r="K74" i="82" a="1"/>
  <c r="K74" i="82" s="1"/>
  <c r="L79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M79" i="82" s="1"/>
  <c r="L72" i="82" a="1"/>
  <c r="L72" i="82" s="1"/>
  <c r="M77" i="82" s="1"/>
  <c r="L73" i="82" a="1"/>
  <c r="L73" i="82" s="1"/>
  <c r="M78" i="82" s="1"/>
  <c r="M72" i="68" a="1"/>
  <c r="M72" i="68" s="1"/>
  <c r="M74" i="68" a="1"/>
  <c r="M74" i="68" s="1"/>
  <c r="M73" i="68" a="1"/>
  <c r="M73" i="68" s="1"/>
  <c r="L72" i="73" a="1"/>
  <c r="L72" i="73" s="1"/>
  <c r="M77" i="73" s="1"/>
  <c r="L73" i="73" a="1"/>
  <c r="L73" i="73" s="1"/>
  <c r="M78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N79" i="82" s="1"/>
  <c r="M72" i="82" a="1"/>
  <c r="M72" i="82" s="1"/>
  <c r="N77" i="82" s="1"/>
  <c r="M73" i="82" a="1"/>
  <c r="M73" i="82" s="1"/>
  <c r="N78" i="82" s="1"/>
  <c r="M72" i="73" a="1"/>
  <c r="M72" i="73" s="1"/>
  <c r="N77" i="73" s="1"/>
  <c r="M73" i="73" a="1"/>
  <c r="M73" i="73" s="1"/>
  <c r="N78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O78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O78" i="82" s="1"/>
  <c r="N74" i="82" a="1"/>
  <c r="N74" i="82" s="1"/>
  <c r="O79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P78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P77" i="82" s="1"/>
  <c r="O73" i="82" a="1"/>
  <c r="O73" i="82" s="1"/>
  <c r="P78" i="82" s="1"/>
  <c r="O74" i="82" a="1"/>
  <c r="O74" i="82" s="1"/>
  <c r="P79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Q78" i="73" s="1"/>
  <c r="P72" i="73" a="1"/>
  <c r="P72" i="73" s="1"/>
  <c r="Q77" i="73" s="1"/>
  <c r="P74" i="82" a="1"/>
  <c r="P74" i="82" s="1"/>
  <c r="Q79" i="82" s="1"/>
  <c r="P73" i="82" a="1"/>
  <c r="P73" i="82" s="1"/>
  <c r="Q78" i="82" s="1"/>
  <c r="P72" i="82" a="1"/>
  <c r="P72" i="82" s="1"/>
  <c r="Q77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R78" i="73" s="1"/>
  <c r="Q73" i="82" a="1"/>
  <c r="Q73" i="82" s="1"/>
  <c r="R78" i="82" s="1"/>
  <c r="Q72" i="82" a="1"/>
  <c r="Q72" i="82" s="1"/>
  <c r="R77" i="82" s="1"/>
  <c r="Q74" i="82" a="1"/>
  <c r="Q74" i="82" s="1"/>
  <c r="R79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S78" i="82" s="1"/>
  <c r="R74" i="82" a="1"/>
  <c r="R74" i="82" s="1"/>
  <c r="S79" i="82" s="1"/>
  <c r="R72" i="73" a="1"/>
  <c r="R72" i="73" s="1"/>
  <c r="S77" i="73" s="1"/>
  <c r="R74" i="73" a="1"/>
  <c r="R74" i="73" s="1"/>
  <c r="R73" i="73" a="1"/>
  <c r="R73" i="73" s="1"/>
  <c r="S78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T79" i="82" s="1"/>
  <c r="S73" i="82" a="1"/>
  <c r="S73" i="82" s="1"/>
  <c r="T78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T78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U78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U78" i="82" s="1"/>
  <c r="T74" i="82" a="1"/>
  <c r="T74" i="82" s="1"/>
  <c r="U79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V78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V79" i="82" s="1"/>
  <c r="U73" i="82" a="1"/>
  <c r="U73" i="82" s="1"/>
  <c r="V78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W78" i="82" s="1"/>
  <c r="V74" i="82" a="1"/>
  <c r="V74" i="82" s="1"/>
  <c r="W79" i="82" s="1"/>
  <c r="V73" i="73" a="1"/>
  <c r="V73" i="73" s="1"/>
  <c r="W78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X79" i="82" s="1"/>
  <c r="W73" i="82" a="1"/>
  <c r="W73" i="82" s="1"/>
  <c r="X78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X77" i="73" s="1"/>
  <c r="W74" i="73" a="1"/>
  <c r="W74" i="73" s="1"/>
  <c r="W73" i="73" a="1"/>
  <c r="W73" i="73" s="1"/>
  <c r="X78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Y79" i="82" s="1"/>
  <c r="X72" i="82" a="1"/>
  <c r="X72" i="82" s="1"/>
  <c r="Y77" i="82" s="1"/>
  <c r="X73" i="82" a="1"/>
  <c r="X73" i="82" s="1"/>
  <c r="Y78" i="82" s="1"/>
  <c r="X74" i="73" a="1"/>
  <c r="X74" i="73" s="1"/>
  <c r="X73" i="73" a="1"/>
  <c r="X73" i="73" s="1"/>
  <c r="Y78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Z78" i="82" s="1"/>
  <c r="Y74" i="82" a="1"/>
  <c r="Y74" i="82" s="1"/>
  <c r="Z79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Z78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AA78" i="82" s="1"/>
  <c r="Z74" i="82" a="1"/>
  <c r="Z74" i="82" s="1"/>
  <c r="AA79" i="82" s="1"/>
  <c r="Z74" i="73" a="1"/>
  <c r="Z74" i="73" s="1"/>
  <c r="Z72" i="73" a="1"/>
  <c r="Z72" i="73" s="1"/>
  <c r="AA77" i="73" s="1"/>
  <c r="Z73" i="73" a="1"/>
  <c r="Z73" i="73" s="1"/>
  <c r="AA78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B78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B79" i="82" s="1"/>
  <c r="AA73" i="82" a="1"/>
  <c r="AA73" i="82" s="1"/>
  <c r="AB78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D78" i="82" s="1"/>
  <c r="AC72" i="73" a="1"/>
  <c r="AC72" i="73" s="1"/>
  <c r="AC74" i="73" a="1"/>
  <c r="AC74" i="73" s="1"/>
  <c r="AC73" i="73" a="1"/>
  <c r="AC73" i="73" s="1"/>
  <c r="AD78" i="73" s="1"/>
  <c r="AC6" i="72"/>
  <c r="AB74" i="82" a="1"/>
  <c r="AB74" i="82" s="1"/>
  <c r="AC79" i="82" s="1"/>
  <c r="AB73" i="82" a="1"/>
  <c r="AB73" i="82" s="1"/>
  <c r="AC78" i="82" s="1"/>
  <c r="AB72" i="82" a="1"/>
  <c r="AB72" i="82" s="1"/>
  <c r="AC77" i="82" s="1"/>
  <c r="AC72" i="82" a="1"/>
  <c r="AC72" i="82" s="1"/>
  <c r="AC74" i="82" a="1"/>
  <c r="AC74" i="82" s="1"/>
  <c r="AD79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C78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73" l="1"/>
  <c r="AC82" i="73" s="1"/>
  <c r="AC107" i="73" s="1"/>
  <c r="AD77" i="73"/>
  <c r="AC80" i="82"/>
  <c r="AC82" i="82" s="1"/>
  <c r="AC107" i="82" s="1"/>
  <c r="AD77" i="82"/>
  <c r="AC7" i="75"/>
  <c r="AC7" i="85" s="1"/>
  <c r="AC6" i="85"/>
  <c r="AA82" i="73"/>
  <c r="AA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E78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E78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82"/>
  <c r="I9" i="81"/>
  <c r="I9" i="73"/>
  <c r="I9" i="72"/>
  <c r="J9" i="68"/>
  <c r="J9" i="85" s="1"/>
  <c r="AD80" i="73" l="1"/>
  <c r="AD82" i="73" s="1"/>
  <c r="AD107" i="73" s="1"/>
  <c r="AE77" i="73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E79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F79" i="82" s="1"/>
  <c r="AE72" i="82" a="1"/>
  <c r="AE72" i="82" s="1"/>
  <c r="AE73" i="82" a="1"/>
  <c r="AE73" i="82" s="1"/>
  <c r="AF78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F78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9" i="82"/>
  <c r="J9" i="81"/>
  <c r="J9" i="72"/>
  <c r="J9" i="73"/>
  <c r="K9" i="68"/>
  <c r="K9" i="85" s="1"/>
  <c r="AE80" i="73" l="1"/>
  <c r="AE82" i="73" s="1"/>
  <c r="AE107" i="73" s="1"/>
  <c r="AF77" i="73"/>
  <c r="AF77" i="82"/>
  <c r="AD80" i="82"/>
  <c r="AD82" i="82" s="1"/>
  <c r="AD107" i="82" s="1"/>
  <c r="AE77" i="82"/>
  <c r="AE80" i="82" s="1"/>
  <c r="AE82" i="82" s="1"/>
  <c r="AE107" i="82" s="1"/>
  <c r="AG7" i="75"/>
  <c r="AG7" i="85" s="1"/>
  <c r="AG6" i="85"/>
  <c r="J5" i="85"/>
  <c r="AC82" i="81"/>
  <c r="AC107" i="81" s="1"/>
  <c r="AD80" i="81"/>
  <c r="AF72" i="82" a="1"/>
  <c r="AF72" i="82" s="1"/>
  <c r="AF74" i="82" a="1"/>
  <c r="AF74" i="82" s="1"/>
  <c r="AG79" i="82" s="1"/>
  <c r="AF73" i="82" a="1"/>
  <c r="AF73" i="82" s="1"/>
  <c r="AG78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G78" i="73" s="1"/>
  <c r="AF72" i="73" a="1"/>
  <c r="AF72" i="73" s="1"/>
  <c r="AE80" i="81"/>
  <c r="AG6" i="73"/>
  <c r="AG6" i="81"/>
  <c r="AG6" i="72"/>
  <c r="AG6" i="82"/>
  <c r="J88" i="75"/>
  <c r="J97" i="75" s="1"/>
  <c r="K9" i="75"/>
  <c r="K9" i="82"/>
  <c r="K9" i="81"/>
  <c r="L9" i="68"/>
  <c r="L9" i="85" s="1"/>
  <c r="K9" i="72"/>
  <c r="K9" i="73"/>
  <c r="AF80" i="73" l="1"/>
  <c r="AG77" i="73"/>
  <c r="AF80" i="82"/>
  <c r="AF82" i="82" s="1"/>
  <c r="AF107" i="82" s="1"/>
  <c r="AG77" i="82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9" i="82"/>
  <c r="L9" i="81"/>
  <c r="M9" i="68"/>
  <c r="M9" i="85" s="1"/>
  <c r="L9" i="73"/>
  <c r="L9" i="72"/>
  <c r="AG80" i="73" l="1"/>
  <c r="AG82" i="73"/>
  <c r="AG107" i="73" s="1"/>
  <c r="L5" i="85"/>
  <c r="AF82" i="81"/>
  <c r="AF107" i="81" s="1"/>
  <c r="AG80" i="81"/>
  <c r="L88" i="75"/>
  <c r="L97" i="75" s="1"/>
  <c r="M9" i="75"/>
  <c r="M9" i="82"/>
  <c r="M9" i="81"/>
  <c r="N9" i="68"/>
  <c r="N9" i="85" s="1"/>
  <c r="M9" i="73"/>
  <c r="M9" i="72"/>
  <c r="M5" i="85" l="1"/>
  <c r="AG82" i="81"/>
  <c r="AG107" i="81" s="1"/>
  <c r="M88" i="75"/>
  <c r="M97" i="75" s="1"/>
  <c r="N9" i="75"/>
  <c r="N9" i="82"/>
  <c r="N9" i="81"/>
  <c r="O9" i="68"/>
  <c r="O9" i="85" s="1"/>
  <c r="N9" i="73"/>
  <c r="N9" i="72"/>
  <c r="N5" i="85" l="1"/>
  <c r="N88" i="75"/>
  <c r="N97" i="75" s="1"/>
  <c r="O9" i="75"/>
  <c r="O9" i="82"/>
  <c r="O9" i="81"/>
  <c r="P9" i="68"/>
  <c r="P9" i="85" s="1"/>
  <c r="O9" i="73"/>
  <c r="O9" i="72"/>
  <c r="O5" i="85" l="1"/>
  <c r="O88" i="75"/>
  <c r="O97" i="75" s="1"/>
  <c r="P9" i="75"/>
  <c r="P9" i="82"/>
  <c r="P9" i="81"/>
  <c r="Q9" i="68"/>
  <c r="Q9" i="85" s="1"/>
  <c r="P9" i="73"/>
  <c r="P9" i="72"/>
  <c r="P5" i="85" l="1"/>
  <c r="P88" i="75"/>
  <c r="P97" i="75" s="1"/>
  <c r="Q9" i="75"/>
  <c r="Q9" i="82"/>
  <c r="Q9" i="81"/>
  <c r="R9" i="68"/>
  <c r="R9" i="85" s="1"/>
  <c r="Q9" i="73"/>
  <c r="Q9" i="72"/>
  <c r="Q5" i="85" l="1"/>
  <c r="Q88" i="75"/>
  <c r="Q97" i="75" s="1"/>
  <c r="R9" i="75"/>
  <c r="R9" i="82"/>
  <c r="R9" i="81"/>
  <c r="S9" i="68"/>
  <c r="S9" i="85" s="1"/>
  <c r="R9" i="72"/>
  <c r="R9" i="73"/>
  <c r="R5" i="85" l="1"/>
  <c r="R88" i="75"/>
  <c r="R97" i="75" s="1"/>
  <c r="S9" i="75"/>
  <c r="S9" i="82"/>
  <c r="S9" i="81"/>
  <c r="T9" i="68"/>
  <c r="T9" i="85" s="1"/>
  <c r="S9" i="72"/>
  <c r="S9" i="73"/>
  <c r="S5" i="85" l="1"/>
  <c r="S88" i="75"/>
  <c r="S97" i="75" s="1"/>
  <c r="T9" i="75"/>
  <c r="T9" i="82"/>
  <c r="T9" i="81"/>
  <c r="U9" i="68"/>
  <c r="U9" i="85" s="1"/>
  <c r="T9" i="73"/>
  <c r="T9" i="72"/>
  <c r="T5" i="85" l="1"/>
  <c r="T88" i="75"/>
  <c r="T97" i="75" s="1"/>
  <c r="U9" i="75"/>
  <c r="U9" i="82"/>
  <c r="U9" i="81"/>
  <c r="V9" i="68"/>
  <c r="V9" i="85" s="1"/>
  <c r="U9" i="72"/>
  <c r="U9" i="73"/>
  <c r="U5" i="85" l="1"/>
  <c r="U88" i="75"/>
  <c r="U97" i="75" s="1"/>
  <c r="V9" i="75"/>
  <c r="V9" i="82"/>
  <c r="V9" i="81"/>
  <c r="W9" i="68"/>
  <c r="W9" i="85" s="1"/>
  <c r="V9" i="73"/>
  <c r="V9" i="72"/>
  <c r="V5" i="85" l="1"/>
  <c r="V88" i="75"/>
  <c r="V97" i="75" s="1"/>
  <c r="W9" i="75"/>
  <c r="W9" i="82"/>
  <c r="W9" i="81"/>
  <c r="X9" i="68"/>
  <c r="X9" i="85" s="1"/>
  <c r="W9" i="73"/>
  <c r="W9" i="72"/>
  <c r="W5" i="85" l="1"/>
  <c r="W88" i="75"/>
  <c r="W97" i="75" s="1"/>
  <c r="X9" i="75"/>
  <c r="X9" i="82"/>
  <c r="X9" i="81"/>
  <c r="Y9" i="68"/>
  <c r="Y9" i="85" s="1"/>
  <c r="X9" i="73"/>
  <c r="X9" i="72"/>
  <c r="X5" i="85" l="1"/>
  <c r="X88" i="75"/>
  <c r="X97" i="75" s="1"/>
  <c r="Y9" i="75"/>
  <c r="Y9" i="82"/>
  <c r="Y9" i="81"/>
  <c r="Z9" i="68"/>
  <c r="Z9" i="85" s="1"/>
  <c r="Y9" i="73"/>
  <c r="Y9" i="72"/>
  <c r="Y5" i="85" l="1"/>
  <c r="Y88" i="75"/>
  <c r="Y97" i="75" s="1"/>
  <c r="Z9" i="75"/>
  <c r="Z9" i="82"/>
  <c r="Z9" i="81"/>
  <c r="AA9" i="68"/>
  <c r="AA9" i="85" s="1"/>
  <c r="Z9" i="72"/>
  <c r="Z9" i="73"/>
  <c r="Z5" i="85" l="1"/>
  <c r="Z88" i="75"/>
  <c r="Z97" i="75" s="1"/>
  <c r="AA9" i="75"/>
  <c r="AA9" i="82"/>
  <c r="AA9" i="81"/>
  <c r="AB9" i="68"/>
  <c r="AB9" i="85" s="1"/>
  <c r="AA9" i="72"/>
  <c r="AA9" i="73"/>
  <c r="AA5" i="85" l="1"/>
  <c r="AC9" i="68"/>
  <c r="AC9" i="85" s="1"/>
  <c r="AA88" i="75"/>
  <c r="AA97" i="75" s="1"/>
  <c r="AB9" i="75"/>
  <c r="AB9" i="82"/>
  <c r="AB9" i="81"/>
  <c r="AB9" i="73"/>
  <c r="AB9" i="72"/>
  <c r="AC9" i="75" l="1"/>
  <c r="AC88" i="75" s="1"/>
  <c r="AC97" i="75" s="1"/>
  <c r="AC9" i="72"/>
  <c r="AC9" i="73"/>
  <c r="AD9" i="68"/>
  <c r="AD9" i="85" s="1"/>
  <c r="AC9" i="81"/>
  <c r="AC9" i="82"/>
  <c r="AB88" i="75"/>
  <c r="AB97" i="75" s="1"/>
  <c r="AC5" i="85" l="1"/>
  <c r="AB5" i="85"/>
  <c r="AD9" i="82"/>
  <c r="AD9" i="72"/>
  <c r="AD9" i="75"/>
  <c r="AD9" i="73"/>
  <c r="AD9" i="81"/>
  <c r="AE9" i="68"/>
  <c r="AE9" i="85" s="1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D5" i="85" l="1"/>
  <c r="AD88" i="75"/>
  <c r="AD97" i="75" s="1"/>
  <c r="AE9" i="81"/>
  <c r="AE9" i="82"/>
  <c r="AE9" i="75"/>
  <c r="AE88" i="75" s="1"/>
  <c r="AE97" i="75" s="1"/>
  <c r="AE9" i="72"/>
  <c r="AE9" i="73"/>
  <c r="AF9" i="68"/>
  <c r="AF9" i="85" s="1"/>
  <c r="G8" i="33"/>
  <c r="AE5" i="85" l="1"/>
  <c r="AF9" i="82"/>
  <c r="AF9" i="81"/>
  <c r="AF9" i="75"/>
  <c r="AF9" i="72"/>
  <c r="AF9" i="73"/>
  <c r="AG9" i="68"/>
  <c r="AG9" i="85" s="1"/>
  <c r="AF5" i="85" l="1"/>
  <c r="AF88" i="75"/>
  <c r="AF97" i="75" s="1"/>
  <c r="AG9" i="82"/>
  <c r="AG9" i="75"/>
  <c r="AG9" i="81"/>
  <c r="AG9" i="73"/>
  <c r="AG9" i="72"/>
  <c r="AG5" i="85" l="1"/>
  <c r="AG88" i="75"/>
  <c r="AG97" i="75" s="1"/>
  <c r="E49" i="81" l="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81"/>
  <c r="E47" i="72"/>
  <c r="E51" i="68"/>
  <c r="E52" i="72"/>
  <c r="E47" i="68"/>
  <c r="E50" i="72"/>
  <c r="E52" i="82"/>
  <c r="E48" i="73"/>
  <c r="E50" i="68"/>
  <c r="E48" i="68"/>
  <c r="E51" i="73"/>
  <c r="E51" i="82"/>
  <c r="E46" i="81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 s="1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E28" i="73"/>
  <c r="E28" i="81"/>
  <c r="E28" i="72"/>
  <c r="E28" i="68"/>
  <c r="E28" i="82"/>
  <c r="AG14" i="85"/>
  <c r="AE14" i="85"/>
  <c r="AD14" i="85"/>
  <c r="AF14" i="85"/>
  <c r="AB14" i="85"/>
  <c r="AC14" i="85"/>
  <c r="Y14" i="85"/>
  <c r="AA14" i="85"/>
  <c r="Q14" i="85"/>
  <c r="U14" i="85"/>
  <c r="S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R71" i="75"/>
  <c r="J43" i="75"/>
  <c r="Q61" i="75"/>
  <c r="Q60" i="75"/>
  <c r="M43" i="75"/>
  <c r="U6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W57" i="75"/>
  <c r="P61" i="75"/>
  <c r="I33" i="75"/>
  <c r="O61" i="75"/>
  <c r="N47" i="75"/>
  <c r="L47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S71" i="75"/>
  <c r="K74" i="75"/>
  <c r="R47" i="75"/>
  <c r="R60" i="75"/>
  <c r="M71" i="75"/>
  <c r="M32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P33" i="75"/>
  <c r="Q57" i="75"/>
  <c r="W71" i="75"/>
  <c r="N71" i="75"/>
  <c r="L43" i="75"/>
  <c r="L74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J57" i="75"/>
  <c r="Q33" i="75"/>
  <c r="U33" i="75"/>
  <c r="O75" i="75"/>
  <c r="L71" i="75"/>
  <c r="T33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X71" i="75"/>
  <c r="X61" i="75"/>
  <c r="X33" i="75"/>
  <c r="V60" i="75"/>
  <c r="Y33" i="75"/>
  <c r="V74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AA47" i="75"/>
  <c r="X60" i="75"/>
  <c r="AA43" i="75"/>
  <c r="AA61" i="75"/>
  <c r="AA57" i="75"/>
  <c r="AA75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A74" i="75"/>
  <c r="AC75" i="75"/>
  <c r="AC57" i="75"/>
  <c r="AC33" i="75"/>
  <c r="AC61" i="75"/>
  <c r="AC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75" i="75"/>
  <c r="AF75" i="75"/>
  <c r="AD60" i="75"/>
  <c r="AF57" i="75"/>
  <c r="AF33" i="75"/>
  <c r="AE61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G60" i="75"/>
  <c r="AG74" i="75"/>
  <c r="AG32" i="75"/>
  <c r="L49" i="75"/>
  <c r="T49" i="75"/>
  <c r="M49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AE49" i="75"/>
  <c r="AE35" i="75"/>
  <c r="AF77" i="75"/>
  <c r="Q49" i="75"/>
  <c r="J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P35" i="75"/>
  <c r="R35" i="75"/>
  <c r="T35" i="75"/>
  <c r="L35" i="75"/>
  <c r="AA35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N35" i="75"/>
  <c r="S35" i="75"/>
  <c r="L77" i="75"/>
  <c r="X63" i="75"/>
  <c r="O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X35" i="75"/>
  <c r="M63" i="75"/>
  <c r="J46" i="75"/>
  <c r="AB46" i="75"/>
  <c r="X46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I19" i="75"/>
  <c r="I20" i="75"/>
  <c r="I15" i="75"/>
  <c r="F15" i="75" s="1"/>
  <c r="I18" i="75"/>
  <c r="X29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K29" i="75"/>
  <c r="AD29" i="75"/>
  <c r="AA29" i="75"/>
  <c r="AB29" i="75"/>
  <c r="O29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F20" i="75"/>
  <c r="AG19" i="75"/>
  <c r="AE20" i="75"/>
  <c r="AD19" i="75"/>
  <c r="AC18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L18" i="75"/>
  <c r="R18" i="75"/>
  <c r="U18" i="75"/>
  <c r="Q18" i="75"/>
  <c r="W18" i="75"/>
  <c r="S18" i="75"/>
  <c r="AA18" i="75"/>
  <c r="V18" i="75"/>
  <c r="P18" i="75"/>
  <c r="M18" i="75"/>
  <c r="J18" i="75"/>
  <c r="K18" i="75"/>
  <c r="A2" i="33"/>
  <c r="N28" i="82" l="1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X22" i="75" s="1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T22" i="75" s="1"/>
  <c r="L21" i="75"/>
  <c r="L22" i="75" s="1"/>
  <c r="P20" i="75"/>
  <c r="P22" i="75" s="1"/>
  <c r="AF21" i="75"/>
  <c r="AF22" i="75" s="1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S99" i="75"/>
  <c r="F28" i="68"/>
  <c r="F28" i="72"/>
  <c r="F28" i="81"/>
  <c r="F28" i="73"/>
  <c r="I22" i="75"/>
  <c r="AC22" i="75"/>
  <c r="AE22" i="75"/>
  <c r="AD22" i="75"/>
  <c r="Q22" i="75"/>
  <c r="K22" i="75"/>
  <c r="V22" i="75"/>
  <c r="J22" i="75"/>
  <c r="U22" i="75"/>
  <c r="M22" i="75"/>
  <c r="Z22" i="75"/>
  <c r="AB22" i="75"/>
  <c r="F19" i="75" l="1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84" i="73" l="1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48" i="75" l="1"/>
  <c r="P50" i="75" s="1"/>
  <c r="P40" i="85" s="1"/>
  <c r="P87" i="72"/>
  <c r="P106" i="72" s="1"/>
  <c r="P112" i="72" s="1" a="1"/>
  <c r="P112" i="72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42" i="85" l="1"/>
  <c r="P115" i="72" a="1"/>
  <c r="P115" i="72" s="1"/>
  <c r="P116" i="72" a="1"/>
  <c r="P116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A92" i="75" s="1"/>
  <c r="J30" i="33"/>
  <c r="G30" i="33"/>
  <c r="F31" i="33"/>
  <c r="I30" i="33"/>
  <c r="H92" i="75" l="1"/>
  <c r="Q92" i="75"/>
  <c r="J92" i="75"/>
  <c r="S92" i="75"/>
  <c r="N92" i="75"/>
  <c r="I92" i="75"/>
  <c r="AF92" i="75"/>
  <c r="AB92" i="75"/>
  <c r="M92" i="75"/>
  <c r="AA92" i="75"/>
  <c r="T92" i="75"/>
  <c r="AG92" i="75"/>
  <c r="U92" i="75"/>
  <c r="K92" i="75"/>
  <c r="O92" i="75"/>
  <c r="Y92" i="75"/>
  <c r="L92" i="75"/>
  <c r="AC92" i="75"/>
  <c r="V92" i="75"/>
  <c r="AE92" i="75"/>
  <c r="Z92" i="75"/>
  <c r="R92" i="75"/>
  <c r="P92" i="75"/>
  <c r="W92" i="75"/>
  <c r="X92" i="75"/>
  <c r="AD92" i="75"/>
  <c r="N91" i="75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B48" i="85"/>
  <c r="D48" i="85" s="1"/>
  <c r="B44" i="85"/>
  <c r="D44" i="85" s="1"/>
  <c r="D31" i="85"/>
  <c r="D32" i="85"/>
  <c r="D34" i="85"/>
  <c r="D36" i="85"/>
  <c r="V35" i="85" l="1"/>
  <c r="L37" i="85"/>
  <c r="AA36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W30" i="85" l="1"/>
  <c r="F91" i="85"/>
  <c r="I68" i="33" s="1"/>
  <c r="G92" i="85"/>
  <c r="J69" i="33" s="1"/>
  <c r="F90" i="85"/>
  <c r="I67" i="33" s="1"/>
  <c r="G93" i="85"/>
  <c r="J70" i="33" s="1"/>
  <c r="F92" i="85"/>
  <c r="I69" i="33" s="1"/>
  <c r="G95" i="85"/>
  <c r="J72" i="33" s="1"/>
  <c r="F93" i="85"/>
  <c r="I70" i="33" s="1"/>
  <c r="G94" i="85"/>
  <c r="J71" i="33" s="1"/>
  <c r="G90" i="85"/>
  <c r="J67" i="33" s="1"/>
  <c r="F95" i="85"/>
  <c r="I72" i="33" s="1"/>
  <c r="F94" i="85"/>
  <c r="I71" i="33" s="1"/>
  <c r="G91" i="85"/>
  <c r="J68" i="33" s="1"/>
  <c r="F44" i="85"/>
  <c r="E91" i="85" s="1"/>
  <c r="H68" i="33" s="1"/>
  <c r="F45" i="85"/>
  <c r="E92" i="85" s="1"/>
  <c r="H69" i="33" s="1"/>
  <c r="F50" i="85"/>
  <c r="F48" i="85"/>
  <c r="E95" i="85" s="1"/>
  <c r="H72" i="33" s="1"/>
  <c r="E90" i="85"/>
  <c r="H67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<sst xmlns="http://schemas.openxmlformats.org/spreadsheetml/2006/main" count="1153" uniqueCount="334">
  <si>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</si>
  <si>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</si>
  <si>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</si>
  <si>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</si>
  <si>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</si>
  <si>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</si>
  <si>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</si>
  <si>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</si>
  <si>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</si>
  <si>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</si>
  <si>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</si>
  <si>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</si>
  <si>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</si>
  <si>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</si>
  <si>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</si>
  <si>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</si>
  <si>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</si>
  <si>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</si>
  <si>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</si>
  <si>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</si>
  <si>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</si>
  <si>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</si>
  <si>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</si>
  <si>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</si>
  <si>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</si>
  <si>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</si>
  <si>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</si>
  <si>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</si>
  <si>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</si>
  <si>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</si>
  <si>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</si>
  <si>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</si>
  <si>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</si>
  <si>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</si>
  <si>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</si>
  <si>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</si>
  <si>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</si>
  <si>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</si>
  <si>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</si>
  <si>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</si>
  <si>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</si>
  <si>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</si>
  <si>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</si>
  <si>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</si>
  <si>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</si>
  <si>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</si>
  <si>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</si>
  <si>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</si>
  <si>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</si>
  <si>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</si>
  <si>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</si>
  <si>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</si>
  <si>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</si>
  <si>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</si>
  <si>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</si>
  <si>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</si>
  <si>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</si>
  <si>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</si>
  <si>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</si>
  <si>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</si>
  <si>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</si>
  <si>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</si>
  <si>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</si>
  <si>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</si>
  <si>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</si>
  <si>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</si>
  <si>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</si>
  <si>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</si>
  <si>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</si>
  <si>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</si>
  <si>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</si>
  <si>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</si>
  <si>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</si>
  <si>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</si>
  <si>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</si>
  <si>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</si>
  <si>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</si>
  <si>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</si>
  <si>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</si>
  <si>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</si>
  <si>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</si>
  <si>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</si>
  <si>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</si>
  <si>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</si>
  <si>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</si>
  <si>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</si>
  <si>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</si>
  <si>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</si>
  <si>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</si>
  <si>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</si>
  <si>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</si>
  <si>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</si>
  <si>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</si>
  <si>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</si>
  <si>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</si>
  <si>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</si>
  <si>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</si>
  <si>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</si>
  <si>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</si>
  <si>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</si>
  <si>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</si>
  <si>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</si>
  <si>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</si>
  <si>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</si>
  <si>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</si>
  <si>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</si>
  <si>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</si>
  <si>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</si>
  <si>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</si>
  <si>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</si>
  <si>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</si>
  <si>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</si>
  <si>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</si>
  <si>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</si>
  <si>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</si>
  <si>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</si>
  <si>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</si>
  <si>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</si>
  <si>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</si>
  <si>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</si>
  <si>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</si>
  <si>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</si>
  <si>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</si>
  <si>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</si>
  <si>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</si>
  <si>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</si>
  <si>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</si>
  <si>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</si>
  <si>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</si>
  <si>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</si>
  <si>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</si>
  <si>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</si>
  <si>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</si>
  <si>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</si>
  <si>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</si>
  <si>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</si>
  <si>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Enter ZSS code &gt;&gt;</t>
  </si>
  <si>
    <t>CP</t>
  </si>
  <si>
    <t>PA</t>
  </si>
  <si>
    <t>UE</t>
  </si>
  <si>
    <t>Risk mitigated</t>
  </si>
  <si>
    <t>Total</t>
  </si>
  <si>
    <t>eg. AR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</si>
  <si>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</si>
  <si>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</si>
  <si>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</si>
  <si>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</si>
  <si>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</si>
  <si>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</si>
  <si>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</si>
  <si>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</si>
  <si>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</si>
  <si>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</si>
  <si>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</si>
  <si>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</si>
  <si>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</si>
  <si>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</si>
  <si>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</si>
  <si>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</si>
  <si>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</si>
  <si>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</si>
  <si>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</si>
  <si>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</si>
  <si>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</si>
  <si>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</si>
  <si>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</si>
  <si>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</si>
  <si>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</si>
  <si>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</si>
  <si>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</si>
  <si>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</si>
  <si>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</si>
  <si>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</si>
  <si>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</si>
  <si>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</si>
  <si>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</si>
  <si>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</si>
  <si>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</si>
  <si>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</si>
  <si>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</si>
  <si>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</si>
  <si>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</si>
  <si>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</si>
  <si>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</si>
  <si>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</si>
  <si>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</si>
  <si>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</si>
  <si>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</si>
  <si>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</si>
  <si>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</si>
  <si>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</si>
  <si>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</si>
  <si>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</si>
  <si>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</si>
  <si>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</si>
  <si>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</si>
  <si>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</si>
  <si>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</si>
  <si>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</si>
  <si>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</si>
  <si>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</si>
  <si>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</si>
  <si>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</si>
  <si>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</si>
  <si>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</si>
  <si>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</si>
  <si>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</si>
  <si>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</si>
  <si>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</si>
  <si>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</si>
  <si>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</si>
  <si>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</si>
  <si>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</si>
  <si>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</si>
  <si>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</si>
  <si>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Network average</t>
  </si>
  <si>
    <t xml:space="preserve"> Network average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</si>
  <si>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</si>
  <si>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</si>
  <si>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</si>
  <si>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</si>
  <si>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</si>
  <si>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</si>
  <si>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</si>
  <si>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</si>
  <si>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</si>
  <si>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</si>
  <si>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</si>
  <si>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</si>
  <si>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</si>
  <si>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</si>
  <si>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</si>
  <si>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</si>
  <si>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</si>
  <si>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</si>
  <si>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</si>
  <si>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</si>
  <si>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</si>
  <si>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</si>
  <si>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</si>
  <si>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</si>
  <si>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</si>
  <si>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</si>
  <si>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</si>
  <si>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HV cable replacement</t>
  </si>
  <si>
    <t>Replace highest 5 delta risk cable sections</t>
  </si>
  <si>
    <t>Replace highest 10 delta risk cable sections</t>
  </si>
  <si>
    <t>Monitor highest delta risk cable sections and replace those with high partial discharge</t>
  </si>
  <si>
    <t>Replace highest 5 delta risk cable sections and monitor further 10</t>
  </si>
  <si>
    <t>Cable replacement (top 5)</t>
  </si>
  <si>
    <t>Condition assessment of next 10 delta risk cable sections</t>
  </si>
  <si>
    <t>Replacement of poor condition cable sections</t>
  </si>
  <si>
    <t>Condition assessment of top 30 delta risk cable sections</t>
  </si>
  <si>
    <t>Cable replacement</t>
  </si>
  <si>
    <t>WORKINGS - COSTS</t>
  </si>
  <si>
    <t>Top 5 assets</t>
  </si>
  <si>
    <t> </t>
  </si>
  <si>
    <t>Section Count</t>
  </si>
  <si>
    <t>Length (m)</t>
  </si>
  <si>
    <t>Fixed Cost</t>
  </si>
  <si>
    <t>Variable Cost</t>
  </si>
  <si>
    <t>Replacement Cost (Urban)</t>
  </si>
  <si>
    <t>Replacement Cost (Rural Short)</t>
  </si>
  <si>
    <t>Replacement Cost (Rural Long)</t>
  </si>
  <si>
    <t>Top 10 assets</t>
  </si>
  <si>
    <t>Top 30 assets</t>
  </si>
  <si>
    <t>Monitoring</t>
  </si>
  <si>
    <t>Condition assessment failed cable detection rate</t>
  </si>
  <si>
    <t>WORKINGS - RISKS</t>
  </si>
  <si>
    <t>All assets</t>
  </si>
  <si>
    <t>CBRM data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</si>
  <si>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</si>
  <si>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</si>
  <si>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</si>
  <si>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</si>
  <si>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</si>
  <si>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</si>
  <si>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</si>
  <si>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</si>
  <si>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</si>
  <si>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</si>
  <si>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</si>
  <si>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</si>
  <si>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</si>
  <si>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</si>
  <si>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</si>
  <si>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</si>
  <si>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</si>
  <si>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</si>
  <si>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</si>
  <si>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</si>
  <si>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</si>
  <si>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</si>
  <si>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FY49</t>
  </si>
  <si>
    <t>FY50</t>
  </si>
  <si>
    <t>FY51</t>
  </si>
  <si>
    <t>Response cost</t>
  </si>
  <si>
    <t>Safety Consequence</t>
  </si>
  <si>
    <t>Total number of failures without replacement</t>
  </si>
  <si>
    <t>Environmental Consequence</t>
  </si>
  <si>
    <t>Implementation profile</t>
  </si>
  <si>
    <t>Top 5 delta</t>
  </si>
  <si>
    <t>Top 10 delta</t>
  </si>
  <si>
    <t>Top 30 delta</t>
  </si>
  <si>
    <t>Top 15 delta</t>
  </si>
  <si>
    <t>before</t>
  </si>
  <si>
    <t>Option risk before replacement</t>
  </si>
  <si>
    <t>Option risk after replacement</t>
  </si>
  <si>
    <t>Consequence per failure ($)</t>
  </si>
  <si>
    <t>Replace top 5</t>
  </si>
  <si>
    <t>Replace top 10</t>
  </si>
  <si>
    <t>Replace top 30</t>
  </si>
  <si>
    <t>Replace top 15</t>
  </si>
  <si>
    <t>Average Consequences per failure ($)</t>
  </si>
  <si>
    <t>Number of failures after replacement</t>
  </si>
  <si>
    <t>Energy at risk (MWh)</t>
  </si>
  <si>
    <t>Total risk after replacement of selected cable</t>
  </si>
  <si>
    <t>option 2</t>
  </si>
  <si>
    <t>Change in risk</t>
  </si>
  <si>
    <t>Replacement</t>
  </si>
  <si>
    <t>Option 5 risk before replacement</t>
  </si>
  <si>
    <t>Total cost ($ 2023)</t>
  </si>
  <si>
    <t>Source:  Cable CBRM (October 2024)</t>
  </si>
  <si>
    <t>Average Length (m)</t>
  </si>
  <si>
    <t>Variable ($/m)</t>
  </si>
  <si>
    <t>Expenditure</t>
  </si>
  <si>
    <t>Adjust for risk removed from replacing top 5 (option 2)</t>
  </si>
  <si>
    <t>Adjust for risk removed from replacing failed cables</t>
  </si>
  <si>
    <t>(no failures during monitoring, % thereafter)</t>
  </si>
  <si>
    <t>Total risk after monitoring and replacement of failed cable</t>
  </si>
  <si>
    <t>FLAGS</t>
  </si>
  <si>
    <t>Replacement Cost (Blank) as Rural Short</t>
  </si>
  <si>
    <t>HV underground cables</t>
  </si>
  <si>
    <t>Preferred option capex and risk mitigated ($M,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</si>
</sst>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#,##0.0;\ \-#,##0.0;\ &quot;-&quot;"/>
    <numFmt numFmtId="196" formatCode="#,##0.00;\ \-#,##0.00;\ &quot;-&quot;"/>
    <numFmt numFmtId="197" formatCode="#,##0.00000;\ \-#,##0.00000;\ &quot;-&quot;"/>
    <numFmt numFmtId="198" formatCode="mmm\ yyyy"/>
  </numFmts>
  <fonts count="99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theme="1"/>
      <name val="Verdana"/>
      <family val="2"/>
    </font>
    <font>
      <i/>
      <sz val="10"/>
      <color rgb="FF3333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FFFFFF"/>
      <name val="Calibri"/>
      <family val="2"/>
      <scheme val="minor"/>
    </font>
    <font>
      <sz val="11"/>
      <color indexed="9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rgb="FFCC330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</borders>
  <cellStyleXfs count="31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</cellStyleXfs>
  <cellXfs count="390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5" fillId="0" borderId="0" xfId="20" applyFont="1" applyAlignment="1">
      <alignment horizontal="left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15" fillId="0" borderId="0" xfId="20" applyNumberFormat="1" applyFont="1" applyBorder="1" applyAlignment="1">
      <alignment horizontal="center"/>
    </xf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0" fontId="27" fillId="2" borderId="8" xfId="23" applyNumberFormat="1" applyBorder="1" applyAlignment="1">
      <alignment horizontal="center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168" fontId="44" fillId="0" borderId="0" xfId="23" applyNumberFormat="1" applyFont="1" applyFill="1" applyAlignment="1">
      <alignment horizontal="left"/>
    </xf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left" indent="3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185" fontId="21" fillId="0" borderId="8" xfId="22" applyNumberFormat="1" applyAlignment="1">
      <alignment horizontal="center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0" fontId="24" fillId="17" borderId="0" xfId="18" applyFont="1" applyFill="1" applyAlignment="1">
      <alignment vertical="center"/>
    </xf>
    <xf numFmtId="0" fontId="16" fillId="0" borderId="0" xfId="0" applyFont="1"/>
    <xf numFmtId="0" fontId="30" fillId="0" borderId="0" xfId="0" applyFont="1"/>
    <xf numFmtId="0" fontId="16" fillId="0" borderId="0" xfId="0" applyFont="1" applyAlignment="1">
      <alignment horizontal="right"/>
    </xf>
    <xf numFmtId="0" fontId="90" fillId="0" borderId="0" xfId="0" applyFont="1"/>
    <xf numFmtId="0" fontId="30" fillId="0" borderId="7" xfId="0" applyFont="1" applyBorder="1"/>
    <xf numFmtId="0" fontId="30" fillId="0" borderId="7" xfId="0" applyFont="1" applyBorder="1" applyAlignment="1">
      <alignment horizontal="right"/>
    </xf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16" fillId="0" borderId="0" xfId="0" applyFont="1" applyBorder="1"/>
    <xf numFmtId="167" fontId="15" fillId="0" borderId="0" xfId="18" applyNumberFormat="1" applyFont="1"/>
    <xf numFmtId="185" fontId="16" fillId="0" borderId="0" xfId="0" applyNumberFormat="1" applyFont="1"/>
    <xf numFmtId="196" fontId="16" fillId="0" borderId="0" xfId="0" applyNumberFormat="1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16" fillId="0" borderId="0" xfId="0" applyFont="1" applyAlignment="1">
      <alignment horizontal="center"/>
    </xf>
    <xf numFmtId="0" fontId="17" fillId="0" borderId="7" xfId="18" applyFont="1" applyBorder="1" applyAlignment="1">
      <alignment horizontal="center"/>
    </xf>
    <xf numFmtId="9" fontId="16" fillId="2" borderId="0" xfId="18" applyNumberFormat="1" applyFont="1" applyFill="1" applyBorder="1" applyAlignment="1">
      <alignment horizontal="right" vertical="center"/>
    </xf>
    <xf numFmtId="0" fontId="45" fillId="0" borderId="0" xfId="0" applyFont="1"/>
    <xf numFmtId="185" fontId="15" fillId="0" borderId="0" xfId="18" applyNumberFormat="1" applyFont="1"/>
    <xf numFmtId="0" fontId="91" fillId="0" borderId="0" xfId="0" applyFont="1" applyFill="1"/>
    <xf numFmtId="0" fontId="30" fillId="0" borderId="0" xfId="0" applyFont="1" applyFill="1"/>
    <xf numFmtId="0" fontId="92" fillId="0" borderId="0" xfId="0" applyFont="1" applyFill="1"/>
    <xf numFmtId="0" fontId="16" fillId="0" borderId="0" xfId="0" applyFont="1" applyFill="1"/>
    <xf numFmtId="0" fontId="72" fillId="0" borderId="0" xfId="0" applyFont="1"/>
    <xf numFmtId="196" fontId="94" fillId="2" borderId="0" xfId="23" applyNumberFormat="1" applyFont="1" applyAlignment="1">
      <alignment horizontal="right"/>
    </xf>
    <xf numFmtId="0" fontId="16" fillId="9" borderId="0" xfId="0" applyFont="1" applyFill="1"/>
    <xf numFmtId="0" fontId="16" fillId="0" borderId="7" xfId="0" applyFont="1" applyFill="1" applyBorder="1"/>
    <xf numFmtId="0" fontId="30" fillId="0" borderId="4" xfId="0" applyFont="1" applyBorder="1"/>
    <xf numFmtId="166" fontId="96" fillId="0" borderId="7" xfId="16" applyFont="1" applyFill="1" applyBorder="1" applyAlignment="1">
      <alignment horizontal="right"/>
    </xf>
    <xf numFmtId="0" fontId="16" fillId="0" borderId="7" xfId="0" applyFont="1" applyFill="1" applyBorder="1" applyAlignment="1">
      <alignment horizontal="right"/>
    </xf>
    <xf numFmtId="0" fontId="27" fillId="2" borderId="0" xfId="23" applyNumberFormat="1" applyAlignment="1">
      <alignment horizontal="right"/>
    </xf>
    <xf numFmtId="185" fontId="27" fillId="2" borderId="0" xfId="23" applyNumberFormat="1" applyAlignment="1">
      <alignment horizontal="right"/>
    </xf>
    <xf numFmtId="0" fontId="30" fillId="0" borderId="4" xfId="0" applyFont="1" applyBorder="1" applyAlignment="1">
      <alignment horizontal="right"/>
    </xf>
    <xf numFmtId="185" fontId="36" fillId="0" borderId="4" xfId="23" applyNumberFormat="1" applyFont="1" applyFill="1" applyBorder="1" applyAlignment="1">
      <alignment horizontal="right"/>
    </xf>
    <xf numFmtId="185" fontId="95" fillId="0" borderId="4" xfId="0" applyNumberFormat="1" applyFont="1" applyBorder="1" applyAlignment="1">
      <alignment horizontal="right"/>
    </xf>
    <xf numFmtId="185" fontId="95" fillId="0" borderId="4" xfId="0" applyNumberFormat="1" applyFont="1" applyFill="1" applyBorder="1" applyAlignment="1">
      <alignment horizontal="right"/>
    </xf>
    <xf numFmtId="185" fontId="16" fillId="0" borderId="0" xfId="0" applyNumberFormat="1" applyFont="1" applyAlignment="1">
      <alignment horizontal="right"/>
    </xf>
    <xf numFmtId="0" fontId="16" fillId="0" borderId="0" xfId="0" applyFont="1" applyFill="1" applyAlignment="1">
      <alignment horizontal="right"/>
    </xf>
    <xf numFmtId="185" fontId="16" fillId="0" borderId="0" xfId="0" applyNumberFormat="1" applyFont="1" applyFill="1" applyAlignment="1">
      <alignment horizontal="right"/>
    </xf>
    <xf numFmtId="185" fontId="90" fillId="0" borderId="0" xfId="0" applyNumberFormat="1" applyFont="1" applyFill="1" applyBorder="1"/>
    <xf numFmtId="9" fontId="27" fillId="2" borderId="0" xfId="23" applyNumberFormat="1"/>
    <xf numFmtId="185" fontId="21" fillId="0" borderId="8" xfId="22" applyNumberFormat="1">
      <alignment horizontal="right"/>
    </xf>
    <xf numFmtId="198" fontId="97" fillId="15" borderId="0" xfId="18" applyNumberFormat="1" applyFont="1" applyFill="1" applyAlignment="1">
      <alignment horizontal="right" vertical="center"/>
    </xf>
    <xf numFmtId="198" fontId="98" fillId="10" borderId="0" xfId="16" applyNumberFormat="1" applyFont="1" applyFill="1" applyAlignment="1">
      <alignment horizontal="right"/>
    </xf>
    <xf numFmtId="185" fontId="15" fillId="2" borderId="0" xfId="18" applyNumberFormat="1" applyFill="1"/>
    <xf numFmtId="196" fontId="15" fillId="2" borderId="0" xfId="18" applyNumberFormat="1" applyFill="1"/>
    <xf numFmtId="197" fontId="15" fillId="2" borderId="0" xfId="18" applyNumberFormat="1" applyFill="1"/>
    <xf numFmtId="195" fontId="15" fillId="2" borderId="0" xfId="18" applyNumberFormat="1" applyFill="1"/>
    <xf numFmtId="185" fontId="34" fillId="0" borderId="0" xfId="23" applyNumberFormat="1" applyFont="1" applyFill="1" applyAlignment="1">
      <alignment horizontal="right"/>
    </xf>
    <xf numFmtId="169" fontId="51" fillId="0" borderId="7" xfId="18" applyNumberFormat="1" applyFont="1" applyFill="1" applyBorder="1" applyAlignment="1">
      <alignment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  <xf numFmtId="0" fontId="86" fillId="0" borderId="0" xfId="20" applyNumberFormat="1" applyFont="1" applyAlignment="1">
      <alignment horizontal="left"/>
    </xf>
  </cellXfs>
  <cellStyles count="31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2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99FF"/>
      <color rgb="FFFFFFCC"/>
      <color rgb="FF66FFFF"/>
      <color rgb="FF00215B"/>
      <color rgb="FF3333FF"/>
      <color rgb="FFF2F2F2"/>
      <color rgb="FFFABFA8"/>
      <color rgb="FF882B3C"/>
      <color rgb="FFEE2A2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3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0.66923568403133471</c:v>
                </c:pt>
                <c:pt idx="1">
                  <c:v>0.66923568403133471</c:v>
                </c:pt>
                <c:pt idx="2">
                  <c:v>0.66923568403133471</c:v>
                </c:pt>
                <c:pt idx="3">
                  <c:v>0.66923568403133471</c:v>
                </c:pt>
                <c:pt idx="4">
                  <c:v>0.66923568403133471</c:v>
                </c:pt>
                <c:pt idx="5">
                  <c:v>0.66923568403133471</c:v>
                </c:pt>
                <c:pt idx="6">
                  <c:v>0.66923568403133471</c:v>
                </c:pt>
                <c:pt idx="7">
                  <c:v>0.66923568403133471</c:v>
                </c:pt>
                <c:pt idx="8">
                  <c:v>0.66923568403133471</c:v>
                </c:pt>
                <c:pt idx="9">
                  <c:v>0.66923568403133471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3 risk mitigated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</c:v>
                </c:pt>
                <c:pt idx="1">
                  <c:v>0.15089705070479126</c:v>
                </c:pt>
                <c:pt idx="2">
                  <c:v>0.37939048562471983</c:v>
                </c:pt>
                <c:pt idx="3">
                  <c:v>0.71462986360349601</c:v>
                </c:pt>
                <c:pt idx="4">
                  <c:v>1.196048711919439</c:v>
                </c:pt>
                <c:pt idx="5">
                  <c:v>1.8769008373947804</c:v>
                </c:pt>
                <c:pt idx="6">
                  <c:v>2.278633980160317</c:v>
                </c:pt>
                <c:pt idx="7">
                  <c:v>2.4918918548977924</c:v>
                </c:pt>
                <c:pt idx="8">
                  <c:v>2.5946441666853124</c:v>
                </c:pt>
                <c:pt idx="9">
                  <c:v>2.5952083008664224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552450</xdr:colOff>
      <xdr:row>0</xdr:row>
      <xdr:rowOff>180975</xdr:rowOff>
    </xdr:from>
    <xdr:ext cx="876300" cy="876300"/>
    <xdr:pic>
      <xdr:nvPicPr>
        <xdr:cNvPr id="3" name="Picture 2">
          <a:extLst>
            <a:ext uri="{FF2B5EF4-FFF2-40B4-BE49-F238E27FC236}">
              <a16:creationId xmlns:a16="http://schemas.microsoft.com/office/drawing/2014/main" id="{E6248167-173E-4033-BF34-FE9AC544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8097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40" sqref="A40"/>
    </sheetView>
  </sheetViews>
  <sheetFormatPr defaultColWidth="0" defaultRowHeight="15" customHeight="1" zeroHeight="1" x14ac:dyDescent="0.25"/>
  <cols>
    <col min="1" max="1" width="8" style="131" customWidth="1"/>
    <col min="2" max="2" width="1.875" style="131" customWidth="1"/>
    <col min="3" max="3" width="14" style="131" customWidth="1"/>
    <col min="4" max="4" width="8" style="131" customWidth="1"/>
    <col min="5" max="5" width="9.375" style="131" customWidth="1"/>
    <col min="6" max="11" width="8" style="131" customWidth="1"/>
    <col min="12" max="19" width="8" style="131" hidden="1" customWidth="1"/>
    <col min="20" max="16384" width="0" style="131" hidden="1"/>
  </cols>
  <sheetData>
    <row r="1" spans="1:19" x14ac:dyDescent="0.25">
      <c r="A1" s="317"/>
    </row>
    <row r="2" spans="1:19" ht="23.25" x14ac:dyDescent="0.35">
      <c r="A2" s="317"/>
      <c r="C2" s="318" t="s">
        <v>3</v>
      </c>
      <c r="D2" s="319"/>
      <c r="E2" s="319"/>
    </row>
    <row r="3" spans="1:19" ht="15.75" x14ac:dyDescent="0.25">
      <c r="A3" s="317"/>
      <c r="C3" s="320" t="s">
        <v>242</v>
      </c>
      <c r="D3" s="319"/>
      <c r="E3" s="319"/>
    </row>
    <row r="4" spans="1:19" x14ac:dyDescent="0.25">
      <c r="A4" s="317"/>
      <c r="D4" s="319"/>
      <c r="E4" s="319"/>
    </row>
    <row r="5" spans="1:19" x14ac:dyDescent="0.25">
      <c r="A5" s="317"/>
      <c r="C5" s="321" t="s">
        <v>332</v>
      </c>
    </row>
    <row r="6" spans="1:19" x14ac:dyDescent="0.25">
      <c r="A6" s="317"/>
      <c r="C6" s="322" t="s">
        <v>243</v>
      </c>
      <c r="D6" s="389">
        <v>4.1399999999999997</v>
      </c>
      <c r="E6" s="322"/>
    </row>
    <row r="7" spans="1:19" x14ac:dyDescent="0.25">
      <c r="A7" s="317"/>
      <c r="F7" s="323"/>
      <c r="G7" s="323"/>
      <c r="H7" s="323"/>
      <c r="J7" s="323"/>
      <c r="K7" s="323"/>
      <c r="L7" s="323"/>
      <c r="M7" s="323"/>
      <c r="N7" s="323"/>
      <c r="O7" s="323"/>
      <c r="P7" s="323"/>
      <c r="Q7" s="323"/>
      <c r="R7" s="323"/>
      <c r="S7" s="323"/>
    </row>
    <row r="8" spans="1:19" x14ac:dyDescent="0.25">
      <c r="A8" s="317"/>
      <c r="C8" s="324">
        <v>45688</v>
      </c>
      <c r="F8" s="323"/>
      <c r="G8" s="323"/>
      <c r="H8" s="323"/>
      <c r="J8" s="323"/>
      <c r="K8" s="323"/>
      <c r="L8" s="323"/>
      <c r="M8" s="323"/>
      <c r="N8" s="323"/>
      <c r="O8" s="323"/>
      <c r="P8" s="323"/>
      <c r="Q8" s="323"/>
      <c r="R8" s="323"/>
      <c r="S8" s="323"/>
    </row>
    <row r="9" spans="1:19" x14ac:dyDescent="0.25">
      <c r="A9" s="317"/>
      <c r="C9" s="325"/>
      <c r="D9" s="325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</row>
    <row r="10" spans="1:19" x14ac:dyDescent="0.25">
      <c r="A10" s="317"/>
      <c r="C10" s="325"/>
      <c r="D10" s="325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</row>
    <row r="11" spans="1:19" x14ac:dyDescent="0.25">
      <c r="A11" s="317"/>
      <c r="C11" s="325"/>
      <c r="D11" s="325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</row>
    <row r="12" spans="1:19" x14ac:dyDescent="0.25">
      <c r="A12" s="317"/>
      <c r="C12" s="325"/>
      <c r="D12" s="325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</row>
    <row r="13" spans="1:19" x14ac:dyDescent="0.25">
      <c r="A13" s="317"/>
      <c r="C13" s="325"/>
      <c r="D13" s="32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</row>
    <row r="14" spans="1:19" x14ac:dyDescent="0.25">
      <c r="A14" s="317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</row>
    <row r="15" spans="1:19" x14ac:dyDescent="0.25">
      <c r="A15" s="317"/>
      <c r="C15" s="321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</row>
    <row r="16" spans="1:19" x14ac:dyDescent="0.25">
      <c r="A16" s="317"/>
      <c r="C16" s="321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</row>
    <row r="17" spans="1:19" x14ac:dyDescent="0.25">
      <c r="A17" s="317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</row>
    <row r="18" spans="1:19" x14ac:dyDescent="0.25">
      <c r="A18" s="317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</row>
    <row r="19" spans="1:19" x14ac:dyDescent="0.25">
      <c r="A19" s="317"/>
      <c r="C19" s="323"/>
      <c r="D19" s="323"/>
      <c r="E19" s="323"/>
      <c r="F19" s="323"/>
      <c r="G19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</row>
    <row r="20" spans="1:19" x14ac:dyDescent="0.25">
      <c r="A20" s="317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</row>
    <row r="21" spans="1:19" x14ac:dyDescent="0.25">
      <c r="A21" s="317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</row>
    <row r="22" spans="1:19" x14ac:dyDescent="0.25">
      <c r="A22" s="317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</row>
    <row r="23" spans="1:19" x14ac:dyDescent="0.25">
      <c r="A23" s="317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</row>
    <row r="24" spans="1:19" x14ac:dyDescent="0.25">
      <c r="A24" s="317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</row>
    <row r="25" spans="1:19" x14ac:dyDescent="0.25">
      <c r="A25" s="317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</row>
    <row r="26" spans="1:19" x14ac:dyDescent="0.25">
      <c r="A26" s="317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</row>
    <row r="27" spans="1:19" x14ac:dyDescent="0.25">
      <c r="A27" s="317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</row>
    <row r="28" spans="1:19" x14ac:dyDescent="0.25">
      <c r="A28" s="317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</row>
    <row r="29" spans="1:19" x14ac:dyDescent="0.25">
      <c r="A29" s="317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</row>
    <row r="30" spans="1:19" x14ac:dyDescent="0.25">
      <c r="A30" s="317"/>
      <c r="C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</row>
    <row r="31" spans="1:19" x14ac:dyDescent="0.25">
      <c r="A31" s="317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</row>
    <row r="32" spans="1:19" x14ac:dyDescent="0.25">
      <c r="A32" s="317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</row>
    <row r="33" spans="1:19" x14ac:dyDescent="0.25">
      <c r="A33" s="317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</row>
    <row r="34" spans="1:19" x14ac:dyDescent="0.25">
      <c r="A34" s="317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</row>
    <row r="35" spans="1:19" x14ac:dyDescent="0.25">
      <c r="A35" s="317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</row>
    <row r="36" spans="1:19" x14ac:dyDescent="0.25">
      <c r="A36" s="317"/>
    </row>
    <row r="37" spans="1:19" x14ac:dyDescent="0.25">
      <c r="A37" s="317"/>
    </row>
    <row r="38" spans="1:19" x14ac:dyDescent="0.25">
      <c r="A38" s="317"/>
    </row>
    <row r="39" spans="1:19" x14ac:dyDescent="0.25">
      <c r="A39" s="317"/>
    </row>
    <row r="40" spans="1:19" x14ac:dyDescent="0.25">
      <c r="A40" s="317">
        <f ca="1">_xlfn.SHEETS()</f>
        <v>14</v>
      </c>
    </row>
    <row r="41" spans="1:19" x14ac:dyDescent="0.25">
      <c r="A41" s="317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HV cable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7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5" t="s">
        <v>189</v>
      </c>
      <c r="H7" s="155" t="s">
        <v>190</v>
      </c>
      <c r="I7" s="155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8">
        <f>output_dollars</f>
        <v>46203</v>
      </c>
      <c r="H8" s="188">
        <f>output_dollars</f>
        <v>46203</v>
      </c>
      <c r="I8" s="188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79" t="str">
        <f>INDEX(Assumptions!$E$14:$E$18, MATCH(C9, Assumptions!$C$14:$C$18,0))</f>
        <v>No change to existing practices</v>
      </c>
      <c r="E9" s="380"/>
      <c r="F9" s="380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81" t="str">
        <f>INDEX(Assumptions!$E$14:$E$18, MATCH(C10, Assumptions!$C$14:$C$18,0))</f>
        <v>Replace highest 5 delta risk cable sections</v>
      </c>
      <c r="E10" s="382"/>
      <c r="F10" s="382"/>
      <c r="G10" s="103">
        <f>IF(Data!$C10, "", INDEX(Consol!$F$15:$F$82, MATCH($C10&amp;G$7, Consol!$D$15:$D$82,0))/mill_conv)</f>
        <v>-3.7850931612454621</v>
      </c>
      <c r="H10" s="103">
        <f>IF(Data!$C10, "", INDEX(Consol!$F$15:$F$82, MATCH($C10&amp;H$7, Consol!$D$15:$D$82,0))/mill_conv)</f>
        <v>15.552229074676115</v>
      </c>
      <c r="I10" s="103">
        <f>IF(Data!$C10, "", INDEX(Consol!$F$15:$F$82, MATCH($C10&amp;I$7, Consol!$D$15:$D$82,0))/mill_conv)</f>
        <v>11.767135913430653</v>
      </c>
    </row>
    <row r="11" spans="1:13" s="7" customFormat="1" ht="12.75" x14ac:dyDescent="0.2">
      <c r="C11" s="91" t="str">
        <v>Option 3</v>
      </c>
      <c r="D11" s="381" t="str">
        <f>INDEX(Assumptions!$E$14:$E$18, MATCH(C11, Assumptions!$C$14:$C$18,0))</f>
        <v>Replace highest 10 delta risk cable sections</v>
      </c>
      <c r="E11" s="382"/>
      <c r="F11" s="382"/>
      <c r="G11" s="103">
        <f>IF(Data!$C11, "", INDEX(Consol!$F$15:$F$82, MATCH($C11&amp;G$7, Consol!$D$15:$D$82,0))/mill_conv)</f>
        <v>-7.7897523648592459</v>
      </c>
      <c r="H11" s="103">
        <f>IF(Data!$C11, "", INDEX(Consol!$F$15:$F$82, MATCH($C11&amp;H$7, Consol!$D$15:$D$82,0))/mill_conv)</f>
        <v>26.824918020468054</v>
      </c>
      <c r="I11" s="103">
        <f>IF(Data!$C11, "", INDEX(Consol!$F$15:$F$82, MATCH($C11&amp;I$7, Consol!$D$15:$D$82,0))/mill_conv)</f>
        <v>19.035165655608807</v>
      </c>
    </row>
    <row r="12" spans="1:13" s="7" customFormat="1" ht="12.75" x14ac:dyDescent="0.2">
      <c r="C12" s="91" t="str">
        <v>Option 4</v>
      </c>
      <c r="D12" s="381" t="str">
        <f>INDEX(Assumptions!$E$14:$E$18, MATCH(C12, Assumptions!$C$14:$C$18,0))</f>
        <v>Monitor highest delta risk cable sections and replace those with high partial discharge</v>
      </c>
      <c r="E12" s="382"/>
      <c r="F12" s="382"/>
      <c r="G12" s="103">
        <f>IF(Data!$C12, "", INDEX(Consol!$F$15:$F$82, MATCH($C12&amp;G$7, Consol!$D$15:$D$82,0))/mill_conv)</f>
        <v>-7.4896758083867541</v>
      </c>
      <c r="H12" s="103">
        <f>IF(Data!$C12, "", INDEX(Consol!$F$15:$F$82, MATCH($C12&amp;H$7, Consol!$D$15:$D$82,0))/mill_conv)</f>
        <v>18.003398477080651</v>
      </c>
      <c r="I12" s="103">
        <f>IF(Data!$C12, "", INDEX(Consol!$F$15:$F$82, MATCH($C12&amp;I$7, Consol!$D$15:$D$82,0))/mill_conv)</f>
        <v>10.513722668693896</v>
      </c>
    </row>
    <row r="13" spans="1:13" s="7" customFormat="1" ht="12.75" x14ac:dyDescent="0.2">
      <c r="C13" s="91" t="str">
        <v>Option 5</v>
      </c>
      <c r="D13" s="381" t="str">
        <f>INDEX(Assumptions!$E$14:$E$18, MATCH(C13, Assumptions!$C$14:$C$18,0))</f>
        <v>Replace highest 5 delta risk cable sections and monitor further 10</v>
      </c>
      <c r="E13" s="382"/>
      <c r="F13" s="382"/>
      <c r="G13" s="103">
        <f>IF(Data!$C13, "", INDEX(Consol!$F$15:$F$82, MATCH($C13&amp;G$7, Consol!$D$15:$D$82,0))/mill_conv)</f>
        <v>-5.8290232901214107</v>
      </c>
      <c r="H13" s="103">
        <f>IF(Data!$C13, "", INDEX(Consol!$F$15:$F$82, MATCH($C13&amp;H$7, Consol!$D$15:$D$82,0))/mill_conv)</f>
        <v>22.064403200997063</v>
      </c>
      <c r="I13" s="103">
        <f>IF(Data!$C13, "", INDEX(Consol!$F$15:$F$82, MATCH($C13&amp;I$7, Consol!$D$15:$D$82,0))/mill_conv)</f>
        <v>16.235379910875647</v>
      </c>
    </row>
    <row r="14" spans="1:13" s="7" customFormat="1" ht="12.75" x14ac:dyDescent="0.2">
      <c r="C14" s="91"/>
      <c r="D14" s="252"/>
      <c r="E14" s="252"/>
      <c r="F14" s="246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5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8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3</v>
      </c>
      <c r="D18" s="378" t="str">
        <f>INDEX($D$9:$D$13,MATCH(G18, $I$9:$I$13,0))</f>
        <v>Replace highest 10 delta risk cable sections</v>
      </c>
      <c r="E18" s="378"/>
      <c r="F18" s="378"/>
      <c r="G18" s="104">
        <f>_xlfn.MAXIFS(I9:I13, IF(compliance, Data!$F$9:$F$13, Data!$C$9:$C$13),FALSE)</f>
        <v>19.035165655608807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3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4">
        <f>output_dollars</f>
        <v>46203</v>
      </c>
      <c r="E29" s="189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3.338781240121163</v>
      </c>
      <c r="G30" s="105">
        <f>-INDEX(Consol!J$15:J$82,MATCH($C$26&amp;$C30,Consol!$D$15:$D$82,0))/mill_conv</f>
        <v>3.338781240121163</v>
      </c>
      <c r="H30" s="105">
        <f>-INDEX(Consol!K$15:K$82,MATCH($C$26&amp;$C30,Consol!$D$15:$D$82,0))/mill_conv</f>
        <v>3.338781240121163</v>
      </c>
      <c r="I30" s="105">
        <f>-INDEX(Consol!L$15:L$82,MATCH($C$26&amp;$C30,Consol!$D$15:$D$82,0))/mill_conv</f>
        <v>3.338781240121163</v>
      </c>
      <c r="J30" s="105">
        <f>-INDEX(Consol!M$15:M$82,MATCH($C$26&amp;$C30,Consol!$D$15:$D$82,0))/mill_conv</f>
        <v>3.338781240121163</v>
      </c>
      <c r="K30" s="190"/>
      <c r="L30" s="190">
        <f>SUM(F30:J30)</f>
        <v>16.693906200605817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0</v>
      </c>
      <c r="J31" s="105">
        <f>-INDEX(Consol!M$15:M$82,MATCH($C$26&amp;$C31,Consol!$D$15:$D$82,0))/mill_conv</f>
        <v>0</v>
      </c>
      <c r="K31" s="190"/>
      <c r="L31" s="190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333</v>
      </c>
      <c r="D37" s="28"/>
      <c r="E37" s="28"/>
      <c r="F37" s="303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</row>
    <row r="66" spans="3:13" s="8" customFormat="1" ht="12.75" x14ac:dyDescent="0.2">
      <c r="C66" s="262" t="s">
        <v>222</v>
      </c>
      <c r="D66" s="189">
        <f>output_dollars</f>
        <v>46203</v>
      </c>
      <c r="E66" s="189"/>
      <c r="F66" s="263" t="str">
        <f>Sensitivity_calcs!C89</f>
        <v>Option 1 (base case)</v>
      </c>
      <c r="G66" s="263" t="str">
        <f>Sensitivity_calcs!D89</f>
        <v>Option 2</v>
      </c>
      <c r="H66" s="263" t="str">
        <f>Sensitivity_calcs!E89</f>
        <v>Option 3</v>
      </c>
      <c r="I66" s="263" t="str">
        <f>Sensitivity_calcs!F89</f>
        <v>Option 4</v>
      </c>
      <c r="J66" s="263" t="str">
        <f>Sensitivity_calcs!G89</f>
        <v>Option 5</v>
      </c>
      <c r="K66" s="267"/>
      <c r="L66" s="292" t="s">
        <v>220</v>
      </c>
      <c r="M66" s="267"/>
    </row>
    <row r="67" spans="3:13" s="8" customFormat="1" ht="12.75" x14ac:dyDescent="0.2">
      <c r="C67" s="290" t="str">
        <f>Sensitivity_calcs!B90</f>
        <v>None</v>
      </c>
      <c r="D67" s="270"/>
      <c r="E67" s="270"/>
      <c r="F67" s="291">
        <f>Sensitivity_calcs!C90</f>
        <v>0</v>
      </c>
      <c r="G67" s="291">
        <f>Sensitivity_calcs!D90</f>
        <v>11.767135913430653</v>
      </c>
      <c r="H67" s="291">
        <f>Sensitivity_calcs!E90</f>
        <v>19.035165655608811</v>
      </c>
      <c r="I67" s="291">
        <f>Sensitivity_calcs!F90</f>
        <v>10.513722668693896</v>
      </c>
      <c r="J67" s="291">
        <f>Sensitivity_calcs!G90</f>
        <v>16.235379910875647</v>
      </c>
      <c r="K67" s="261"/>
      <c r="L67" s="293" t="str">
        <f>Sensitivity_calcs!K90</f>
        <v>Option 3</v>
      </c>
      <c r="M67" s="261"/>
    </row>
    <row r="68" spans="3:13" s="8" customFormat="1" ht="12.75" x14ac:dyDescent="0.2">
      <c r="C68" s="269" t="str">
        <f>Sensitivity_calcs!B91</f>
        <v>Capex 10% higher</v>
      </c>
      <c r="D68" s="269"/>
      <c r="E68" s="269"/>
      <c r="F68" s="283">
        <f>Sensitivity_calcs!C91</f>
        <v>0</v>
      </c>
      <c r="G68" s="278">
        <f>Sensitivity_calcs!D91</f>
        <v>11.388626597306111</v>
      </c>
      <c r="H68" s="278">
        <f>Sensitivity_calcs!E91</f>
        <v>18.256190419122881</v>
      </c>
      <c r="I68" s="278">
        <f>Sensitivity_calcs!F91</f>
        <v>9.7647550878552227</v>
      </c>
      <c r="J68" s="278">
        <f>Sensitivity_calcs!G91</f>
        <v>15.65247758186351</v>
      </c>
      <c r="K68" s="261"/>
      <c r="L68" s="286" t="str">
        <f>Sensitivity_calcs!K91</f>
        <v>Option 3</v>
      </c>
      <c r="M68" s="261"/>
    </row>
    <row r="69" spans="3:13" s="8" customFormat="1" ht="12.75" x14ac:dyDescent="0.2">
      <c r="C69" s="269" t="str">
        <f>Sensitivity_calcs!B92</f>
        <v>Capex 10% lower</v>
      </c>
      <c r="D69" s="269"/>
      <c r="E69" s="269"/>
      <c r="F69" s="284">
        <f>Sensitivity_calcs!C92</f>
        <v>0</v>
      </c>
      <c r="G69" s="279">
        <f>Sensitivity_calcs!D92</f>
        <v>12.145645229555202</v>
      </c>
      <c r="H69" s="279">
        <f>Sensitivity_calcs!E92</f>
        <v>19.814140892094727</v>
      </c>
      <c r="I69" s="279">
        <f>Sensitivity_calcs!F92</f>
        <v>11.262690249532572</v>
      </c>
      <c r="J69" s="279">
        <f>Sensitivity_calcs!G92</f>
        <v>16.818282239887793</v>
      </c>
      <c r="K69" s="261"/>
      <c r="L69" s="286" t="str">
        <f>Sensitivity_calcs!K92</f>
        <v>Option 3</v>
      </c>
      <c r="M69" s="261"/>
    </row>
    <row r="70" spans="3:13" s="8" customFormat="1" ht="12.75" x14ac:dyDescent="0.2">
      <c r="C70" s="269" t="str">
        <f>Sensitivity_calcs!B93</f>
        <v>Total benefits 10% higher</v>
      </c>
      <c r="D70" s="269"/>
      <c r="E70" s="269"/>
      <c r="F70" s="284">
        <f>Sensitivity_calcs!C93</f>
        <v>0</v>
      </c>
      <c r="G70" s="279">
        <f>Sensitivity_calcs!D93</f>
        <v>13.322358820898268</v>
      </c>
      <c r="H70" s="279">
        <f>Sensitivity_calcs!E93</f>
        <v>21.717657457655609</v>
      </c>
      <c r="I70" s="279">
        <f>Sensitivity_calcs!F93</f>
        <v>12.314062516401963</v>
      </c>
      <c r="J70" s="279">
        <f>Sensitivity_calcs!G93</f>
        <v>18.441820230975356</v>
      </c>
      <c r="K70" s="261"/>
      <c r="L70" s="286" t="str">
        <f>Sensitivity_calcs!K93</f>
        <v>Option 3</v>
      </c>
      <c r="M70" s="261"/>
    </row>
    <row r="71" spans="3:13" s="8" customFormat="1" ht="12.75" x14ac:dyDescent="0.2">
      <c r="C71" s="269" t="str">
        <f>Sensitivity_calcs!B94</f>
        <v>Total benefits 10% lower</v>
      </c>
      <c r="D71" s="269"/>
      <c r="E71" s="269"/>
      <c r="F71" s="284">
        <f>Sensitivity_calcs!C94</f>
        <v>0</v>
      </c>
      <c r="G71" s="279">
        <f>Sensitivity_calcs!D94</f>
        <v>10.211913005963044</v>
      </c>
      <c r="H71" s="279">
        <f>Sensitivity_calcs!E94</f>
        <v>16.352673853562003</v>
      </c>
      <c r="I71" s="279">
        <f>Sensitivity_calcs!F94</f>
        <v>8.7133828209858333</v>
      </c>
      <c r="J71" s="279">
        <f>Sensitivity_calcs!G94</f>
        <v>14.028939590775941</v>
      </c>
      <c r="K71" s="261"/>
      <c r="L71" s="286" t="str">
        <f>Sensitivity_calcs!K94</f>
        <v>Option 3</v>
      </c>
      <c r="M71" s="261"/>
    </row>
    <row r="72" spans="3:13" s="8" customFormat="1" ht="12.75" x14ac:dyDescent="0.2">
      <c r="C72" s="269" t="str">
        <f>Sensitivity_calcs!B95</f>
        <v>Capex 10% higher &amp; total benefits 10% lower</v>
      </c>
      <c r="D72" s="269"/>
      <c r="E72" s="269"/>
      <c r="F72" s="284">
        <f>Sensitivity_calcs!C95</f>
        <v>0</v>
      </c>
      <c r="G72" s="279">
        <f>Sensitivity_calcs!D95</f>
        <v>9.8334036898384962</v>
      </c>
      <c r="H72" s="279">
        <f>Sensitivity_calcs!E95</f>
        <v>15.573698617076074</v>
      </c>
      <c r="I72" s="279">
        <f>Sensitivity_calcs!F95</f>
        <v>7.964415240147158</v>
      </c>
      <c r="J72" s="279">
        <f>Sensitivity_calcs!G95</f>
        <v>13.4460372617638</v>
      </c>
      <c r="K72" s="261"/>
      <c r="L72" s="286" t="str">
        <f>Sensitivity_calcs!K95</f>
        <v>Option 3</v>
      </c>
      <c r="M72" s="261"/>
    </row>
    <row r="73" spans="3:13" s="8" customFormat="1" ht="12.75" x14ac:dyDescent="0.2">
      <c r="C73" s="269">
        <f>Sensitivity_calcs!B96</f>
        <v>0</v>
      </c>
      <c r="D73" s="269"/>
      <c r="E73" s="269"/>
      <c r="F73" s="284" t="str">
        <f>Sensitivity_calcs!C96</f>
        <v/>
      </c>
      <c r="G73" s="279" t="str">
        <f>Sensitivity_calcs!D96</f>
        <v/>
      </c>
      <c r="H73" s="279" t="str">
        <f>Sensitivity_calcs!E96</f>
        <v/>
      </c>
      <c r="I73" s="279" t="str">
        <f>Sensitivity_calcs!F96</f>
        <v/>
      </c>
      <c r="J73" s="279" t="str">
        <f>Sensitivity_calcs!G96</f>
        <v/>
      </c>
      <c r="K73" s="261"/>
      <c r="L73" s="286" t="str">
        <f>Sensitivity_calcs!K96</f>
        <v/>
      </c>
      <c r="M73" s="261"/>
    </row>
    <row r="74" spans="3:13" s="8" customFormat="1" ht="12.75" x14ac:dyDescent="0.2">
      <c r="C74" s="269">
        <f>Sensitivity_calcs!B97</f>
        <v>0</v>
      </c>
      <c r="D74" s="264"/>
      <c r="E74" s="264"/>
      <c r="F74" s="284" t="str">
        <f>Sensitivity_calcs!C97</f>
        <v/>
      </c>
      <c r="G74" s="279" t="str">
        <f>Sensitivity_calcs!D97</f>
        <v/>
      </c>
      <c r="H74" s="279" t="str">
        <f>Sensitivity_calcs!E97</f>
        <v/>
      </c>
      <c r="I74" s="279" t="str">
        <f>Sensitivity_calcs!F97</f>
        <v/>
      </c>
      <c r="J74" s="279" t="str">
        <f>Sensitivity_calcs!G97</f>
        <v/>
      </c>
      <c r="K74" s="271">
        <f>IF(C74=0,0, INDEX($F$66:$J$66, MATCH(MAX($F74:$I74),$F74:$I74,0)))</f>
        <v>0</v>
      </c>
      <c r="L74" s="286" t="str">
        <f>Sensitivity_calcs!K97</f>
        <v/>
      </c>
    </row>
    <row r="75" spans="3:13" s="8" customFormat="1" ht="12.75" x14ac:dyDescent="0.2">
      <c r="D75" s="269">
        <f>Sensitivity_calcs!B98</f>
        <v>0</v>
      </c>
      <c r="E75" s="269"/>
      <c r="F75" s="284" t="str">
        <f>Sensitivity_calcs!C98</f>
        <v/>
      </c>
      <c r="G75" s="279" t="str">
        <f>Sensitivity_calcs!D98</f>
        <v/>
      </c>
      <c r="H75" s="279" t="str">
        <f>Sensitivity_calcs!E98</f>
        <v/>
      </c>
      <c r="I75" s="279" t="str">
        <f>Sensitivity_calcs!F98</f>
        <v/>
      </c>
      <c r="J75" s="279" t="str">
        <f>Sensitivity_calcs!G98</f>
        <v/>
      </c>
      <c r="K75" s="261"/>
      <c r="L75" s="286" t="str">
        <f>Sensitivity_calcs!K98</f>
        <v/>
      </c>
      <c r="M75" s="261"/>
    </row>
    <row r="76" spans="3:13" s="8" customFormat="1" ht="12.75" x14ac:dyDescent="0.2">
      <c r="D76" s="269">
        <f>Sensitivity_calcs!B99</f>
        <v>0</v>
      </c>
      <c r="E76" s="269"/>
      <c r="F76" s="285"/>
      <c r="G76" s="105"/>
      <c r="H76" s="105"/>
      <c r="I76" s="105"/>
      <c r="J76" s="105"/>
      <c r="K76" s="261"/>
      <c r="L76" s="261"/>
    </row>
    <row r="77" spans="3:13" s="8" customFormat="1" ht="12.75" x14ac:dyDescent="0.2">
      <c r="F77" s="268"/>
      <c r="G77" s="105"/>
      <c r="H77" s="105"/>
      <c r="I77" s="105"/>
      <c r="J77" s="105"/>
    </row>
    <row r="78" spans="3:13" s="8" customFormat="1" ht="12.75" x14ac:dyDescent="0.2">
      <c r="F78" s="268"/>
      <c r="G78" s="268"/>
      <c r="H78" s="268"/>
      <c r="I78" s="268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9"/>
      <c r="E81" s="249"/>
      <c r="F81" s="249"/>
    </row>
    <row r="82" spans="4:6" s="8" customFormat="1" ht="12.75" x14ac:dyDescent="0.2">
      <c r="D82" s="249"/>
      <c r="E82" s="249"/>
      <c r="F82" s="249"/>
    </row>
    <row r="83" spans="4:6" s="8" customFormat="1" ht="12.75" hidden="1" x14ac:dyDescent="0.2">
      <c r="D83" s="249"/>
      <c r="E83" s="249"/>
      <c r="F83" s="249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HV cable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86" t="s">
        <v>244</v>
      </c>
      <c r="F8" s="386"/>
      <c r="G8" s="386"/>
      <c r="H8" s="386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87" t="s">
        <v>58</v>
      </c>
      <c r="F14" s="387"/>
      <c r="G14" s="387"/>
      <c r="H14" s="387"/>
      <c r="I14" s="387"/>
      <c r="J14" s="387"/>
      <c r="K14" s="387"/>
      <c r="L14"/>
    </row>
    <row r="15" spans="1:16" s="1" customFormat="1" ht="12.75" customHeight="1" x14ac:dyDescent="0.2">
      <c r="C15" s="61" t="str">
        <v>Option 2</v>
      </c>
      <c r="D15" s="61"/>
      <c r="E15" s="388" t="s">
        <v>245</v>
      </c>
      <c r="F15" s="388"/>
      <c r="G15" s="388"/>
      <c r="H15" s="388"/>
      <c r="I15" s="388"/>
      <c r="J15" s="388"/>
      <c r="K15" s="388"/>
      <c r="L15"/>
    </row>
    <row r="16" spans="1:16" s="1" customFormat="1" ht="12.75" customHeight="1" x14ac:dyDescent="0.2">
      <c r="C16" s="61" t="str">
        <v>Option 3</v>
      </c>
      <c r="D16" s="61"/>
      <c r="E16" s="388" t="s">
        <v>246</v>
      </c>
      <c r="F16" s="388"/>
      <c r="G16" s="388"/>
      <c r="H16" s="388"/>
      <c r="I16" s="388"/>
      <c r="J16" s="388"/>
      <c r="K16" s="388"/>
      <c r="L16"/>
    </row>
    <row r="17" spans="1:16" s="1" customFormat="1" ht="12.75" customHeight="1" x14ac:dyDescent="0.2">
      <c r="C17" s="61" t="str">
        <v>Option 4</v>
      </c>
      <c r="D17" s="61"/>
      <c r="E17" s="388" t="s">
        <v>247</v>
      </c>
      <c r="F17" s="388"/>
      <c r="G17" s="388"/>
      <c r="H17" s="388"/>
      <c r="I17" s="388"/>
      <c r="J17" s="388"/>
      <c r="K17" s="388"/>
      <c r="L17"/>
    </row>
    <row r="18" spans="1:16" s="1" customFormat="1" ht="12.75" customHeight="1" x14ac:dyDescent="0.2">
      <c r="C18" s="61" t="str">
        <v>Option 5</v>
      </c>
      <c r="D18" s="61"/>
      <c r="E18" s="388" t="s">
        <v>248</v>
      </c>
      <c r="F18" s="388"/>
      <c r="G18" s="388"/>
      <c r="H18" s="388"/>
      <c r="I18" s="388"/>
      <c r="J18" s="388"/>
      <c r="K18" s="388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5" t="s">
        <v>225</v>
      </c>
      <c r="D20"/>
      <c r="E20" s="296" t="s">
        <v>228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301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8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9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10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11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09">
        <v>45657</v>
      </c>
      <c r="H34" s="68" t="s">
        <v>72</v>
      </c>
      <c r="J34" s="68"/>
    </row>
    <row r="35" spans="1:20" s="1" customFormat="1" ht="13.5" x14ac:dyDescent="0.25">
      <c r="C35" s="1" t="s">
        <v>240</v>
      </c>
      <c r="G35" s="309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136</v>
      </c>
      <c r="D41" s="245" t="s">
        <v>142</v>
      </c>
      <c r="E41" s="167" t="s">
        <v>216</v>
      </c>
      <c r="F41" s="129"/>
      <c r="G41" s="316" t="s">
        <v>215</v>
      </c>
      <c r="H41" s="134">
        <v>47819.790378690712</v>
      </c>
      <c r="I41" s="244" t="s">
        <v>217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 s="127"/>
      <c r="B43" s="127"/>
      <c r="C43" s="127"/>
      <c r="D43" s="130"/>
      <c r="E43" s="130"/>
      <c r="F43" s="130"/>
      <c r="G43" s="130"/>
      <c r="H43" s="133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12">
        <v>5400000</v>
      </c>
      <c r="H50" s="69">
        <v>45107</v>
      </c>
    </row>
    <row r="52" spans="3:8" x14ac:dyDescent="0.2">
      <c r="C52" s="8" t="s">
        <v>166</v>
      </c>
      <c r="G52" s="168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10">
        <f>Data!F85</f>
        <v>1</v>
      </c>
    </row>
    <row r="56" spans="3:8" x14ac:dyDescent="0.2">
      <c r="C56" s="8" t="str">
        <f>Data!B86</f>
        <v>Harm to property from bushfire</v>
      </c>
      <c r="G56" s="310">
        <f>Data!F86</f>
        <v>1</v>
      </c>
    </row>
    <row r="57" spans="3:8" x14ac:dyDescent="0.2">
      <c r="C57" s="8" t="str">
        <f>Data!B87</f>
        <v>Harm to environment</v>
      </c>
      <c r="G57" s="310">
        <f>Data!F87</f>
        <v>1</v>
      </c>
    </row>
    <row r="58" spans="3:8" x14ac:dyDescent="0.2">
      <c r="C58" s="8" t="str">
        <f>Data!B88</f>
        <v>Safety - Public trespass</v>
      </c>
      <c r="G58" s="310">
        <f>Data!F88</f>
        <v>1</v>
      </c>
    </row>
    <row r="59" spans="3:8" x14ac:dyDescent="0.2">
      <c r="C59" s="8" t="str">
        <f>Data!B89</f>
        <v>Safety - Single fatality or serious injury ^</v>
      </c>
      <c r="G59" s="310">
        <f>Data!F89</f>
        <v>3</v>
      </c>
    </row>
    <row r="60" spans="3:8" x14ac:dyDescent="0.2">
      <c r="C60" s="8" t="str">
        <f>Data!B90</f>
        <v>Safety from bushfire in HBRA</v>
      </c>
      <c r="G60" s="310">
        <f>Data!F90</f>
        <v>3</v>
      </c>
    </row>
    <row r="61" spans="3:8" x14ac:dyDescent="0.2">
      <c r="C61" s="8" t="str">
        <f>Data!B91</f>
        <v>Safety - Multiple fatality or serious injury ^</v>
      </c>
      <c r="G61" s="310">
        <f>Data!F91</f>
        <v>6</v>
      </c>
    </row>
    <row r="62" spans="3:8" x14ac:dyDescent="0.2">
      <c r="C62" s="8" t="str">
        <f>Data!B92</f>
        <v>Safety from bushfire (REFCL declared areas)</v>
      </c>
      <c r="G62" s="310">
        <f>Data!F92</f>
        <v>6</v>
      </c>
    </row>
    <row r="63" spans="3:8" x14ac:dyDescent="0.2">
      <c r="C63" s="8" t="str">
        <f>Data!B93</f>
        <v>Safety from bushfire (electric line construction areas)</v>
      </c>
      <c r="G63" s="310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60" t="s">
        <v>68</v>
      </c>
      <c r="H69" s="160" t="s">
        <v>167</v>
      </c>
      <c r="I69" s="160" t="s">
        <v>180</v>
      </c>
      <c r="J69" s="159" t="s">
        <v>184</v>
      </c>
      <c r="K69" s="160"/>
      <c r="L69" s="160"/>
      <c r="M69" s="160"/>
    </row>
    <row r="70" spans="2:16" x14ac:dyDescent="0.2">
      <c r="C70" s="8" t="s">
        <v>168</v>
      </c>
      <c r="G70" s="161">
        <f>G50*INDEX(hy_escalation, MATCH(input_dollars,hy_dates,0))/INDEX(hy_escalation, MATCH(H50,hy_dates,0))</f>
        <v>5607473.5197347086</v>
      </c>
      <c r="H70" s="166">
        <v>0</v>
      </c>
      <c r="I70" s="169">
        <v>0</v>
      </c>
      <c r="J70" s="383">
        <v>0</v>
      </c>
      <c r="K70" s="384"/>
      <c r="L70" s="384"/>
      <c r="M70" s="385"/>
    </row>
    <row r="71" spans="2:16" x14ac:dyDescent="0.2">
      <c r="C71" s="8" t="s">
        <v>169</v>
      </c>
      <c r="G71" s="161">
        <f>G52*INDEX(hy_escalation, MATCH(input_dollars,hy_dates,0))/INDEX(hy_escalation, MATCH(H52,hy_dates,0))</f>
        <v>0</v>
      </c>
      <c r="H71" s="165">
        <v>0</v>
      </c>
      <c r="I71" s="169">
        <v>0</v>
      </c>
      <c r="J71" s="383">
        <v>0</v>
      </c>
      <c r="K71" s="384"/>
      <c r="L71" s="384"/>
      <c r="M71" s="385"/>
    </row>
    <row r="72" spans="2:16" x14ac:dyDescent="0.2">
      <c r="I72" s="164"/>
      <c r="M72"/>
    </row>
    <row r="73" spans="2:16" x14ac:dyDescent="0.2">
      <c r="G73" s="170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7">
        <v>0</v>
      </c>
      <c r="H78" s="69">
        <f>input_dollars</f>
        <v>45291</v>
      </c>
    </row>
    <row r="79" spans="2:16" x14ac:dyDescent="0.2">
      <c r="C79" s="8" t="s">
        <v>171</v>
      </c>
      <c r="G79" s="157">
        <v>0</v>
      </c>
      <c r="H79" s="69">
        <f>input_dollars</f>
        <v>45291</v>
      </c>
    </row>
    <row r="81" spans="1:16" x14ac:dyDescent="0.2">
      <c r="C81" s="8" t="s">
        <v>172</v>
      </c>
      <c r="G81" s="162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13">
        <v>2.4730486797759084E-2</v>
      </c>
      <c r="L90" s="313">
        <v>2.2340740091772258E-2</v>
      </c>
      <c r="M90" s="313">
        <v>2.0196329122153123E-2</v>
      </c>
      <c r="N90" s="313">
        <v>1.806294207659629E-2</v>
      </c>
      <c r="O90" s="313">
        <v>1.5913397615084226E-2</v>
      </c>
      <c r="P90" s="313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12">
        <v>151432.81740793545</v>
      </c>
      <c r="H94" s="69">
        <f t="shared" ref="H94:H101" si="0">custval_date</f>
        <v>45657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12">
        <v>24590</v>
      </c>
      <c r="H95" s="69">
        <f t="shared" si="0"/>
        <v>45657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12">
        <v>88.357719508603083</v>
      </c>
      <c r="H96" s="69">
        <f t="shared" si="0"/>
        <v>45657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13">
        <v>0</v>
      </c>
      <c r="H97" s="69">
        <f t="shared" si="0"/>
        <v>45657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13">
        <v>0.35181336539087127</v>
      </c>
      <c r="H98" s="69">
        <f t="shared" si="0"/>
        <v>45657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13">
        <v>0.35181336539087127</v>
      </c>
      <c r="H99" s="69">
        <f t="shared" si="0"/>
        <v>45657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13">
        <v>0</v>
      </c>
      <c r="H100" s="69">
        <f t="shared" si="0"/>
        <v>45657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13">
        <v>0</v>
      </c>
      <c r="H101" s="69">
        <f t="shared" si="0"/>
        <v>45657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219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5"/>
      <c r="C110" s="304"/>
      <c r="D110" s="59"/>
      <c r="E110" s="305"/>
      <c r="F110" s="304"/>
      <c r="G110" s="304" t="s">
        <v>17</v>
      </c>
      <c r="H110" s="304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72"/>
      <c r="G111" s="314">
        <v>0.1</v>
      </c>
      <c r="H111" s="314">
        <v>0</v>
      </c>
      <c r="I111" s="266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72"/>
      <c r="G112" s="314">
        <v>-0.1</v>
      </c>
      <c r="H112" s="314">
        <v>0</v>
      </c>
      <c r="I112" s="266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72"/>
      <c r="G113" s="315">
        <v>0</v>
      </c>
      <c r="H113" s="314">
        <v>0.1</v>
      </c>
      <c r="I113" s="266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72"/>
      <c r="G114" s="315">
        <v>0</v>
      </c>
      <c r="H114" s="314">
        <v>-0.1</v>
      </c>
      <c r="I114" s="266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LOWER(H$110)&amp;" "&amp;ABS($H115)*100&amp;"%"&amp;IF($H115&gt;0, " higher", " lower"))</f>
        <v>Capex 10% higher &amp; total benefits 10% lower</v>
      </c>
      <c r="E115" s="272"/>
      <c r="G115" s="314">
        <v>0.1</v>
      </c>
      <c r="H115" s="314">
        <v>-0.1</v>
      </c>
      <c r="I115" s="266"/>
      <c r="J115"/>
      <c r="K115"/>
      <c r="L115"/>
      <c r="M115"/>
      <c r="N115"/>
      <c r="O115"/>
      <c r="P115"/>
    </row>
    <row r="116" spans="2:16" x14ac:dyDescent="0.2">
      <c r="E116" s="272"/>
      <c r="H116"/>
      <c r="I116"/>
      <c r="J116"/>
      <c r="K116"/>
      <c r="L116"/>
      <c r="M116"/>
      <c r="N116"/>
      <c r="O116"/>
      <c r="P116"/>
    </row>
    <row r="117" spans="2:16" x14ac:dyDescent="0.2">
      <c r="E117" s="265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conditionalFormatting sqref="G41">
    <cfRule type="expression" dxfId="15" priority="163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Normal="10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143</v>
      </c>
      <c r="B3" s="5"/>
      <c r="C3" s="137"/>
      <c r="D3" s="94"/>
    </row>
    <row r="4" spans="1:43" x14ac:dyDescent="0.2">
      <c r="A4" s="171"/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4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3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5"/>
      <c r="B9" s="185"/>
      <c r="C9" s="185"/>
      <c r="D9" s="185"/>
      <c r="E9" s="185"/>
      <c r="F9" s="186"/>
      <c r="G9" s="185" t="s">
        <v>25</v>
      </c>
      <c r="H9" s="370">
        <f>DATE(LEFT(I9,4), 6,30)</f>
        <v>46203</v>
      </c>
      <c r="I9" s="187" t="str">
        <f>start</f>
        <v>2026-27</v>
      </c>
      <c r="J9" s="187" t="str">
        <f t="shared" ref="J9:AG9" si="1">LEFT(I9,4)+1&amp;"-"&amp;RIGHT(I9,2)+1</f>
        <v>2027-28</v>
      </c>
      <c r="K9" s="187" t="str">
        <f t="shared" si="1"/>
        <v>2028-29</v>
      </c>
      <c r="L9" s="187" t="str">
        <f t="shared" si="1"/>
        <v>2029-30</v>
      </c>
      <c r="M9" s="187" t="str">
        <f t="shared" si="1"/>
        <v>2030-31</v>
      </c>
      <c r="N9" s="187" t="str">
        <f t="shared" si="1"/>
        <v>2031-32</v>
      </c>
      <c r="O9" s="187" t="str">
        <f t="shared" si="1"/>
        <v>2032-33</v>
      </c>
      <c r="P9" s="187" t="str">
        <f t="shared" si="1"/>
        <v>2033-34</v>
      </c>
      <c r="Q9" s="187" t="str">
        <f t="shared" si="1"/>
        <v>2034-35</v>
      </c>
      <c r="R9" s="187" t="str">
        <f t="shared" si="1"/>
        <v>2035-36</v>
      </c>
      <c r="S9" s="187" t="str">
        <f t="shared" si="1"/>
        <v>2036-37</v>
      </c>
      <c r="T9" s="187" t="str">
        <f t="shared" si="1"/>
        <v>2037-38</v>
      </c>
      <c r="U9" s="187" t="str">
        <f t="shared" si="1"/>
        <v>2038-39</v>
      </c>
      <c r="V9" s="187" t="str">
        <f t="shared" si="1"/>
        <v>2039-40</v>
      </c>
      <c r="W9" s="187" t="str">
        <f t="shared" si="1"/>
        <v>2040-41</v>
      </c>
      <c r="X9" s="187" t="str">
        <f t="shared" si="1"/>
        <v>2041-42</v>
      </c>
      <c r="Y9" s="187" t="str">
        <f t="shared" si="1"/>
        <v>2042-43</v>
      </c>
      <c r="Z9" s="187" t="str">
        <f t="shared" si="1"/>
        <v>2043-44</v>
      </c>
      <c r="AA9" s="187" t="str">
        <f t="shared" si="1"/>
        <v>2044-45</v>
      </c>
      <c r="AB9" s="187" t="str">
        <f t="shared" si="1"/>
        <v>2045-46</v>
      </c>
      <c r="AC9" s="187" t="str">
        <f t="shared" si="1"/>
        <v>2046-47</v>
      </c>
      <c r="AD9" s="187" t="str">
        <f t="shared" si="1"/>
        <v>2047-48</v>
      </c>
      <c r="AE9" s="187" t="str">
        <f t="shared" si="1"/>
        <v>2048-49</v>
      </c>
      <c r="AF9" s="187" t="str">
        <f t="shared" si="1"/>
        <v>2049-50</v>
      </c>
      <c r="AG9" s="187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51">
        <v>0</v>
      </c>
      <c r="G14" s="211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v>0</v>
      </c>
      <c r="AF24" s="139">
        <v>0</v>
      </c>
      <c r="AG24" s="13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789.93234825298725</v>
      </c>
      <c r="J27" s="172">
        <f>INDEX(Workings_risks!I$47:I$51, MATCH($A$3, Workings_risks!$C$47:$C$51,0))</f>
        <v>944.93722044687274</v>
      </c>
      <c r="K27" s="172">
        <f>INDEX(Workings_risks!J$47:J$51, MATCH($A$3, Workings_risks!$C$47:$C$51,0))</f>
        <v>1137.1578577458827</v>
      </c>
      <c r="L27" s="172">
        <f>INDEX(Workings_risks!K$47:K$51, MATCH($A$3, Workings_risks!$C$47:$C$51,0))</f>
        <v>1375.5362370406724</v>
      </c>
      <c r="M27" s="172">
        <f>INDEX(Workings_risks!L$47:L$51, MATCH($A$3, Workings_risks!$C$47:$C$51,0))</f>
        <v>1671.8055287482887</v>
      </c>
      <c r="N27" s="172">
        <f>INDEX(Workings_risks!M$47:M$51, MATCH($A$3, Workings_risks!$C$47:$C$51,0))</f>
        <v>2040.6376709983399</v>
      </c>
      <c r="O27" s="172">
        <f>INDEX(Workings_risks!N$47:N$51, MATCH($A$3, Workings_risks!$C$47:$C$51,0))</f>
        <v>2494.609422542143</v>
      </c>
      <c r="P27" s="172">
        <f>INDEX(Workings_risks!O$47:O$51, MATCH($A$3, Workings_risks!$C$47:$C$51,0))</f>
        <v>2953.5521226744736</v>
      </c>
      <c r="Q27" s="172">
        <f>INDEX(Workings_risks!P$47:P$51, MATCH($A$3, Workings_risks!$C$47:$C$51,0))</f>
        <v>3416.3395038410536</v>
      </c>
      <c r="R27" s="172">
        <f>INDEX(Workings_risks!Q$47:Q$51, MATCH($A$3, Workings_risks!$C$47:$C$51,0))</f>
        <v>3882.7675382002981</v>
      </c>
      <c r="S27" s="172">
        <f>INDEX(Workings_risks!R$47:R$51, MATCH($A$3, Workings_risks!$C$47:$C$51,0))</f>
        <v>4456.3152358638372</v>
      </c>
      <c r="T27" s="172">
        <f>INDEX(Workings_risks!S$47:S$51, MATCH($A$3, Workings_risks!$C$47:$C$51,0))</f>
        <v>5039.2422569203436</v>
      </c>
      <c r="U27" s="172">
        <f>INDEX(Workings_risks!T$47:T$51, MATCH($A$3, Workings_risks!$C$47:$C$51,0))</f>
        <v>5582.7338536259967</v>
      </c>
      <c r="V27" s="172">
        <f>INDEX(Workings_risks!U$47:U$51, MATCH($A$3, Workings_risks!$C$47:$C$51,0))</f>
        <v>5971.449219199857</v>
      </c>
      <c r="W27" s="172">
        <f>INDEX(Workings_risks!V$47:V$51, MATCH($A$3, Workings_risks!$C$47:$C$51,0))</f>
        <v>6271.7349560235898</v>
      </c>
      <c r="X27" s="172">
        <f>INDEX(Workings_risks!W$47:W$51, MATCH($A$3, Workings_risks!$C$47:$C$51,0))</f>
        <v>6537.6451395652102</v>
      </c>
      <c r="Y27" s="172">
        <f>INDEX(Workings_risks!X$47:X$51, MATCH($A$3, Workings_risks!$C$47:$C$51,0))</f>
        <v>6696.7094595521748</v>
      </c>
      <c r="Z27" s="172">
        <f>INDEX(Workings_risks!Y$47:Y$51, MATCH($A$3, Workings_risks!$C$47:$C$51,0))</f>
        <v>6831.8414660584003</v>
      </c>
      <c r="AA27" s="172">
        <f>INDEX(Workings_risks!Z$47:Z$51, MATCH($A$3, Workings_risks!$C$47:$C$51,0))</f>
        <v>6945.3462022928461</v>
      </c>
      <c r="AB27" s="172">
        <f>INDEX(Workings_risks!AA$47:AA$51, MATCH($A$3, Workings_risks!$C$47:$C$51,0))</f>
        <v>7047.2115454863479</v>
      </c>
      <c r="AC27" s="172">
        <f>INDEX(Workings_risks!AB$47:AB$51, MATCH($A$3, Workings_risks!$C$47:$C$51,0))</f>
        <v>7141.2138215640662</v>
      </c>
      <c r="AD27" s="172">
        <f>INDEX(Workings_risks!AC$47:AC$51, MATCH($A$3, Workings_risks!$C$47:$C$51,0))</f>
        <v>7208.0122285987118</v>
      </c>
      <c r="AE27" s="172">
        <f>INDEX(Workings_risks!AD$47:AD$51, MATCH($A$3, Workings_risks!$C$47:$C$51,0))</f>
        <v>7259.9261217371559</v>
      </c>
      <c r="AF27" s="172">
        <f>INDEX(Workings_risks!AE$47:AE$51, MATCH($A$3, Workings_risks!$C$47:$C$51,0))</f>
        <v>7305.1746911146265</v>
      </c>
      <c r="AG27" s="172">
        <f>INDEX(Workings_risks!AF$47:AF$51, MATCH($A$3, Workings_risks!$C$47:$C$51,0))</f>
        <v>7348.3085415882924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37774399.306804761</v>
      </c>
      <c r="J28" s="302">
        <f t="shared" ref="J28:AG28" si="3">J27*$E$28</f>
        <v>45186699.80279211</v>
      </c>
      <c r="K28" s="302">
        <f t="shared" si="3"/>
        <v>54378650.384889103</v>
      </c>
      <c r="L28" s="302">
        <f t="shared" si="3"/>
        <v>65777854.513577975</v>
      </c>
      <c r="M28" s="302">
        <f t="shared" si="3"/>
        <v>79945389.938679352</v>
      </c>
      <c r="N28" s="302">
        <f t="shared" si="3"/>
        <v>97582865.666000232</v>
      </c>
      <c r="O28" s="302">
        <f t="shared" si="3"/>
        <v>119291699.66267195</v>
      </c>
      <c r="P28" s="302">
        <f t="shared" si="3"/>
        <v>141238243.37883031</v>
      </c>
      <c r="Q28" s="302">
        <f t="shared" si="3"/>
        <v>163368638.93611941</v>
      </c>
      <c r="R28" s="302">
        <f t="shared" si="3"/>
        <v>185673129.76592323</v>
      </c>
      <c r="S28" s="302">
        <f t="shared" si="3"/>
        <v>213100060.44037434</v>
      </c>
      <c r="T28" s="302">
        <f t="shared" si="3"/>
        <v>240975508.39337111</v>
      </c>
      <c r="U28" s="302">
        <f t="shared" si="3"/>
        <v>266965162.62041536</v>
      </c>
      <c r="V28" s="302">
        <f t="shared" si="3"/>
        <v>285553449.91913348</v>
      </c>
      <c r="W28" s="302">
        <f t="shared" si="3"/>
        <v>299913050.90775508</v>
      </c>
      <c r="X28" s="302">
        <f t="shared" si="3"/>
        <v>312628820.14427453</v>
      </c>
      <c r="Y28" s="302">
        <f t="shared" si="3"/>
        <v>320235242.58278018</v>
      </c>
      <c r="Z28" s="302">
        <f t="shared" si="3"/>
        <v>326697226.80735976</v>
      </c>
      <c r="AA28" s="302">
        <f t="shared" si="3"/>
        <v>332124999.5010795</v>
      </c>
      <c r="AB28" s="302">
        <f t="shared" si="3"/>
        <v>336996178.85944617</v>
      </c>
      <c r="AC28" s="302">
        <f t="shared" si="3"/>
        <v>341491347.99660248</v>
      </c>
      <c r="AD28" s="302">
        <f t="shared" si="3"/>
        <v>344685633.81862968</v>
      </c>
      <c r="AE28" s="302">
        <f t="shared" si="3"/>
        <v>347168145.30625182</v>
      </c>
      <c r="AF28" s="302">
        <f t="shared" si="3"/>
        <v>349331922.40881813</v>
      </c>
      <c r="AG28" s="302">
        <f t="shared" si="3"/>
        <v>351394574.09669459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289" t="s">
        <v>114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3423495.0151333283</v>
      </c>
      <c r="J30" s="32">
        <f>INDEX(Workings_risks!I$62:I$160, MATCH($A$3&amp;$C30, Workings_risks!$E$62:$E$160,0))</f>
        <v>4095272.0457243002</v>
      </c>
      <c r="K30" s="32">
        <f>INDEX(Workings_risks!J$62:J$160, MATCH($A$3&amp;$C30, Workings_risks!$E$62:$E$160,0))</f>
        <v>4928338.820435185</v>
      </c>
      <c r="L30" s="32">
        <f>INDEX(Workings_risks!K$62:K$160, MATCH($A$3&amp;$C30, Workings_risks!$E$62:$E$160,0))</f>
        <v>5961449.0545408418</v>
      </c>
      <c r="M30" s="32">
        <f>INDEX(Workings_risks!L$62:L$160, MATCH($A$3&amp;$C30, Workings_risks!$E$62:$E$160,0))</f>
        <v>7245453.2424200671</v>
      </c>
      <c r="N30" s="32">
        <f>INDEX(Workings_risks!M$62:M$160, MATCH($A$3&amp;$C30, Workings_risks!$E$62:$E$160,0))</f>
        <v>8843938.2306682002</v>
      </c>
      <c r="O30" s="32">
        <f>INDEX(Workings_risks!N$62:N$160, MATCH($A$3&amp;$C30, Workings_risks!$E$62:$E$160,0))</f>
        <v>10811410.548846781</v>
      </c>
      <c r="P30" s="32">
        <f>INDEX(Workings_risks!O$62:O$160, MATCH($A$3&amp;$C30, Workings_risks!$E$62:$E$160,0))</f>
        <v>12800426.50649138</v>
      </c>
      <c r="Q30" s="32">
        <f>INDEX(Workings_risks!P$62:P$160, MATCH($A$3&amp;$C30, Workings_risks!$E$62:$E$160,0))</f>
        <v>14806104.962367179</v>
      </c>
      <c r="R30" s="32">
        <f>INDEX(Workings_risks!Q$62:Q$160, MATCH($A$3&amp;$C30, Workings_risks!$E$62:$E$160,0))</f>
        <v>16827561.678349022</v>
      </c>
      <c r="S30" s="32">
        <f>INDEX(Workings_risks!R$62:R$160, MATCH($A$3&amp;$C30, Workings_risks!$E$62:$E$160,0))</f>
        <v>19313265.280986488</v>
      </c>
      <c r="T30" s="32">
        <f>INDEX(Workings_risks!S$62:S$160, MATCH($A$3&amp;$C30, Workings_risks!$E$62:$E$160,0))</f>
        <v>21839618.018897582</v>
      </c>
      <c r="U30" s="32">
        <f>INDEX(Workings_risks!T$62:T$160, MATCH($A$3&amp;$C30, Workings_risks!$E$62:$E$160,0))</f>
        <v>24195061.211221132</v>
      </c>
      <c r="V30" s="32">
        <f>INDEX(Workings_risks!U$62:U$160, MATCH($A$3&amp;$C30, Workings_risks!$E$62:$E$160,0))</f>
        <v>25879718.282539904</v>
      </c>
      <c r="W30" s="32">
        <f>INDEX(Workings_risks!V$62:V$160, MATCH($A$3&amp;$C30, Workings_risks!$E$62:$E$160,0))</f>
        <v>27181129.37857271</v>
      </c>
      <c r="X30" s="32">
        <f>INDEX(Workings_risks!W$62:W$160, MATCH($A$3&amp;$C30, Workings_risks!$E$62:$E$160,0))</f>
        <v>28333559.950432736</v>
      </c>
      <c r="Y30" s="32">
        <f>INDEX(Workings_risks!X$62:X$160, MATCH($A$3&amp;$C30, Workings_risks!$E$62:$E$160,0))</f>
        <v>29022930.25887154</v>
      </c>
      <c r="Z30" s="32">
        <f>INDEX(Workings_risks!Y$62:Y$160, MATCH($A$3&amp;$C30, Workings_risks!$E$62:$E$160,0))</f>
        <v>29608580.09544573</v>
      </c>
      <c r="AA30" s="32">
        <f>INDEX(Workings_risks!Z$62:Z$160, MATCH($A$3&amp;$C30, Workings_risks!$E$62:$E$160,0))</f>
        <v>30100499.307960618</v>
      </c>
      <c r="AB30" s="32">
        <f>INDEX(Workings_risks!AA$62:AA$160, MATCH($A$3&amp;$C30, Workings_risks!$E$62:$E$160,0))</f>
        <v>30541974.448723067</v>
      </c>
      <c r="AC30" s="32">
        <f>INDEX(Workings_risks!AB$62:AB$160, MATCH($A$3&amp;$C30, Workings_risks!$E$62:$E$160,0))</f>
        <v>30949371.771132998</v>
      </c>
      <c r="AD30" s="32">
        <f>INDEX(Workings_risks!AC$62:AC$160, MATCH($A$3&amp;$C30, Workings_risks!$E$62:$E$160,0))</f>
        <v>31238869.997161739</v>
      </c>
      <c r="AE30" s="32">
        <f>INDEX(Workings_risks!AD$62:AD$160, MATCH($A$3&amp;$C30, Workings_risks!$E$62:$E$160,0))</f>
        <v>31463860.092539765</v>
      </c>
      <c r="AF30" s="32">
        <f>INDEX(Workings_risks!AE$62:AE$160, MATCH($A$3&amp;$C30, Workings_risks!$E$62:$E$160,0))</f>
        <v>31659963.280424498</v>
      </c>
      <c r="AG30" s="32">
        <f>INDEX(Workings_risks!AF$62:AF$160, MATCH($A$3&amp;$C30, Workings_risks!$E$62:$E$160,0))</f>
        <v>31846901.468747441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289" t="s">
        <v>116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1900959.3721450921</v>
      </c>
      <c r="J31" s="32">
        <f>INDEX(Workings_risks!I$62:I$160, MATCH($A$3&amp;$C31, Workings_risks!$E$62:$E$160,0))</f>
        <v>2273976.0806984049</v>
      </c>
      <c r="K31" s="32">
        <f>INDEX(Workings_risks!J$62:J$160, MATCH($A$3&amp;$C31, Workings_risks!$E$62:$E$160,0))</f>
        <v>2736551.9238087437</v>
      </c>
      <c r="L31" s="32">
        <f>INDEX(Workings_risks!K$62:K$160, MATCH($A$3&amp;$C31, Workings_risks!$E$62:$E$160,0))</f>
        <v>3310205.6236975617</v>
      </c>
      <c r="M31" s="32">
        <f>INDEX(Workings_risks!L$62:L$160, MATCH($A$3&amp;$C31, Workings_risks!$E$62:$E$160,0))</f>
        <v>4023172.8644947568</v>
      </c>
      <c r="N31" s="32">
        <f>INDEX(Workings_risks!M$62:M$160, MATCH($A$3&amp;$C31, Workings_risks!$E$62:$E$160,0))</f>
        <v>4910761.4271219429</v>
      </c>
      <c r="O31" s="32">
        <f>INDEX(Workings_risks!N$62:N$160, MATCH($A$3&amp;$C31, Workings_risks!$E$62:$E$160,0))</f>
        <v>6003237.0773404511</v>
      </c>
      <c r="P31" s="32">
        <f>INDEX(Workings_risks!O$62:O$160, MATCH($A$3&amp;$C31, Workings_risks!$E$62:$E$160,0))</f>
        <v>7107675.2346378388</v>
      </c>
      <c r="Q31" s="32">
        <f>INDEX(Workings_risks!P$62:P$160, MATCH($A$3&amp;$C31, Workings_risks!$E$62:$E$160,0))</f>
        <v>8221365.5544287991</v>
      </c>
      <c r="R31" s="32">
        <f>INDEX(Workings_risks!Q$62:Q$160, MATCH($A$3&amp;$C31, Workings_risks!$E$62:$E$160,0))</f>
        <v>9343817.0470247865</v>
      </c>
      <c r="S31" s="32">
        <f>INDEX(Workings_risks!R$62:R$160, MATCH($A$3&amp;$C31, Workings_risks!$E$62:$E$160,0))</f>
        <v>10724050.270359708</v>
      </c>
      <c r="T31" s="32">
        <f>INDEX(Workings_risks!S$62:S$160, MATCH($A$3&amp;$C31, Workings_risks!$E$62:$E$160,0))</f>
        <v>12126854.683173925</v>
      </c>
      <c r="U31" s="32">
        <f>INDEX(Workings_risks!T$62:T$160, MATCH($A$3&amp;$C31, Workings_risks!$E$62:$E$160,0))</f>
        <v>13434758.387490673</v>
      </c>
      <c r="V31" s="32">
        <f>INDEX(Workings_risks!U$62:U$160, MATCH($A$3&amp;$C31, Workings_risks!$E$62:$E$160,0))</f>
        <v>14370195.604258232</v>
      </c>
      <c r="W31" s="32">
        <f>INDEX(Workings_risks!V$62:V$160, MATCH($A$3&amp;$C31, Workings_risks!$E$62:$E$160,0))</f>
        <v>15092828.355023557</v>
      </c>
      <c r="X31" s="32">
        <f>INDEX(Workings_risks!W$62:W$160, MATCH($A$3&amp;$C31, Workings_risks!$E$62:$E$160,0))</f>
        <v>15732736.894875346</v>
      </c>
      <c r="Y31" s="32">
        <f>INDEX(Workings_risks!X$62:X$160, MATCH($A$3&amp;$C31, Workings_risks!$E$62:$E$160,0))</f>
        <v>16115522.598640788</v>
      </c>
      <c r="Z31" s="32">
        <f>INDEX(Workings_risks!Y$62:Y$160, MATCH($A$3&amp;$C31, Workings_risks!$E$62:$E$160,0))</f>
        <v>16440715.578536976</v>
      </c>
      <c r="AA31" s="32">
        <f>INDEX(Workings_risks!Z$62:Z$160, MATCH($A$3&amp;$C31, Workings_risks!$E$62:$E$160,0))</f>
        <v>16713862.883625716</v>
      </c>
      <c r="AB31" s="32">
        <f>INDEX(Workings_risks!AA$62:AA$160, MATCH($A$3&amp;$C31, Workings_risks!$E$62:$E$160,0))</f>
        <v>16959000.178317752</v>
      </c>
      <c r="AC31" s="32">
        <f>INDEX(Workings_risks!AB$62:AB$160, MATCH($A$3&amp;$C31, Workings_risks!$E$62:$E$160,0))</f>
        <v>17185215.129646316</v>
      </c>
      <c r="AD31" s="32">
        <f>INDEX(Workings_risks!AC$62:AC$160, MATCH($A$3&amp;$C31, Workings_risks!$E$62:$E$160,0))</f>
        <v>17345964.411755987</v>
      </c>
      <c r="AE31" s="32">
        <f>INDEX(Workings_risks!AD$62:AD$160, MATCH($A$3&amp;$C31, Workings_risks!$E$62:$E$160,0))</f>
        <v>17470894.352812734</v>
      </c>
      <c r="AF31" s="32">
        <f>INDEX(Workings_risks!AE$62:AE$160, MATCH($A$3&amp;$C31, Workings_risks!$E$62:$E$160,0))</f>
        <v>17579784.300444949</v>
      </c>
      <c r="AG31" s="32">
        <f>INDEX(Workings_risks!AF$62:AF$160, MATCH($A$3&amp;$C31, Workings_risks!$E$62:$E$160,0))</f>
        <v>17683585.211365942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289" t="s">
        <v>115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165853.38374076918</v>
      </c>
      <c r="J32" s="32">
        <f>INDEX(Workings_risks!I$62:I$160, MATCH($A$3&amp;$C32, Workings_risks!$E$62:$E$160,0))</f>
        <v>198398.04735217502</v>
      </c>
      <c r="K32" s="32">
        <f>INDEX(Workings_risks!J$62:J$160, MATCH($A$3&amp;$C32, Workings_risks!$E$62:$E$160,0))</f>
        <v>238756.49474498606</v>
      </c>
      <c r="L32" s="32">
        <f>INDEX(Workings_risks!K$62:K$160, MATCH($A$3&amp;$C32, Workings_risks!$E$62:$E$160,0))</f>
        <v>288806.17419426912</v>
      </c>
      <c r="M32" s="32">
        <f>INDEX(Workings_risks!L$62:L$160, MATCH($A$3&amp;$C32, Workings_risks!$E$62:$E$160,0))</f>
        <v>351010.57009837532</v>
      </c>
      <c r="N32" s="32">
        <f>INDEX(Workings_risks!M$62:M$160, MATCH($A$3&amp;$C32, Workings_risks!$E$62:$E$160,0))</f>
        <v>428450.18750335398</v>
      </c>
      <c r="O32" s="32">
        <f>INDEX(Workings_risks!N$62:N$160, MATCH($A$3&amp;$C32, Workings_risks!$E$62:$E$160,0))</f>
        <v>523765.62974695978</v>
      </c>
      <c r="P32" s="32">
        <f>INDEX(Workings_risks!O$62:O$160, MATCH($A$3&amp;$C32, Workings_risks!$E$62:$E$160,0))</f>
        <v>620124.76724577567</v>
      </c>
      <c r="Q32" s="32">
        <f>INDEX(Workings_risks!P$62:P$160, MATCH($A$3&amp;$C32, Workings_risks!$E$62:$E$160,0))</f>
        <v>717291.13002197712</v>
      </c>
      <c r="R32" s="32">
        <f>INDEX(Workings_risks!Q$62:Q$160, MATCH($A$3&amp;$C32, Workings_risks!$E$62:$E$160,0))</f>
        <v>815221.8805996977</v>
      </c>
      <c r="S32" s="32">
        <f>INDEX(Workings_risks!R$62:R$160, MATCH($A$3&amp;$C32, Workings_risks!$E$62:$E$160,0))</f>
        <v>935643.36555926851</v>
      </c>
      <c r="T32" s="32">
        <f>INDEX(Workings_risks!S$62:S$160, MATCH($A$3&amp;$C32, Workings_risks!$E$62:$E$160,0))</f>
        <v>1058034.1236159129</v>
      </c>
      <c r="U32" s="32">
        <f>INDEX(Workings_risks!T$62:T$160, MATCH($A$3&amp;$C32, Workings_risks!$E$62:$E$160,0))</f>
        <v>1172145.0605178631</v>
      </c>
      <c r="V32" s="32">
        <f>INDEX(Workings_risks!U$62:U$160, MATCH($A$3&amp;$C32, Workings_risks!$E$62:$E$160,0))</f>
        <v>1253759.3390507477</v>
      </c>
      <c r="W32" s="32">
        <f>INDEX(Workings_risks!V$62:V$160, MATCH($A$3&amp;$C32, Workings_risks!$E$62:$E$160,0))</f>
        <v>1316807.0236422841</v>
      </c>
      <c r="X32" s="32">
        <f>INDEX(Workings_risks!W$62:W$160, MATCH($A$3&amp;$C32, Workings_risks!$E$62:$E$160,0))</f>
        <v>1372637.2524068649</v>
      </c>
      <c r="Y32" s="32">
        <f>INDEX(Workings_risks!X$62:X$160, MATCH($A$3&amp;$C32, Workings_risks!$E$62:$E$160,0))</f>
        <v>1406034.2335035468</v>
      </c>
      <c r="Z32" s="32">
        <f>INDEX(Workings_risks!Y$62:Y$160, MATCH($A$3&amp;$C32, Workings_risks!$E$62:$E$160,0))</f>
        <v>1434406.4106656846</v>
      </c>
      <c r="AA32" s="32">
        <f>INDEX(Workings_risks!Z$62:Z$160, MATCH($A$3&amp;$C32, Workings_risks!$E$62:$E$160,0))</f>
        <v>1458237.7483957065</v>
      </c>
      <c r="AB32" s="32">
        <f>INDEX(Workings_risks!AA$62:AA$160, MATCH($A$3&amp;$C32, Workings_risks!$E$62:$E$160,0))</f>
        <v>1479625.2911288547</v>
      </c>
      <c r="AC32" s="32">
        <f>INDEX(Workings_risks!AB$62:AB$160, MATCH($A$3&amp;$C32, Workings_risks!$E$62:$E$160,0))</f>
        <v>1499361.9123740839</v>
      </c>
      <c r="AD32" s="32">
        <f>INDEX(Workings_risks!AC$62:AC$160, MATCH($A$3&amp;$C32, Workings_risks!$E$62:$E$160,0))</f>
        <v>1513386.8372422589</v>
      </c>
      <c r="AE32" s="32">
        <f>INDEX(Workings_risks!AD$62:AD$160, MATCH($A$3&amp;$C32, Workings_risks!$E$62:$E$160,0))</f>
        <v>1524286.6248749716</v>
      </c>
      <c r="AF32" s="32">
        <f>INDEX(Workings_risks!AE$62:AE$160, MATCH($A$3&amp;$C32, Workings_risks!$E$62:$E$160,0))</f>
        <v>1533786.9679831879</v>
      </c>
      <c r="AG32" s="32">
        <f>INDEX(Workings_risks!AF$62:AF$160, MATCH($A$3&amp;$C32, Workings_risks!$E$62:$E$160,0))</f>
        <v>1542843.306884421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9" t="s">
        <v>296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1114904.0813809298</v>
      </c>
      <c r="J33" s="32">
        <f>INDEX(Workings_risks!I$62:I$160, MATCH($A$3&amp;$C33, Workings_risks!$E$62:$E$160,0))</f>
        <v>1333676.6952953881</v>
      </c>
      <c r="K33" s="32">
        <f>INDEX(Workings_risks!J$62:J$160, MATCH($A$3&amp;$C33, Workings_risks!$E$62:$E$160,0))</f>
        <v>1604975.3369123209</v>
      </c>
      <c r="L33" s="32">
        <f>INDEX(Workings_risks!K$62:K$160, MATCH($A$3&amp;$C33, Workings_risks!$E$62:$E$160,0))</f>
        <v>1941420.6395721079</v>
      </c>
      <c r="M33" s="32">
        <f>INDEX(Workings_risks!L$62:L$160, MATCH($A$3&amp;$C33, Workings_risks!$E$62:$E$160,0))</f>
        <v>2359572.7044206681</v>
      </c>
      <c r="N33" s="32">
        <f>INDEX(Workings_risks!M$62:M$160, MATCH($A$3&amp;$C33, Workings_risks!$E$62:$E$160,0))</f>
        <v>2880139.3854136551</v>
      </c>
      <c r="O33" s="32">
        <f>INDEX(Workings_risks!N$62:N$160, MATCH($A$3&amp;$C33, Workings_risks!$E$62:$E$160,0))</f>
        <v>3520871.417399941</v>
      </c>
      <c r="P33" s="32">
        <f>INDEX(Workings_risks!O$62:O$160, MATCH($A$3&amp;$C33, Workings_risks!$E$62:$E$160,0))</f>
        <v>4168619.4057297558</v>
      </c>
      <c r="Q33" s="32">
        <f>INDEX(Workings_risks!P$62:P$160, MATCH($A$3&amp;$C33, Workings_risks!$E$62:$E$160,0))</f>
        <v>4821793.7455517873</v>
      </c>
      <c r="R33" s="32">
        <f>INDEX(Workings_risks!Q$62:Q$160, MATCH($A$3&amp;$C33, Workings_risks!$E$62:$E$160,0))</f>
        <v>5480106.4736324735</v>
      </c>
      <c r="S33" s="32">
        <f>INDEX(Workings_risks!R$62:R$160, MATCH($A$3&amp;$C33, Workings_risks!$E$62:$E$160,0))</f>
        <v>6289607.0218831208</v>
      </c>
      <c r="T33" s="32">
        <f>INDEX(Workings_risks!S$62:S$160, MATCH($A$3&amp;$C33, Workings_risks!$E$62:$E$160,0))</f>
        <v>7112345.4707648028</v>
      </c>
      <c r="U33" s="32">
        <f>INDEX(Workings_risks!T$62:T$160, MATCH($A$3&amp;$C33, Workings_risks!$E$62:$E$160,0))</f>
        <v>7879425.082966364</v>
      </c>
      <c r="V33" s="32">
        <f>INDEX(Workings_risks!U$62:U$160, MATCH($A$3&amp;$C33, Workings_risks!$E$62:$E$160,0))</f>
        <v>8428054.7833859511</v>
      </c>
      <c r="W33" s="32">
        <f>INDEX(Workings_risks!V$62:V$160, MATCH($A$3&amp;$C33, Workings_risks!$E$62:$E$160,0))</f>
        <v>8851875.6261526514</v>
      </c>
      <c r="X33" s="32">
        <f>INDEX(Workings_risks!W$62:W$160, MATCH($A$3&amp;$C33, Workings_risks!$E$62:$E$160,0))</f>
        <v>9227179.0930469539</v>
      </c>
      <c r="Y33" s="32">
        <f>INDEX(Workings_risks!X$62:X$160, MATCH($A$3&amp;$C33, Workings_risks!$E$62:$E$160,0))</f>
        <v>9451681.1785075106</v>
      </c>
      <c r="Z33" s="32">
        <f>INDEX(Workings_risks!Y$62:Y$160, MATCH($A$3&amp;$C33, Workings_risks!$E$62:$E$160,0))</f>
        <v>9642405.3916786555</v>
      </c>
      <c r="AA33" s="32">
        <f>INDEX(Workings_risks!Z$62:Z$160, MATCH($A$3&amp;$C33, Workings_risks!$E$62:$E$160,0))</f>
        <v>9802605.05176818</v>
      </c>
      <c r="AB33" s="32">
        <f>INDEX(Workings_risks!AA$62:AA$160, MATCH($A$3&amp;$C33, Workings_risks!$E$62:$E$160,0))</f>
        <v>9946376.9673364889</v>
      </c>
      <c r="AC33" s="32">
        <f>INDEX(Workings_risks!AB$62:AB$160, MATCH($A$3&amp;$C33, Workings_risks!$E$62:$E$160,0))</f>
        <v>10079051.014031662</v>
      </c>
      <c r="AD33" s="32">
        <f>INDEX(Workings_risks!AC$62:AC$160, MATCH($A$3&amp;$C33, Workings_risks!$E$62:$E$160,0))</f>
        <v>10173329.741567479</v>
      </c>
      <c r="AE33" s="32">
        <f>INDEX(Workings_risks!AD$62:AD$160, MATCH($A$3&amp;$C33, Workings_risks!$E$62:$E$160,0))</f>
        <v>10246600.587442357</v>
      </c>
      <c r="AF33" s="32">
        <f>INDEX(Workings_risks!AE$62:AE$160, MATCH($A$3&amp;$C33, Workings_risks!$E$62:$E$160,0))</f>
        <v>10310464.049658027</v>
      </c>
      <c r="AG33" s="32">
        <f>INDEX(Workings_risks!AF$62:AF$160, MATCH($A$3&amp;$C33, Workings_risks!$E$62:$E$160,0))</f>
        <v>10371342.81483978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9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44379611.159204885</v>
      </c>
      <c r="J36" s="108">
        <f t="shared" ref="J36:AB36" si="4">SUM(J28:J34)</f>
        <v>53088022.671862379</v>
      </c>
      <c r="K36" s="108">
        <f t="shared" si="4"/>
        <v>63887272.960790344</v>
      </c>
      <c r="L36" s="108">
        <f t="shared" si="4"/>
        <v>77279736.005582765</v>
      </c>
      <c r="M36" s="108">
        <f t="shared" si="4"/>
        <v>93924599.320113212</v>
      </c>
      <c r="N36" s="108">
        <f t="shared" si="4"/>
        <v>114646154.89670739</v>
      </c>
      <c r="O36" s="108">
        <f t="shared" si="4"/>
        <v>140150984.3360061</v>
      </c>
      <c r="P36" s="108">
        <f t="shared" si="4"/>
        <v>165935089.29293507</v>
      </c>
      <c r="Q36" s="108">
        <f t="shared" si="4"/>
        <v>191935194.32848915</v>
      </c>
      <c r="R36" s="108">
        <f t="shared" si="4"/>
        <v>218139836.84552923</v>
      </c>
      <c r="S36" s="108">
        <f t="shared" si="4"/>
        <v>250362626.37916294</v>
      </c>
      <c r="T36" s="108">
        <f t="shared" si="4"/>
        <v>283112360.68982339</v>
      </c>
      <c r="U36" s="108">
        <f t="shared" si="4"/>
        <v>313646552.36261141</v>
      </c>
      <c r="V36" s="108">
        <f t="shared" si="4"/>
        <v>335485177.92836833</v>
      </c>
      <c r="W36" s="108">
        <f t="shared" si="4"/>
        <v>352355691.29114628</v>
      </c>
      <c r="X36" s="108">
        <f t="shared" si="4"/>
        <v>367294933.3350364</v>
      </c>
      <c r="Y36" s="108">
        <f t="shared" si="4"/>
        <v>376231410.85230356</v>
      </c>
      <c r="Z36" s="108">
        <f t="shared" si="4"/>
        <v>383823334.28368682</v>
      </c>
      <c r="AA36" s="108">
        <f t="shared" si="4"/>
        <v>390200204.49282968</v>
      </c>
      <c r="AB36" s="108">
        <f t="shared" si="4"/>
        <v>395923155.74495232</v>
      </c>
      <c r="AC36" s="108">
        <f>SUM(AC28:AC34)</f>
        <v>401204347.82378751</v>
      </c>
      <c r="AD36" s="108">
        <f>SUM(AD28:AD34)</f>
        <v>404957184.80635715</v>
      </c>
      <c r="AE36" s="108">
        <f>SUM(AE28:AE34)</f>
        <v>407873786.96392161</v>
      </c>
      <c r="AF36" s="108">
        <f>SUM(AF28:AF34)</f>
        <v>410415921.00732875</v>
      </c>
      <c r="AG36" s="108">
        <f>SUM(AG28:AG34)</f>
        <v>412839246.89853215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377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151432.81740793545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24590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88.357719508603083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0.35181336539087127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</row>
    <row r="64" spans="1:43" x14ac:dyDescent="0.2">
      <c r="C64" s="4" t="s">
        <v>121</v>
      </c>
      <c r="G64" s="214">
        <f>input_dollars</f>
        <v>45291</v>
      </c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4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4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4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4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4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4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2">SUM(J77:J79)</f>
        <v>0</v>
      </c>
      <c r="K80" s="180">
        <f t="shared" si="12"/>
        <v>0</v>
      </c>
      <c r="L80" s="180">
        <f t="shared" si="12"/>
        <v>0</v>
      </c>
      <c r="M80" s="180">
        <f t="shared" si="12"/>
        <v>0</v>
      </c>
      <c r="N80" s="180">
        <f t="shared" si="12"/>
        <v>0</v>
      </c>
      <c r="O80" s="180">
        <f t="shared" si="12"/>
        <v>0</v>
      </c>
      <c r="P80" s="180">
        <f t="shared" si="12"/>
        <v>0</v>
      </c>
      <c r="Q80" s="180">
        <f t="shared" si="12"/>
        <v>0</v>
      </c>
      <c r="R80" s="180">
        <f t="shared" si="12"/>
        <v>0</v>
      </c>
      <c r="S80" s="180">
        <f t="shared" si="12"/>
        <v>0</v>
      </c>
      <c r="T80" s="180">
        <f t="shared" si="12"/>
        <v>0</v>
      </c>
      <c r="U80" s="180">
        <f t="shared" si="12"/>
        <v>0</v>
      </c>
      <c r="V80" s="180">
        <f t="shared" si="12"/>
        <v>0</v>
      </c>
      <c r="W80" s="180">
        <f t="shared" si="12"/>
        <v>0</v>
      </c>
      <c r="X80" s="180">
        <f t="shared" si="12"/>
        <v>0</v>
      </c>
      <c r="Y80" s="180">
        <f t="shared" si="12"/>
        <v>0</v>
      </c>
      <c r="Z80" s="180">
        <f t="shared" si="12"/>
        <v>0</v>
      </c>
      <c r="AA80" s="180">
        <f t="shared" si="12"/>
        <v>0</v>
      </c>
      <c r="AB80" s="180">
        <f t="shared" si="12"/>
        <v>0</v>
      </c>
      <c r="AC80" s="180">
        <f>SUM(AC77:AC79)</f>
        <v>0</v>
      </c>
      <c r="AD80" s="180">
        <f>SUM(AD77:AD79)</f>
        <v>0</v>
      </c>
      <c r="AE80" s="180">
        <f>SUM(AE77:AE79)</f>
        <v>0</v>
      </c>
      <c r="AF80" s="180">
        <f>SUM(AF77:AF79)</f>
        <v>0</v>
      </c>
      <c r="AG80" s="180">
        <f>SUM(AG77:AG79)</f>
        <v>0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4" t="s">
        <v>188</v>
      </c>
      <c r="D87" s="182"/>
      <c r="E87" s="177"/>
      <c r="F87" s="183"/>
      <c r="G87" s="219">
        <f t="shared" si="13"/>
        <v>45291</v>
      </c>
      <c r="H87" s="183"/>
      <c r="I87" s="183">
        <f t="shared" ref="I87:AB87" si="18">SUM(I82:I86)</f>
        <v>0</v>
      </c>
      <c r="J87" s="183">
        <f t="shared" si="18"/>
        <v>0</v>
      </c>
      <c r="K87" s="183">
        <f t="shared" si="18"/>
        <v>0</v>
      </c>
      <c r="L87" s="183">
        <f t="shared" si="18"/>
        <v>0</v>
      </c>
      <c r="M87" s="183">
        <f t="shared" si="18"/>
        <v>0</v>
      </c>
      <c r="N87" s="183">
        <f t="shared" si="18"/>
        <v>0</v>
      </c>
      <c r="O87" s="183">
        <f t="shared" si="18"/>
        <v>0</v>
      </c>
      <c r="P87" s="183">
        <f t="shared" si="18"/>
        <v>0</v>
      </c>
      <c r="Q87" s="183">
        <f t="shared" si="18"/>
        <v>0</v>
      </c>
      <c r="R87" s="183">
        <f t="shared" si="18"/>
        <v>0</v>
      </c>
      <c r="S87" s="183">
        <f t="shared" si="18"/>
        <v>0</v>
      </c>
      <c r="T87" s="183">
        <f t="shared" si="18"/>
        <v>0</v>
      </c>
      <c r="U87" s="183">
        <f t="shared" si="18"/>
        <v>0</v>
      </c>
      <c r="V87" s="183">
        <f t="shared" si="18"/>
        <v>0</v>
      </c>
      <c r="W87" s="183">
        <f t="shared" si="18"/>
        <v>0</v>
      </c>
      <c r="X87" s="183">
        <f t="shared" si="18"/>
        <v>0</v>
      </c>
      <c r="Y87" s="183">
        <f t="shared" si="18"/>
        <v>0</v>
      </c>
      <c r="Z87" s="183">
        <f t="shared" si="18"/>
        <v>0</v>
      </c>
      <c r="AA87" s="183">
        <f t="shared" si="18"/>
        <v>0</v>
      </c>
      <c r="AB87" s="183">
        <f t="shared" si="18"/>
        <v>0</v>
      </c>
      <c r="AC87" s="183">
        <f>SUM(AC82:AC86)</f>
        <v>0</v>
      </c>
      <c r="AD87" s="183">
        <f>SUM(AD82:AD86)</f>
        <v>0</v>
      </c>
      <c r="AE87" s="183">
        <f>SUM(AE82:AE86)</f>
        <v>0</v>
      </c>
      <c r="AF87" s="183">
        <f>SUM(AF82:AF86)</f>
        <v>0</v>
      </c>
      <c r="AG87" s="183">
        <f>SUM(AG82:AG86)</f>
        <v>0</v>
      </c>
    </row>
    <row r="88" spans="1:33" x14ac:dyDescent="0.2">
      <c r="A88" s="8"/>
      <c r="B88" s="8"/>
      <c r="C88" s="75"/>
      <c r="D88" s="141"/>
      <c r="E88" s="64"/>
      <c r="F88" s="143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3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/>
      <c r="D90" s="82"/>
      <c r="E90" s="235"/>
      <c r="F90" s="236"/>
      <c r="G90" s="23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5"/>
      <c r="D91" s="235"/>
      <c r="E91" s="235"/>
      <c r="F91" s="235"/>
      <c r="G91" s="235"/>
    </row>
    <row r="92" spans="1:33" x14ac:dyDescent="0.2">
      <c r="C92" s="235"/>
      <c r="D92" s="235"/>
      <c r="E92" s="235"/>
      <c r="F92" s="235"/>
      <c r="G92" s="235"/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130</v>
      </c>
      <c r="B3" s="5"/>
      <c r="C3" s="204" t="str">
        <f>INDEX(Assumptions!$E$14:$E$18, MATCH(A3,_xlfn.ANCHORARRAY( Assumptions!$C$14),0))</f>
        <v>Replace highest 5 delta risk cable sections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51">
        <v>60</v>
      </c>
      <c r="G14" s="211">
        <f>input_dollars</f>
        <v>45291</v>
      </c>
      <c r="H14" s="152"/>
      <c r="I14" s="32">
        <f>Workings_costs!E43</f>
        <v>1457739.1194399998</v>
      </c>
      <c r="J14" s="32">
        <f>Workings_costs!F43</f>
        <v>1457739.1194399998</v>
      </c>
      <c r="K14" s="32">
        <f>Workings_costs!G43</f>
        <v>1457739.1194399998</v>
      </c>
      <c r="L14" s="32">
        <f>Workings_costs!H43</f>
        <v>1457739.1194399998</v>
      </c>
      <c r="M14" s="32">
        <f>Workings_costs!I43</f>
        <v>1457739.1194399998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11">
        <f>input_dollars</f>
        <v>45291</v>
      </c>
      <c r="H17" s="107"/>
      <c r="I17" s="106">
        <f t="shared" ref="I17:Q17" si="0">SUM(I14:I16)</f>
        <v>1457739.1194399998</v>
      </c>
      <c r="J17" s="106">
        <f t="shared" si="0"/>
        <v>1457739.1194399998</v>
      </c>
      <c r="K17" s="106">
        <f t="shared" si="0"/>
        <v>1457739.1194399998</v>
      </c>
      <c r="L17" s="106">
        <f t="shared" si="0"/>
        <v>1457739.1194399998</v>
      </c>
      <c r="M17" s="106">
        <f t="shared" si="0"/>
        <v>1457739.1194399998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9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789.93234825298725</v>
      </c>
      <c r="J27" s="172">
        <f>INDEX(Workings_risks!I$47:I$51, MATCH($A$3, Workings_risks!$C$47:$C$51,0))</f>
        <v>943.47375238839152</v>
      </c>
      <c r="K27" s="172">
        <f>INDEX(Workings_risks!J$47:J$51, MATCH($A$3, Workings_risks!$C$47:$C$51,0))</f>
        <v>1133.525401026141</v>
      </c>
      <c r="L27" s="172">
        <f>INDEX(Workings_risks!K$47:K$51, MATCH($A$3, Workings_risks!$C$47:$C$51,0))</f>
        <v>1368.7786029418787</v>
      </c>
      <c r="M27" s="172">
        <f>INDEX(Workings_risks!L$47:L$51, MATCH($A$3, Workings_risks!$C$47:$C$51,0))</f>
        <v>1660.6318904423831</v>
      </c>
      <c r="N27" s="172">
        <f>INDEX(Workings_risks!M$47:M$51, MATCH($A$3, Workings_risks!$C$47:$C$51,0))</f>
        <v>2023.3110883529021</v>
      </c>
      <c r="O27" s="172">
        <f>INDEX(Workings_risks!N$47:N$51, MATCH($A$3, Workings_risks!$C$47:$C$51,0))</f>
        <v>2473.3683729762661</v>
      </c>
      <c r="P27" s="172">
        <f>INDEX(Workings_risks!O$47:O$51, MATCH($A$3, Workings_risks!$C$47:$C$51,0))</f>
        <v>2930.021943051222</v>
      </c>
      <c r="Q27" s="172">
        <f>INDEX(Workings_risks!P$47:P$51, MATCH($A$3, Workings_risks!$C$47:$C$51,0))</f>
        <v>3392.5111696223107</v>
      </c>
      <c r="R27" s="172">
        <f>INDEX(Workings_risks!Q$47:Q$51, MATCH($A$3, Workings_risks!$C$47:$C$51,0))</f>
        <v>3858.9392039815552</v>
      </c>
      <c r="S27" s="172">
        <f>INDEX(Workings_risks!R$47:R$51, MATCH($A$3, Workings_risks!$C$47:$C$51,0))</f>
        <v>4432.4869016450948</v>
      </c>
      <c r="T27" s="172">
        <f>INDEX(Workings_risks!S$47:S$51, MATCH($A$3, Workings_risks!$C$47:$C$51,0))</f>
        <v>5015.4139227016012</v>
      </c>
      <c r="U27" s="172">
        <f>INDEX(Workings_risks!T$47:T$51, MATCH($A$3, Workings_risks!$C$47:$C$51,0))</f>
        <v>5558.9055194072544</v>
      </c>
      <c r="V27" s="172">
        <f>INDEX(Workings_risks!U$47:U$51, MATCH($A$3, Workings_risks!$C$47:$C$51,0))</f>
        <v>5947.6208849811146</v>
      </c>
      <c r="W27" s="172">
        <f>INDEX(Workings_risks!V$47:V$51, MATCH($A$3, Workings_risks!$C$47:$C$51,0))</f>
        <v>6247.9066218048483</v>
      </c>
      <c r="X27" s="172">
        <f>INDEX(Workings_risks!W$47:W$51, MATCH($A$3, Workings_risks!$C$47:$C$51,0))</f>
        <v>6513.8168053464678</v>
      </c>
      <c r="Y27" s="172">
        <f>INDEX(Workings_risks!X$47:X$51, MATCH($A$3, Workings_risks!$C$47:$C$51,0))</f>
        <v>6672.8811253334334</v>
      </c>
      <c r="Z27" s="172">
        <f>INDEX(Workings_risks!Y$47:Y$51, MATCH($A$3, Workings_risks!$C$47:$C$51,0))</f>
        <v>6808.0131318396589</v>
      </c>
      <c r="AA27" s="172">
        <f>INDEX(Workings_risks!Z$47:Z$51, MATCH($A$3, Workings_risks!$C$47:$C$51,0))</f>
        <v>6921.5178680741037</v>
      </c>
      <c r="AB27" s="172">
        <f>INDEX(Workings_risks!AA$47:AA$51, MATCH($A$3, Workings_risks!$C$47:$C$51,0))</f>
        <v>7023.3832112676064</v>
      </c>
      <c r="AC27" s="172">
        <f>INDEX(Workings_risks!AB$47:AB$51, MATCH($A$3, Workings_risks!$C$47:$C$51,0))</f>
        <v>7117.3854873453247</v>
      </c>
      <c r="AD27" s="172">
        <f>INDEX(Workings_risks!AC$47:AC$51, MATCH($A$3, Workings_risks!$C$47:$C$51,0))</f>
        <v>7184.1838943799703</v>
      </c>
      <c r="AE27" s="172">
        <f>INDEX(Workings_risks!AD$47:AD$51, MATCH($A$3, Workings_risks!$C$47:$C$51,0))</f>
        <v>7236.0977875184144</v>
      </c>
      <c r="AF27" s="172">
        <f>INDEX(Workings_risks!AE$47:AE$51, MATCH($A$3, Workings_risks!$C$47:$C$51,0))</f>
        <v>7281.346356895885</v>
      </c>
      <c r="AG27" s="172">
        <f>INDEX(Workings_risks!AF$47:AF$51, MATCH($A$3, Workings_risks!$C$47:$C$51,0))</f>
        <v>7324.48020736955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37774399.306804761</v>
      </c>
      <c r="J28" s="302">
        <f t="shared" ref="J28:AG28" si="2">J27*$E$28</f>
        <v>45116717.067009628</v>
      </c>
      <c r="K28" s="302">
        <f t="shared" si="2"/>
        <v>54204947.065991387</v>
      </c>
      <c r="L28" s="302">
        <f t="shared" si="2"/>
        <v>65454705.867517769</v>
      </c>
      <c r="M28" s="302">
        <f t="shared" si="2"/>
        <v>79411068.897123635</v>
      </c>
      <c r="N28" s="302">
        <f t="shared" si="2"/>
        <v>96754312.115916342</v>
      </c>
      <c r="O28" s="302">
        <f t="shared" si="2"/>
        <v>118275957.12500834</v>
      </c>
      <c r="P28" s="302">
        <f t="shared" si="2"/>
        <v>140113035.12167349</v>
      </c>
      <c r="Q28" s="302">
        <f t="shared" si="2"/>
        <v>162229172.98870575</v>
      </c>
      <c r="R28" s="302">
        <f t="shared" si="2"/>
        <v>184533663.81850958</v>
      </c>
      <c r="S28" s="302">
        <f t="shared" si="2"/>
        <v>211960594.49296072</v>
      </c>
      <c r="T28" s="302">
        <f t="shared" si="2"/>
        <v>239836042.44595748</v>
      </c>
      <c r="U28" s="302">
        <f t="shared" si="2"/>
        <v>265825696.67300171</v>
      </c>
      <c r="V28" s="302">
        <f t="shared" si="2"/>
        <v>284413983.97171986</v>
      </c>
      <c r="W28" s="302">
        <f t="shared" si="2"/>
        <v>298773584.96034145</v>
      </c>
      <c r="X28" s="302">
        <f t="shared" si="2"/>
        <v>311489354.19686091</v>
      </c>
      <c r="Y28" s="302">
        <f t="shared" si="2"/>
        <v>319095776.63536656</v>
      </c>
      <c r="Z28" s="302">
        <f t="shared" si="2"/>
        <v>325557760.85994613</v>
      </c>
      <c r="AA28" s="302">
        <f t="shared" si="2"/>
        <v>330985533.55366588</v>
      </c>
      <c r="AB28" s="302">
        <f t="shared" si="2"/>
        <v>335856712.91203254</v>
      </c>
      <c r="AC28" s="302">
        <f t="shared" si="2"/>
        <v>340351882.04918885</v>
      </c>
      <c r="AD28" s="302">
        <f t="shared" si="2"/>
        <v>343546167.87121606</v>
      </c>
      <c r="AE28" s="302">
        <f t="shared" si="2"/>
        <v>346028679.3588382</v>
      </c>
      <c r="AF28" s="302">
        <f t="shared" si="2"/>
        <v>348192456.4614045</v>
      </c>
      <c r="AG28" s="302">
        <f t="shared" si="2"/>
        <v>350255108.14928097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3423495.0151333283</v>
      </c>
      <c r="J30" s="32">
        <f>INDEX(Workings_risks!I$62:I$160, MATCH($A$3&amp;$C30, Workings_risks!$E$62:$E$160,0))</f>
        <v>4091030.7743868995</v>
      </c>
      <c r="K30" s="32">
        <f>INDEX(Workings_risks!J$62:J$160, MATCH($A$3&amp;$C30, Workings_risks!$E$62:$E$160,0))</f>
        <v>4917811.6111254189</v>
      </c>
      <c r="L30" s="32">
        <f>INDEX(Workings_risks!K$62:K$160, MATCH($A$3&amp;$C30, Workings_risks!$E$62:$E$160,0))</f>
        <v>5941864.7802919056</v>
      </c>
      <c r="M30" s="32">
        <f>INDEX(Workings_risks!L$62:L$160, MATCH($A$3&amp;$C30, Workings_risks!$E$62:$E$160,0))</f>
        <v>7213070.9628023617</v>
      </c>
      <c r="N30" s="32">
        <f>INDEX(Workings_risks!M$62:M$160, MATCH($A$3&amp;$C30, Workings_risks!$E$62:$E$160,0))</f>
        <v>8793724.1259439308</v>
      </c>
      <c r="O30" s="32">
        <f>INDEX(Workings_risks!N$62:N$160, MATCH($A$3&amp;$C30, Workings_risks!$E$62:$E$160,0))</f>
        <v>10749851.942098949</v>
      </c>
      <c r="P30" s="32">
        <f>INDEX(Workings_risks!O$62:O$160, MATCH($A$3&amp;$C30, Workings_risks!$E$62:$E$160,0))</f>
        <v>12732233.78043793</v>
      </c>
      <c r="Q30" s="32">
        <f>INDEX(Workings_risks!P$62:P$160, MATCH($A$3&amp;$C30, Workings_risks!$E$62:$E$160,0))</f>
        <v>14737048.155589424</v>
      </c>
      <c r="R30" s="32">
        <f>INDEX(Workings_risks!Q$62:Q$160, MATCH($A$3&amp;$C30, Workings_risks!$E$62:$E$160,0))</f>
        <v>16758504.871571267</v>
      </c>
      <c r="S30" s="32">
        <f>INDEX(Workings_risks!R$62:R$160, MATCH($A$3&amp;$C30, Workings_risks!$E$62:$E$160,0))</f>
        <v>19244208.474208731</v>
      </c>
      <c r="T30" s="32">
        <f>INDEX(Workings_risks!S$62:S$160, MATCH($A$3&amp;$C30, Workings_risks!$E$62:$E$160,0))</f>
        <v>21770561.212119825</v>
      </c>
      <c r="U30" s="32">
        <f>INDEX(Workings_risks!T$62:T$160, MATCH($A$3&amp;$C30, Workings_risks!$E$62:$E$160,0))</f>
        <v>24126004.404443376</v>
      </c>
      <c r="V30" s="32">
        <f>INDEX(Workings_risks!U$62:U$160, MATCH($A$3&amp;$C30, Workings_risks!$E$62:$E$160,0))</f>
        <v>25810661.475762147</v>
      </c>
      <c r="W30" s="32">
        <f>INDEX(Workings_risks!V$62:V$160, MATCH($A$3&amp;$C30, Workings_risks!$E$62:$E$160,0))</f>
        <v>27112072.571794953</v>
      </c>
      <c r="X30" s="32">
        <f>INDEX(Workings_risks!W$62:W$160, MATCH($A$3&amp;$C30, Workings_risks!$E$62:$E$160,0))</f>
        <v>28264503.14365498</v>
      </c>
      <c r="Y30" s="32">
        <f>INDEX(Workings_risks!X$62:X$160, MATCH($A$3&amp;$C30, Workings_risks!$E$62:$E$160,0))</f>
        <v>28953873.452093784</v>
      </c>
      <c r="Z30" s="32">
        <f>INDEX(Workings_risks!Y$62:Y$160, MATCH($A$3&amp;$C30, Workings_risks!$E$62:$E$160,0))</f>
        <v>29539523.288667973</v>
      </c>
      <c r="AA30" s="32">
        <f>INDEX(Workings_risks!Z$62:Z$160, MATCH($A$3&amp;$C30, Workings_risks!$E$62:$E$160,0))</f>
        <v>30031442.501182862</v>
      </c>
      <c r="AB30" s="32">
        <f>INDEX(Workings_risks!AA$62:AA$160, MATCH($A$3&amp;$C30, Workings_risks!$E$62:$E$160,0))</f>
        <v>30472917.64194531</v>
      </c>
      <c r="AC30" s="32">
        <f>INDEX(Workings_risks!AB$62:AB$160, MATCH($A$3&amp;$C30, Workings_risks!$E$62:$E$160,0))</f>
        <v>30880314.964355242</v>
      </c>
      <c r="AD30" s="32">
        <f>INDEX(Workings_risks!AC$62:AC$160, MATCH($A$3&amp;$C30, Workings_risks!$E$62:$E$160,0))</f>
        <v>31169813.190383982</v>
      </c>
      <c r="AE30" s="32">
        <f>INDEX(Workings_risks!AD$62:AD$160, MATCH($A$3&amp;$C30, Workings_risks!$E$62:$E$160,0))</f>
        <v>31394803.285762008</v>
      </c>
      <c r="AF30" s="32">
        <f>INDEX(Workings_risks!AE$62:AE$160, MATCH($A$3&amp;$C30, Workings_risks!$E$62:$E$160,0))</f>
        <v>31590906.473646741</v>
      </c>
      <c r="AG30" s="32">
        <f>INDEX(Workings_risks!AF$62:AF$160, MATCH($A$3&amp;$C30, Workings_risks!$E$62:$E$160,0))</f>
        <v>31777844.661969684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1900959.3721450921</v>
      </c>
      <c r="J31" s="32">
        <f>INDEX(Workings_risks!I$62:I$160, MATCH($A$3&amp;$C31, Workings_risks!$E$62:$E$160,0))</f>
        <v>2266730.1409875867</v>
      </c>
      <c r="K31" s="32">
        <f>INDEX(Workings_risks!J$62:J$160, MATCH($A$3&amp;$C31, Workings_risks!$E$62:$E$160,0))</f>
        <v>2718566.8627471989</v>
      </c>
      <c r="L31" s="32">
        <f>INDEX(Workings_risks!K$62:K$160, MATCH($A$3&amp;$C31, Workings_risks!$E$62:$E$160,0))</f>
        <v>3276747.1488208063</v>
      </c>
      <c r="M31" s="32">
        <f>INDEX(Workings_risks!L$62:L$160, MATCH($A$3&amp;$C31, Workings_risks!$E$62:$E$160,0))</f>
        <v>3967849.8193173269</v>
      </c>
      <c r="N31" s="32">
        <f>INDEX(Workings_risks!M$62:M$160, MATCH($A$3&amp;$C31, Workings_risks!$E$62:$E$160,0))</f>
        <v>4824973.8538874136</v>
      </c>
      <c r="O31" s="32">
        <f>INDEX(Workings_risks!N$62:N$160, MATCH($A$3&amp;$C31, Workings_risks!$E$62:$E$160,0))</f>
        <v>5898068.1509283679</v>
      </c>
      <c r="P31" s="32">
        <f>INDEX(Workings_risks!O$62:O$160, MATCH($A$3&amp;$C31, Workings_risks!$E$62:$E$160,0))</f>
        <v>6991172.3414269369</v>
      </c>
      <c r="Q31" s="32">
        <f>INDEX(Workings_risks!P$62:P$160, MATCH($A$3&amp;$C31, Workings_risks!$E$62:$E$160,0))</f>
        <v>8103386.4347906038</v>
      </c>
      <c r="R31" s="32">
        <f>INDEX(Workings_risks!Q$62:Q$160, MATCH($A$3&amp;$C31, Workings_risks!$E$62:$E$160,0))</f>
        <v>9225837.9273865912</v>
      </c>
      <c r="S31" s="32">
        <f>INDEX(Workings_risks!R$62:R$160, MATCH($A$3&amp;$C31, Workings_risks!$E$62:$E$160,0))</f>
        <v>10606071.150721513</v>
      </c>
      <c r="T31" s="32">
        <f>INDEX(Workings_risks!S$62:S$160, MATCH($A$3&amp;$C31, Workings_risks!$E$62:$E$160,0))</f>
        <v>12008875.563535729</v>
      </c>
      <c r="U31" s="32">
        <f>INDEX(Workings_risks!T$62:T$160, MATCH($A$3&amp;$C31, Workings_risks!$E$62:$E$160,0))</f>
        <v>13316779.267852478</v>
      </c>
      <c r="V31" s="32">
        <f>INDEX(Workings_risks!U$62:U$160, MATCH($A$3&amp;$C31, Workings_risks!$E$62:$E$160,0))</f>
        <v>14252216.484620037</v>
      </c>
      <c r="W31" s="32">
        <f>INDEX(Workings_risks!V$62:V$160, MATCH($A$3&amp;$C31, Workings_risks!$E$62:$E$160,0))</f>
        <v>14974849.235385362</v>
      </c>
      <c r="X31" s="32">
        <f>INDEX(Workings_risks!W$62:W$160, MATCH($A$3&amp;$C31, Workings_risks!$E$62:$E$160,0))</f>
        <v>15614757.77523715</v>
      </c>
      <c r="Y31" s="32">
        <f>INDEX(Workings_risks!X$62:X$160, MATCH($A$3&amp;$C31, Workings_risks!$E$62:$E$160,0))</f>
        <v>15997543.479002593</v>
      </c>
      <c r="Z31" s="32">
        <f>INDEX(Workings_risks!Y$62:Y$160, MATCH($A$3&amp;$C31, Workings_risks!$E$62:$E$160,0))</f>
        <v>16322736.458898781</v>
      </c>
      <c r="AA31" s="32">
        <f>INDEX(Workings_risks!Z$62:Z$160, MATCH($A$3&amp;$C31, Workings_risks!$E$62:$E$160,0))</f>
        <v>16595883.763987521</v>
      </c>
      <c r="AB31" s="32">
        <f>INDEX(Workings_risks!AA$62:AA$160, MATCH($A$3&amp;$C31, Workings_risks!$E$62:$E$160,0))</f>
        <v>16841021.058679555</v>
      </c>
      <c r="AC31" s="32">
        <f>INDEX(Workings_risks!AB$62:AB$160, MATCH($A$3&amp;$C31, Workings_risks!$E$62:$E$160,0))</f>
        <v>17067236.010008119</v>
      </c>
      <c r="AD31" s="32">
        <f>INDEX(Workings_risks!AC$62:AC$160, MATCH($A$3&amp;$C31, Workings_risks!$E$62:$E$160,0))</f>
        <v>17227985.292117789</v>
      </c>
      <c r="AE31" s="32">
        <f>INDEX(Workings_risks!AD$62:AD$160, MATCH($A$3&amp;$C31, Workings_risks!$E$62:$E$160,0))</f>
        <v>17352915.233174536</v>
      </c>
      <c r="AF31" s="32">
        <f>INDEX(Workings_risks!AE$62:AE$160, MATCH($A$3&amp;$C31, Workings_risks!$E$62:$E$160,0))</f>
        <v>17461805.180806752</v>
      </c>
      <c r="AG31" s="32">
        <f>INDEX(Workings_risks!AF$62:AF$160, MATCH($A$3&amp;$C31, Workings_risks!$E$62:$E$160,0))</f>
        <v>17565606.091727745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165853.38374076918</v>
      </c>
      <c r="J32" s="32">
        <f>INDEX(Workings_risks!I$62:I$160, MATCH($A$3&amp;$C32, Workings_risks!$E$62:$E$160,0))</f>
        <v>198357.07406434332</v>
      </c>
      <c r="K32" s="32">
        <f>INDEX(Workings_risks!J$62:J$160, MATCH($A$3&amp;$C32, Workings_risks!$E$62:$E$160,0))</f>
        <v>238654.79543296376</v>
      </c>
      <c r="L32" s="32">
        <f>INDEX(Workings_risks!K$62:K$160, MATCH($A$3&amp;$C32, Workings_risks!$E$62:$E$160,0))</f>
        <v>288616.97806840454</v>
      </c>
      <c r="M32" s="32">
        <f>INDEX(Workings_risks!L$62:L$160, MATCH($A$3&amp;$C32, Workings_risks!$E$62:$E$160,0))</f>
        <v>350697.73737491277</v>
      </c>
      <c r="N32" s="32">
        <f>INDEX(Workings_risks!M$62:M$160, MATCH($A$3&amp;$C32, Workings_risks!$E$62:$E$160,0))</f>
        <v>427965.0883898086</v>
      </c>
      <c r="O32" s="32">
        <f>INDEX(Workings_risks!N$62:N$160, MATCH($A$3&amp;$C32, Workings_risks!$E$62:$E$160,0))</f>
        <v>523170.9357714635</v>
      </c>
      <c r="P32" s="32">
        <f>INDEX(Workings_risks!O$62:O$160, MATCH($A$3&amp;$C32, Workings_risks!$E$62:$E$160,0))</f>
        <v>619465.98360041506</v>
      </c>
      <c r="Q32" s="32">
        <f>INDEX(Workings_risks!P$62:P$160, MATCH($A$3&amp;$C32, Workings_risks!$E$62:$E$160,0))</f>
        <v>716623.9988257502</v>
      </c>
      <c r="R32" s="32">
        <f>INDEX(Workings_risks!Q$62:Q$160, MATCH($A$3&amp;$C32, Workings_risks!$E$62:$E$160,0))</f>
        <v>814554.74940347078</v>
      </c>
      <c r="S32" s="32">
        <f>INDEX(Workings_risks!R$62:R$160, MATCH($A$3&amp;$C32, Workings_risks!$E$62:$E$160,0))</f>
        <v>934976.23436304159</v>
      </c>
      <c r="T32" s="32">
        <f>INDEX(Workings_risks!S$62:S$160, MATCH($A$3&amp;$C32, Workings_risks!$E$62:$E$160,0))</f>
        <v>1057366.9924196859</v>
      </c>
      <c r="U32" s="32">
        <f>INDEX(Workings_risks!T$62:T$160, MATCH($A$3&amp;$C32, Workings_risks!$E$62:$E$160,0))</f>
        <v>1171477.9293216362</v>
      </c>
      <c r="V32" s="32">
        <f>INDEX(Workings_risks!U$62:U$160, MATCH($A$3&amp;$C32, Workings_risks!$E$62:$E$160,0))</f>
        <v>1253092.2078545208</v>
      </c>
      <c r="W32" s="32">
        <f>INDEX(Workings_risks!V$62:V$160, MATCH($A$3&amp;$C32, Workings_risks!$E$62:$E$160,0))</f>
        <v>1316139.8924460572</v>
      </c>
      <c r="X32" s="32">
        <f>INDEX(Workings_risks!W$62:W$160, MATCH($A$3&amp;$C32, Workings_risks!$E$62:$E$160,0))</f>
        <v>1371970.121210638</v>
      </c>
      <c r="Y32" s="32">
        <f>INDEX(Workings_risks!X$62:X$160, MATCH($A$3&amp;$C32, Workings_risks!$E$62:$E$160,0))</f>
        <v>1405367.1023073199</v>
      </c>
      <c r="Z32" s="32">
        <f>INDEX(Workings_risks!Y$62:Y$160, MATCH($A$3&amp;$C32, Workings_risks!$E$62:$E$160,0))</f>
        <v>1433739.2794694577</v>
      </c>
      <c r="AA32" s="32">
        <f>INDEX(Workings_risks!Z$62:Z$160, MATCH($A$3&amp;$C32, Workings_risks!$E$62:$E$160,0))</f>
        <v>1457570.6171994796</v>
      </c>
      <c r="AB32" s="32">
        <f>INDEX(Workings_risks!AA$62:AA$160, MATCH($A$3&amp;$C32, Workings_risks!$E$62:$E$160,0))</f>
        <v>1478958.1599326278</v>
      </c>
      <c r="AC32" s="32">
        <f>INDEX(Workings_risks!AB$62:AB$160, MATCH($A$3&amp;$C32, Workings_risks!$E$62:$E$160,0))</f>
        <v>1498694.781177857</v>
      </c>
      <c r="AD32" s="32">
        <f>INDEX(Workings_risks!AC$62:AC$160, MATCH($A$3&amp;$C32, Workings_risks!$E$62:$E$160,0))</f>
        <v>1512719.706046032</v>
      </c>
      <c r="AE32" s="32">
        <f>INDEX(Workings_risks!AD$62:AD$160, MATCH($A$3&amp;$C32, Workings_risks!$E$62:$E$160,0))</f>
        <v>1523619.4936787446</v>
      </c>
      <c r="AF32" s="32">
        <f>INDEX(Workings_risks!AE$62:AE$160, MATCH($A$3&amp;$C32, Workings_risks!$E$62:$E$160,0))</f>
        <v>1533119.836786961</v>
      </c>
      <c r="AG32" s="32">
        <f>INDEX(Workings_risks!AF$62:AF$160, MATCH($A$3&amp;$C32, Workings_risks!$E$62:$E$160,0))</f>
        <v>1542176.1756881941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1114904.0813809298</v>
      </c>
      <c r="J33" s="32">
        <f>INDEX(Workings_risks!I$62:I$160, MATCH($A$3&amp;$C33, Workings_risks!$E$62:$E$160,0))</f>
        <v>1332619.2119848954</v>
      </c>
      <c r="K33" s="32">
        <f>INDEX(Workings_risks!J$62:J$160, MATCH($A$3&amp;$C33, Workings_risks!$E$62:$E$160,0))</f>
        <v>1602350.5701229451</v>
      </c>
      <c r="L33" s="32">
        <f>INDEX(Workings_risks!K$62:K$160, MATCH($A$3&amp;$C33, Workings_risks!$E$62:$E$160,0))</f>
        <v>1936537.6595600219</v>
      </c>
      <c r="M33" s="32">
        <f>INDEX(Workings_risks!L$62:L$160, MATCH($A$3&amp;$C33, Workings_risks!$E$62:$E$160,0))</f>
        <v>2351498.7762214844</v>
      </c>
      <c r="N33" s="32">
        <f>INDEX(Workings_risks!M$62:M$160, MATCH($A$3&amp;$C33, Workings_risks!$E$62:$E$160,0))</f>
        <v>2867619.418292243</v>
      </c>
      <c r="O33" s="32">
        <f>INDEX(Workings_risks!N$62:N$160, MATCH($A$3&amp;$C33, Workings_risks!$E$62:$E$160,0))</f>
        <v>3505522.9065232687</v>
      </c>
      <c r="P33" s="32">
        <f>INDEX(Workings_risks!O$62:O$160, MATCH($A$3&amp;$C33, Workings_risks!$E$62:$E$160,0))</f>
        <v>4151616.7987372223</v>
      </c>
      <c r="Q33" s="32">
        <f>INDEX(Workings_risks!P$62:P$160, MATCH($A$3&amp;$C33, Workings_risks!$E$62:$E$160,0))</f>
        <v>4804575.6958600776</v>
      </c>
      <c r="R33" s="32">
        <f>INDEX(Workings_risks!Q$62:Q$160, MATCH($A$3&amp;$C33, Workings_risks!$E$62:$E$160,0))</f>
        <v>5462888.4239407638</v>
      </c>
      <c r="S33" s="32">
        <f>INDEX(Workings_risks!R$62:R$160, MATCH($A$3&amp;$C33, Workings_risks!$E$62:$E$160,0))</f>
        <v>6272388.9721914111</v>
      </c>
      <c r="T33" s="32">
        <f>INDEX(Workings_risks!S$62:S$160, MATCH($A$3&amp;$C33, Workings_risks!$E$62:$E$160,0))</f>
        <v>7095127.4210730931</v>
      </c>
      <c r="U33" s="32">
        <f>INDEX(Workings_risks!T$62:T$160, MATCH($A$3&amp;$C33, Workings_risks!$E$62:$E$160,0))</f>
        <v>7862207.0332746543</v>
      </c>
      <c r="V33" s="32">
        <f>INDEX(Workings_risks!U$62:U$160, MATCH($A$3&amp;$C33, Workings_risks!$E$62:$E$160,0))</f>
        <v>8410836.7336942405</v>
      </c>
      <c r="W33" s="32">
        <f>INDEX(Workings_risks!V$62:V$160, MATCH($A$3&amp;$C33, Workings_risks!$E$62:$E$160,0))</f>
        <v>8834657.5764609408</v>
      </c>
      <c r="X33" s="32">
        <f>INDEX(Workings_risks!W$62:W$160, MATCH($A$3&amp;$C33, Workings_risks!$E$62:$E$160,0))</f>
        <v>9209961.0433552433</v>
      </c>
      <c r="Y33" s="32">
        <f>INDEX(Workings_risks!X$62:X$160, MATCH($A$3&amp;$C33, Workings_risks!$E$62:$E$160,0))</f>
        <v>9434463.1288158</v>
      </c>
      <c r="Z33" s="32">
        <f>INDEX(Workings_risks!Y$62:Y$160, MATCH($A$3&amp;$C33, Workings_risks!$E$62:$E$160,0))</f>
        <v>9625187.3419869449</v>
      </c>
      <c r="AA33" s="32">
        <f>INDEX(Workings_risks!Z$62:Z$160, MATCH($A$3&amp;$C33, Workings_risks!$E$62:$E$160,0))</f>
        <v>9785387.0020764694</v>
      </c>
      <c r="AB33" s="32">
        <f>INDEX(Workings_risks!AA$62:AA$160, MATCH($A$3&amp;$C33, Workings_risks!$E$62:$E$160,0))</f>
        <v>9929158.9176447783</v>
      </c>
      <c r="AC33" s="32">
        <f>INDEX(Workings_risks!AB$62:AB$160, MATCH($A$3&amp;$C33, Workings_risks!$E$62:$E$160,0))</f>
        <v>10061832.964339951</v>
      </c>
      <c r="AD33" s="32">
        <f>INDEX(Workings_risks!AC$62:AC$160, MATCH($A$3&amp;$C33, Workings_risks!$E$62:$E$160,0))</f>
        <v>10156111.691875769</v>
      </c>
      <c r="AE33" s="32">
        <f>INDEX(Workings_risks!AD$62:AD$160, MATCH($A$3&amp;$C33, Workings_risks!$E$62:$E$160,0))</f>
        <v>10229382.537750646</v>
      </c>
      <c r="AF33" s="32">
        <f>INDEX(Workings_risks!AE$62:AE$160, MATCH($A$3&amp;$C33, Workings_risks!$E$62:$E$160,0))</f>
        <v>10293245.999966316</v>
      </c>
      <c r="AG33" s="32">
        <f>INDEX(Workings_risks!AF$62:AF$160, MATCH($A$3&amp;$C33, Workings_risks!$E$62:$E$160,0))</f>
        <v>10354124.76514807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44379611.159204885</v>
      </c>
      <c r="J36" s="108">
        <f t="shared" ref="J36:AG36" si="3">SUM(J28:J34)</f>
        <v>53005454.268433355</v>
      </c>
      <c r="K36" s="108">
        <f t="shared" si="3"/>
        <v>63682330.905419908</v>
      </c>
      <c r="L36" s="108">
        <f t="shared" si="3"/>
        <v>76898472.434258908</v>
      </c>
      <c r="M36" s="108">
        <f t="shared" si="3"/>
        <v>93294186.192839727</v>
      </c>
      <c r="N36" s="108">
        <f t="shared" si="3"/>
        <v>113668594.60242973</v>
      </c>
      <c r="O36" s="108">
        <f t="shared" si="3"/>
        <v>138952571.06033039</v>
      </c>
      <c r="P36" s="108">
        <f t="shared" si="3"/>
        <v>164607524.02587599</v>
      </c>
      <c r="Q36" s="108">
        <f t="shared" si="3"/>
        <v>190590807.27377164</v>
      </c>
      <c r="R36" s="108">
        <f t="shared" si="3"/>
        <v>216795449.79081169</v>
      </c>
      <c r="S36" s="108">
        <f t="shared" si="3"/>
        <v>249018239.32444546</v>
      </c>
      <c r="T36" s="108">
        <f t="shared" si="3"/>
        <v>281767973.63510579</v>
      </c>
      <c r="U36" s="108">
        <f t="shared" si="3"/>
        <v>312302165.30789387</v>
      </c>
      <c r="V36" s="108">
        <f t="shared" si="3"/>
        <v>334140790.87365079</v>
      </c>
      <c r="W36" s="108">
        <f t="shared" si="3"/>
        <v>351011304.23642874</v>
      </c>
      <c r="X36" s="108">
        <f t="shared" si="3"/>
        <v>365950546.28031892</v>
      </c>
      <c r="Y36" s="108">
        <f t="shared" si="3"/>
        <v>374887023.79758608</v>
      </c>
      <c r="Z36" s="108">
        <f t="shared" si="3"/>
        <v>382478947.22896928</v>
      </c>
      <c r="AA36" s="108">
        <f t="shared" si="3"/>
        <v>388855817.4381122</v>
      </c>
      <c r="AB36" s="108">
        <f t="shared" si="3"/>
        <v>394578768.69023484</v>
      </c>
      <c r="AC36" s="108">
        <f t="shared" si="3"/>
        <v>399859960.76907003</v>
      </c>
      <c r="AD36" s="108">
        <f t="shared" si="3"/>
        <v>403612797.7516396</v>
      </c>
      <c r="AE36" s="108">
        <f t="shared" si="3"/>
        <v>406529399.90920419</v>
      </c>
      <c r="AF36" s="108">
        <f t="shared" si="3"/>
        <v>409071533.95261133</v>
      </c>
      <c r="AG36" s="108">
        <f t="shared" si="3"/>
        <v>411494859.84381461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151432.81740793545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24590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88.357719508603083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0.35181336539087127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82568.403429023921</v>
      </c>
      <c r="K64" s="135">
        <f>(1-INDEX(Data!$C$9:$C$13, MATCH($A$3, options,0)))*('Option1 (base case)'!K36-K36)</f>
        <v>204942.05537043512</v>
      </c>
      <c r="L64" s="135">
        <f>(1-INDEX(Data!$C$9:$C$13, MATCH($A$3, options,0)))*('Option1 (base case)'!L36-L36)</f>
        <v>381263.57132385671</v>
      </c>
      <c r="M64" s="135">
        <f>(1-INDEX(Data!$C$9:$C$13, MATCH($A$3, options,0)))*('Option1 (base case)'!M36-M36)</f>
        <v>630413.12727348506</v>
      </c>
      <c r="N64" s="135">
        <f>(1-INDEX(Data!$C$9:$C$13, MATCH($A$3, options,0)))*('Option1 (base case)'!N36-N36)</f>
        <v>977560.2942776531</v>
      </c>
      <c r="O64" s="135">
        <f>(1-INDEX(Data!$C$9:$C$13, MATCH($A$3, options,0)))*('Option1 (base case)'!O36-O36)</f>
        <v>1198413.275675714</v>
      </c>
      <c r="P64" s="135">
        <f>(1-INDEX(Data!$C$9:$C$13, MATCH($A$3, options,0)))*('Option1 (base case)'!P36-P36)</f>
        <v>1327565.2670590878</v>
      </c>
      <c r="Q64" s="135">
        <f>(1-INDEX(Data!$C$9:$C$13, MATCH($A$3, options,0)))*('Option1 (base case)'!Q36-Q36)</f>
        <v>1344387.0547175109</v>
      </c>
      <c r="R64" s="135">
        <f>(1-INDEX(Data!$C$9:$C$13, MATCH($A$3, options,0)))*('Option1 (base case)'!R36-R36)</f>
        <v>1344387.0547175407</v>
      </c>
      <c r="S64" s="135">
        <f>(1-INDEX(Data!$C$9:$C$13, MATCH($A$3, options,0)))*('Option1 (base case)'!S36-S36)</f>
        <v>1344387.0547174811</v>
      </c>
      <c r="T64" s="135">
        <f>(1-INDEX(Data!$C$9:$C$13, MATCH($A$3, options,0)))*('Option1 (base case)'!T36-T36)</f>
        <v>1344387.0547176003</v>
      </c>
      <c r="U64" s="135">
        <f>(1-INDEX(Data!$C$9:$C$13, MATCH($A$3, options,0)))*('Option1 (base case)'!U36-U36)</f>
        <v>1344387.0547175407</v>
      </c>
      <c r="V64" s="135">
        <f>(1-INDEX(Data!$C$9:$C$13, MATCH($A$3, options,0)))*('Option1 (base case)'!V36-V36)</f>
        <v>1344387.0547175407</v>
      </c>
      <c r="W64" s="135">
        <f>(1-INDEX(Data!$C$9:$C$13, MATCH($A$3, options,0)))*('Option1 (base case)'!W36-W36)</f>
        <v>1344387.0547175407</v>
      </c>
      <c r="X64" s="135">
        <f>(1-INDEX(Data!$C$9:$C$13, MATCH($A$3, options,0)))*('Option1 (base case)'!X36-X36)</f>
        <v>1344387.0547174811</v>
      </c>
      <c r="Y64" s="135">
        <f>(1-INDEX(Data!$C$9:$C$13, MATCH($A$3, options,0)))*('Option1 (base case)'!Y36-Y36)</f>
        <v>1344387.0547174811</v>
      </c>
      <c r="Z64" s="135">
        <f>(1-INDEX(Data!$C$9:$C$13, MATCH($A$3, options,0)))*('Option1 (base case)'!Z36-Z36)</f>
        <v>1344387.0547175407</v>
      </c>
      <c r="AA64" s="135">
        <f>(1-INDEX(Data!$C$9:$C$13, MATCH($A$3, options,0)))*('Option1 (base case)'!AA36-AA36)</f>
        <v>1344387.0547174811</v>
      </c>
      <c r="AB64" s="135">
        <f>(1-INDEX(Data!$C$9:$C$13, MATCH($A$3, options,0)))*('Option1 (base case)'!AB36-AB36)</f>
        <v>1344387.0547174811</v>
      </c>
      <c r="AC64" s="135">
        <f>(1-INDEX(Data!$C$9:$C$13, MATCH($A$3, options,0)))*('Option1 (base case)'!AC36-AC36)</f>
        <v>1344387.0547174811</v>
      </c>
      <c r="AD64" s="135">
        <f>(1-INDEX(Data!$C$9:$C$13, MATCH($A$3, options,0)))*('Option1 (base case)'!AD36-AD36)</f>
        <v>1344387.0547175407</v>
      </c>
      <c r="AE64" s="135">
        <f>(1-INDEX(Data!$C$9:$C$13, MATCH($A$3, options,0)))*('Option1 (base case)'!AE36-AE36)</f>
        <v>1344387.0547174215</v>
      </c>
      <c r="AF64" s="135">
        <f>(1-INDEX(Data!$C$9:$C$13, MATCH($A$3, options,0)))*('Option1 (base case)'!AF36-AF36)</f>
        <v>1344387.0547174215</v>
      </c>
      <c r="AG64" s="135">
        <f>(1-INDEX(Data!$C$9:$C$13, MATCH($A$3, options,0)))*('Option1 (base case)'!AG36-AG36)</f>
        <v>1344387.0547175407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Cable replacement</v>
      </c>
      <c r="D67" s="38"/>
      <c r="F67" s="97"/>
      <c r="G67" s="214">
        <f>input_dollars</f>
        <v>45291</v>
      </c>
      <c r="H67" s="31"/>
      <c r="I67" s="119">
        <f t="shared" ref="I67:AG67" si="5">-I14</f>
        <v>-1457739.1194399998</v>
      </c>
      <c r="J67" s="119">
        <f t="shared" si="5"/>
        <v>-1457739.1194399998</v>
      </c>
      <c r="K67" s="119">
        <f t="shared" si="5"/>
        <v>-1457739.1194399998</v>
      </c>
      <c r="L67" s="119">
        <f t="shared" si="5"/>
        <v>-1457739.1194399998</v>
      </c>
      <c r="M67" s="119">
        <f t="shared" si="5"/>
        <v>-1457739.1194399998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Cable replacement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-1457739.1194399998</v>
      </c>
      <c r="J72" s="119" cm="1">
        <f t="array" ref="J72">SUMPRODUCT(($I67:J67))-SUMPRODUCT(($I67:J67)*($I$6:J$6&lt;=(J$6-$E14)))</f>
        <v>-2915478.2388799996</v>
      </c>
      <c r="K72" s="119" cm="1">
        <f t="array" ref="K72">SUMPRODUCT(($I67:K67))-SUMPRODUCT(($I67:K67)*($I$6:K$6&lt;=(K$6-$E14)))</f>
        <v>-4373217.3583199997</v>
      </c>
      <c r="L72" s="119" cm="1">
        <f t="array" ref="L72">SUMPRODUCT(($I67:L67))-SUMPRODUCT(($I67:L67)*($I$6:L$6&lt;=(L$6-$E14)))</f>
        <v>-5830956.4777599992</v>
      </c>
      <c r="M72" s="119" cm="1">
        <f t="array" ref="M72">SUMPRODUCT(($I67:M67))-SUMPRODUCT(($I67:M67)*($I$6:M$6&lt;=(M$6-$E14)))</f>
        <v>-7288695.5971999988</v>
      </c>
      <c r="N72" s="119" cm="1">
        <f t="array" ref="N72">SUMPRODUCT(($I67:N67))-SUMPRODUCT(($I67:N67)*($I$6:N$6&lt;=(N$6-$E14)))</f>
        <v>-7288695.5971999988</v>
      </c>
      <c r="O72" s="119" cm="1">
        <f t="array" ref="O72">SUMPRODUCT(($I67:O67))-SUMPRODUCT(($I67:O67)*($I$6:O$6&lt;=(O$6-$E14)))</f>
        <v>-7288695.5971999988</v>
      </c>
      <c r="P72" s="119" cm="1">
        <f t="array" ref="P72">SUMPRODUCT(($I67:P67))-SUMPRODUCT(($I67:P67)*($I$6:P$6&lt;=(P$6-$E14)))</f>
        <v>-7288695.5971999988</v>
      </c>
      <c r="Q72" s="119" cm="1">
        <f t="array" ref="Q72">SUMPRODUCT(($I67:Q67))-SUMPRODUCT(($I67:Q67)*($I$6:Q$6&lt;=(Q$6-$E14)))</f>
        <v>-7288695.5971999988</v>
      </c>
      <c r="R72" s="119" cm="1">
        <f t="array" ref="R72">SUMPRODUCT(($I67:R67))-SUMPRODUCT(($I67:R67)*($I$6:R$6&lt;=(R$6-$E14)))</f>
        <v>-7288695.5971999988</v>
      </c>
      <c r="S72" s="119" cm="1">
        <f t="array" ref="S72">SUMPRODUCT(($I67:S67))-SUMPRODUCT(($I67:S67)*($I$6:S$6&lt;=(S$6-$E14)))</f>
        <v>-7288695.5971999988</v>
      </c>
      <c r="T72" s="119" cm="1">
        <f t="array" ref="T72">SUMPRODUCT(($I67:T67))-SUMPRODUCT(($I67:T67)*($I$6:T$6&lt;=(T$6-$E14)))</f>
        <v>-7288695.5971999988</v>
      </c>
      <c r="U72" s="119" cm="1">
        <f t="array" ref="U72">SUMPRODUCT(($I67:U67))-SUMPRODUCT(($I67:U67)*($I$6:U$6&lt;=(U$6-$E14)))</f>
        <v>-7288695.5971999988</v>
      </c>
      <c r="V72" s="119" cm="1">
        <f t="array" ref="V72">SUMPRODUCT(($I67:V67))-SUMPRODUCT(($I67:V67)*($I$6:V$6&lt;=(V$6-$E14)))</f>
        <v>-7288695.5971999988</v>
      </c>
      <c r="W72" s="119" cm="1">
        <f t="array" ref="W72">SUMPRODUCT(($I67:W67))-SUMPRODUCT(($I67:W67)*($I$6:W$6&lt;=(W$6-$E14)))</f>
        <v>-7288695.5971999988</v>
      </c>
      <c r="X72" s="119" cm="1">
        <f t="array" ref="X72">SUMPRODUCT(($I67:X67))-SUMPRODUCT(($I67:X67)*($I$6:X$6&lt;=(X$6-$E14)))</f>
        <v>-7288695.5971999988</v>
      </c>
      <c r="Y72" s="119" cm="1">
        <f t="array" ref="Y72">SUMPRODUCT(($I67:Y67))-SUMPRODUCT(($I67:Y67)*($I$6:Y$6&lt;=(Y$6-$E14)))</f>
        <v>-7288695.5971999988</v>
      </c>
      <c r="Z72" s="119" cm="1">
        <f t="array" ref="Z72">SUMPRODUCT(($I67:Z67))-SUMPRODUCT(($I67:Z67)*($I$6:Z$6&lt;=(Z$6-$E14)))</f>
        <v>-7288695.5971999988</v>
      </c>
      <c r="AA72" s="119" cm="1">
        <f t="array" ref="AA72">SUMPRODUCT(($I67:AA67))-SUMPRODUCT(($I67:AA67)*($I$6:AA$6&lt;=(AA$6-$E14)))</f>
        <v>-7288695.5971999988</v>
      </c>
      <c r="AB72" s="119" cm="1">
        <f t="array" ref="AB72">SUMPRODUCT(($I67:AB67))-SUMPRODUCT(($I67:AB67)*($I$6:AB$6&lt;=(AB$6-$E14)))</f>
        <v>-7288695.5971999988</v>
      </c>
      <c r="AC72" s="119" cm="1">
        <f t="array" ref="AC72">SUMPRODUCT(($I67:AC67))-SUMPRODUCT(($I67:AC67)*($I$6:AC$6&lt;=(AC$6-$E14)))</f>
        <v>-7288695.5971999988</v>
      </c>
      <c r="AD72" s="119" cm="1">
        <f t="array" ref="AD72">SUMPRODUCT(($I67:AD67))-SUMPRODUCT(($I67:AD67)*($I$6:AD$6&lt;=(AD$6-$E14)))</f>
        <v>-7288695.5971999988</v>
      </c>
      <c r="AE72" s="119" cm="1">
        <f t="array" ref="AE72">SUMPRODUCT(($I67:AE67))-SUMPRODUCT(($I67:AE67)*($I$6:AE$6&lt;=(AE$6-$E14)))</f>
        <v>-7288695.5971999988</v>
      </c>
      <c r="AF72" s="119" cm="1">
        <f t="array" ref="AF72">SUMPRODUCT(($I67:AF67))-SUMPRODUCT(($I67:AF67)*($I$6:AF$6&lt;=(AF$6-$E14)))</f>
        <v>-7288695.5971999988</v>
      </c>
      <c r="AG72" s="119" cm="1">
        <f t="array" ref="AG72">SUMPRODUCT(($I67:AG67))-SUMPRODUCT(($I67:AG67)*($I$6:AG$6&lt;=(AG$6-$E14)))</f>
        <v>-7288695.5971999988</v>
      </c>
    </row>
    <row r="73" spans="1:33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Cable replacement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-58438.751542898979</v>
      </c>
      <c r="K77" s="119">
        <f t="shared" si="8"/>
        <v>-116877.50308579796</v>
      </c>
      <c r="L77" s="119">
        <f t="shared" si="8"/>
        <v>-175316.25462869694</v>
      </c>
      <c r="M77" s="119">
        <f t="shared" si="8"/>
        <v>-233755.00617159592</v>
      </c>
      <c r="N77" s="119">
        <f t="shared" si="8"/>
        <v>-292193.75771449489</v>
      </c>
      <c r="O77" s="119">
        <f t="shared" si="8"/>
        <v>-292193.75771449489</v>
      </c>
      <c r="P77" s="119">
        <f t="shared" si="8"/>
        <v>-292193.75771449489</v>
      </c>
      <c r="Q77" s="119">
        <f t="shared" si="8"/>
        <v>-292193.75771449489</v>
      </c>
      <c r="R77" s="119">
        <f t="shared" si="8"/>
        <v>-292193.75771449489</v>
      </c>
      <c r="S77" s="119">
        <f t="shared" si="8"/>
        <v>-292193.75771449489</v>
      </c>
      <c r="T77" s="119">
        <f t="shared" si="8"/>
        <v>-292193.75771449489</v>
      </c>
      <c r="U77" s="119">
        <f t="shared" si="8"/>
        <v>-292193.75771449489</v>
      </c>
      <c r="V77" s="119">
        <f t="shared" si="8"/>
        <v>-292193.75771449489</v>
      </c>
      <c r="W77" s="119">
        <f t="shared" si="8"/>
        <v>-292193.75771449489</v>
      </c>
      <c r="X77" s="119">
        <f t="shared" si="8"/>
        <v>-292193.75771449489</v>
      </c>
      <c r="Y77" s="119">
        <f t="shared" si="8"/>
        <v>-292193.75771449489</v>
      </c>
      <c r="Z77" s="119">
        <f t="shared" si="8"/>
        <v>-292193.75771449489</v>
      </c>
      <c r="AA77" s="119">
        <f t="shared" si="8"/>
        <v>-292193.75771449489</v>
      </c>
      <c r="AB77" s="119">
        <f t="shared" si="8"/>
        <v>-292193.75771449489</v>
      </c>
      <c r="AC77" s="119">
        <f t="shared" si="8"/>
        <v>-292193.75771449489</v>
      </c>
      <c r="AD77" s="119">
        <f t="shared" si="8"/>
        <v>-292193.75771449489</v>
      </c>
      <c r="AE77" s="119">
        <f t="shared" si="8"/>
        <v>-292193.75771449489</v>
      </c>
      <c r="AF77" s="119">
        <f t="shared" si="8"/>
        <v>-292193.75771449489</v>
      </c>
      <c r="AG77" s="119">
        <f t="shared" si="8"/>
        <v>-292193.75771449489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-58438.751542898979</v>
      </c>
      <c r="K80" s="180">
        <f t="shared" si="11"/>
        <v>-116877.50308579796</v>
      </c>
      <c r="L80" s="180">
        <f t="shared" si="11"/>
        <v>-175316.25462869694</v>
      </c>
      <c r="M80" s="180">
        <f t="shared" si="11"/>
        <v>-233755.00617159592</v>
      </c>
      <c r="N80" s="180">
        <f t="shared" si="11"/>
        <v>-292193.75771449489</v>
      </c>
      <c r="O80" s="180">
        <f t="shared" si="11"/>
        <v>-292193.75771449489</v>
      </c>
      <c r="P80" s="180">
        <f t="shared" si="11"/>
        <v>-292193.75771449489</v>
      </c>
      <c r="Q80" s="180">
        <f t="shared" si="11"/>
        <v>-292193.75771449489</v>
      </c>
      <c r="R80" s="180">
        <f t="shared" si="11"/>
        <v>-292193.75771449489</v>
      </c>
      <c r="S80" s="180">
        <f t="shared" si="11"/>
        <v>-292193.75771449489</v>
      </c>
      <c r="T80" s="180">
        <f t="shared" si="11"/>
        <v>-292193.75771449489</v>
      </c>
      <c r="U80" s="180">
        <f t="shared" si="11"/>
        <v>-292193.75771449489</v>
      </c>
      <c r="V80" s="180">
        <f t="shared" si="11"/>
        <v>-292193.75771449489</v>
      </c>
      <c r="W80" s="180">
        <f t="shared" si="11"/>
        <v>-292193.75771449489</v>
      </c>
      <c r="X80" s="180">
        <f t="shared" si="11"/>
        <v>-292193.75771449489</v>
      </c>
      <c r="Y80" s="180">
        <f t="shared" si="11"/>
        <v>-292193.75771449489</v>
      </c>
      <c r="Z80" s="180">
        <f t="shared" si="11"/>
        <v>-292193.75771449489</v>
      </c>
      <c r="AA80" s="180">
        <f t="shared" si="11"/>
        <v>-292193.75771449489</v>
      </c>
      <c r="AB80" s="180">
        <f t="shared" si="11"/>
        <v>-292193.75771449489</v>
      </c>
      <c r="AC80" s="180">
        <f>SUM(AC77:AC79)</f>
        <v>-292193.75771449489</v>
      </c>
      <c r="AD80" s="180">
        <f>SUM(AD77:AD79)</f>
        <v>-292193.75771449489</v>
      </c>
      <c r="AE80" s="180">
        <f>SUM(AE77:AE79)</f>
        <v>-292193.75771449489</v>
      </c>
      <c r="AF80" s="180">
        <f>SUM(AF77:AF79)</f>
        <v>-292193.75771449489</v>
      </c>
      <c r="AG80" s="180">
        <f>SUM(AG77:AG79)</f>
        <v>-292193.75771449489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-58438.751542898979</v>
      </c>
      <c r="K82" s="119">
        <f t="shared" si="13"/>
        <v>-116877.50308579796</v>
      </c>
      <c r="L82" s="119">
        <f t="shared" si="13"/>
        <v>-175316.25462869694</v>
      </c>
      <c r="M82" s="119">
        <f t="shared" si="13"/>
        <v>-233755.00617159592</v>
      </c>
      <c r="N82" s="119">
        <f t="shared" si="13"/>
        <v>-292193.75771449489</v>
      </c>
      <c r="O82" s="119">
        <f t="shared" si="13"/>
        <v>-292193.75771449489</v>
      </c>
      <c r="P82" s="119">
        <f t="shared" si="13"/>
        <v>-292193.75771449489</v>
      </c>
      <c r="Q82" s="119">
        <f t="shared" si="13"/>
        <v>-292193.75771449489</v>
      </c>
      <c r="R82" s="119">
        <f t="shared" si="13"/>
        <v>-292193.75771449489</v>
      </c>
      <c r="S82" s="119">
        <f t="shared" si="13"/>
        <v>-292193.75771449489</v>
      </c>
      <c r="T82" s="119">
        <f t="shared" si="13"/>
        <v>-292193.75771449489</v>
      </c>
      <c r="U82" s="119">
        <f t="shared" si="13"/>
        <v>-292193.75771449489</v>
      </c>
      <c r="V82" s="119">
        <f t="shared" si="13"/>
        <v>-292193.75771449489</v>
      </c>
      <c r="W82" s="119">
        <f t="shared" si="13"/>
        <v>-292193.75771449489</v>
      </c>
      <c r="X82" s="119">
        <f t="shared" si="13"/>
        <v>-292193.75771449489</v>
      </c>
      <c r="Y82" s="119">
        <f t="shared" si="13"/>
        <v>-292193.75771449489</v>
      </c>
      <c r="Z82" s="119">
        <f t="shared" si="13"/>
        <v>-292193.75771449489</v>
      </c>
      <c r="AA82" s="119">
        <f t="shared" si="13"/>
        <v>-292193.75771449489</v>
      </c>
      <c r="AB82" s="119">
        <f t="shared" si="13"/>
        <v>-292193.75771449489</v>
      </c>
      <c r="AC82" s="119">
        <f>AC80</f>
        <v>-292193.75771449489</v>
      </c>
      <c r="AD82" s="119">
        <f>AD80</f>
        <v>-292193.75771449489</v>
      </c>
      <c r="AE82" s="119">
        <f>AE80</f>
        <v>-292193.75771449489</v>
      </c>
      <c r="AF82" s="119">
        <f>AF80</f>
        <v>-292193.75771449489</v>
      </c>
      <c r="AG82" s="119">
        <f>AG80</f>
        <v>-292193.75771449489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0</v>
      </c>
      <c r="J84" s="31">
        <f t="shared" ref="J84:AB84" si="15">J64</f>
        <v>82568.403429023921</v>
      </c>
      <c r="K84" s="31">
        <f t="shared" si="15"/>
        <v>204942.05537043512</v>
      </c>
      <c r="L84" s="31">
        <f t="shared" si="15"/>
        <v>381263.57132385671</v>
      </c>
      <c r="M84" s="31">
        <f t="shared" si="15"/>
        <v>630413.12727348506</v>
      </c>
      <c r="N84" s="31">
        <f t="shared" si="15"/>
        <v>977560.2942776531</v>
      </c>
      <c r="O84" s="31">
        <f t="shared" si="15"/>
        <v>1198413.275675714</v>
      </c>
      <c r="P84" s="31">
        <f t="shared" si="15"/>
        <v>1327565.2670590878</v>
      </c>
      <c r="Q84" s="31">
        <f t="shared" si="15"/>
        <v>1344387.0547175109</v>
      </c>
      <c r="R84" s="31">
        <f t="shared" si="15"/>
        <v>1344387.0547175407</v>
      </c>
      <c r="S84" s="31">
        <f t="shared" si="15"/>
        <v>1344387.0547174811</v>
      </c>
      <c r="T84" s="31">
        <f t="shared" si="15"/>
        <v>1344387.0547176003</v>
      </c>
      <c r="U84" s="31">
        <f t="shared" si="15"/>
        <v>1344387.0547175407</v>
      </c>
      <c r="V84" s="31">
        <f t="shared" si="15"/>
        <v>1344387.0547175407</v>
      </c>
      <c r="W84" s="31">
        <f t="shared" si="15"/>
        <v>1344387.0547175407</v>
      </c>
      <c r="X84" s="31">
        <f t="shared" si="15"/>
        <v>1344387.0547174811</v>
      </c>
      <c r="Y84" s="31">
        <f t="shared" si="15"/>
        <v>1344387.0547174811</v>
      </c>
      <c r="Z84" s="31">
        <f t="shared" si="15"/>
        <v>1344387.0547175407</v>
      </c>
      <c r="AA84" s="31">
        <f t="shared" si="15"/>
        <v>1344387.0547174811</v>
      </c>
      <c r="AB84" s="31">
        <f t="shared" si="15"/>
        <v>1344387.0547174811</v>
      </c>
      <c r="AC84" s="31">
        <f>AC64</f>
        <v>1344387.0547174811</v>
      </c>
      <c r="AD84" s="31">
        <f>AD64</f>
        <v>1344387.0547175407</v>
      </c>
      <c r="AE84" s="31">
        <f>AE64</f>
        <v>1344387.0547174215</v>
      </c>
      <c r="AF84" s="31">
        <f>AF64</f>
        <v>1344387.0547174215</v>
      </c>
      <c r="AG84" s="31">
        <f>AG64</f>
        <v>1344387.0547175407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24129.651886124942</v>
      </c>
      <c r="K87" s="183">
        <f t="shared" si="17"/>
        <v>88064.55228463716</v>
      </c>
      <c r="L87" s="183">
        <f t="shared" si="17"/>
        <v>205947.31669515977</v>
      </c>
      <c r="M87" s="183">
        <f t="shared" si="17"/>
        <v>396658.12110188918</v>
      </c>
      <c r="N87" s="183">
        <f t="shared" si="17"/>
        <v>685366.53656315827</v>
      </c>
      <c r="O87" s="183">
        <f t="shared" si="17"/>
        <v>906219.51796121919</v>
      </c>
      <c r="P87" s="183">
        <f t="shared" si="17"/>
        <v>1035371.5093445929</v>
      </c>
      <c r="Q87" s="183">
        <f t="shared" si="17"/>
        <v>1052193.2970030161</v>
      </c>
      <c r="R87" s="183">
        <f t="shared" si="17"/>
        <v>1052193.2970030459</v>
      </c>
      <c r="S87" s="183">
        <f t="shared" si="17"/>
        <v>1052193.2970029863</v>
      </c>
      <c r="T87" s="183">
        <f t="shared" si="17"/>
        <v>1052193.2970031055</v>
      </c>
      <c r="U87" s="183">
        <f t="shared" si="17"/>
        <v>1052193.2970030459</v>
      </c>
      <c r="V87" s="183">
        <f t="shared" si="17"/>
        <v>1052193.2970030459</v>
      </c>
      <c r="W87" s="183">
        <f t="shared" si="17"/>
        <v>1052193.2970030459</v>
      </c>
      <c r="X87" s="183">
        <f t="shared" si="17"/>
        <v>1052193.2970029863</v>
      </c>
      <c r="Y87" s="183">
        <f t="shared" si="17"/>
        <v>1052193.2970029863</v>
      </c>
      <c r="Z87" s="183">
        <f t="shared" si="17"/>
        <v>1052193.2970030459</v>
      </c>
      <c r="AA87" s="183">
        <f t="shared" si="17"/>
        <v>1052193.2970029863</v>
      </c>
      <c r="AB87" s="183">
        <f t="shared" si="17"/>
        <v>1052193.2970029863</v>
      </c>
      <c r="AC87" s="183">
        <f>SUM(AC82:AC86)</f>
        <v>1052193.2970029863</v>
      </c>
      <c r="AD87" s="183">
        <f>SUM(AD82:AD86)</f>
        <v>1052193.2970030459</v>
      </c>
      <c r="AE87" s="183">
        <f>SUM(AE82:AE86)</f>
        <v>1052193.2970029267</v>
      </c>
      <c r="AF87" s="183">
        <f>SUM(AF82:AF86)</f>
        <v>1052193.2970029267</v>
      </c>
      <c r="AG87" s="183">
        <f>SUM(AG82:AG86)</f>
        <v>1052193.2970030459</v>
      </c>
    </row>
    <row r="88" spans="1:33" x14ac:dyDescent="0.2">
      <c r="A88" s="8"/>
      <c r="B88" s="8"/>
      <c r="C88" s="75"/>
      <c r="D88" s="141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8"/>
      <c r="E91" s="235"/>
      <c r="F91" s="236"/>
      <c r="G91" s="237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</row>
    <row r="96" spans="1:33" x14ac:dyDescent="0.2"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</row>
    <row r="97" spans="1:43" x14ac:dyDescent="0.2"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</row>
    <row r="98" spans="1:43" x14ac:dyDescent="0.2"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</row>
    <row r="99" spans="1:43" x14ac:dyDescent="0.2"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</row>
    <row r="100" spans="1:43" x14ac:dyDescent="0.2"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7"/>
      <c r="Y100" s="247"/>
      <c r="Z100" s="247"/>
    </row>
    <row r="101" spans="1:43" x14ac:dyDescent="0.2"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D105"/>
      <c r="E105"/>
      <c r="F105"/>
      <c r="G105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24129.651886124942</v>
      </c>
      <c r="K106" s="31">
        <f t="shared" si="18"/>
        <v>88064.55228463716</v>
      </c>
      <c r="L106" s="31">
        <f t="shared" si="18"/>
        <v>205947.31669515977</v>
      </c>
      <c r="M106" s="31">
        <f t="shared" si="18"/>
        <v>396658.12110188918</v>
      </c>
      <c r="N106" s="31">
        <f t="shared" si="18"/>
        <v>685366.53656315827</v>
      </c>
      <c r="O106" s="31">
        <f t="shared" si="18"/>
        <v>906219.51796121919</v>
      </c>
      <c r="P106" s="31">
        <f t="shared" si="18"/>
        <v>1035371.5093445929</v>
      </c>
      <c r="Q106" s="31">
        <f t="shared" si="18"/>
        <v>1052193.2970030161</v>
      </c>
      <c r="R106" s="31">
        <f t="shared" si="18"/>
        <v>1052193.2970030459</v>
      </c>
      <c r="S106" s="31">
        <f t="shared" si="18"/>
        <v>1052193.2970029863</v>
      </c>
      <c r="T106" s="31">
        <f t="shared" si="18"/>
        <v>1052193.2970031055</v>
      </c>
      <c r="U106" s="31">
        <f t="shared" si="18"/>
        <v>1052193.2970030459</v>
      </c>
      <c r="V106" s="31">
        <f t="shared" si="18"/>
        <v>1052193.2970030459</v>
      </c>
      <c r="W106" s="31">
        <f t="shared" si="18"/>
        <v>1052193.2970030459</v>
      </c>
      <c r="X106" s="31">
        <f t="shared" si="18"/>
        <v>1052193.2970029863</v>
      </c>
      <c r="Y106" s="31">
        <f t="shared" si="18"/>
        <v>1052193.2970029863</v>
      </c>
      <c r="Z106" s="31">
        <f t="shared" si="18"/>
        <v>1052193.2970030459</v>
      </c>
      <c r="AA106" s="31">
        <f t="shared" si="18"/>
        <v>1052193.2970029863</v>
      </c>
      <c r="AB106" s="31">
        <f t="shared" si="18"/>
        <v>1052193.2970029863</v>
      </c>
      <c r="AC106" s="31">
        <f t="shared" si="18"/>
        <v>1052193.2970029863</v>
      </c>
      <c r="AD106" s="31">
        <f t="shared" si="18"/>
        <v>1052193.2970030459</v>
      </c>
      <c r="AE106" s="31">
        <f t="shared" si="18"/>
        <v>1052193.2970029267</v>
      </c>
      <c r="AF106" s="31">
        <f t="shared" si="18"/>
        <v>1052193.2970029267</v>
      </c>
      <c r="AG106" s="31">
        <f t="shared" si="18"/>
        <v>1052193.2970030459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-58438.751542898979</v>
      </c>
      <c r="K107" s="31">
        <f t="shared" si="19"/>
        <v>-116877.50308579796</v>
      </c>
      <c r="L107" s="31">
        <f t="shared" si="19"/>
        <v>-175316.25462869694</v>
      </c>
      <c r="M107" s="31">
        <f t="shared" si="19"/>
        <v>-233755.00617159592</v>
      </c>
      <c r="N107" s="31">
        <f t="shared" si="19"/>
        <v>-292193.75771449489</v>
      </c>
      <c r="O107" s="31">
        <f t="shared" si="19"/>
        <v>-292193.75771449489</v>
      </c>
      <c r="P107" s="31">
        <f t="shared" si="19"/>
        <v>-292193.75771449489</v>
      </c>
      <c r="Q107" s="31">
        <f t="shared" si="19"/>
        <v>-292193.75771449489</v>
      </c>
      <c r="R107" s="31">
        <f t="shared" si="19"/>
        <v>-292193.75771449489</v>
      </c>
      <c r="S107" s="31">
        <f t="shared" si="19"/>
        <v>-292193.75771449489</v>
      </c>
      <c r="T107" s="31">
        <f t="shared" si="19"/>
        <v>-292193.75771449489</v>
      </c>
      <c r="U107" s="31">
        <f t="shared" si="19"/>
        <v>-292193.75771449489</v>
      </c>
      <c r="V107" s="31">
        <f t="shared" si="19"/>
        <v>-292193.75771449489</v>
      </c>
      <c r="W107" s="31">
        <f t="shared" si="19"/>
        <v>-292193.75771449489</v>
      </c>
      <c r="X107" s="31">
        <f t="shared" si="19"/>
        <v>-292193.75771449489</v>
      </c>
      <c r="Y107" s="31">
        <f t="shared" si="19"/>
        <v>-292193.75771449489</v>
      </c>
      <c r="Z107" s="31">
        <f t="shared" si="19"/>
        <v>-292193.75771449489</v>
      </c>
      <c r="AA107" s="31">
        <f t="shared" si="19"/>
        <v>-292193.75771449489</v>
      </c>
      <c r="AB107" s="31">
        <f t="shared" si="19"/>
        <v>-292193.75771449489</v>
      </c>
      <c r="AC107" s="31">
        <f t="shared" si="19"/>
        <v>-292193.75771449489</v>
      </c>
      <c r="AD107" s="31">
        <f t="shared" si="19"/>
        <v>-292193.75771449489</v>
      </c>
      <c r="AE107" s="31">
        <f t="shared" si="19"/>
        <v>-292193.75771449489</v>
      </c>
      <c r="AF107" s="31">
        <f t="shared" si="19"/>
        <v>-292193.75771449489</v>
      </c>
      <c r="AG107" s="31">
        <f t="shared" si="19"/>
        <v>-292193.75771449489</v>
      </c>
    </row>
    <row r="108" spans="1:43" x14ac:dyDescent="0.2">
      <c r="C108" s="1" t="s">
        <v>241</v>
      </c>
      <c r="D108" s="257"/>
      <c r="E108" s="38"/>
      <c r="I108" s="31">
        <f>SUM(I84:I85)</f>
        <v>0</v>
      </c>
      <c r="J108" s="31">
        <f t="shared" ref="J108:AG108" si="20">SUM(J84:J85)</f>
        <v>82568.403429023921</v>
      </c>
      <c r="K108" s="31">
        <f t="shared" si="20"/>
        <v>204942.05537043512</v>
      </c>
      <c r="L108" s="31">
        <f t="shared" si="20"/>
        <v>381263.57132385671</v>
      </c>
      <c r="M108" s="31">
        <f t="shared" si="20"/>
        <v>630413.12727348506</v>
      </c>
      <c r="N108" s="31">
        <f t="shared" si="20"/>
        <v>977560.2942776531</v>
      </c>
      <c r="O108" s="31">
        <f t="shared" si="20"/>
        <v>1198413.275675714</v>
      </c>
      <c r="P108" s="31">
        <f t="shared" si="20"/>
        <v>1327565.2670590878</v>
      </c>
      <c r="Q108" s="31">
        <f t="shared" si="20"/>
        <v>1344387.0547175109</v>
      </c>
      <c r="R108" s="31">
        <f t="shared" si="20"/>
        <v>1344387.0547175407</v>
      </c>
      <c r="S108" s="31">
        <f t="shared" si="20"/>
        <v>1344387.0547174811</v>
      </c>
      <c r="T108" s="31">
        <f t="shared" si="20"/>
        <v>1344387.0547176003</v>
      </c>
      <c r="U108" s="31">
        <f t="shared" si="20"/>
        <v>1344387.0547175407</v>
      </c>
      <c r="V108" s="31">
        <f t="shared" si="20"/>
        <v>1344387.0547175407</v>
      </c>
      <c r="W108" s="31">
        <f t="shared" si="20"/>
        <v>1344387.0547175407</v>
      </c>
      <c r="X108" s="31">
        <f t="shared" si="20"/>
        <v>1344387.0547174811</v>
      </c>
      <c r="Y108" s="31">
        <f t="shared" si="20"/>
        <v>1344387.0547174811</v>
      </c>
      <c r="Z108" s="31">
        <f t="shared" si="20"/>
        <v>1344387.0547175407</v>
      </c>
      <c r="AA108" s="31">
        <f t="shared" si="20"/>
        <v>1344387.0547174811</v>
      </c>
      <c r="AB108" s="31">
        <f t="shared" si="20"/>
        <v>1344387.0547174811</v>
      </c>
      <c r="AC108" s="31">
        <f t="shared" si="20"/>
        <v>1344387.0547174811</v>
      </c>
      <c r="AD108" s="31">
        <f t="shared" si="20"/>
        <v>1344387.0547175407</v>
      </c>
      <c r="AE108" s="31">
        <f t="shared" si="20"/>
        <v>1344387.0547174215</v>
      </c>
      <c r="AF108" s="31">
        <f t="shared" si="20"/>
        <v>1344387.0547174215</v>
      </c>
      <c r="AG108" s="31">
        <f t="shared" si="20"/>
        <v>1344387.0547175407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18285.776731835045</v>
      </c>
      <c r="K110" s="31" cm="1">
        <f t="array" ref="K110">K$106+IF($C110&lt;&gt;0,SUMPRODUCT((K$107:K$108)*TRANSPOSE(($D110:$E110))),0)</f>
        <v>76376.801976057366</v>
      </c>
      <c r="L110" s="31" cm="1">
        <f t="array" ref="L110">L$106+IF($C110&lt;&gt;0,SUMPRODUCT((L$107:L$108)*TRANSPOSE(($D110:$E110))),0)</f>
        <v>188415.69123229006</v>
      </c>
      <c r="M110" s="31" cm="1">
        <f t="array" ref="M110">M$106+IF($C110&lt;&gt;0,SUMPRODUCT((M$107:M$108)*TRANSPOSE(($D110:$E110))),0)</f>
        <v>373282.62048472959</v>
      </c>
      <c r="N110" s="31" cm="1">
        <f t="array" ref="N110">N$106+IF($C110&lt;&gt;0,SUMPRODUCT((N$107:N$108)*TRANSPOSE(($D110:$E110))),0)</f>
        <v>656147.16079170874</v>
      </c>
      <c r="O110" s="31" cm="1">
        <f t="array" ref="O110">O$106+IF($C110&lt;&gt;0,SUMPRODUCT((O$107:O$108)*TRANSPOSE(($D110:$E110))),0)</f>
        <v>877000.14218976966</v>
      </c>
      <c r="P110" s="31" cm="1">
        <f t="array" ref="P110">P$106+IF($C110&lt;&gt;0,SUMPRODUCT((P$107:P$108)*TRANSPOSE(($D110:$E110))),0)</f>
        <v>1006152.1335731434</v>
      </c>
      <c r="Q110" s="31" cm="1">
        <f t="array" ref="Q110">Q$106+IF($C110&lt;&gt;0,SUMPRODUCT((Q$107:Q$108)*TRANSPOSE(($D110:$E110))),0)</f>
        <v>1022973.9212315666</v>
      </c>
      <c r="R110" s="31" cm="1">
        <f t="array" ref="R110">R$106+IF($C110&lt;&gt;0,SUMPRODUCT((R$107:R$108)*TRANSPOSE(($D110:$E110))),0)</f>
        <v>1022973.9212315964</v>
      </c>
      <c r="S110" s="31" cm="1">
        <f t="array" ref="S110">S$106+IF($C110&lt;&gt;0,SUMPRODUCT((S$107:S$108)*TRANSPOSE(($D110:$E110))),0)</f>
        <v>1022973.9212315368</v>
      </c>
      <c r="T110" s="31" cm="1">
        <f t="array" ref="T110">T$106+IF($C110&lt;&gt;0,SUMPRODUCT((T$107:T$108)*TRANSPOSE(($D110:$E110))),0)</f>
        <v>1022973.921231656</v>
      </c>
      <c r="U110" s="31" cm="1">
        <f t="array" ref="U110">U$106+IF($C110&lt;&gt;0,SUMPRODUCT((U$107:U$108)*TRANSPOSE(($D110:$E110))),0)</f>
        <v>1022973.9212315964</v>
      </c>
      <c r="V110" s="31" cm="1">
        <f t="array" ref="V110">V$106+IF($C110&lt;&gt;0,SUMPRODUCT((V$107:V$108)*TRANSPOSE(($D110:$E110))),0)</f>
        <v>1022973.9212315964</v>
      </c>
      <c r="W110" s="31" cm="1">
        <f t="array" ref="W110">W$106+IF($C110&lt;&gt;0,SUMPRODUCT((W$107:W$108)*TRANSPOSE(($D110:$E110))),0)</f>
        <v>1022973.9212315964</v>
      </c>
      <c r="X110" s="31" cm="1">
        <f t="array" ref="X110">X$106+IF($C110&lt;&gt;0,SUMPRODUCT((X$107:X$108)*TRANSPOSE(($D110:$E110))),0)</f>
        <v>1022973.9212315368</v>
      </c>
      <c r="Y110" s="31" cm="1">
        <f t="array" ref="Y110">Y$106+IF($C110&lt;&gt;0,SUMPRODUCT((Y$107:Y$108)*TRANSPOSE(($D110:$E110))),0)</f>
        <v>1022973.9212315368</v>
      </c>
      <c r="Z110" s="31" cm="1">
        <f t="array" ref="Z110">Z$106+IF($C110&lt;&gt;0,SUMPRODUCT((Z$107:Z$108)*TRANSPOSE(($D110:$E110))),0)</f>
        <v>1022973.9212315964</v>
      </c>
      <c r="AA110" s="31" cm="1">
        <f t="array" ref="AA110">AA$106+IF($C110&lt;&gt;0,SUMPRODUCT((AA$107:AA$108)*TRANSPOSE(($D110:$E110))),0)</f>
        <v>1022973.9212315368</v>
      </c>
      <c r="AB110" s="31" cm="1">
        <f t="array" ref="AB110">AB$106+IF($C110&lt;&gt;0,SUMPRODUCT((AB$107:AB$108)*TRANSPOSE(($D110:$E110))),0)</f>
        <v>1022973.9212315368</v>
      </c>
      <c r="AC110" s="31" cm="1">
        <f t="array" ref="AC110">AC$106+IF($C110&lt;&gt;0,SUMPRODUCT((AC$107:AC$108)*TRANSPOSE(($D110:$E110))),0)</f>
        <v>1022973.9212315368</v>
      </c>
      <c r="AD110" s="31" cm="1">
        <f t="array" ref="AD110">AD$106+IF($C110&lt;&gt;0,SUMPRODUCT((AD$107:AD$108)*TRANSPOSE(($D110:$E110))),0)</f>
        <v>1022973.9212315964</v>
      </c>
      <c r="AE110" s="31" cm="1">
        <f t="array" ref="AE110">AE$106+IF($C110&lt;&gt;0,SUMPRODUCT((AE$107:AE$108)*TRANSPOSE(($D110:$E110))),0)</f>
        <v>1022973.9212314772</v>
      </c>
      <c r="AF110" s="31" cm="1">
        <f t="array" ref="AF110">AF$106+IF($C110&lt;&gt;0,SUMPRODUCT((AF$107:AF$108)*TRANSPOSE(($D110:$E110))),0)</f>
        <v>1022973.9212314772</v>
      </c>
      <c r="AG110" s="31" cm="1">
        <f t="array" ref="AG110">AG$106+IF($C110&lt;&gt;0,SUMPRODUCT((AG$107:AG$108)*TRANSPOSE(($D110:$E110))),0)</f>
        <v>1022973.9212315964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29973.52704041484</v>
      </c>
      <c r="K111" s="31" cm="1">
        <f t="array" ref="K111">K$106+IF($C111&lt;&gt;0,SUMPRODUCT((K$107:K$108)*TRANSPOSE(($D111:$E111))),0)</f>
        <v>99752.302593216955</v>
      </c>
      <c r="L111" s="31" cm="1">
        <f t="array" ref="L111">L$106+IF($C111&lt;&gt;0,SUMPRODUCT((L$107:L$108)*TRANSPOSE(($D111:$E111))),0)</f>
        <v>223478.94215802947</v>
      </c>
      <c r="M111" s="31" cm="1">
        <f t="array" ref="M111">M$106+IF($C111&lt;&gt;0,SUMPRODUCT((M$107:M$108)*TRANSPOSE(($D111:$E111))),0)</f>
        <v>420033.62171904877</v>
      </c>
      <c r="N111" s="31" cm="1">
        <f t="array" ref="N111">N$106+IF($C111&lt;&gt;0,SUMPRODUCT((N$107:N$108)*TRANSPOSE(($D111:$E111))),0)</f>
        <v>714585.9123346078</v>
      </c>
      <c r="O111" s="31" cm="1">
        <f t="array" ref="O111">O$106+IF($C111&lt;&gt;0,SUMPRODUCT((O$107:O$108)*TRANSPOSE(($D111:$E111))),0)</f>
        <v>935438.89373266872</v>
      </c>
      <c r="P111" s="31" cm="1">
        <f t="array" ref="P111">P$106+IF($C111&lt;&gt;0,SUMPRODUCT((P$107:P$108)*TRANSPOSE(($D111:$E111))),0)</f>
        <v>1064590.8851160423</v>
      </c>
      <c r="Q111" s="31" cm="1">
        <f t="array" ref="Q111">Q$106+IF($C111&lt;&gt;0,SUMPRODUCT((Q$107:Q$108)*TRANSPOSE(($D111:$E111))),0)</f>
        <v>1081412.6727744655</v>
      </c>
      <c r="R111" s="31" cm="1">
        <f t="array" ref="R111">R$106+IF($C111&lt;&gt;0,SUMPRODUCT((R$107:R$108)*TRANSPOSE(($D111:$E111))),0)</f>
        <v>1081412.6727744953</v>
      </c>
      <c r="S111" s="31" cm="1">
        <f t="array" ref="S111">S$106+IF($C111&lt;&gt;0,SUMPRODUCT((S$107:S$108)*TRANSPOSE(($D111:$E111))),0)</f>
        <v>1081412.6727744357</v>
      </c>
      <c r="T111" s="31" cm="1">
        <f t="array" ref="T111">T$106+IF($C111&lt;&gt;0,SUMPRODUCT((T$107:T$108)*TRANSPOSE(($D111:$E111))),0)</f>
        <v>1081412.6727745549</v>
      </c>
      <c r="U111" s="31" cm="1">
        <f t="array" ref="U111">U$106+IF($C111&lt;&gt;0,SUMPRODUCT((U$107:U$108)*TRANSPOSE(($D111:$E111))),0)</f>
        <v>1081412.6727744953</v>
      </c>
      <c r="V111" s="31" cm="1">
        <f t="array" ref="V111">V$106+IF($C111&lt;&gt;0,SUMPRODUCT((V$107:V$108)*TRANSPOSE(($D111:$E111))),0)</f>
        <v>1081412.6727744953</v>
      </c>
      <c r="W111" s="31" cm="1">
        <f t="array" ref="W111">W$106+IF($C111&lt;&gt;0,SUMPRODUCT((W$107:W$108)*TRANSPOSE(($D111:$E111))),0)</f>
        <v>1081412.6727744953</v>
      </c>
      <c r="X111" s="31" cm="1">
        <f t="array" ref="X111">X$106+IF($C111&lt;&gt;0,SUMPRODUCT((X$107:X$108)*TRANSPOSE(($D111:$E111))),0)</f>
        <v>1081412.6727744357</v>
      </c>
      <c r="Y111" s="31" cm="1">
        <f t="array" ref="Y111">Y$106+IF($C111&lt;&gt;0,SUMPRODUCT((Y$107:Y$108)*TRANSPOSE(($D111:$E111))),0)</f>
        <v>1081412.6727744357</v>
      </c>
      <c r="Z111" s="31" cm="1">
        <f t="array" ref="Z111">Z$106+IF($C111&lt;&gt;0,SUMPRODUCT((Z$107:Z$108)*TRANSPOSE(($D111:$E111))),0)</f>
        <v>1081412.6727744953</v>
      </c>
      <c r="AA111" s="31" cm="1">
        <f t="array" ref="AA111">AA$106+IF($C111&lt;&gt;0,SUMPRODUCT((AA$107:AA$108)*TRANSPOSE(($D111:$E111))),0)</f>
        <v>1081412.6727744357</v>
      </c>
      <c r="AB111" s="31" cm="1">
        <f t="array" ref="AB111">AB$106+IF($C111&lt;&gt;0,SUMPRODUCT((AB$107:AB$108)*TRANSPOSE(($D111:$E111))),0)</f>
        <v>1081412.6727744357</v>
      </c>
      <c r="AC111" s="31" cm="1">
        <f t="array" ref="AC111">AC$106+IF($C111&lt;&gt;0,SUMPRODUCT((AC$107:AC$108)*TRANSPOSE(($D111:$E111))),0)</f>
        <v>1081412.6727744357</v>
      </c>
      <c r="AD111" s="31" cm="1">
        <f t="array" ref="AD111">AD$106+IF($C111&lt;&gt;0,SUMPRODUCT((AD$107:AD$108)*TRANSPOSE(($D111:$E111))),0)</f>
        <v>1081412.6727744953</v>
      </c>
      <c r="AE111" s="31" cm="1">
        <f t="array" ref="AE111">AE$106+IF($C111&lt;&gt;0,SUMPRODUCT((AE$107:AE$108)*TRANSPOSE(($D111:$E111))),0)</f>
        <v>1081412.6727743761</v>
      </c>
      <c r="AF111" s="31" cm="1">
        <f t="array" ref="AF111">AF$106+IF($C111&lt;&gt;0,SUMPRODUCT((AF$107:AF$108)*TRANSPOSE(($D111:$E111))),0)</f>
        <v>1081412.6727743761</v>
      </c>
      <c r="AG111" s="31" cm="1">
        <f t="array" ref="AG111">AG$106+IF($C111&lt;&gt;0,SUMPRODUCT((AG$107:AG$108)*TRANSPOSE(($D111:$E111))),0)</f>
        <v>1081412.6727744953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32386.492229027335</v>
      </c>
      <c r="K112" s="31" cm="1">
        <f t="array" ref="K112">K$106+IF($C112&lt;&gt;0,SUMPRODUCT((K$107:K$108)*TRANSPOSE(($D112:$E112))),0)</f>
        <v>108558.75782168067</v>
      </c>
      <c r="L112" s="31" cm="1">
        <f t="array" ref="L112">L$106+IF($C112&lt;&gt;0,SUMPRODUCT((L$107:L$108)*TRANSPOSE(($D112:$E112))),0)</f>
        <v>244073.67382754543</v>
      </c>
      <c r="M112" s="31" cm="1">
        <f t="array" ref="M112">M$106+IF($C112&lt;&gt;0,SUMPRODUCT((M$107:M$108)*TRANSPOSE(($D112:$E112))),0)</f>
        <v>459699.43382923771</v>
      </c>
      <c r="N112" s="31" cm="1">
        <f t="array" ref="N112">N$106+IF($C112&lt;&gt;0,SUMPRODUCT((N$107:N$108)*TRANSPOSE(($D112:$E112))),0)</f>
        <v>783122.56599092355</v>
      </c>
      <c r="O112" s="31" cm="1">
        <f t="array" ref="O112">O$106+IF($C112&lt;&gt;0,SUMPRODUCT((O$107:O$108)*TRANSPOSE(($D112:$E112))),0)</f>
        <v>1026060.8455287906</v>
      </c>
      <c r="P112" s="31" cm="1">
        <f t="array" ref="P112">P$106+IF($C112&lt;&gt;0,SUMPRODUCT((P$107:P$108)*TRANSPOSE(($D112:$E112))),0)</f>
        <v>1168128.0360505017</v>
      </c>
      <c r="Q112" s="31" cm="1">
        <f t="array" ref="Q112">Q$106+IF($C112&lt;&gt;0,SUMPRODUCT((Q$107:Q$108)*TRANSPOSE(($D112:$E112))),0)</f>
        <v>1186632.0024747672</v>
      </c>
      <c r="R112" s="31" cm="1">
        <f t="array" ref="R112">R$106+IF($C112&lt;&gt;0,SUMPRODUCT((R$107:R$108)*TRANSPOSE(($D112:$E112))),0)</f>
        <v>1186632.0024748</v>
      </c>
      <c r="S112" s="31" cm="1">
        <f t="array" ref="S112">S$106+IF($C112&lt;&gt;0,SUMPRODUCT((S$107:S$108)*TRANSPOSE(($D112:$E112))),0)</f>
        <v>1186632.0024747343</v>
      </c>
      <c r="T112" s="31" cm="1">
        <f t="array" ref="T112">T$106+IF($C112&lt;&gt;0,SUMPRODUCT((T$107:T$108)*TRANSPOSE(($D112:$E112))),0)</f>
        <v>1186632.0024748656</v>
      </c>
      <c r="U112" s="31" cm="1">
        <f t="array" ref="U112">U$106+IF($C112&lt;&gt;0,SUMPRODUCT((U$107:U$108)*TRANSPOSE(($D112:$E112))),0)</f>
        <v>1186632.0024748</v>
      </c>
      <c r="V112" s="31" cm="1">
        <f t="array" ref="V112">V$106+IF($C112&lt;&gt;0,SUMPRODUCT((V$107:V$108)*TRANSPOSE(($D112:$E112))),0)</f>
        <v>1186632.0024748</v>
      </c>
      <c r="W112" s="31" cm="1">
        <f t="array" ref="W112">W$106+IF($C112&lt;&gt;0,SUMPRODUCT((W$107:W$108)*TRANSPOSE(($D112:$E112))),0)</f>
        <v>1186632.0024748</v>
      </c>
      <c r="X112" s="31" cm="1">
        <f t="array" ref="X112">X$106+IF($C112&lt;&gt;0,SUMPRODUCT((X$107:X$108)*TRANSPOSE(($D112:$E112))),0)</f>
        <v>1186632.0024747343</v>
      </c>
      <c r="Y112" s="31" cm="1">
        <f t="array" ref="Y112">Y$106+IF($C112&lt;&gt;0,SUMPRODUCT((Y$107:Y$108)*TRANSPOSE(($D112:$E112))),0)</f>
        <v>1186632.0024747343</v>
      </c>
      <c r="Z112" s="31" cm="1">
        <f t="array" ref="Z112">Z$106+IF($C112&lt;&gt;0,SUMPRODUCT((Z$107:Z$108)*TRANSPOSE(($D112:$E112))),0)</f>
        <v>1186632.0024748</v>
      </c>
      <c r="AA112" s="31" cm="1">
        <f t="array" ref="AA112">AA$106+IF($C112&lt;&gt;0,SUMPRODUCT((AA$107:AA$108)*TRANSPOSE(($D112:$E112))),0)</f>
        <v>1186632.0024747343</v>
      </c>
      <c r="AB112" s="31" cm="1">
        <f t="array" ref="AB112">AB$106+IF($C112&lt;&gt;0,SUMPRODUCT((AB$107:AB$108)*TRANSPOSE(($D112:$E112))),0)</f>
        <v>1186632.0024747343</v>
      </c>
      <c r="AC112" s="31" cm="1">
        <f t="array" ref="AC112">AC$106+IF($C112&lt;&gt;0,SUMPRODUCT((AC$107:AC$108)*TRANSPOSE(($D112:$E112))),0)</f>
        <v>1186632.0024747343</v>
      </c>
      <c r="AD112" s="31" cm="1">
        <f t="array" ref="AD112">AD$106+IF($C112&lt;&gt;0,SUMPRODUCT((AD$107:AD$108)*TRANSPOSE(($D112:$E112))),0)</f>
        <v>1186632.0024748</v>
      </c>
      <c r="AE112" s="31" cm="1">
        <f t="array" ref="AE112">AE$106+IF($C112&lt;&gt;0,SUMPRODUCT((AE$107:AE$108)*TRANSPOSE(($D112:$E112))),0)</f>
        <v>1186632.0024746689</v>
      </c>
      <c r="AF112" s="31" cm="1">
        <f t="array" ref="AF112">AF$106+IF($C112&lt;&gt;0,SUMPRODUCT((AF$107:AF$108)*TRANSPOSE(($D112:$E112))),0)</f>
        <v>1186632.0024746689</v>
      </c>
      <c r="AG112" s="31" cm="1">
        <f t="array" ref="AG112">AG$106+IF($C112&lt;&gt;0,SUMPRODUCT((AG$107:AG$108)*TRANSPOSE(($D112:$E112))),0)</f>
        <v>1186632.0024748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15872.81154322255</v>
      </c>
      <c r="K113" s="31" cm="1">
        <f t="array" ref="K113">K$106+IF($C113&lt;&gt;0,SUMPRODUCT((K$107:K$108)*TRANSPOSE(($D113:$E113))),0)</f>
        <v>67570.346747593649</v>
      </c>
      <c r="L113" s="31" cm="1">
        <f t="array" ref="L113">L$106+IF($C113&lt;&gt;0,SUMPRODUCT((L$107:L$108)*TRANSPOSE(($D113:$E113))),0)</f>
        <v>167820.95956277411</v>
      </c>
      <c r="M113" s="31" cm="1">
        <f t="array" ref="M113">M$106+IF($C113&lt;&gt;0,SUMPRODUCT((M$107:M$108)*TRANSPOSE(($D113:$E113))),0)</f>
        <v>333616.80837454065</v>
      </c>
      <c r="N113" s="31" cm="1">
        <f t="array" ref="N113">N$106+IF($C113&lt;&gt;0,SUMPRODUCT((N$107:N$108)*TRANSPOSE(($D113:$E113))),0)</f>
        <v>587610.50713539298</v>
      </c>
      <c r="O113" s="31" cm="1">
        <f t="array" ref="O113">O$106+IF($C113&lt;&gt;0,SUMPRODUCT((O$107:O$108)*TRANSPOSE(($D113:$E113))),0)</f>
        <v>786378.19039364776</v>
      </c>
      <c r="P113" s="31" cm="1">
        <f t="array" ref="P113">P$106+IF($C113&lt;&gt;0,SUMPRODUCT((P$107:P$108)*TRANSPOSE(($D113:$E113))),0)</f>
        <v>902614.9826386841</v>
      </c>
      <c r="Q113" s="31" cm="1">
        <f t="array" ref="Q113">Q$106+IF($C113&lt;&gt;0,SUMPRODUCT((Q$107:Q$108)*TRANSPOSE(($D113:$E113))),0)</f>
        <v>917754.59153126506</v>
      </c>
      <c r="R113" s="31" cm="1">
        <f t="array" ref="R113">R$106+IF($C113&lt;&gt;0,SUMPRODUCT((R$107:R$108)*TRANSPOSE(($D113:$E113))),0)</f>
        <v>917754.59153129184</v>
      </c>
      <c r="S113" s="31" cm="1">
        <f t="array" ref="S113">S$106+IF($C113&lt;&gt;0,SUMPRODUCT((S$107:S$108)*TRANSPOSE(($D113:$E113))),0)</f>
        <v>917754.59153123817</v>
      </c>
      <c r="T113" s="31" cm="1">
        <f t="array" ref="T113">T$106+IF($C113&lt;&gt;0,SUMPRODUCT((T$107:T$108)*TRANSPOSE(($D113:$E113))),0)</f>
        <v>917754.5915313455</v>
      </c>
      <c r="U113" s="31" cm="1">
        <f t="array" ref="U113">U$106+IF($C113&lt;&gt;0,SUMPRODUCT((U$107:U$108)*TRANSPOSE(($D113:$E113))),0)</f>
        <v>917754.59153129184</v>
      </c>
      <c r="V113" s="31" cm="1">
        <f t="array" ref="V113">V$106+IF($C113&lt;&gt;0,SUMPRODUCT((V$107:V$108)*TRANSPOSE(($D113:$E113))),0)</f>
        <v>917754.59153129184</v>
      </c>
      <c r="W113" s="31" cm="1">
        <f t="array" ref="W113">W$106+IF($C113&lt;&gt;0,SUMPRODUCT((W$107:W$108)*TRANSPOSE(($D113:$E113))),0)</f>
        <v>917754.59153129184</v>
      </c>
      <c r="X113" s="31" cm="1">
        <f t="array" ref="X113">X$106+IF($C113&lt;&gt;0,SUMPRODUCT((X$107:X$108)*TRANSPOSE(($D113:$E113))),0)</f>
        <v>917754.59153123817</v>
      </c>
      <c r="Y113" s="31" cm="1">
        <f t="array" ref="Y113">Y$106+IF($C113&lt;&gt;0,SUMPRODUCT((Y$107:Y$108)*TRANSPOSE(($D113:$E113))),0)</f>
        <v>917754.59153123817</v>
      </c>
      <c r="Z113" s="31" cm="1">
        <f t="array" ref="Z113">Z$106+IF($C113&lt;&gt;0,SUMPRODUCT((Z$107:Z$108)*TRANSPOSE(($D113:$E113))),0)</f>
        <v>917754.59153129184</v>
      </c>
      <c r="AA113" s="31" cm="1">
        <f t="array" ref="AA113">AA$106+IF($C113&lt;&gt;0,SUMPRODUCT((AA$107:AA$108)*TRANSPOSE(($D113:$E113))),0)</f>
        <v>917754.59153123817</v>
      </c>
      <c r="AB113" s="31" cm="1">
        <f t="array" ref="AB113">AB$106+IF($C113&lt;&gt;0,SUMPRODUCT((AB$107:AB$108)*TRANSPOSE(($D113:$E113))),0)</f>
        <v>917754.59153123817</v>
      </c>
      <c r="AC113" s="31" cm="1">
        <f t="array" ref="AC113">AC$106+IF($C113&lt;&gt;0,SUMPRODUCT((AC$107:AC$108)*TRANSPOSE(($D113:$E113))),0)</f>
        <v>917754.59153123817</v>
      </c>
      <c r="AD113" s="31" cm="1">
        <f t="array" ref="AD113">AD$106+IF($C113&lt;&gt;0,SUMPRODUCT((AD$107:AD$108)*TRANSPOSE(($D113:$E113))),0)</f>
        <v>917754.59153129184</v>
      </c>
      <c r="AE113" s="31" cm="1">
        <f t="array" ref="AE113">AE$106+IF($C113&lt;&gt;0,SUMPRODUCT((AE$107:AE$108)*TRANSPOSE(($D113:$E113))),0)</f>
        <v>917754.5915311845</v>
      </c>
      <c r="AF113" s="31" cm="1">
        <f t="array" ref="AF113">AF$106+IF($C113&lt;&gt;0,SUMPRODUCT((AF$107:AF$108)*TRANSPOSE(($D113:$E113))),0)</f>
        <v>917754.5915311845</v>
      </c>
      <c r="AG113" s="31" cm="1">
        <f t="array" ref="AG113">AG$106+IF($C113&lt;&gt;0,SUMPRODUCT((AG$107:AG$108)*TRANSPOSE(($D113:$E113))),0)</f>
        <v>917754.59153129184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10028.936388932652</v>
      </c>
      <c r="K114" s="31" cm="1">
        <f t="array" ref="K114">K$106+IF($C114&lt;&gt;0,SUMPRODUCT((K$107:K$108)*TRANSPOSE(($D114:$E114))),0)</f>
        <v>55882.596439013854</v>
      </c>
      <c r="L114" s="31" cm="1">
        <f t="array" ref="L114">L$106+IF($C114&lt;&gt;0,SUMPRODUCT((L$107:L$108)*TRANSPOSE(($D114:$E114))),0)</f>
        <v>150289.3340999044</v>
      </c>
      <c r="M114" s="31" cm="1">
        <f t="array" ref="M114">M$106+IF($C114&lt;&gt;0,SUMPRODUCT((M$107:M$108)*TRANSPOSE(($D114:$E114))),0)</f>
        <v>310241.30775738106</v>
      </c>
      <c r="N114" s="31" cm="1">
        <f t="array" ref="N114">N$106+IF($C114&lt;&gt;0,SUMPRODUCT((N$107:N$108)*TRANSPOSE(($D114:$E114))),0)</f>
        <v>558391.13136394345</v>
      </c>
      <c r="O114" s="31" cm="1">
        <f t="array" ref="O114">O$106+IF($C114&lt;&gt;0,SUMPRODUCT((O$107:O$108)*TRANSPOSE(($D114:$E114))),0)</f>
        <v>757158.81462219823</v>
      </c>
      <c r="P114" s="31" cm="1">
        <f t="array" ref="P114">P$106+IF($C114&lt;&gt;0,SUMPRODUCT((P$107:P$108)*TRANSPOSE(($D114:$E114))),0)</f>
        <v>873395.60686723469</v>
      </c>
      <c r="Q114" s="31" cm="1">
        <f t="array" ref="Q114">Q$106+IF($C114&lt;&gt;0,SUMPRODUCT((Q$107:Q$108)*TRANSPOSE(($D114:$E114))),0)</f>
        <v>888535.21575981553</v>
      </c>
      <c r="R114" s="31" cm="1">
        <f t="array" ref="R114">R$106+IF($C114&lt;&gt;0,SUMPRODUCT((R$107:R$108)*TRANSPOSE(($D114:$E114))),0)</f>
        <v>888535.21575984231</v>
      </c>
      <c r="S114" s="31" cm="1">
        <f t="array" ref="S114">S$106+IF($C114&lt;&gt;0,SUMPRODUCT((S$107:S$108)*TRANSPOSE(($D114:$E114))),0)</f>
        <v>888535.21575978864</v>
      </c>
      <c r="T114" s="31" cm="1">
        <f t="array" ref="T114">T$106+IF($C114&lt;&gt;0,SUMPRODUCT((T$107:T$108)*TRANSPOSE(($D114:$E114))),0)</f>
        <v>888535.21575989597</v>
      </c>
      <c r="U114" s="31" cm="1">
        <f t="array" ref="U114">U$106+IF($C114&lt;&gt;0,SUMPRODUCT((U$107:U$108)*TRANSPOSE(($D114:$E114))),0)</f>
        <v>888535.21575984231</v>
      </c>
      <c r="V114" s="31" cm="1">
        <f t="array" ref="V114">V$106+IF($C114&lt;&gt;0,SUMPRODUCT((V$107:V$108)*TRANSPOSE(($D114:$E114))),0)</f>
        <v>888535.21575984231</v>
      </c>
      <c r="W114" s="31" cm="1">
        <f t="array" ref="W114">W$106+IF($C114&lt;&gt;0,SUMPRODUCT((W$107:W$108)*TRANSPOSE(($D114:$E114))),0)</f>
        <v>888535.21575984231</v>
      </c>
      <c r="X114" s="31" cm="1">
        <f t="array" ref="X114">X$106+IF($C114&lt;&gt;0,SUMPRODUCT((X$107:X$108)*TRANSPOSE(($D114:$E114))),0)</f>
        <v>888535.21575978864</v>
      </c>
      <c r="Y114" s="31" cm="1">
        <f t="array" ref="Y114">Y$106+IF($C114&lt;&gt;0,SUMPRODUCT((Y$107:Y$108)*TRANSPOSE(($D114:$E114))),0)</f>
        <v>888535.21575978864</v>
      </c>
      <c r="Z114" s="31" cm="1">
        <f t="array" ref="Z114">Z$106+IF($C114&lt;&gt;0,SUMPRODUCT((Z$107:Z$108)*TRANSPOSE(($D114:$E114))),0)</f>
        <v>888535.21575984231</v>
      </c>
      <c r="AA114" s="31" cm="1">
        <f t="array" ref="AA114">AA$106+IF($C114&lt;&gt;0,SUMPRODUCT((AA$107:AA$108)*TRANSPOSE(($D114:$E114))),0)</f>
        <v>888535.21575978864</v>
      </c>
      <c r="AB114" s="31" cm="1">
        <f t="array" ref="AB114">AB$106+IF($C114&lt;&gt;0,SUMPRODUCT((AB$107:AB$108)*TRANSPOSE(($D114:$E114))),0)</f>
        <v>888535.21575978864</v>
      </c>
      <c r="AC114" s="31" cm="1">
        <f t="array" ref="AC114">AC$106+IF($C114&lt;&gt;0,SUMPRODUCT((AC$107:AC$108)*TRANSPOSE(($D114:$E114))),0)</f>
        <v>888535.21575978864</v>
      </c>
      <c r="AD114" s="31" cm="1">
        <f t="array" ref="AD114">AD$106+IF($C114&lt;&gt;0,SUMPRODUCT((AD$107:AD$108)*TRANSPOSE(($D114:$E114))),0)</f>
        <v>888535.21575984231</v>
      </c>
      <c r="AE114" s="31" cm="1">
        <f t="array" ref="AE114">AE$106+IF($C114&lt;&gt;0,SUMPRODUCT((AE$107:AE$108)*TRANSPOSE(($D114:$E114))),0)</f>
        <v>888535.21575973509</v>
      </c>
      <c r="AF114" s="31" cm="1">
        <f t="array" ref="AF114">AF$106+IF($C114&lt;&gt;0,SUMPRODUCT((AF$107:AF$108)*TRANSPOSE(($D114:$E114))),0)</f>
        <v>888535.21575973509</v>
      </c>
      <c r="AG114" s="31" cm="1">
        <f t="array" ref="AG114">AG$106+IF($C114&lt;&gt;0,SUMPRODUCT((AG$107:AG$108)*TRANSPOSE(($D114:$E114))),0)</f>
        <v>888535.21575984231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24129.651886124942</v>
      </c>
      <c r="K115" s="31" cm="1">
        <f t="array" ref="K115">K$106+IF($C115&lt;&gt;0,SUMPRODUCT((K$107:K$108)*TRANSPOSE(($D115:$E115))),0)</f>
        <v>88064.55228463716</v>
      </c>
      <c r="L115" s="31" cm="1">
        <f t="array" ref="L115">L$106+IF($C115&lt;&gt;0,SUMPRODUCT((L$107:L$108)*TRANSPOSE(($D115:$E115))),0)</f>
        <v>205947.31669515977</v>
      </c>
      <c r="M115" s="31" cm="1">
        <f t="array" ref="M115">M$106+IF($C115&lt;&gt;0,SUMPRODUCT((M$107:M$108)*TRANSPOSE(($D115:$E115))),0)</f>
        <v>396658.12110188918</v>
      </c>
      <c r="N115" s="31" cm="1">
        <f t="array" ref="N115">N$106+IF($C115&lt;&gt;0,SUMPRODUCT((N$107:N$108)*TRANSPOSE(($D115:$E115))),0)</f>
        <v>685366.53656315827</v>
      </c>
      <c r="O115" s="31" cm="1">
        <f t="array" ref="O115">O$106+IF($C115&lt;&gt;0,SUMPRODUCT((O$107:O$108)*TRANSPOSE(($D115:$E115))),0)</f>
        <v>906219.51796121919</v>
      </c>
      <c r="P115" s="31" cm="1">
        <f t="array" ref="P115">P$106+IF($C115&lt;&gt;0,SUMPRODUCT((P$107:P$108)*TRANSPOSE(($D115:$E115))),0)</f>
        <v>1035371.5093445929</v>
      </c>
      <c r="Q115" s="31" cm="1">
        <f t="array" ref="Q115">Q$106+IF($C115&lt;&gt;0,SUMPRODUCT((Q$107:Q$108)*TRANSPOSE(($D115:$E115))),0)</f>
        <v>1052193.2970030161</v>
      </c>
      <c r="R115" s="31" cm="1">
        <f t="array" ref="R115">R$106+IF($C115&lt;&gt;0,SUMPRODUCT((R$107:R$108)*TRANSPOSE(($D115:$E115))),0)</f>
        <v>1052193.2970030459</v>
      </c>
      <c r="S115" s="31" cm="1">
        <f t="array" ref="S115">S$106+IF($C115&lt;&gt;0,SUMPRODUCT((S$107:S$108)*TRANSPOSE(($D115:$E115))),0)</f>
        <v>1052193.2970029863</v>
      </c>
      <c r="T115" s="31" cm="1">
        <f t="array" ref="T115">T$106+IF($C115&lt;&gt;0,SUMPRODUCT((T$107:T$108)*TRANSPOSE(($D115:$E115))),0)</f>
        <v>1052193.2970031055</v>
      </c>
      <c r="U115" s="31" cm="1">
        <f t="array" ref="U115">U$106+IF($C115&lt;&gt;0,SUMPRODUCT((U$107:U$108)*TRANSPOSE(($D115:$E115))),0)</f>
        <v>1052193.2970030459</v>
      </c>
      <c r="V115" s="31" cm="1">
        <f t="array" ref="V115">V$106+IF($C115&lt;&gt;0,SUMPRODUCT((V$107:V$108)*TRANSPOSE(($D115:$E115))),0)</f>
        <v>1052193.2970030459</v>
      </c>
      <c r="W115" s="31" cm="1">
        <f t="array" ref="W115">W$106+IF($C115&lt;&gt;0,SUMPRODUCT((W$107:W$108)*TRANSPOSE(($D115:$E115))),0)</f>
        <v>1052193.2970030459</v>
      </c>
      <c r="X115" s="31" cm="1">
        <f t="array" ref="X115">X$106+IF($C115&lt;&gt;0,SUMPRODUCT((X$107:X$108)*TRANSPOSE(($D115:$E115))),0)</f>
        <v>1052193.2970029863</v>
      </c>
      <c r="Y115" s="31" cm="1">
        <f t="array" ref="Y115">Y$106+IF($C115&lt;&gt;0,SUMPRODUCT((Y$107:Y$108)*TRANSPOSE(($D115:$E115))),0)</f>
        <v>1052193.2970029863</v>
      </c>
      <c r="Z115" s="31" cm="1">
        <f t="array" ref="Z115">Z$106+IF($C115&lt;&gt;0,SUMPRODUCT((Z$107:Z$108)*TRANSPOSE(($D115:$E115))),0)</f>
        <v>1052193.2970030459</v>
      </c>
      <c r="AA115" s="31" cm="1">
        <f t="array" ref="AA115">AA$106+IF($C115&lt;&gt;0,SUMPRODUCT((AA$107:AA$108)*TRANSPOSE(($D115:$E115))),0)</f>
        <v>1052193.2970029863</v>
      </c>
      <c r="AB115" s="31" cm="1">
        <f t="array" ref="AB115">AB$106+IF($C115&lt;&gt;0,SUMPRODUCT((AB$107:AB$108)*TRANSPOSE(($D115:$E115))),0)</f>
        <v>1052193.2970029863</v>
      </c>
      <c r="AC115" s="31" cm="1">
        <f t="array" ref="AC115">AC$106+IF($C115&lt;&gt;0,SUMPRODUCT((AC$107:AC$108)*TRANSPOSE(($D115:$E115))),0)</f>
        <v>1052193.2970029863</v>
      </c>
      <c r="AD115" s="31" cm="1">
        <f t="array" ref="AD115">AD$106+IF($C115&lt;&gt;0,SUMPRODUCT((AD$107:AD$108)*TRANSPOSE(($D115:$E115))),0)</f>
        <v>1052193.2970030459</v>
      </c>
      <c r="AE115" s="31" cm="1">
        <f t="array" ref="AE115">AE$106+IF($C115&lt;&gt;0,SUMPRODUCT((AE$107:AE$108)*TRANSPOSE(($D115:$E115))),0)</f>
        <v>1052193.2970029267</v>
      </c>
      <c r="AF115" s="31" cm="1">
        <f t="array" ref="AF115">AF$106+IF($C115&lt;&gt;0,SUMPRODUCT((AF$107:AF$108)*TRANSPOSE(($D115:$E115))),0)</f>
        <v>1052193.2970029267</v>
      </c>
      <c r="AG115" s="31" cm="1">
        <f t="array" ref="AG115">AG$106+IF($C115&lt;&gt;0,SUMPRODUCT((AG$107:AG$108)*TRANSPOSE(($D115:$E115))),0)</f>
        <v>1052193.2970030459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24129.651886124942</v>
      </c>
      <c r="K116" s="31" cm="1">
        <f t="array" ref="K116">K$106+IF($C116&lt;&gt;0,SUMPRODUCT((K$107:K$108)*TRANSPOSE(($D116:$E116))),0)</f>
        <v>88064.55228463716</v>
      </c>
      <c r="L116" s="31" cm="1">
        <f t="array" ref="L116">L$106+IF($C116&lt;&gt;0,SUMPRODUCT((L$107:L$108)*TRANSPOSE(($D116:$E116))),0)</f>
        <v>205947.31669515977</v>
      </c>
      <c r="M116" s="31" cm="1">
        <f t="array" ref="M116">M$106+IF($C116&lt;&gt;0,SUMPRODUCT((M$107:M$108)*TRANSPOSE(($D116:$E116))),0)</f>
        <v>396658.12110188918</v>
      </c>
      <c r="N116" s="31" cm="1">
        <f t="array" ref="N116">N$106+IF($C116&lt;&gt;0,SUMPRODUCT((N$107:N$108)*TRANSPOSE(($D116:$E116))),0)</f>
        <v>685366.53656315827</v>
      </c>
      <c r="O116" s="31" cm="1">
        <f t="array" ref="O116">O$106+IF($C116&lt;&gt;0,SUMPRODUCT((O$107:O$108)*TRANSPOSE(($D116:$E116))),0)</f>
        <v>906219.51796121919</v>
      </c>
      <c r="P116" s="31" cm="1">
        <f t="array" ref="P116">P$106+IF($C116&lt;&gt;0,SUMPRODUCT((P$107:P$108)*TRANSPOSE(($D116:$E116))),0)</f>
        <v>1035371.5093445929</v>
      </c>
      <c r="Q116" s="31" cm="1">
        <f t="array" ref="Q116">Q$106+IF($C116&lt;&gt;0,SUMPRODUCT((Q$107:Q$108)*TRANSPOSE(($D116:$E116))),0)</f>
        <v>1052193.2970030161</v>
      </c>
      <c r="R116" s="31" cm="1">
        <f t="array" ref="R116">R$106+IF($C116&lt;&gt;0,SUMPRODUCT((R$107:R$108)*TRANSPOSE(($D116:$E116))),0)</f>
        <v>1052193.2970030459</v>
      </c>
      <c r="S116" s="31" cm="1">
        <f t="array" ref="S116">S$106+IF($C116&lt;&gt;0,SUMPRODUCT((S$107:S$108)*TRANSPOSE(($D116:$E116))),0)</f>
        <v>1052193.2970029863</v>
      </c>
      <c r="T116" s="31" cm="1">
        <f t="array" ref="T116">T$106+IF($C116&lt;&gt;0,SUMPRODUCT((T$107:T$108)*TRANSPOSE(($D116:$E116))),0)</f>
        <v>1052193.2970031055</v>
      </c>
      <c r="U116" s="31" cm="1">
        <f t="array" ref="U116">U$106+IF($C116&lt;&gt;0,SUMPRODUCT((U$107:U$108)*TRANSPOSE(($D116:$E116))),0)</f>
        <v>1052193.2970030459</v>
      </c>
      <c r="V116" s="31" cm="1">
        <f t="array" ref="V116">V$106+IF($C116&lt;&gt;0,SUMPRODUCT((V$107:V$108)*TRANSPOSE(($D116:$E116))),0)</f>
        <v>1052193.2970030459</v>
      </c>
      <c r="W116" s="31" cm="1">
        <f t="array" ref="W116">W$106+IF($C116&lt;&gt;0,SUMPRODUCT((W$107:W$108)*TRANSPOSE(($D116:$E116))),0)</f>
        <v>1052193.2970030459</v>
      </c>
      <c r="X116" s="31" cm="1">
        <f t="array" ref="X116">X$106+IF($C116&lt;&gt;0,SUMPRODUCT((X$107:X$108)*TRANSPOSE(($D116:$E116))),0)</f>
        <v>1052193.2970029863</v>
      </c>
      <c r="Y116" s="31" cm="1">
        <f t="array" ref="Y116">Y$106+IF($C116&lt;&gt;0,SUMPRODUCT((Y$107:Y$108)*TRANSPOSE(($D116:$E116))),0)</f>
        <v>1052193.2970029863</v>
      </c>
      <c r="Z116" s="31" cm="1">
        <f t="array" ref="Z116">Z$106+IF($C116&lt;&gt;0,SUMPRODUCT((Z$107:Z$108)*TRANSPOSE(($D116:$E116))),0)</f>
        <v>1052193.2970030459</v>
      </c>
      <c r="AA116" s="31" cm="1">
        <f t="array" ref="AA116">AA$106+IF($C116&lt;&gt;0,SUMPRODUCT((AA$107:AA$108)*TRANSPOSE(($D116:$E116))),0)</f>
        <v>1052193.2970029863</v>
      </c>
      <c r="AB116" s="31" cm="1">
        <f t="array" ref="AB116">AB$106+IF($C116&lt;&gt;0,SUMPRODUCT((AB$107:AB$108)*TRANSPOSE(($D116:$E116))),0)</f>
        <v>1052193.2970029863</v>
      </c>
      <c r="AC116" s="31" cm="1">
        <f t="array" ref="AC116">AC$106+IF($C116&lt;&gt;0,SUMPRODUCT((AC$107:AC$108)*TRANSPOSE(($D116:$E116))),0)</f>
        <v>1052193.2970029863</v>
      </c>
      <c r="AD116" s="31" cm="1">
        <f t="array" ref="AD116">AD$106+IF($C116&lt;&gt;0,SUMPRODUCT((AD$107:AD$108)*TRANSPOSE(($D116:$E116))),0)</f>
        <v>1052193.2970030459</v>
      </c>
      <c r="AE116" s="31" cm="1">
        <f t="array" ref="AE116">AE$106+IF($C116&lt;&gt;0,SUMPRODUCT((AE$107:AE$108)*TRANSPOSE(($D116:$E116))),0)</f>
        <v>1052193.2970029267</v>
      </c>
      <c r="AF116" s="31" cm="1">
        <f t="array" ref="AF116">AF$106+IF($C116&lt;&gt;0,SUMPRODUCT((AF$107:AF$108)*TRANSPOSE(($D116:$E116))),0)</f>
        <v>1052193.2970029267</v>
      </c>
      <c r="AG116" s="31" cm="1">
        <f t="array" ref="AG116">AG$106+IF($C116&lt;&gt;0,SUMPRODUCT((AG$107:AG$108)*TRANSPOSE(($D116:$E116))),0)</f>
        <v>1052193.2970030459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24129.651886124942</v>
      </c>
      <c r="K117" s="31" cm="1">
        <f t="array" ref="K117">K$106+IF($C117&lt;&gt;0,SUMPRODUCT((K$107:K$108)*TRANSPOSE(($D117:$E117))),0)</f>
        <v>88064.55228463716</v>
      </c>
      <c r="L117" s="31" cm="1">
        <f t="array" ref="L117">L$106+IF($C117&lt;&gt;0,SUMPRODUCT((L$107:L$108)*TRANSPOSE(($D117:$E117))),0)</f>
        <v>205947.31669515977</v>
      </c>
      <c r="M117" s="31" cm="1">
        <f t="array" ref="M117">M$106+IF($C117&lt;&gt;0,SUMPRODUCT((M$107:M$108)*TRANSPOSE(($D117:$E117))),0)</f>
        <v>396658.12110188918</v>
      </c>
      <c r="N117" s="31" cm="1">
        <f t="array" ref="N117">N$106+IF($C117&lt;&gt;0,SUMPRODUCT((N$107:N$108)*TRANSPOSE(($D117:$E117))),0)</f>
        <v>685366.53656315827</v>
      </c>
      <c r="O117" s="31" cm="1">
        <f t="array" ref="O117">O$106+IF($C117&lt;&gt;0,SUMPRODUCT((O$107:O$108)*TRANSPOSE(($D117:$E117))),0)</f>
        <v>906219.51796121919</v>
      </c>
      <c r="P117" s="31" cm="1">
        <f t="array" ref="P117">P$106+IF($C117&lt;&gt;0,SUMPRODUCT((P$107:P$108)*TRANSPOSE(($D117:$E117))),0)</f>
        <v>1035371.5093445929</v>
      </c>
      <c r="Q117" s="31" cm="1">
        <f t="array" ref="Q117">Q$106+IF($C117&lt;&gt;0,SUMPRODUCT((Q$107:Q$108)*TRANSPOSE(($D117:$E117))),0)</f>
        <v>1052193.2970030161</v>
      </c>
      <c r="R117" s="31" cm="1">
        <f t="array" ref="R117">R$106+IF($C117&lt;&gt;0,SUMPRODUCT((R$107:R$108)*TRANSPOSE(($D117:$E117))),0)</f>
        <v>1052193.2970030459</v>
      </c>
      <c r="S117" s="31" cm="1">
        <f t="array" ref="S117">S$106+IF($C117&lt;&gt;0,SUMPRODUCT((S$107:S$108)*TRANSPOSE(($D117:$E117))),0)</f>
        <v>1052193.2970029863</v>
      </c>
      <c r="T117" s="31" cm="1">
        <f t="array" ref="T117">T$106+IF($C117&lt;&gt;0,SUMPRODUCT((T$107:T$108)*TRANSPOSE(($D117:$E117))),0)</f>
        <v>1052193.2970031055</v>
      </c>
      <c r="U117" s="31" cm="1">
        <f t="array" ref="U117">U$106+IF($C117&lt;&gt;0,SUMPRODUCT((U$107:U$108)*TRANSPOSE(($D117:$E117))),0)</f>
        <v>1052193.2970030459</v>
      </c>
      <c r="V117" s="31" cm="1">
        <f t="array" ref="V117">V$106+IF($C117&lt;&gt;0,SUMPRODUCT((V$107:V$108)*TRANSPOSE(($D117:$E117))),0)</f>
        <v>1052193.2970030459</v>
      </c>
      <c r="W117" s="31" cm="1">
        <f t="array" ref="W117">W$106+IF($C117&lt;&gt;0,SUMPRODUCT((W$107:W$108)*TRANSPOSE(($D117:$E117))),0)</f>
        <v>1052193.2970030459</v>
      </c>
      <c r="X117" s="31" cm="1">
        <f t="array" ref="X117">X$106+IF($C117&lt;&gt;0,SUMPRODUCT((X$107:X$108)*TRANSPOSE(($D117:$E117))),0)</f>
        <v>1052193.2970029863</v>
      </c>
      <c r="Y117" s="31" cm="1">
        <f t="array" ref="Y117">Y$106+IF($C117&lt;&gt;0,SUMPRODUCT((Y$107:Y$108)*TRANSPOSE(($D117:$E117))),0)</f>
        <v>1052193.2970029863</v>
      </c>
      <c r="Z117" s="31" cm="1">
        <f t="array" ref="Z117">Z$106+IF($C117&lt;&gt;0,SUMPRODUCT((Z$107:Z$108)*TRANSPOSE(($D117:$E117))),0)</f>
        <v>1052193.2970030459</v>
      </c>
      <c r="AA117" s="31" cm="1">
        <f t="array" ref="AA117">AA$106+IF($C117&lt;&gt;0,SUMPRODUCT((AA$107:AA$108)*TRANSPOSE(($D117:$E117))),0)</f>
        <v>1052193.2970029863</v>
      </c>
      <c r="AB117" s="31" cm="1">
        <f t="array" ref="AB117">AB$106+IF($C117&lt;&gt;0,SUMPRODUCT((AB$107:AB$108)*TRANSPOSE(($D117:$E117))),0)</f>
        <v>1052193.2970029863</v>
      </c>
      <c r="AC117" s="31" cm="1">
        <f t="array" ref="AC117">AC$106+IF($C117&lt;&gt;0,SUMPRODUCT((AC$107:AC$108)*TRANSPOSE(($D117:$E117))),0)</f>
        <v>1052193.2970029863</v>
      </c>
      <c r="AD117" s="31" cm="1">
        <f t="array" ref="AD117">AD$106+IF($C117&lt;&gt;0,SUMPRODUCT((AD$107:AD$108)*TRANSPOSE(($D117:$E117))),0)</f>
        <v>1052193.2970030459</v>
      </c>
      <c r="AE117" s="31" cm="1">
        <f t="array" ref="AE117">AE$106+IF($C117&lt;&gt;0,SUMPRODUCT((AE$107:AE$108)*TRANSPOSE(($D117:$E117))),0)</f>
        <v>1052193.2970029267</v>
      </c>
      <c r="AF117" s="31" cm="1">
        <f t="array" ref="AF117">AF$106+IF($C117&lt;&gt;0,SUMPRODUCT((AF$107:AF$108)*TRANSPOSE(($D117:$E117))),0)</f>
        <v>1052193.2970029267</v>
      </c>
      <c r="AG117" s="31" cm="1">
        <f t="array" ref="AG117">AG$106+IF($C117&lt;&gt;0,SUMPRODUCT((AG$107:AG$108)*TRANSPOSE(($D117:$E117))),0)</f>
        <v>1052193.2970030459</v>
      </c>
    </row>
    <row r="118" spans="1:33" x14ac:dyDescent="0.2">
      <c r="E118" s="248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53"/>
      <c r="J129" s="253"/>
      <c r="K129" s="253"/>
      <c r="L129" s="253"/>
    </row>
    <row r="130" spans="9:12" x14ac:dyDescent="0.2">
      <c r="I130" s="253"/>
      <c r="J130" s="253"/>
      <c r="K130" s="253"/>
      <c r="L130" s="253"/>
    </row>
    <row r="131" spans="9:12" x14ac:dyDescent="0.2">
      <c r="I131" s="253"/>
      <c r="J131" s="253"/>
      <c r="K131" s="253"/>
      <c r="L131" s="253"/>
    </row>
    <row r="132" spans="9:12" x14ac:dyDescent="0.2">
      <c r="I132" s="253"/>
      <c r="J132" s="253"/>
      <c r="K132" s="253"/>
      <c r="L132" s="253"/>
    </row>
    <row r="133" spans="9:12" x14ac:dyDescent="0.2">
      <c r="I133" s="253"/>
      <c r="J133" s="253"/>
      <c r="K133" s="253"/>
      <c r="L133" s="253"/>
    </row>
    <row r="134" spans="9:12" x14ac:dyDescent="0.2">
      <c r="I134" s="253"/>
      <c r="J134" s="253"/>
      <c r="K134" s="253"/>
      <c r="L134" s="253"/>
    </row>
    <row r="135" spans="9:12" x14ac:dyDescent="0.2">
      <c r="I135" s="253"/>
      <c r="J135" s="253"/>
      <c r="K135" s="253"/>
      <c r="L135" s="253"/>
    </row>
    <row r="136" spans="9:12" x14ac:dyDescent="0.2">
      <c r="I136" s="253"/>
      <c r="J136" s="253"/>
      <c r="K136" s="253"/>
      <c r="L136" s="253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135</v>
      </c>
      <c r="B3" s="5"/>
      <c r="C3" s="204" t="str">
        <f>INDEX(Assumptions!$E$14:$E$18, MATCH(A3,_xlfn.ANCHORARRAY( Assumptions!$C$14),0))</f>
        <v>Replace highest 10 delta risk cable sections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51">
        <v>60</v>
      </c>
      <c r="G14" s="211">
        <f>input_dollars</f>
        <v>45291</v>
      </c>
      <c r="H14" s="152"/>
      <c r="I14" s="32">
        <f>Workings_costs!E45</f>
        <v>3000038.9076999994</v>
      </c>
      <c r="J14" s="32">
        <f>Workings_costs!F45</f>
        <v>3000038.9076999994</v>
      </c>
      <c r="K14" s="32">
        <f>Workings_costs!G45</f>
        <v>3000038.9076999994</v>
      </c>
      <c r="L14" s="32">
        <f>Workings_costs!H45</f>
        <v>3000038.9076999994</v>
      </c>
      <c r="M14" s="32">
        <f>Workings_costs!I45</f>
        <v>3000038.9076999994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51">
        <v>0</v>
      </c>
      <c r="G15" s="211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3000038.9076999994</v>
      </c>
      <c r="J17" s="106">
        <f t="shared" si="0"/>
        <v>3000038.9076999994</v>
      </c>
      <c r="K17" s="106">
        <f t="shared" si="0"/>
        <v>3000038.9076999994</v>
      </c>
      <c r="L17" s="106">
        <f t="shared" si="0"/>
        <v>3000038.9076999994</v>
      </c>
      <c r="M17" s="106">
        <f t="shared" si="0"/>
        <v>3000038.9076999994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9"/>
      <c r="AH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789.93234825298725</v>
      </c>
      <c r="J27" s="172">
        <f>INDEX(Workings_risks!I$47:I$51, MATCH($A$3, Workings_risks!$C$47:$C$51,0))</f>
        <v>942.47145466465724</v>
      </c>
      <c r="K27" s="172">
        <f>INDEX(Workings_risks!J$47:J$51, MATCH($A$3, Workings_risks!$C$47:$C$51,0))</f>
        <v>1130.9583457396359</v>
      </c>
      <c r="L27" s="172">
        <f>INDEX(Workings_risks!K$47:K$51, MATCH($A$3, Workings_risks!$C$47:$C$51,0))</f>
        <v>1363.8586737192379</v>
      </c>
      <c r="M27" s="172">
        <f>INDEX(Workings_risks!L$47:L$51, MATCH($A$3, Workings_risks!$C$47:$C$51,0))</f>
        <v>1652.2612369683004</v>
      </c>
      <c r="N27" s="172">
        <f>INDEX(Workings_risks!M$47:M$51, MATCH($A$3, Workings_risks!$C$47:$C$51,0))</f>
        <v>2009.9677683074387</v>
      </c>
      <c r="O27" s="172">
        <f>INDEX(Workings_risks!N$47:N$51, MATCH($A$3, Workings_risks!$C$47:$C$51,0))</f>
        <v>2457.3749128401269</v>
      </c>
      <c r="P27" s="172">
        <f>INDEX(Workings_risks!O$47:O$51, MATCH($A$3, Workings_risks!$C$47:$C$51,0))</f>
        <v>2912.8328267035431</v>
      </c>
      <c r="Q27" s="172">
        <f>INDEX(Workings_risks!P$47:P$51, MATCH($A$3, Workings_risks!$C$47:$C$51,0))</f>
        <v>3373.9411615715649</v>
      </c>
      <c r="R27" s="172">
        <f>INDEX(Workings_risks!Q$47:Q$51, MATCH($A$3, Workings_risks!$C$47:$C$51,0))</f>
        <v>3840.359977574627</v>
      </c>
      <c r="S27" s="172">
        <f>INDEX(Workings_risks!R$47:R$51, MATCH($A$3, Workings_risks!$C$47:$C$51,0))</f>
        <v>4413.9076752381661</v>
      </c>
      <c r="T27" s="172">
        <f>INDEX(Workings_risks!S$47:S$51, MATCH($A$3, Workings_risks!$C$47:$C$51,0))</f>
        <v>4996.8346962946734</v>
      </c>
      <c r="U27" s="172">
        <f>INDEX(Workings_risks!T$47:T$51, MATCH($A$3, Workings_risks!$C$47:$C$51,0))</f>
        <v>5540.3262930003257</v>
      </c>
      <c r="V27" s="172">
        <f>INDEX(Workings_risks!U$47:U$51, MATCH($A$3, Workings_risks!$C$47:$C$51,0))</f>
        <v>5929.0416585741859</v>
      </c>
      <c r="W27" s="172">
        <f>INDEX(Workings_risks!V$47:V$51, MATCH($A$3, Workings_risks!$C$47:$C$51,0))</f>
        <v>6229.3273953979187</v>
      </c>
      <c r="X27" s="172">
        <f>INDEX(Workings_risks!W$47:W$51, MATCH($A$3, Workings_risks!$C$47:$C$51,0))</f>
        <v>6495.2375789395392</v>
      </c>
      <c r="Y27" s="172">
        <f>INDEX(Workings_risks!X$47:X$51, MATCH($A$3, Workings_risks!$C$47:$C$51,0))</f>
        <v>6654.3018989265047</v>
      </c>
      <c r="Z27" s="172">
        <f>INDEX(Workings_risks!Y$47:Y$51, MATCH($A$3, Workings_risks!$C$47:$C$51,0))</f>
        <v>6789.4339054327302</v>
      </c>
      <c r="AA27" s="172">
        <f>INDEX(Workings_risks!Z$47:Z$51, MATCH($A$3, Workings_risks!$C$47:$C$51,0))</f>
        <v>6902.938641667175</v>
      </c>
      <c r="AB27" s="172">
        <f>INDEX(Workings_risks!AA$47:AA$51, MATCH($A$3, Workings_risks!$C$47:$C$51,0))</f>
        <v>7004.8039848606768</v>
      </c>
      <c r="AC27" s="172">
        <f>INDEX(Workings_risks!AB$47:AB$51, MATCH($A$3, Workings_risks!$C$47:$C$51,0))</f>
        <v>7098.806260938396</v>
      </c>
      <c r="AD27" s="172">
        <f>INDEX(Workings_risks!AC$47:AC$51, MATCH($A$3, Workings_risks!$C$47:$C$51,0))</f>
        <v>7165.6046679730407</v>
      </c>
      <c r="AE27" s="172">
        <f>INDEX(Workings_risks!AD$47:AD$51, MATCH($A$3, Workings_risks!$C$47:$C$51,0))</f>
        <v>7217.5185611114848</v>
      </c>
      <c r="AF27" s="172">
        <f>INDEX(Workings_risks!AE$47:AE$51, MATCH($A$3, Workings_risks!$C$47:$C$51,0))</f>
        <v>7262.7671304889564</v>
      </c>
      <c r="AG27" s="172">
        <f>INDEX(Workings_risks!AF$47:AF$51, MATCH($A$3, Workings_risks!$C$47:$C$51,0))</f>
        <v>7305.9009809626214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37774399.306804761</v>
      </c>
      <c r="J28" s="302">
        <f t="shared" ref="J28:AG28" si="2">J27*$E$28</f>
        <v>45068787.399963617</v>
      </c>
      <c r="K28" s="302">
        <f t="shared" si="2"/>
        <v>54082191.020300202</v>
      </c>
      <c r="L28" s="302">
        <f t="shared" si="2"/>
        <v>65219435.883413091</v>
      </c>
      <c r="M28" s="302">
        <f t="shared" si="2"/>
        <v>79010786.002660349</v>
      </c>
      <c r="N28" s="302">
        <f t="shared" si="2"/>
        <v>96116237.348386496</v>
      </c>
      <c r="O28" s="302">
        <f t="shared" si="2"/>
        <v>117511153.21386823</v>
      </c>
      <c r="P28" s="302">
        <f t="shared" si="2"/>
        <v>139291055.18113256</v>
      </c>
      <c r="Q28" s="302">
        <f t="shared" si="2"/>
        <v>161341159.09638849</v>
      </c>
      <c r="R28" s="302">
        <f t="shared" si="2"/>
        <v>183645209.10633203</v>
      </c>
      <c r="S28" s="302">
        <f t="shared" si="2"/>
        <v>211072139.78078315</v>
      </c>
      <c r="T28" s="302">
        <f t="shared" si="2"/>
        <v>238947587.73377994</v>
      </c>
      <c r="U28" s="302">
        <f t="shared" si="2"/>
        <v>264937241.96082416</v>
      </c>
      <c r="V28" s="302">
        <f t="shared" si="2"/>
        <v>283525529.25954229</v>
      </c>
      <c r="W28" s="302">
        <f t="shared" si="2"/>
        <v>297885130.24816388</v>
      </c>
      <c r="X28" s="302">
        <f t="shared" si="2"/>
        <v>310600899.48468333</v>
      </c>
      <c r="Y28" s="302">
        <f t="shared" si="2"/>
        <v>318207321.92318898</v>
      </c>
      <c r="Z28" s="302">
        <f t="shared" si="2"/>
        <v>324669306.14776856</v>
      </c>
      <c r="AA28" s="302">
        <f t="shared" si="2"/>
        <v>330097078.8414883</v>
      </c>
      <c r="AB28" s="302">
        <f t="shared" si="2"/>
        <v>334968258.19985497</v>
      </c>
      <c r="AC28" s="302">
        <f t="shared" si="2"/>
        <v>339463427.33701128</v>
      </c>
      <c r="AD28" s="302">
        <f t="shared" si="2"/>
        <v>342657713.15903848</v>
      </c>
      <c r="AE28" s="302">
        <f t="shared" si="2"/>
        <v>345140224.64666063</v>
      </c>
      <c r="AF28" s="302">
        <f t="shared" si="2"/>
        <v>347304001.74922693</v>
      </c>
      <c r="AG28" s="302">
        <f t="shared" si="2"/>
        <v>349366653.43710339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3423495.0151333283</v>
      </c>
      <c r="J30" s="32">
        <f>INDEX(Workings_risks!I$62:I$160, MATCH($A$3&amp;$C30, Workings_risks!$E$62:$E$160,0))</f>
        <v>4087118.9557220363</v>
      </c>
      <c r="K30" s="32">
        <f>INDEX(Workings_risks!J$62:J$160, MATCH($A$3&amp;$C30, Workings_risks!$E$62:$E$160,0))</f>
        <v>4907840.0448736111</v>
      </c>
      <c r="L30" s="32">
        <f>INDEX(Workings_risks!K$62:K$160, MATCH($A$3&amp;$C30, Workings_risks!$E$62:$E$160,0))</f>
        <v>5922837.0235630879</v>
      </c>
      <c r="M30" s="32">
        <f>INDEX(Workings_risks!L$62:L$160, MATCH($A$3&amp;$C30, Workings_risks!$E$62:$E$160,0))</f>
        <v>7180829.7607163126</v>
      </c>
      <c r="N30" s="32">
        <f>INDEX(Workings_risks!M$62:M$160, MATCH($A$3&amp;$C30, Workings_risks!$E$62:$E$160,0))</f>
        <v>8742527.7565659471</v>
      </c>
      <c r="O30" s="32">
        <f>INDEX(Workings_risks!N$62:N$160, MATCH($A$3&amp;$C30, Workings_risks!$E$62:$E$160,0))</f>
        <v>10688294.107301414</v>
      </c>
      <c r="P30" s="32">
        <f>INDEX(Workings_risks!O$62:O$160, MATCH($A$3&amp;$C30, Workings_risks!$E$62:$E$160,0))</f>
        <v>12665787.569056891</v>
      </c>
      <c r="Q30" s="32">
        <f>INDEX(Workings_risks!P$62:P$160, MATCH($A$3&amp;$C30, Workings_risks!$E$62:$E$160,0))</f>
        <v>14665914.23421159</v>
      </c>
      <c r="R30" s="32">
        <f>INDEX(Workings_risks!Q$62:Q$160, MATCH($A$3&amp;$C30, Workings_risks!$E$62:$E$160,0))</f>
        <v>16687340.469566209</v>
      </c>
      <c r="S30" s="32">
        <f>INDEX(Workings_risks!R$62:R$160, MATCH($A$3&amp;$C30, Workings_risks!$E$62:$E$160,0))</f>
        <v>19173044.072203677</v>
      </c>
      <c r="T30" s="32">
        <f>INDEX(Workings_risks!S$62:S$160, MATCH($A$3&amp;$C30, Workings_risks!$E$62:$E$160,0))</f>
        <v>21699396.810114771</v>
      </c>
      <c r="U30" s="32">
        <f>INDEX(Workings_risks!T$62:T$160, MATCH($A$3&amp;$C30, Workings_risks!$E$62:$E$160,0))</f>
        <v>24054840.002438322</v>
      </c>
      <c r="V30" s="32">
        <f>INDEX(Workings_risks!U$62:U$160, MATCH($A$3&amp;$C30, Workings_risks!$E$62:$E$160,0))</f>
        <v>25739497.073757093</v>
      </c>
      <c r="W30" s="32">
        <f>INDEX(Workings_risks!V$62:V$160, MATCH($A$3&amp;$C30, Workings_risks!$E$62:$E$160,0))</f>
        <v>27040908.169789899</v>
      </c>
      <c r="X30" s="32">
        <f>INDEX(Workings_risks!W$62:W$160, MATCH($A$3&amp;$C30, Workings_risks!$E$62:$E$160,0))</f>
        <v>28193338.741649926</v>
      </c>
      <c r="Y30" s="32">
        <f>INDEX(Workings_risks!X$62:X$160, MATCH($A$3&amp;$C30, Workings_risks!$E$62:$E$160,0))</f>
        <v>28882709.05008873</v>
      </c>
      <c r="Z30" s="32">
        <f>INDEX(Workings_risks!Y$62:Y$160, MATCH($A$3&amp;$C30, Workings_risks!$E$62:$E$160,0))</f>
        <v>29468358.886662919</v>
      </c>
      <c r="AA30" s="32">
        <f>INDEX(Workings_risks!Z$62:Z$160, MATCH($A$3&amp;$C30, Workings_risks!$E$62:$E$160,0))</f>
        <v>29960278.099177808</v>
      </c>
      <c r="AB30" s="32">
        <f>INDEX(Workings_risks!AA$62:AA$160, MATCH($A$3&amp;$C30, Workings_risks!$E$62:$E$160,0))</f>
        <v>30401753.239940256</v>
      </c>
      <c r="AC30" s="32">
        <f>INDEX(Workings_risks!AB$62:AB$160, MATCH($A$3&amp;$C30, Workings_risks!$E$62:$E$160,0))</f>
        <v>30809150.562350187</v>
      </c>
      <c r="AD30" s="32">
        <f>INDEX(Workings_risks!AC$62:AC$160, MATCH($A$3&amp;$C30, Workings_risks!$E$62:$E$160,0))</f>
        <v>31098648.788378928</v>
      </c>
      <c r="AE30" s="32">
        <f>INDEX(Workings_risks!AD$62:AD$160, MATCH($A$3&amp;$C30, Workings_risks!$E$62:$E$160,0))</f>
        <v>31323638.883756954</v>
      </c>
      <c r="AF30" s="32">
        <f>INDEX(Workings_risks!AE$62:AE$160, MATCH($A$3&amp;$C30, Workings_risks!$E$62:$E$160,0))</f>
        <v>31519742.071641687</v>
      </c>
      <c r="AG30" s="32">
        <f>INDEX(Workings_risks!AF$62:AF$160, MATCH($A$3&amp;$C30, Workings_risks!$E$62:$E$160,0))</f>
        <v>31706680.25996463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1900959.3721450921</v>
      </c>
      <c r="J31" s="32">
        <f>INDEX(Workings_risks!I$62:I$160, MATCH($A$3&amp;$C31, Workings_risks!$E$62:$E$160,0))</f>
        <v>2266556.5787548455</v>
      </c>
      <c r="K31" s="32">
        <f>INDEX(Workings_risks!J$62:J$160, MATCH($A$3&amp;$C31, Workings_risks!$E$62:$E$160,0))</f>
        <v>2717897.5602389239</v>
      </c>
      <c r="L31" s="32">
        <f>INDEX(Workings_risks!K$62:K$160, MATCH($A$3&amp;$C31, Workings_risks!$E$62:$E$160,0))</f>
        <v>3275067.7754946491</v>
      </c>
      <c r="M31" s="32">
        <f>INDEX(Workings_risks!L$62:L$160, MATCH($A$3&amp;$C31, Workings_risks!$E$62:$E$160,0))</f>
        <v>3964363.9898266904</v>
      </c>
      <c r="N31" s="32">
        <f>INDEX(Workings_risks!M$62:M$160, MATCH($A$3&amp;$C31, Workings_risks!$E$62:$E$160,0))</f>
        <v>4818475.5318981614</v>
      </c>
      <c r="O31" s="32">
        <f>INDEX(Workings_risks!N$62:N$160, MATCH($A$3&amp;$C31, Workings_risks!$E$62:$E$160,0))</f>
        <v>5891198.2457960472</v>
      </c>
      <c r="P31" s="32">
        <f>INDEX(Workings_risks!O$62:O$160, MATCH($A$3&amp;$C31, Workings_risks!$E$62:$E$160,0))</f>
        <v>6985150.6632548887</v>
      </c>
      <c r="Q31" s="32">
        <f>INDEX(Workings_risks!P$62:P$160, MATCH($A$3&amp;$C31, Workings_risks!$E$62:$E$160,0))</f>
        <v>8093788.7240821915</v>
      </c>
      <c r="R31" s="32">
        <f>INDEX(Workings_risks!Q$62:Q$160, MATCH($A$3&amp;$C31, Workings_risks!$E$62:$E$160,0))</f>
        <v>9216212.4785969295</v>
      </c>
      <c r="S31" s="32">
        <f>INDEX(Workings_risks!R$62:R$160, MATCH($A$3&amp;$C31, Workings_risks!$E$62:$E$160,0))</f>
        <v>10596445.701931851</v>
      </c>
      <c r="T31" s="32">
        <f>INDEX(Workings_risks!S$62:S$160, MATCH($A$3&amp;$C31, Workings_risks!$E$62:$E$160,0))</f>
        <v>11999250.114746068</v>
      </c>
      <c r="U31" s="32">
        <f>INDEX(Workings_risks!T$62:T$160, MATCH($A$3&amp;$C31, Workings_risks!$E$62:$E$160,0))</f>
        <v>13307153.819062816</v>
      </c>
      <c r="V31" s="32">
        <f>INDEX(Workings_risks!U$62:U$160, MATCH($A$3&amp;$C31, Workings_risks!$E$62:$E$160,0))</f>
        <v>14242591.035830375</v>
      </c>
      <c r="W31" s="32">
        <f>INDEX(Workings_risks!V$62:V$160, MATCH($A$3&amp;$C31, Workings_risks!$E$62:$E$160,0))</f>
        <v>14965223.7865957</v>
      </c>
      <c r="X31" s="32">
        <f>INDEX(Workings_risks!W$62:W$160, MATCH($A$3&amp;$C31, Workings_risks!$E$62:$E$160,0))</f>
        <v>15605132.326447489</v>
      </c>
      <c r="Y31" s="32">
        <f>INDEX(Workings_risks!X$62:X$160, MATCH($A$3&amp;$C31, Workings_risks!$E$62:$E$160,0))</f>
        <v>15987918.030212931</v>
      </c>
      <c r="Z31" s="32">
        <f>INDEX(Workings_risks!Y$62:Y$160, MATCH($A$3&amp;$C31, Workings_risks!$E$62:$E$160,0))</f>
        <v>16313111.010109119</v>
      </c>
      <c r="AA31" s="32">
        <f>INDEX(Workings_risks!Z$62:Z$160, MATCH($A$3&amp;$C31, Workings_risks!$E$62:$E$160,0))</f>
        <v>16586258.315197859</v>
      </c>
      <c r="AB31" s="32">
        <f>INDEX(Workings_risks!AA$62:AA$160, MATCH($A$3&amp;$C31, Workings_risks!$E$62:$E$160,0))</f>
        <v>16831395.609889895</v>
      </c>
      <c r="AC31" s="32">
        <f>INDEX(Workings_risks!AB$62:AB$160, MATCH($A$3&amp;$C31, Workings_risks!$E$62:$E$160,0))</f>
        <v>17057610.561218459</v>
      </c>
      <c r="AD31" s="32">
        <f>INDEX(Workings_risks!AC$62:AC$160, MATCH($A$3&amp;$C31, Workings_risks!$E$62:$E$160,0))</f>
        <v>17218359.84332813</v>
      </c>
      <c r="AE31" s="32">
        <f>INDEX(Workings_risks!AD$62:AD$160, MATCH($A$3&amp;$C31, Workings_risks!$E$62:$E$160,0))</f>
        <v>17343289.784384876</v>
      </c>
      <c r="AF31" s="32">
        <f>INDEX(Workings_risks!AE$62:AE$160, MATCH($A$3&amp;$C31, Workings_risks!$E$62:$E$160,0))</f>
        <v>17452179.732017092</v>
      </c>
      <c r="AG31" s="32">
        <f>INDEX(Workings_risks!AF$62:AF$160, MATCH($A$3&amp;$C31, Workings_risks!$E$62:$E$160,0))</f>
        <v>17555980.642938085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165853.38374076918</v>
      </c>
      <c r="J32" s="32">
        <f>INDEX(Workings_risks!I$62:I$160, MATCH($A$3&amp;$C32, Workings_risks!$E$62:$E$160,0))</f>
        <v>198175.89746419675</v>
      </c>
      <c r="K32" s="32">
        <f>INDEX(Workings_risks!J$62:J$160, MATCH($A$3&amp;$C32, Workings_risks!$E$62:$E$160,0))</f>
        <v>238197.95795789905</v>
      </c>
      <c r="L32" s="32">
        <f>INDEX(Workings_risks!K$62:K$160, MATCH($A$3&amp;$C32, Workings_risks!$E$62:$E$160,0))</f>
        <v>287754.09966130793</v>
      </c>
      <c r="M32" s="32">
        <f>INDEX(Workings_risks!L$62:L$160, MATCH($A$3&amp;$C32, Workings_risks!$E$62:$E$160,0))</f>
        <v>349249.75312992907</v>
      </c>
      <c r="N32" s="32">
        <f>INDEX(Workings_risks!M$62:M$160, MATCH($A$3&amp;$C32, Workings_risks!$E$62:$E$160,0))</f>
        <v>425687.02342011867</v>
      </c>
      <c r="O32" s="32">
        <f>INDEX(Workings_risks!N$62:N$160, MATCH($A$3&amp;$C32, Workings_risks!$E$62:$E$160,0))</f>
        <v>520411.03612785414</v>
      </c>
      <c r="P32" s="32">
        <f>INDEX(Workings_risks!O$62:O$160, MATCH($A$3&amp;$C32, Workings_risks!$E$62:$E$160,0))</f>
        <v>616456.21644352993</v>
      </c>
      <c r="Q32" s="32">
        <f>INDEX(Workings_risks!P$62:P$160, MATCH($A$3&amp;$C32, Workings_risks!$E$62:$E$160,0))</f>
        <v>713471.3077770723</v>
      </c>
      <c r="R32" s="32">
        <f>INDEX(Workings_risks!Q$62:Q$160, MATCH($A$3&amp;$C32, Workings_risks!$E$62:$E$160,0))</f>
        <v>811401.22783925571</v>
      </c>
      <c r="S32" s="32">
        <f>INDEX(Workings_risks!R$62:R$160, MATCH($A$3&amp;$C32, Workings_risks!$E$62:$E$160,0))</f>
        <v>931822.71279882651</v>
      </c>
      <c r="T32" s="32">
        <f>INDEX(Workings_risks!S$62:S$160, MATCH($A$3&amp;$C32, Workings_risks!$E$62:$E$160,0))</f>
        <v>1054213.470855471</v>
      </c>
      <c r="U32" s="32">
        <f>INDEX(Workings_risks!T$62:T$160, MATCH($A$3&amp;$C32, Workings_risks!$E$62:$E$160,0))</f>
        <v>1168324.4077574213</v>
      </c>
      <c r="V32" s="32">
        <f>INDEX(Workings_risks!U$62:U$160, MATCH($A$3&amp;$C32, Workings_risks!$E$62:$E$160,0))</f>
        <v>1249938.6862903058</v>
      </c>
      <c r="W32" s="32">
        <f>INDEX(Workings_risks!V$62:V$160, MATCH($A$3&amp;$C32, Workings_risks!$E$62:$E$160,0))</f>
        <v>1312986.3708818422</v>
      </c>
      <c r="X32" s="32">
        <f>INDEX(Workings_risks!W$62:W$160, MATCH($A$3&amp;$C32, Workings_risks!$E$62:$E$160,0))</f>
        <v>1368816.599646423</v>
      </c>
      <c r="Y32" s="32">
        <f>INDEX(Workings_risks!X$62:X$160, MATCH($A$3&amp;$C32, Workings_risks!$E$62:$E$160,0))</f>
        <v>1402213.5807431049</v>
      </c>
      <c r="Z32" s="32">
        <f>INDEX(Workings_risks!Y$62:Y$160, MATCH($A$3&amp;$C32, Workings_risks!$E$62:$E$160,0))</f>
        <v>1430585.7579052427</v>
      </c>
      <c r="AA32" s="32">
        <f>INDEX(Workings_risks!Z$62:Z$160, MATCH($A$3&amp;$C32, Workings_risks!$E$62:$E$160,0))</f>
        <v>1454417.0956352646</v>
      </c>
      <c r="AB32" s="32">
        <f>INDEX(Workings_risks!AA$62:AA$160, MATCH($A$3&amp;$C32, Workings_risks!$E$62:$E$160,0))</f>
        <v>1475804.6383684129</v>
      </c>
      <c r="AC32" s="32">
        <f>INDEX(Workings_risks!AB$62:AB$160, MATCH($A$3&amp;$C32, Workings_risks!$E$62:$E$160,0))</f>
        <v>1495541.259613642</v>
      </c>
      <c r="AD32" s="32">
        <f>INDEX(Workings_risks!AC$62:AC$160, MATCH($A$3&amp;$C32, Workings_risks!$E$62:$E$160,0))</f>
        <v>1509566.1844818171</v>
      </c>
      <c r="AE32" s="32">
        <f>INDEX(Workings_risks!AD$62:AD$160, MATCH($A$3&amp;$C32, Workings_risks!$E$62:$E$160,0))</f>
        <v>1520465.9721145297</v>
      </c>
      <c r="AF32" s="32">
        <f>INDEX(Workings_risks!AE$62:AE$160, MATCH($A$3&amp;$C32, Workings_risks!$E$62:$E$160,0))</f>
        <v>1529966.315222746</v>
      </c>
      <c r="AG32" s="32">
        <f>INDEX(Workings_risks!AF$62:AF$160, MATCH($A$3&amp;$C32, Workings_risks!$E$62:$E$160,0))</f>
        <v>1539022.6541239792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1114904.0813809298</v>
      </c>
      <c r="J33" s="32">
        <f>INDEX(Workings_risks!I$62:I$160, MATCH($A$3&amp;$C33, Workings_risks!$E$62:$E$160,0))</f>
        <v>1331796.3334353638</v>
      </c>
      <c r="K33" s="32">
        <f>INDEX(Workings_risks!J$62:J$160, MATCH($A$3&amp;$C33, Workings_risks!$E$62:$E$160,0))</f>
        <v>1600247.6673131282</v>
      </c>
      <c r="L33" s="32">
        <f>INDEX(Workings_risks!K$62:K$160, MATCH($A$3&amp;$C33, Workings_risks!$E$62:$E$160,0))</f>
        <v>1932515.4771896873</v>
      </c>
      <c r="M33" s="32">
        <f>INDEX(Workings_risks!L$62:L$160, MATCH($A$3&amp;$C33, Workings_risks!$E$62:$E$160,0))</f>
        <v>2344668.474217888</v>
      </c>
      <c r="N33" s="32">
        <f>INDEX(Workings_risks!M$62:M$160, MATCH($A$3&amp;$C33, Workings_risks!$E$62:$E$160,0))</f>
        <v>2856750.9047693936</v>
      </c>
      <c r="O33" s="32">
        <f>INDEX(Workings_risks!N$62:N$160, MATCH($A$3&amp;$C33, Workings_risks!$E$62:$E$160,0))</f>
        <v>3492476.8503143881</v>
      </c>
      <c r="P33" s="32">
        <f>INDEX(Workings_risks!O$62:O$160, MATCH($A$3&amp;$C33, Workings_risks!$E$62:$E$160,0))</f>
        <v>4137567.3846241715</v>
      </c>
      <c r="Q33" s="32">
        <f>INDEX(Workings_risks!P$62:P$160, MATCH($A$3&amp;$C33, Workings_risks!$E$62:$E$160,0))</f>
        <v>4789461.3049336141</v>
      </c>
      <c r="R33" s="32">
        <f>INDEX(Workings_risks!Q$62:Q$160, MATCH($A$3&amp;$C33, Workings_risks!$E$62:$E$160,0))</f>
        <v>5447767.0032122396</v>
      </c>
      <c r="S33" s="32">
        <f>INDEX(Workings_risks!R$62:R$160, MATCH($A$3&amp;$C33, Workings_risks!$E$62:$E$160,0))</f>
        <v>6257267.5514628869</v>
      </c>
      <c r="T33" s="32">
        <f>INDEX(Workings_risks!S$62:S$160, MATCH($A$3&amp;$C33, Workings_risks!$E$62:$E$160,0))</f>
        <v>7080006.0003445689</v>
      </c>
      <c r="U33" s="32">
        <f>INDEX(Workings_risks!T$62:T$160, MATCH($A$3&amp;$C33, Workings_risks!$E$62:$E$160,0))</f>
        <v>7847085.6125461301</v>
      </c>
      <c r="V33" s="32">
        <f>INDEX(Workings_risks!U$62:U$160, MATCH($A$3&amp;$C33, Workings_risks!$E$62:$E$160,0))</f>
        <v>8395715.3129657172</v>
      </c>
      <c r="W33" s="32">
        <f>INDEX(Workings_risks!V$62:V$160, MATCH($A$3&amp;$C33, Workings_risks!$E$62:$E$160,0))</f>
        <v>8819536.1557324175</v>
      </c>
      <c r="X33" s="32">
        <f>INDEX(Workings_risks!W$62:W$160, MATCH($A$3&amp;$C33, Workings_risks!$E$62:$E$160,0))</f>
        <v>9194839.62262672</v>
      </c>
      <c r="Y33" s="32">
        <f>INDEX(Workings_risks!X$62:X$160, MATCH($A$3&amp;$C33, Workings_risks!$E$62:$E$160,0))</f>
        <v>9419341.7080872767</v>
      </c>
      <c r="Z33" s="32">
        <f>INDEX(Workings_risks!Y$62:Y$160, MATCH($A$3&amp;$C33, Workings_risks!$E$62:$E$160,0))</f>
        <v>9610065.9212584216</v>
      </c>
      <c r="AA33" s="32">
        <f>INDEX(Workings_risks!Z$62:Z$160, MATCH($A$3&amp;$C33, Workings_risks!$E$62:$E$160,0))</f>
        <v>9770265.5813479461</v>
      </c>
      <c r="AB33" s="32">
        <f>INDEX(Workings_risks!AA$62:AA$160, MATCH($A$3&amp;$C33, Workings_risks!$E$62:$E$160,0))</f>
        <v>9914037.496916255</v>
      </c>
      <c r="AC33" s="32">
        <f>INDEX(Workings_risks!AB$62:AB$160, MATCH($A$3&amp;$C33, Workings_risks!$E$62:$E$160,0))</f>
        <v>10046711.543611428</v>
      </c>
      <c r="AD33" s="32">
        <f>INDEX(Workings_risks!AC$62:AC$160, MATCH($A$3&amp;$C33, Workings_risks!$E$62:$E$160,0))</f>
        <v>10140990.271147246</v>
      </c>
      <c r="AE33" s="32">
        <f>INDEX(Workings_risks!AD$62:AD$160, MATCH($A$3&amp;$C33, Workings_risks!$E$62:$E$160,0))</f>
        <v>10214261.117022123</v>
      </c>
      <c r="AF33" s="32">
        <f>INDEX(Workings_risks!AE$62:AE$160, MATCH($A$3&amp;$C33, Workings_risks!$E$62:$E$160,0))</f>
        <v>10278124.579237793</v>
      </c>
      <c r="AG33" s="32">
        <f>INDEX(Workings_risks!AF$62:AF$160, MATCH($A$3&amp;$C33, Workings_risks!$E$62:$E$160,0))</f>
        <v>10339003.344419546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44379611.159204885</v>
      </c>
      <c r="J36" s="108">
        <f t="shared" ref="J36:AB36" si="3">SUM(J28:J34)</f>
        <v>52952435.165340051</v>
      </c>
      <c r="K36" s="108">
        <f t="shared" si="3"/>
        <v>63546374.250683762</v>
      </c>
      <c r="L36" s="108">
        <f t="shared" si="3"/>
        <v>76637610.259321824</v>
      </c>
      <c r="M36" s="108">
        <f t="shared" si="3"/>
        <v>92849897.980551183</v>
      </c>
      <c r="N36" s="108">
        <f t="shared" si="3"/>
        <v>112959678.56504011</v>
      </c>
      <c r="O36" s="108">
        <f t="shared" si="3"/>
        <v>138103533.45340794</v>
      </c>
      <c r="P36" s="108">
        <f t="shared" si="3"/>
        <v>163696017.01451206</v>
      </c>
      <c r="Q36" s="108">
        <f t="shared" si="3"/>
        <v>189603794.66739297</v>
      </c>
      <c r="R36" s="108">
        <f t="shared" si="3"/>
        <v>215807930.28554666</v>
      </c>
      <c r="S36" s="108">
        <f t="shared" si="3"/>
        <v>248030719.8191804</v>
      </c>
      <c r="T36" s="108">
        <f t="shared" si="3"/>
        <v>280780454.12984085</v>
      </c>
      <c r="U36" s="108">
        <f t="shared" si="3"/>
        <v>311314645.80262887</v>
      </c>
      <c r="V36" s="108">
        <f t="shared" si="3"/>
        <v>333153271.36838579</v>
      </c>
      <c r="W36" s="108">
        <f t="shared" si="3"/>
        <v>350023784.73116374</v>
      </c>
      <c r="X36" s="108">
        <f t="shared" si="3"/>
        <v>364963026.77505392</v>
      </c>
      <c r="Y36" s="108">
        <f t="shared" si="3"/>
        <v>373899504.29232103</v>
      </c>
      <c r="Z36" s="108">
        <f t="shared" si="3"/>
        <v>381491427.72370428</v>
      </c>
      <c r="AA36" s="108">
        <f t="shared" si="3"/>
        <v>387868297.93284714</v>
      </c>
      <c r="AB36" s="108">
        <f t="shared" si="3"/>
        <v>393591249.18496978</v>
      </c>
      <c r="AC36" s="108">
        <f>SUM(AC28:AC34)</f>
        <v>398872441.26380497</v>
      </c>
      <c r="AD36" s="108">
        <f>SUM(AD28:AD34)</f>
        <v>402625278.24637461</v>
      </c>
      <c r="AE36" s="108">
        <f>SUM(AE28:AE34)</f>
        <v>405541880.40393901</v>
      </c>
      <c r="AF36" s="108">
        <f>SUM(AF28:AF34)</f>
        <v>408084014.44734627</v>
      </c>
      <c r="AG36" s="108">
        <f>SUM(AG28:AG34)</f>
        <v>410507340.33854961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151432.81740793545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9" t="s">
        <v>63</v>
      </c>
      <c r="E46" s="113">
        <f>Assumptions!G95</f>
        <v>24590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9" t="s">
        <v>63</v>
      </c>
      <c r="E47" s="112">
        <f>Assumptions!G96</f>
        <v>88.357719508603083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9" t="s">
        <v>206</v>
      </c>
      <c r="E49" s="112">
        <f>Assumptions!G98</f>
        <v>0.35181336539087127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9" t="s">
        <v>206</v>
      </c>
      <c r="E50" s="112">
        <f>Assumptions!G99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9"/>
      <c r="G56" s="209"/>
      <c r="AH56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  <c r="AH57"/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6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0</v>
      </c>
      <c r="J64" s="135">
        <f>(1-INDEX(Data!$C$9:$C$13, MATCH($A$3, options,0)))*('Option1 (base case)'!J36-J36)</f>
        <v>135587.50652232766</v>
      </c>
      <c r="K64" s="135">
        <f>(1-INDEX(Data!$C$9:$C$13, MATCH($A$3, options,0)))*('Option1 (base case)'!K36-K36)</f>
        <v>340898.71010658145</v>
      </c>
      <c r="L64" s="135">
        <f>(1-INDEX(Data!$C$9:$C$13, MATCH($A$3, options,0)))*('Option1 (base case)'!L36-L36)</f>
        <v>642125.74626094103</v>
      </c>
      <c r="M64" s="135">
        <f>(1-INDEX(Data!$C$9:$C$13, MATCH($A$3, options,0)))*('Option1 (base case)'!M36-M36)</f>
        <v>1074701.3395620286</v>
      </c>
      <c r="N64" s="135">
        <f>(1-INDEX(Data!$C$9:$C$13, MATCH($A$3, options,0)))*('Option1 (base case)'!N36-N36)</f>
        <v>1686476.3316672742</v>
      </c>
      <c r="O64" s="135">
        <f>(1-INDEX(Data!$C$9:$C$13, MATCH($A$3, options,0)))*('Option1 (base case)'!O36-O36)</f>
        <v>2047450.8825981617</v>
      </c>
      <c r="P64" s="135">
        <f>(1-INDEX(Data!$C$9:$C$13, MATCH($A$3, options,0)))*('Option1 (base case)'!P36-P36)</f>
        <v>2239072.2784230113</v>
      </c>
      <c r="Q64" s="135">
        <f>(1-INDEX(Data!$C$9:$C$13, MATCH($A$3, options,0)))*('Option1 (base case)'!Q36-Q36)</f>
        <v>2331399.6610961854</v>
      </c>
      <c r="R64" s="135">
        <f>(1-INDEX(Data!$C$9:$C$13, MATCH($A$3, options,0)))*('Option1 (base case)'!R36-R36)</f>
        <v>2331906.559982568</v>
      </c>
      <c r="S64" s="135">
        <f>(1-INDEX(Data!$C$9:$C$13, MATCH($A$3, options,0)))*('Option1 (base case)'!S36-S36)</f>
        <v>2331906.5599825382</v>
      </c>
      <c r="T64" s="135">
        <f>(1-INDEX(Data!$C$9:$C$13, MATCH($A$3, options,0)))*('Option1 (base case)'!T36-T36)</f>
        <v>2331906.5599825382</v>
      </c>
      <c r="U64" s="135">
        <f>(1-INDEX(Data!$C$9:$C$13, MATCH($A$3, options,0)))*('Option1 (base case)'!U36-U36)</f>
        <v>2331906.5599825382</v>
      </c>
      <c r="V64" s="135">
        <f>(1-INDEX(Data!$C$9:$C$13, MATCH($A$3, options,0)))*('Option1 (base case)'!V36-V36)</f>
        <v>2331906.5599825382</v>
      </c>
      <c r="W64" s="135">
        <f>(1-INDEX(Data!$C$9:$C$13, MATCH($A$3, options,0)))*('Option1 (base case)'!W36-W36)</f>
        <v>2331906.5599825382</v>
      </c>
      <c r="X64" s="135">
        <f>(1-INDEX(Data!$C$9:$C$13, MATCH($A$3, options,0)))*('Option1 (base case)'!X36-X36)</f>
        <v>2331906.5599824786</v>
      </c>
      <c r="Y64" s="135">
        <f>(1-INDEX(Data!$C$9:$C$13, MATCH($A$3, options,0)))*('Option1 (base case)'!Y36-Y36)</f>
        <v>2331906.5599825382</v>
      </c>
      <c r="Z64" s="135">
        <f>(1-INDEX(Data!$C$9:$C$13, MATCH($A$3, options,0)))*('Option1 (base case)'!Z36-Z36)</f>
        <v>2331906.5599825382</v>
      </c>
      <c r="AA64" s="135">
        <f>(1-INDEX(Data!$C$9:$C$13, MATCH($A$3, options,0)))*('Option1 (base case)'!AA36-AA36)</f>
        <v>2331906.5599825382</v>
      </c>
      <c r="AB64" s="135">
        <f>(1-INDEX(Data!$C$9:$C$13, MATCH($A$3, options,0)))*('Option1 (base case)'!AB36-AB36)</f>
        <v>2331906.5599825382</v>
      </c>
      <c r="AC64" s="135">
        <f>(1-INDEX(Data!$C$9:$C$13, MATCH($A$3, options,0)))*('Option1 (base case)'!AC36-AC36)</f>
        <v>2331906.5599825382</v>
      </c>
      <c r="AD64" s="135">
        <f>(1-INDEX(Data!$C$9:$C$13, MATCH($A$3, options,0)))*('Option1 (base case)'!AD36-AD36)</f>
        <v>2331906.5599825382</v>
      </c>
      <c r="AE64" s="135">
        <f>(1-INDEX(Data!$C$9:$C$13, MATCH($A$3, options,0)))*('Option1 (base case)'!AE36-AE36)</f>
        <v>2331906.5599825978</v>
      </c>
      <c r="AF64" s="135">
        <f>(1-INDEX(Data!$C$9:$C$13, MATCH($A$3, options,0)))*('Option1 (base case)'!AF36-AF36)</f>
        <v>2331906.5599824786</v>
      </c>
      <c r="AG64" s="135">
        <f>(1-INDEX(Data!$C$9:$C$13, MATCH($A$3, options,0)))*('Option1 (base case)'!AG36-AG36)</f>
        <v>2331906.5599825382</v>
      </c>
      <c r="AH64"/>
    </row>
    <row r="65" spans="1:34" x14ac:dyDescent="0.2">
      <c r="G65" s="216"/>
      <c r="AH65"/>
    </row>
    <row r="66" spans="1:34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Cable replacement</v>
      </c>
      <c r="D67" s="38"/>
      <c r="F67" s="97"/>
      <c r="G67" s="214">
        <f>input_dollars</f>
        <v>45291</v>
      </c>
      <c r="H67" s="31"/>
      <c r="I67" s="119">
        <f t="shared" ref="I67:AG67" si="5">-I14</f>
        <v>-3000038.9076999994</v>
      </c>
      <c r="J67" s="119">
        <f t="shared" si="5"/>
        <v>-3000038.9076999994</v>
      </c>
      <c r="K67" s="119">
        <f t="shared" si="5"/>
        <v>-3000038.9076999994</v>
      </c>
      <c r="L67" s="119">
        <f t="shared" si="5"/>
        <v>-3000038.9076999994</v>
      </c>
      <c r="M67" s="119">
        <f t="shared" si="5"/>
        <v>-3000038.9076999994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Cable replacement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-3000038.9076999994</v>
      </c>
      <c r="J72" s="119" cm="1">
        <f t="array" ref="J72">SUMPRODUCT(($I67:J67))-SUMPRODUCT(($I67:J67)*($I$6:J$6&lt;=(J$6-$E14)))</f>
        <v>-6000077.8153999988</v>
      </c>
      <c r="K72" s="119" cm="1">
        <f t="array" ref="K72">SUMPRODUCT(($I67:K67))-SUMPRODUCT(($I67:K67)*($I$6:K$6&lt;=(K$6-$E14)))</f>
        <v>-9000116.7230999991</v>
      </c>
      <c r="L72" s="119" cm="1">
        <f t="array" ref="L72">SUMPRODUCT(($I67:L67))-SUMPRODUCT(($I67:L67)*($I$6:L$6&lt;=(L$6-$E14)))</f>
        <v>-12000155.630799998</v>
      </c>
      <c r="M72" s="119" cm="1">
        <f t="array" ref="M72">SUMPRODUCT(($I67:M67))-SUMPRODUCT(($I67:M67)*($I$6:M$6&lt;=(M$6-$E14)))</f>
        <v>-15000194.538499996</v>
      </c>
      <c r="N72" s="119" cm="1">
        <f t="array" ref="N72">SUMPRODUCT(($I67:N67))-SUMPRODUCT(($I67:N67)*($I$6:N$6&lt;=(N$6-$E14)))</f>
        <v>-15000194.538499996</v>
      </c>
      <c r="O72" s="119" cm="1">
        <f t="array" ref="O72">SUMPRODUCT(($I67:O67))-SUMPRODUCT(($I67:O67)*($I$6:O$6&lt;=(O$6-$E14)))</f>
        <v>-15000194.538499996</v>
      </c>
      <c r="P72" s="119" cm="1">
        <f t="array" ref="P72">SUMPRODUCT(($I67:P67))-SUMPRODUCT(($I67:P67)*($I$6:P$6&lt;=(P$6-$E14)))</f>
        <v>-15000194.538499996</v>
      </c>
      <c r="Q72" s="119" cm="1">
        <f t="array" ref="Q72">SUMPRODUCT(($I67:Q67))-SUMPRODUCT(($I67:Q67)*($I$6:Q$6&lt;=(Q$6-$E14)))</f>
        <v>-15000194.538499996</v>
      </c>
      <c r="R72" s="119" cm="1">
        <f t="array" ref="R72">SUMPRODUCT(($I67:R67))-SUMPRODUCT(($I67:R67)*($I$6:R$6&lt;=(R$6-$E14)))</f>
        <v>-15000194.538499996</v>
      </c>
      <c r="S72" s="119" cm="1">
        <f t="array" ref="S72">SUMPRODUCT(($I67:S67))-SUMPRODUCT(($I67:S67)*($I$6:S$6&lt;=(S$6-$E14)))</f>
        <v>-15000194.538499996</v>
      </c>
      <c r="T72" s="119" cm="1">
        <f t="array" ref="T72">SUMPRODUCT(($I67:T67))-SUMPRODUCT(($I67:T67)*($I$6:T$6&lt;=(T$6-$E14)))</f>
        <v>-15000194.538499996</v>
      </c>
      <c r="U72" s="119" cm="1">
        <f t="array" ref="U72">SUMPRODUCT(($I67:U67))-SUMPRODUCT(($I67:U67)*($I$6:U$6&lt;=(U$6-$E14)))</f>
        <v>-15000194.538499996</v>
      </c>
      <c r="V72" s="119" cm="1">
        <f t="array" ref="V72">SUMPRODUCT(($I67:V67))-SUMPRODUCT(($I67:V67)*($I$6:V$6&lt;=(V$6-$E14)))</f>
        <v>-15000194.538499996</v>
      </c>
      <c r="W72" s="119" cm="1">
        <f t="array" ref="W72">SUMPRODUCT(($I67:W67))-SUMPRODUCT(($I67:W67)*($I$6:W$6&lt;=(W$6-$E14)))</f>
        <v>-15000194.538499996</v>
      </c>
      <c r="X72" s="119" cm="1">
        <f t="array" ref="X72">SUMPRODUCT(($I67:X67))-SUMPRODUCT(($I67:X67)*($I$6:X$6&lt;=(X$6-$E14)))</f>
        <v>-15000194.538499996</v>
      </c>
      <c r="Y72" s="119" cm="1">
        <f t="array" ref="Y72">SUMPRODUCT(($I67:Y67))-SUMPRODUCT(($I67:Y67)*($I$6:Y$6&lt;=(Y$6-$E14)))</f>
        <v>-15000194.538499996</v>
      </c>
      <c r="Z72" s="119" cm="1">
        <f t="array" ref="Z72">SUMPRODUCT(($I67:Z67))-SUMPRODUCT(($I67:Z67)*($I$6:Z$6&lt;=(Z$6-$E14)))</f>
        <v>-15000194.538499996</v>
      </c>
      <c r="AA72" s="119" cm="1">
        <f t="array" ref="AA72">SUMPRODUCT(($I67:AA67))-SUMPRODUCT(($I67:AA67)*($I$6:AA$6&lt;=(AA$6-$E14)))</f>
        <v>-15000194.538499996</v>
      </c>
      <c r="AB72" s="119" cm="1">
        <f t="array" ref="AB72">SUMPRODUCT(($I67:AB67))-SUMPRODUCT(($I67:AB67)*($I$6:AB$6&lt;=(AB$6-$E14)))</f>
        <v>-15000194.538499996</v>
      </c>
      <c r="AC72" s="119" cm="1">
        <f t="array" ref="AC72">SUMPRODUCT(($I67:AC67))-SUMPRODUCT(($I67:AC67)*($I$6:AC$6&lt;=(AC$6-$E14)))</f>
        <v>-15000194.538499996</v>
      </c>
      <c r="AD72" s="119" cm="1">
        <f t="array" ref="AD72">SUMPRODUCT(($I67:AD67))-SUMPRODUCT(($I67:AD67)*($I$6:AD$6&lt;=(AD$6-$E14)))</f>
        <v>-15000194.538499996</v>
      </c>
      <c r="AE72" s="119" cm="1">
        <f t="array" ref="AE72">SUMPRODUCT(($I67:AE67))-SUMPRODUCT(($I67:AE67)*($I$6:AE$6&lt;=(AE$6-$E14)))</f>
        <v>-15000194.538499996</v>
      </c>
      <c r="AF72" s="119" cm="1">
        <f t="array" ref="AF72">SUMPRODUCT(($I67:AF67))-SUMPRODUCT(($I67:AF67)*($I$6:AF$6&lt;=(AF$6-$E14)))</f>
        <v>-15000194.538499996</v>
      </c>
      <c r="AG72" s="119" cm="1">
        <f t="array" ref="AG72">SUMPRODUCT(($I67:AG67))-SUMPRODUCT(($I67:AG67)*($I$6:AG$6&lt;=(AG$6-$E14)))</f>
        <v>-15000194.538499996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50" t="s">
        <v>91</v>
      </c>
      <c r="D76" s="38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Cable replacement</v>
      </c>
      <c r="D77" s="38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-120267.42371670734</v>
      </c>
      <c r="K77" s="119">
        <f t="shared" si="8"/>
        <v>-240534.84743341469</v>
      </c>
      <c r="L77" s="119">
        <f t="shared" si="8"/>
        <v>-360802.27115012205</v>
      </c>
      <c r="M77" s="119">
        <f t="shared" si="8"/>
        <v>-481069.69486682938</v>
      </c>
      <c r="N77" s="119">
        <f t="shared" si="8"/>
        <v>-601337.11858353671</v>
      </c>
      <c r="O77" s="119">
        <f t="shared" si="8"/>
        <v>-601337.11858353671</v>
      </c>
      <c r="P77" s="119">
        <f t="shared" si="8"/>
        <v>-601337.11858353671</v>
      </c>
      <c r="Q77" s="119">
        <f t="shared" si="8"/>
        <v>-601337.11858353671</v>
      </c>
      <c r="R77" s="119">
        <f t="shared" si="8"/>
        <v>-601337.11858353671</v>
      </c>
      <c r="S77" s="119">
        <f t="shared" si="8"/>
        <v>-601337.11858353671</v>
      </c>
      <c r="T77" s="119">
        <f t="shared" si="8"/>
        <v>-601337.11858353671</v>
      </c>
      <c r="U77" s="119">
        <f t="shared" si="8"/>
        <v>-601337.11858353671</v>
      </c>
      <c r="V77" s="119">
        <f t="shared" si="8"/>
        <v>-601337.11858353671</v>
      </c>
      <c r="W77" s="119">
        <f t="shared" si="8"/>
        <v>-601337.11858353671</v>
      </c>
      <c r="X77" s="119">
        <f t="shared" si="8"/>
        <v>-601337.11858353671</v>
      </c>
      <c r="Y77" s="119">
        <f t="shared" si="8"/>
        <v>-601337.11858353671</v>
      </c>
      <c r="Z77" s="119">
        <f t="shared" si="8"/>
        <v>-601337.11858353671</v>
      </c>
      <c r="AA77" s="119">
        <f t="shared" si="8"/>
        <v>-601337.11858353671</v>
      </c>
      <c r="AB77" s="119">
        <f t="shared" si="8"/>
        <v>-601337.11858353671</v>
      </c>
      <c r="AC77" s="119">
        <f t="shared" si="8"/>
        <v>-601337.11858353671</v>
      </c>
      <c r="AD77" s="119">
        <f t="shared" si="8"/>
        <v>-601337.11858353671</v>
      </c>
      <c r="AE77" s="119">
        <f t="shared" si="8"/>
        <v>-601337.11858353671</v>
      </c>
      <c r="AF77" s="119">
        <f t="shared" si="8"/>
        <v>-601337.11858353671</v>
      </c>
      <c r="AG77" s="119">
        <f t="shared" si="8"/>
        <v>-601337.11858353671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-120267.42371670734</v>
      </c>
      <c r="K80" s="180">
        <f t="shared" si="11"/>
        <v>-240534.84743341469</v>
      </c>
      <c r="L80" s="180">
        <f t="shared" si="11"/>
        <v>-360802.27115012205</v>
      </c>
      <c r="M80" s="180">
        <f t="shared" si="11"/>
        <v>-481069.69486682938</v>
      </c>
      <c r="N80" s="180">
        <f t="shared" si="11"/>
        <v>-601337.11858353671</v>
      </c>
      <c r="O80" s="180">
        <f t="shared" si="11"/>
        <v>-601337.11858353671</v>
      </c>
      <c r="P80" s="180">
        <f t="shared" si="11"/>
        <v>-601337.11858353671</v>
      </c>
      <c r="Q80" s="180">
        <f t="shared" si="11"/>
        <v>-601337.11858353671</v>
      </c>
      <c r="R80" s="180">
        <f t="shared" si="11"/>
        <v>-601337.11858353671</v>
      </c>
      <c r="S80" s="180">
        <f t="shared" si="11"/>
        <v>-601337.11858353671</v>
      </c>
      <c r="T80" s="180">
        <f t="shared" si="11"/>
        <v>-601337.11858353671</v>
      </c>
      <c r="U80" s="180">
        <f t="shared" si="11"/>
        <v>-601337.11858353671</v>
      </c>
      <c r="V80" s="180">
        <f t="shared" si="11"/>
        <v>-601337.11858353671</v>
      </c>
      <c r="W80" s="180">
        <f t="shared" si="11"/>
        <v>-601337.11858353671</v>
      </c>
      <c r="X80" s="180">
        <f t="shared" si="11"/>
        <v>-601337.11858353671</v>
      </c>
      <c r="Y80" s="180">
        <f t="shared" si="11"/>
        <v>-601337.11858353671</v>
      </c>
      <c r="Z80" s="180">
        <f t="shared" si="11"/>
        <v>-601337.11858353671</v>
      </c>
      <c r="AA80" s="180">
        <f t="shared" si="11"/>
        <v>-601337.11858353671</v>
      </c>
      <c r="AB80" s="180">
        <f t="shared" si="11"/>
        <v>-601337.11858353671</v>
      </c>
      <c r="AC80" s="180">
        <f>SUM(AC77:AC79)</f>
        <v>-601337.11858353671</v>
      </c>
      <c r="AD80" s="180">
        <f>SUM(AD77:AD79)</f>
        <v>-601337.11858353671</v>
      </c>
      <c r="AE80" s="180">
        <f>SUM(AE77:AE79)</f>
        <v>-601337.11858353671</v>
      </c>
      <c r="AF80" s="180">
        <f>SUM(AF77:AF79)</f>
        <v>-601337.11858353671</v>
      </c>
      <c r="AG80" s="180">
        <f>SUM(AG77:AG79)</f>
        <v>-601337.11858353671</v>
      </c>
      <c r="AH80"/>
    </row>
    <row r="81" spans="1:34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-120267.42371670734</v>
      </c>
      <c r="K82" s="119">
        <f t="shared" si="13"/>
        <v>-240534.84743341469</v>
      </c>
      <c r="L82" s="119">
        <f t="shared" si="13"/>
        <v>-360802.27115012205</v>
      </c>
      <c r="M82" s="119">
        <f t="shared" si="13"/>
        <v>-481069.69486682938</v>
      </c>
      <c r="N82" s="119">
        <f t="shared" si="13"/>
        <v>-601337.11858353671</v>
      </c>
      <c r="O82" s="119">
        <f t="shared" si="13"/>
        <v>-601337.11858353671</v>
      </c>
      <c r="P82" s="119">
        <f t="shared" si="13"/>
        <v>-601337.11858353671</v>
      </c>
      <c r="Q82" s="119">
        <f t="shared" si="13"/>
        <v>-601337.11858353671</v>
      </c>
      <c r="R82" s="119">
        <f t="shared" si="13"/>
        <v>-601337.11858353671</v>
      </c>
      <c r="S82" s="119">
        <f t="shared" si="13"/>
        <v>-601337.11858353671</v>
      </c>
      <c r="T82" s="119">
        <f t="shared" si="13"/>
        <v>-601337.11858353671</v>
      </c>
      <c r="U82" s="119">
        <f t="shared" si="13"/>
        <v>-601337.11858353671</v>
      </c>
      <c r="V82" s="119">
        <f t="shared" si="13"/>
        <v>-601337.11858353671</v>
      </c>
      <c r="W82" s="119">
        <f t="shared" si="13"/>
        <v>-601337.11858353671</v>
      </c>
      <c r="X82" s="119">
        <f t="shared" si="13"/>
        <v>-601337.11858353671</v>
      </c>
      <c r="Y82" s="119">
        <f t="shared" si="13"/>
        <v>-601337.11858353671</v>
      </c>
      <c r="Z82" s="119">
        <f t="shared" si="13"/>
        <v>-601337.11858353671</v>
      </c>
      <c r="AA82" s="119">
        <f t="shared" si="13"/>
        <v>-601337.11858353671</v>
      </c>
      <c r="AB82" s="119">
        <f t="shared" si="13"/>
        <v>-601337.11858353671</v>
      </c>
      <c r="AC82" s="119">
        <f>AC80</f>
        <v>-601337.11858353671</v>
      </c>
      <c r="AD82" s="119">
        <f>AD80</f>
        <v>-601337.11858353671</v>
      </c>
      <c r="AE82" s="119">
        <f>AE80</f>
        <v>-601337.11858353671</v>
      </c>
      <c r="AF82" s="119">
        <f>AF80</f>
        <v>-601337.11858353671</v>
      </c>
      <c r="AG82" s="119">
        <f>AG80</f>
        <v>-601337.11858353671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 t="shared" ref="I84:AG84" si="15">I64</f>
        <v>0</v>
      </c>
      <c r="J84" s="31">
        <f t="shared" si="15"/>
        <v>135587.50652232766</v>
      </c>
      <c r="K84" s="31">
        <f t="shared" si="15"/>
        <v>340898.71010658145</v>
      </c>
      <c r="L84" s="31">
        <f t="shared" si="15"/>
        <v>642125.74626094103</v>
      </c>
      <c r="M84" s="31">
        <f t="shared" si="15"/>
        <v>1074701.3395620286</v>
      </c>
      <c r="N84" s="31">
        <f t="shared" si="15"/>
        <v>1686476.3316672742</v>
      </c>
      <c r="O84" s="31">
        <f t="shared" si="15"/>
        <v>2047450.8825981617</v>
      </c>
      <c r="P84" s="31">
        <f t="shared" si="15"/>
        <v>2239072.2784230113</v>
      </c>
      <c r="Q84" s="31">
        <f t="shared" si="15"/>
        <v>2331399.6610961854</v>
      </c>
      <c r="R84" s="31">
        <f t="shared" si="15"/>
        <v>2331906.559982568</v>
      </c>
      <c r="S84" s="31">
        <f t="shared" si="15"/>
        <v>2331906.5599825382</v>
      </c>
      <c r="T84" s="31">
        <f t="shared" si="15"/>
        <v>2331906.5599825382</v>
      </c>
      <c r="U84" s="31">
        <f t="shared" si="15"/>
        <v>2331906.5599825382</v>
      </c>
      <c r="V84" s="31">
        <f t="shared" si="15"/>
        <v>2331906.5599825382</v>
      </c>
      <c r="W84" s="31">
        <f t="shared" si="15"/>
        <v>2331906.5599825382</v>
      </c>
      <c r="X84" s="31">
        <f t="shared" si="15"/>
        <v>2331906.5599824786</v>
      </c>
      <c r="Y84" s="31">
        <f t="shared" si="15"/>
        <v>2331906.5599825382</v>
      </c>
      <c r="Z84" s="31">
        <f t="shared" si="15"/>
        <v>2331906.5599825382</v>
      </c>
      <c r="AA84" s="31">
        <f t="shared" si="15"/>
        <v>2331906.5599825382</v>
      </c>
      <c r="AB84" s="31">
        <f t="shared" si="15"/>
        <v>2331906.5599825382</v>
      </c>
      <c r="AC84" s="31">
        <f t="shared" si="15"/>
        <v>2331906.5599825382</v>
      </c>
      <c r="AD84" s="31">
        <f t="shared" si="15"/>
        <v>2331906.5599825382</v>
      </c>
      <c r="AE84" s="31">
        <f t="shared" si="15"/>
        <v>2331906.5599825978</v>
      </c>
      <c r="AF84" s="31">
        <f t="shared" si="15"/>
        <v>2331906.5599824786</v>
      </c>
      <c r="AG84" s="31">
        <f t="shared" si="15"/>
        <v>2331906.5599825382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0</v>
      </c>
      <c r="J87" s="183">
        <f t="shared" si="17"/>
        <v>15320.082805620317</v>
      </c>
      <c r="K87" s="183">
        <f t="shared" si="17"/>
        <v>100363.86267316676</v>
      </c>
      <c r="L87" s="183">
        <f t="shared" si="17"/>
        <v>281323.47511081898</v>
      </c>
      <c r="M87" s="183">
        <f t="shared" si="17"/>
        <v>593631.64469519933</v>
      </c>
      <c r="N87" s="183">
        <f t="shared" si="17"/>
        <v>1085139.2130837375</v>
      </c>
      <c r="O87" s="183">
        <f t="shared" si="17"/>
        <v>1446113.764014625</v>
      </c>
      <c r="P87" s="183">
        <f t="shared" si="17"/>
        <v>1637735.1598394746</v>
      </c>
      <c r="Q87" s="183">
        <f t="shared" si="17"/>
        <v>1730062.5425126487</v>
      </c>
      <c r="R87" s="183">
        <f t="shared" si="17"/>
        <v>1730569.4413990313</v>
      </c>
      <c r="S87" s="183">
        <f t="shared" si="17"/>
        <v>1730569.4413990015</v>
      </c>
      <c r="T87" s="183">
        <f t="shared" si="17"/>
        <v>1730569.4413990015</v>
      </c>
      <c r="U87" s="183">
        <f t="shared" si="17"/>
        <v>1730569.4413990015</v>
      </c>
      <c r="V87" s="183">
        <f t="shared" si="17"/>
        <v>1730569.4413990015</v>
      </c>
      <c r="W87" s="183">
        <f t="shared" si="17"/>
        <v>1730569.4413990015</v>
      </c>
      <c r="X87" s="183">
        <f t="shared" si="17"/>
        <v>1730569.4413989419</v>
      </c>
      <c r="Y87" s="183">
        <f t="shared" si="17"/>
        <v>1730569.4413990015</v>
      </c>
      <c r="Z87" s="183">
        <f t="shared" si="17"/>
        <v>1730569.4413990015</v>
      </c>
      <c r="AA87" s="183">
        <f t="shared" si="17"/>
        <v>1730569.4413990015</v>
      </c>
      <c r="AB87" s="183">
        <f t="shared" si="17"/>
        <v>1730569.4413990015</v>
      </c>
      <c r="AC87" s="183">
        <f>SUM(AC82:AC86)</f>
        <v>1730569.4413990015</v>
      </c>
      <c r="AD87" s="183">
        <f>SUM(AD82:AD86)</f>
        <v>1730569.4413990015</v>
      </c>
      <c r="AE87" s="183">
        <f>SUM(AE82:AE86)</f>
        <v>1730569.4413990611</v>
      </c>
      <c r="AF87" s="183">
        <f>SUM(AF82:AF86)</f>
        <v>1730569.4413989419</v>
      </c>
      <c r="AG87" s="183">
        <f>SUM(AG82:AG86)</f>
        <v>1730569.4413990015</v>
      </c>
      <c r="AH87"/>
    </row>
    <row r="88" spans="1:34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8"/>
      <c r="E91" s="235"/>
      <c r="F91" s="235"/>
      <c r="G91" s="237"/>
    </row>
    <row r="92" spans="1:34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15320.082805620317</v>
      </c>
      <c r="K106" s="31">
        <f t="shared" si="18"/>
        <v>100363.86267316676</v>
      </c>
      <c r="L106" s="31">
        <f t="shared" si="18"/>
        <v>281323.47511081898</v>
      </c>
      <c r="M106" s="31">
        <f t="shared" si="18"/>
        <v>593631.64469519933</v>
      </c>
      <c r="N106" s="31">
        <f t="shared" si="18"/>
        <v>1085139.2130837375</v>
      </c>
      <c r="O106" s="31">
        <f t="shared" si="18"/>
        <v>1446113.764014625</v>
      </c>
      <c r="P106" s="31">
        <f t="shared" si="18"/>
        <v>1637735.1598394746</v>
      </c>
      <c r="Q106" s="31">
        <f t="shared" si="18"/>
        <v>1730062.5425126487</v>
      </c>
      <c r="R106" s="31">
        <f t="shared" si="18"/>
        <v>1730569.4413990313</v>
      </c>
      <c r="S106" s="31">
        <f t="shared" si="18"/>
        <v>1730569.4413990015</v>
      </c>
      <c r="T106" s="31">
        <f t="shared" si="18"/>
        <v>1730569.4413990015</v>
      </c>
      <c r="U106" s="31">
        <f t="shared" si="18"/>
        <v>1730569.4413990015</v>
      </c>
      <c r="V106" s="31">
        <f t="shared" si="18"/>
        <v>1730569.4413990015</v>
      </c>
      <c r="W106" s="31">
        <f t="shared" si="18"/>
        <v>1730569.4413990015</v>
      </c>
      <c r="X106" s="31">
        <f t="shared" si="18"/>
        <v>1730569.4413989419</v>
      </c>
      <c r="Y106" s="31">
        <f t="shared" si="18"/>
        <v>1730569.4413990015</v>
      </c>
      <c r="Z106" s="31">
        <f t="shared" si="18"/>
        <v>1730569.4413990015</v>
      </c>
      <c r="AA106" s="31">
        <f t="shared" si="18"/>
        <v>1730569.4413990015</v>
      </c>
      <c r="AB106" s="31">
        <f t="shared" si="18"/>
        <v>1730569.4413990015</v>
      </c>
      <c r="AC106" s="31">
        <f t="shared" si="18"/>
        <v>1730569.4413990015</v>
      </c>
      <c r="AD106" s="31">
        <f t="shared" si="18"/>
        <v>1730569.4413990015</v>
      </c>
      <c r="AE106" s="31">
        <f t="shared" si="18"/>
        <v>1730569.4413990611</v>
      </c>
      <c r="AF106" s="31">
        <f t="shared" si="18"/>
        <v>1730569.4413989419</v>
      </c>
      <c r="AG106" s="31">
        <f t="shared" si="18"/>
        <v>1730569.4413990015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-120267.42371670734</v>
      </c>
      <c r="K107" s="31">
        <f t="shared" si="19"/>
        <v>-240534.84743341469</v>
      </c>
      <c r="L107" s="31">
        <f t="shared" si="19"/>
        <v>-360802.27115012205</v>
      </c>
      <c r="M107" s="31">
        <f t="shared" si="19"/>
        <v>-481069.69486682938</v>
      </c>
      <c r="N107" s="31">
        <f t="shared" si="19"/>
        <v>-601337.11858353671</v>
      </c>
      <c r="O107" s="31">
        <f t="shared" si="19"/>
        <v>-601337.11858353671</v>
      </c>
      <c r="P107" s="31">
        <f t="shared" si="19"/>
        <v>-601337.11858353671</v>
      </c>
      <c r="Q107" s="31">
        <f t="shared" si="19"/>
        <v>-601337.11858353671</v>
      </c>
      <c r="R107" s="31">
        <f t="shared" si="19"/>
        <v>-601337.11858353671</v>
      </c>
      <c r="S107" s="31">
        <f t="shared" si="19"/>
        <v>-601337.11858353671</v>
      </c>
      <c r="T107" s="31">
        <f t="shared" si="19"/>
        <v>-601337.11858353671</v>
      </c>
      <c r="U107" s="31">
        <f t="shared" si="19"/>
        <v>-601337.11858353671</v>
      </c>
      <c r="V107" s="31">
        <f t="shared" si="19"/>
        <v>-601337.11858353671</v>
      </c>
      <c r="W107" s="31">
        <f t="shared" si="19"/>
        <v>-601337.11858353671</v>
      </c>
      <c r="X107" s="31">
        <f t="shared" si="19"/>
        <v>-601337.11858353671</v>
      </c>
      <c r="Y107" s="31">
        <f t="shared" si="19"/>
        <v>-601337.11858353671</v>
      </c>
      <c r="Z107" s="31">
        <f t="shared" si="19"/>
        <v>-601337.11858353671</v>
      </c>
      <c r="AA107" s="31">
        <f t="shared" si="19"/>
        <v>-601337.11858353671</v>
      </c>
      <c r="AB107" s="31">
        <f t="shared" si="19"/>
        <v>-601337.11858353671</v>
      </c>
      <c r="AC107" s="31">
        <f t="shared" si="19"/>
        <v>-601337.11858353671</v>
      </c>
      <c r="AD107" s="31">
        <f t="shared" si="19"/>
        <v>-601337.11858353671</v>
      </c>
      <c r="AE107" s="31">
        <f t="shared" si="19"/>
        <v>-601337.11858353671</v>
      </c>
      <c r="AF107" s="31">
        <f t="shared" si="19"/>
        <v>-601337.11858353671</v>
      </c>
      <c r="AG107" s="31">
        <f t="shared" si="19"/>
        <v>-601337.11858353671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0</v>
      </c>
      <c r="J108" s="31">
        <f t="shared" ref="J108:AG108" si="20">SUM(J84:J85)</f>
        <v>135587.50652232766</v>
      </c>
      <c r="K108" s="31">
        <f t="shared" si="20"/>
        <v>340898.71010658145</v>
      </c>
      <c r="L108" s="31">
        <f t="shared" si="20"/>
        <v>642125.74626094103</v>
      </c>
      <c r="M108" s="31">
        <f t="shared" si="20"/>
        <v>1074701.3395620286</v>
      </c>
      <c r="N108" s="31">
        <f t="shared" si="20"/>
        <v>1686476.3316672742</v>
      </c>
      <c r="O108" s="31">
        <f t="shared" si="20"/>
        <v>2047450.8825981617</v>
      </c>
      <c r="P108" s="31">
        <f t="shared" si="20"/>
        <v>2239072.2784230113</v>
      </c>
      <c r="Q108" s="31">
        <f t="shared" si="20"/>
        <v>2331399.6610961854</v>
      </c>
      <c r="R108" s="31">
        <f t="shared" si="20"/>
        <v>2331906.559982568</v>
      </c>
      <c r="S108" s="31">
        <f t="shared" si="20"/>
        <v>2331906.5599825382</v>
      </c>
      <c r="T108" s="31">
        <f t="shared" si="20"/>
        <v>2331906.5599825382</v>
      </c>
      <c r="U108" s="31">
        <f t="shared" si="20"/>
        <v>2331906.5599825382</v>
      </c>
      <c r="V108" s="31">
        <f t="shared" si="20"/>
        <v>2331906.5599825382</v>
      </c>
      <c r="W108" s="31">
        <f t="shared" si="20"/>
        <v>2331906.5599825382</v>
      </c>
      <c r="X108" s="31">
        <f t="shared" si="20"/>
        <v>2331906.5599824786</v>
      </c>
      <c r="Y108" s="31">
        <f t="shared" si="20"/>
        <v>2331906.5599825382</v>
      </c>
      <c r="Z108" s="31">
        <f t="shared" si="20"/>
        <v>2331906.5599825382</v>
      </c>
      <c r="AA108" s="31">
        <f t="shared" si="20"/>
        <v>2331906.5599825382</v>
      </c>
      <c r="AB108" s="31">
        <f t="shared" si="20"/>
        <v>2331906.5599825382</v>
      </c>
      <c r="AC108" s="31">
        <f t="shared" si="20"/>
        <v>2331906.5599825382</v>
      </c>
      <c r="AD108" s="31">
        <f t="shared" si="20"/>
        <v>2331906.5599825382</v>
      </c>
      <c r="AE108" s="31">
        <f t="shared" si="20"/>
        <v>2331906.5599825978</v>
      </c>
      <c r="AF108" s="31">
        <f t="shared" si="20"/>
        <v>2331906.5599824786</v>
      </c>
      <c r="AG108" s="31">
        <f t="shared" si="20"/>
        <v>2331906.5599825382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3293.3404339495828</v>
      </c>
      <c r="K110" s="31" cm="1">
        <f t="array" ref="K110">K$106+IF($C110&lt;&gt;0,SUMPRODUCT((K$107:K$108)*TRANSPOSE(($D110:$E110))),0)</f>
        <v>76310.377929825292</v>
      </c>
      <c r="L110" s="31" cm="1">
        <f t="array" ref="L110">L$106+IF($C110&lt;&gt;0,SUMPRODUCT((L$107:L$108)*TRANSPOSE(($D110:$E110))),0)</f>
        <v>245243.24799580677</v>
      </c>
      <c r="M110" s="31" cm="1">
        <f t="array" ref="M110">M$106+IF($C110&lt;&gt;0,SUMPRODUCT((M$107:M$108)*TRANSPOSE(($D110:$E110))),0)</f>
        <v>545524.67520851642</v>
      </c>
      <c r="N110" s="31" cm="1">
        <f t="array" ref="N110">N$106+IF($C110&lt;&gt;0,SUMPRODUCT((N$107:N$108)*TRANSPOSE(($D110:$E110))),0)</f>
        <v>1025005.5012253838</v>
      </c>
      <c r="O110" s="31" cm="1">
        <f t="array" ref="O110">O$106+IF($C110&lt;&gt;0,SUMPRODUCT((O$107:O$108)*TRANSPOSE(($D110:$E110))),0)</f>
        <v>1385980.0521562714</v>
      </c>
      <c r="P110" s="31" cm="1">
        <f t="array" ref="P110">P$106+IF($C110&lt;&gt;0,SUMPRODUCT((P$107:P$108)*TRANSPOSE(($D110:$E110))),0)</f>
        <v>1577601.447981121</v>
      </c>
      <c r="Q110" s="31" cm="1">
        <f t="array" ref="Q110">Q$106+IF($C110&lt;&gt;0,SUMPRODUCT((Q$107:Q$108)*TRANSPOSE(($D110:$E110))),0)</f>
        <v>1669928.8306542952</v>
      </c>
      <c r="R110" s="31" cm="1">
        <f t="array" ref="R110">R$106+IF($C110&lt;&gt;0,SUMPRODUCT((R$107:R$108)*TRANSPOSE(($D110:$E110))),0)</f>
        <v>1670435.7295406777</v>
      </c>
      <c r="S110" s="31" cm="1">
        <f t="array" ref="S110">S$106+IF($C110&lt;&gt;0,SUMPRODUCT((S$107:S$108)*TRANSPOSE(($D110:$E110))),0)</f>
        <v>1670435.7295406479</v>
      </c>
      <c r="T110" s="31" cm="1">
        <f t="array" ref="T110">T$106+IF($C110&lt;&gt;0,SUMPRODUCT((T$107:T$108)*TRANSPOSE(($D110:$E110))),0)</f>
        <v>1670435.7295406479</v>
      </c>
      <c r="U110" s="31" cm="1">
        <f t="array" ref="U110">U$106+IF($C110&lt;&gt;0,SUMPRODUCT((U$107:U$108)*TRANSPOSE(($D110:$E110))),0)</f>
        <v>1670435.7295406479</v>
      </c>
      <c r="V110" s="31" cm="1">
        <f t="array" ref="V110">V$106+IF($C110&lt;&gt;0,SUMPRODUCT((V$107:V$108)*TRANSPOSE(($D110:$E110))),0)</f>
        <v>1670435.7295406479</v>
      </c>
      <c r="W110" s="31" cm="1">
        <f t="array" ref="W110">W$106+IF($C110&lt;&gt;0,SUMPRODUCT((W$107:W$108)*TRANSPOSE(($D110:$E110))),0)</f>
        <v>1670435.7295406479</v>
      </c>
      <c r="X110" s="31" cm="1">
        <f t="array" ref="X110">X$106+IF($C110&lt;&gt;0,SUMPRODUCT((X$107:X$108)*TRANSPOSE(($D110:$E110))),0)</f>
        <v>1670435.7295405883</v>
      </c>
      <c r="Y110" s="31" cm="1">
        <f t="array" ref="Y110">Y$106+IF($C110&lt;&gt;0,SUMPRODUCT((Y$107:Y$108)*TRANSPOSE(($D110:$E110))),0)</f>
        <v>1670435.7295406479</v>
      </c>
      <c r="Z110" s="31" cm="1">
        <f t="array" ref="Z110">Z$106+IF($C110&lt;&gt;0,SUMPRODUCT((Z$107:Z$108)*TRANSPOSE(($D110:$E110))),0)</f>
        <v>1670435.7295406479</v>
      </c>
      <c r="AA110" s="31" cm="1">
        <f t="array" ref="AA110">AA$106+IF($C110&lt;&gt;0,SUMPRODUCT((AA$107:AA$108)*TRANSPOSE(($D110:$E110))),0)</f>
        <v>1670435.7295406479</v>
      </c>
      <c r="AB110" s="31" cm="1">
        <f t="array" ref="AB110">AB$106+IF($C110&lt;&gt;0,SUMPRODUCT((AB$107:AB$108)*TRANSPOSE(($D110:$E110))),0)</f>
        <v>1670435.7295406479</v>
      </c>
      <c r="AC110" s="31" cm="1">
        <f t="array" ref="AC110">AC$106+IF($C110&lt;&gt;0,SUMPRODUCT((AC$107:AC$108)*TRANSPOSE(($D110:$E110))),0)</f>
        <v>1670435.7295406479</v>
      </c>
      <c r="AD110" s="31" cm="1">
        <f t="array" ref="AD110">AD$106+IF($C110&lt;&gt;0,SUMPRODUCT((AD$107:AD$108)*TRANSPOSE(($D110:$E110))),0)</f>
        <v>1670435.7295406479</v>
      </c>
      <c r="AE110" s="31" cm="1">
        <f t="array" ref="AE110">AE$106+IF($C110&lt;&gt;0,SUMPRODUCT((AE$107:AE$108)*TRANSPOSE(($D110:$E110))),0)</f>
        <v>1670435.7295407075</v>
      </c>
      <c r="AF110" s="31" cm="1">
        <f t="array" ref="AF110">AF$106+IF($C110&lt;&gt;0,SUMPRODUCT((AF$107:AF$108)*TRANSPOSE(($D110:$E110))),0)</f>
        <v>1670435.7295405883</v>
      </c>
      <c r="AG110" s="31" cm="1">
        <f t="array" ref="AG110">AG$106+IF($C110&lt;&gt;0,SUMPRODUCT((AG$107:AG$108)*TRANSPOSE(($D110:$E110))),0)</f>
        <v>1670435.7295406479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27346.825177291052</v>
      </c>
      <c r="K111" s="31" cm="1">
        <f t="array" ref="K111">K$106+IF($C111&lt;&gt;0,SUMPRODUCT((K$107:K$108)*TRANSPOSE(($D111:$E111))),0)</f>
        <v>124417.34741650823</v>
      </c>
      <c r="L111" s="31" cm="1">
        <f t="array" ref="L111">L$106+IF($C111&lt;&gt;0,SUMPRODUCT((L$107:L$108)*TRANSPOSE(($D111:$E111))),0)</f>
        <v>317403.70222583116</v>
      </c>
      <c r="M111" s="31" cm="1">
        <f t="array" ref="M111">M$106+IF($C111&lt;&gt;0,SUMPRODUCT((M$107:M$108)*TRANSPOSE(($D111:$E111))),0)</f>
        <v>641738.61418188224</v>
      </c>
      <c r="N111" s="31" cm="1">
        <f t="array" ref="N111">N$106+IF($C111&lt;&gt;0,SUMPRODUCT((N$107:N$108)*TRANSPOSE(($D111:$E111))),0)</f>
        <v>1145272.9249420911</v>
      </c>
      <c r="O111" s="31" cm="1">
        <f t="array" ref="O111">O$106+IF($C111&lt;&gt;0,SUMPRODUCT((O$107:O$108)*TRANSPOSE(($D111:$E111))),0)</f>
        <v>1506247.4758729786</v>
      </c>
      <c r="P111" s="31" cm="1">
        <f t="array" ref="P111">P$106+IF($C111&lt;&gt;0,SUMPRODUCT((P$107:P$108)*TRANSPOSE(($D111:$E111))),0)</f>
        <v>1697868.8716978282</v>
      </c>
      <c r="Q111" s="31" cm="1">
        <f t="array" ref="Q111">Q$106+IF($C111&lt;&gt;0,SUMPRODUCT((Q$107:Q$108)*TRANSPOSE(($D111:$E111))),0)</f>
        <v>1790196.2543710023</v>
      </c>
      <c r="R111" s="31" cm="1">
        <f t="array" ref="R111">R$106+IF($C111&lt;&gt;0,SUMPRODUCT((R$107:R$108)*TRANSPOSE(($D111:$E111))),0)</f>
        <v>1790703.1532573849</v>
      </c>
      <c r="S111" s="31" cm="1">
        <f t="array" ref="S111">S$106+IF($C111&lt;&gt;0,SUMPRODUCT((S$107:S$108)*TRANSPOSE(($D111:$E111))),0)</f>
        <v>1790703.1532573551</v>
      </c>
      <c r="T111" s="31" cm="1">
        <f t="array" ref="T111">T$106+IF($C111&lt;&gt;0,SUMPRODUCT((T$107:T$108)*TRANSPOSE(($D111:$E111))),0)</f>
        <v>1790703.1532573551</v>
      </c>
      <c r="U111" s="31" cm="1">
        <f t="array" ref="U111">U$106+IF($C111&lt;&gt;0,SUMPRODUCT((U$107:U$108)*TRANSPOSE(($D111:$E111))),0)</f>
        <v>1790703.1532573551</v>
      </c>
      <c r="V111" s="31" cm="1">
        <f t="array" ref="V111">V$106+IF($C111&lt;&gt;0,SUMPRODUCT((V$107:V$108)*TRANSPOSE(($D111:$E111))),0)</f>
        <v>1790703.1532573551</v>
      </c>
      <c r="W111" s="31" cm="1">
        <f t="array" ref="W111">W$106+IF($C111&lt;&gt;0,SUMPRODUCT((W$107:W$108)*TRANSPOSE(($D111:$E111))),0)</f>
        <v>1790703.1532573551</v>
      </c>
      <c r="X111" s="31" cm="1">
        <f t="array" ref="X111">X$106+IF($C111&lt;&gt;0,SUMPRODUCT((X$107:X$108)*TRANSPOSE(($D111:$E111))),0)</f>
        <v>1790703.1532572955</v>
      </c>
      <c r="Y111" s="31" cm="1">
        <f t="array" ref="Y111">Y$106+IF($C111&lt;&gt;0,SUMPRODUCT((Y$107:Y$108)*TRANSPOSE(($D111:$E111))),0)</f>
        <v>1790703.1532573551</v>
      </c>
      <c r="Z111" s="31" cm="1">
        <f t="array" ref="Z111">Z$106+IF($C111&lt;&gt;0,SUMPRODUCT((Z$107:Z$108)*TRANSPOSE(($D111:$E111))),0)</f>
        <v>1790703.1532573551</v>
      </c>
      <c r="AA111" s="31" cm="1">
        <f t="array" ref="AA111">AA$106+IF($C111&lt;&gt;0,SUMPRODUCT((AA$107:AA$108)*TRANSPOSE(($D111:$E111))),0)</f>
        <v>1790703.1532573551</v>
      </c>
      <c r="AB111" s="31" cm="1">
        <f t="array" ref="AB111">AB$106+IF($C111&lt;&gt;0,SUMPRODUCT((AB$107:AB$108)*TRANSPOSE(($D111:$E111))),0)</f>
        <v>1790703.1532573551</v>
      </c>
      <c r="AC111" s="31" cm="1">
        <f t="array" ref="AC111">AC$106+IF($C111&lt;&gt;0,SUMPRODUCT((AC$107:AC$108)*TRANSPOSE(($D111:$E111))),0)</f>
        <v>1790703.1532573551</v>
      </c>
      <c r="AD111" s="31" cm="1">
        <f t="array" ref="AD111">AD$106+IF($C111&lt;&gt;0,SUMPRODUCT((AD$107:AD$108)*TRANSPOSE(($D111:$E111))),0)</f>
        <v>1790703.1532573551</v>
      </c>
      <c r="AE111" s="31" cm="1">
        <f t="array" ref="AE111">AE$106+IF($C111&lt;&gt;0,SUMPRODUCT((AE$107:AE$108)*TRANSPOSE(($D111:$E111))),0)</f>
        <v>1790703.1532574147</v>
      </c>
      <c r="AF111" s="31" cm="1">
        <f t="array" ref="AF111">AF$106+IF($C111&lt;&gt;0,SUMPRODUCT((AF$107:AF$108)*TRANSPOSE(($D111:$E111))),0)</f>
        <v>1790703.1532572955</v>
      </c>
      <c r="AG111" s="31" cm="1">
        <f t="array" ref="AG111">AG$106+IF($C111&lt;&gt;0,SUMPRODUCT((AG$107:AG$108)*TRANSPOSE(($D111:$E111))),0)</f>
        <v>1790703.1532573551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28878.833457853085</v>
      </c>
      <c r="K112" s="31" cm="1">
        <f t="array" ref="K112">K$106+IF($C112&lt;&gt;0,SUMPRODUCT((K$107:K$108)*TRANSPOSE(($D112:$E112))),0)</f>
        <v>134453.73368382492</v>
      </c>
      <c r="L112" s="31" cm="1">
        <f t="array" ref="L112">L$106+IF($C112&lt;&gt;0,SUMPRODUCT((L$107:L$108)*TRANSPOSE(($D112:$E112))),0)</f>
        <v>345536.04973691306</v>
      </c>
      <c r="M112" s="31" cm="1">
        <f t="array" ref="M112">M$106+IF($C112&lt;&gt;0,SUMPRODUCT((M$107:M$108)*TRANSPOSE(($D112:$E112))),0)</f>
        <v>701101.77865140222</v>
      </c>
      <c r="N112" s="31" cm="1">
        <f t="array" ref="N112">N$106+IF($C112&lt;&gt;0,SUMPRODUCT((N$107:N$108)*TRANSPOSE(($D112:$E112))),0)</f>
        <v>1253786.8462504649</v>
      </c>
      <c r="O112" s="31" cm="1">
        <f t="array" ref="O112">O$106+IF($C112&lt;&gt;0,SUMPRODUCT((O$107:O$108)*TRANSPOSE(($D112:$E112))),0)</f>
        <v>1650858.8522744412</v>
      </c>
      <c r="P112" s="31" cm="1">
        <f t="array" ref="P112">P$106+IF($C112&lt;&gt;0,SUMPRODUCT((P$107:P$108)*TRANSPOSE(($D112:$E112))),0)</f>
        <v>1861642.3876817757</v>
      </c>
      <c r="Q112" s="31" cm="1">
        <f t="array" ref="Q112">Q$106+IF($C112&lt;&gt;0,SUMPRODUCT((Q$107:Q$108)*TRANSPOSE(($D112:$E112))),0)</f>
        <v>1963202.5086222673</v>
      </c>
      <c r="R112" s="31" cm="1">
        <f t="array" ref="R112">R$106+IF($C112&lt;&gt;0,SUMPRODUCT((R$107:R$108)*TRANSPOSE(($D112:$E112))),0)</f>
        <v>1963760.0973972881</v>
      </c>
      <c r="S112" s="31" cm="1">
        <f t="array" ref="S112">S$106+IF($C112&lt;&gt;0,SUMPRODUCT((S$107:S$108)*TRANSPOSE(($D112:$E112))),0)</f>
        <v>1963760.0973972552</v>
      </c>
      <c r="T112" s="31" cm="1">
        <f t="array" ref="T112">T$106+IF($C112&lt;&gt;0,SUMPRODUCT((T$107:T$108)*TRANSPOSE(($D112:$E112))),0)</f>
        <v>1963760.0973972552</v>
      </c>
      <c r="U112" s="31" cm="1">
        <f t="array" ref="U112">U$106+IF($C112&lt;&gt;0,SUMPRODUCT((U$107:U$108)*TRANSPOSE(($D112:$E112))),0)</f>
        <v>1963760.0973972552</v>
      </c>
      <c r="V112" s="31" cm="1">
        <f t="array" ref="V112">V$106+IF($C112&lt;&gt;0,SUMPRODUCT((V$107:V$108)*TRANSPOSE(($D112:$E112))),0)</f>
        <v>1963760.0973972552</v>
      </c>
      <c r="W112" s="31" cm="1">
        <f t="array" ref="W112">W$106+IF($C112&lt;&gt;0,SUMPRODUCT((W$107:W$108)*TRANSPOSE(($D112:$E112))),0)</f>
        <v>1963760.0973972552</v>
      </c>
      <c r="X112" s="31" cm="1">
        <f t="array" ref="X112">X$106+IF($C112&lt;&gt;0,SUMPRODUCT((X$107:X$108)*TRANSPOSE(($D112:$E112))),0)</f>
        <v>1963760.0973971898</v>
      </c>
      <c r="Y112" s="31" cm="1">
        <f t="array" ref="Y112">Y$106+IF($C112&lt;&gt;0,SUMPRODUCT((Y$107:Y$108)*TRANSPOSE(($D112:$E112))),0)</f>
        <v>1963760.0973972552</v>
      </c>
      <c r="Z112" s="31" cm="1">
        <f t="array" ref="Z112">Z$106+IF($C112&lt;&gt;0,SUMPRODUCT((Z$107:Z$108)*TRANSPOSE(($D112:$E112))),0)</f>
        <v>1963760.0973972552</v>
      </c>
      <c r="AA112" s="31" cm="1">
        <f t="array" ref="AA112">AA$106+IF($C112&lt;&gt;0,SUMPRODUCT((AA$107:AA$108)*TRANSPOSE(($D112:$E112))),0)</f>
        <v>1963760.0973972552</v>
      </c>
      <c r="AB112" s="31" cm="1">
        <f t="array" ref="AB112">AB$106+IF($C112&lt;&gt;0,SUMPRODUCT((AB$107:AB$108)*TRANSPOSE(($D112:$E112))),0)</f>
        <v>1963760.0973972552</v>
      </c>
      <c r="AC112" s="31" cm="1">
        <f t="array" ref="AC112">AC$106+IF($C112&lt;&gt;0,SUMPRODUCT((AC$107:AC$108)*TRANSPOSE(($D112:$E112))),0)</f>
        <v>1963760.0973972552</v>
      </c>
      <c r="AD112" s="31" cm="1">
        <f t="array" ref="AD112">AD$106+IF($C112&lt;&gt;0,SUMPRODUCT((AD$107:AD$108)*TRANSPOSE(($D112:$E112))),0)</f>
        <v>1963760.0973972552</v>
      </c>
      <c r="AE112" s="31" cm="1">
        <f t="array" ref="AE112">AE$106+IF($C112&lt;&gt;0,SUMPRODUCT((AE$107:AE$108)*TRANSPOSE(($D112:$E112))),0)</f>
        <v>1963760.0973973209</v>
      </c>
      <c r="AF112" s="31" cm="1">
        <f t="array" ref="AF112">AF$106+IF($C112&lt;&gt;0,SUMPRODUCT((AF$107:AF$108)*TRANSPOSE(($D112:$E112))),0)</f>
        <v>1963760.0973971898</v>
      </c>
      <c r="AG112" s="31" cm="1">
        <f t="array" ref="AG112">AG$106+IF($C112&lt;&gt;0,SUMPRODUCT((AG$107:AG$108)*TRANSPOSE(($D112:$E112))),0)</f>
        <v>1963760.0973972552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1761.3321533875496</v>
      </c>
      <c r="K113" s="31" cm="1">
        <f t="array" ref="K113">K$106+IF($C113&lt;&gt;0,SUMPRODUCT((K$107:K$108)*TRANSPOSE(($D113:$E113))),0)</f>
        <v>66273.991662508604</v>
      </c>
      <c r="L113" s="31" cm="1">
        <f t="array" ref="L113">L$106+IF($C113&lt;&gt;0,SUMPRODUCT((L$107:L$108)*TRANSPOSE(($D113:$E113))),0)</f>
        <v>217110.90048472487</v>
      </c>
      <c r="M113" s="31" cm="1">
        <f t="array" ref="M113">M$106+IF($C113&lt;&gt;0,SUMPRODUCT((M$107:M$108)*TRANSPOSE(($D113:$E113))),0)</f>
        <v>486161.51073899644</v>
      </c>
      <c r="N113" s="31" cm="1">
        <f t="array" ref="N113">N$106+IF($C113&lt;&gt;0,SUMPRODUCT((N$107:N$108)*TRANSPOSE(($D113:$E113))),0)</f>
        <v>916491.57991701015</v>
      </c>
      <c r="O113" s="31" cm="1">
        <f t="array" ref="O113">O$106+IF($C113&lt;&gt;0,SUMPRODUCT((O$107:O$108)*TRANSPOSE(($D113:$E113))),0)</f>
        <v>1241368.6757548088</v>
      </c>
      <c r="P113" s="31" cm="1">
        <f t="array" ref="P113">P$106+IF($C113&lt;&gt;0,SUMPRODUCT((P$107:P$108)*TRANSPOSE(($D113:$E113))),0)</f>
        <v>1413827.9319971735</v>
      </c>
      <c r="Q113" s="31" cm="1">
        <f t="array" ref="Q113">Q$106+IF($C113&lt;&gt;0,SUMPRODUCT((Q$107:Q$108)*TRANSPOSE(($D113:$E113))),0)</f>
        <v>1496922.5764030302</v>
      </c>
      <c r="R113" s="31" cm="1">
        <f t="array" ref="R113">R$106+IF($C113&lt;&gt;0,SUMPRODUCT((R$107:R$108)*TRANSPOSE(($D113:$E113))),0)</f>
        <v>1497378.7854007746</v>
      </c>
      <c r="S113" s="31" cm="1">
        <f t="array" ref="S113">S$106+IF($C113&lt;&gt;0,SUMPRODUCT((S$107:S$108)*TRANSPOSE(($D113:$E113))),0)</f>
        <v>1497378.7854007478</v>
      </c>
      <c r="T113" s="31" cm="1">
        <f t="array" ref="T113">T$106+IF($C113&lt;&gt;0,SUMPRODUCT((T$107:T$108)*TRANSPOSE(($D113:$E113))),0)</f>
        <v>1497378.7854007478</v>
      </c>
      <c r="U113" s="31" cm="1">
        <f t="array" ref="U113">U$106+IF($C113&lt;&gt;0,SUMPRODUCT((U$107:U$108)*TRANSPOSE(($D113:$E113))),0)</f>
        <v>1497378.7854007478</v>
      </c>
      <c r="V113" s="31" cm="1">
        <f t="array" ref="V113">V$106+IF($C113&lt;&gt;0,SUMPRODUCT((V$107:V$108)*TRANSPOSE(($D113:$E113))),0)</f>
        <v>1497378.7854007478</v>
      </c>
      <c r="W113" s="31" cm="1">
        <f t="array" ref="W113">W$106+IF($C113&lt;&gt;0,SUMPRODUCT((W$107:W$108)*TRANSPOSE(($D113:$E113))),0)</f>
        <v>1497378.7854007478</v>
      </c>
      <c r="X113" s="31" cm="1">
        <f t="array" ref="X113">X$106+IF($C113&lt;&gt;0,SUMPRODUCT((X$107:X$108)*TRANSPOSE(($D113:$E113))),0)</f>
        <v>1497378.785400694</v>
      </c>
      <c r="Y113" s="31" cm="1">
        <f t="array" ref="Y113">Y$106+IF($C113&lt;&gt;0,SUMPRODUCT((Y$107:Y$108)*TRANSPOSE(($D113:$E113))),0)</f>
        <v>1497378.7854007478</v>
      </c>
      <c r="Z113" s="31" cm="1">
        <f t="array" ref="Z113">Z$106+IF($C113&lt;&gt;0,SUMPRODUCT((Z$107:Z$108)*TRANSPOSE(($D113:$E113))),0)</f>
        <v>1497378.7854007478</v>
      </c>
      <c r="AA113" s="31" cm="1">
        <f t="array" ref="AA113">AA$106+IF($C113&lt;&gt;0,SUMPRODUCT((AA$107:AA$108)*TRANSPOSE(($D113:$E113))),0)</f>
        <v>1497378.7854007478</v>
      </c>
      <c r="AB113" s="31" cm="1">
        <f t="array" ref="AB113">AB$106+IF($C113&lt;&gt;0,SUMPRODUCT((AB$107:AB$108)*TRANSPOSE(($D113:$E113))),0)</f>
        <v>1497378.7854007478</v>
      </c>
      <c r="AC113" s="31" cm="1">
        <f t="array" ref="AC113">AC$106+IF($C113&lt;&gt;0,SUMPRODUCT((AC$107:AC$108)*TRANSPOSE(($D113:$E113))),0)</f>
        <v>1497378.7854007478</v>
      </c>
      <c r="AD113" s="31" cm="1">
        <f t="array" ref="AD113">AD$106+IF($C113&lt;&gt;0,SUMPRODUCT((AD$107:AD$108)*TRANSPOSE(($D113:$E113))),0)</f>
        <v>1497378.7854007478</v>
      </c>
      <c r="AE113" s="31" cm="1">
        <f t="array" ref="AE113">AE$106+IF($C113&lt;&gt;0,SUMPRODUCT((AE$107:AE$108)*TRANSPOSE(($D113:$E113))),0)</f>
        <v>1497378.7854008013</v>
      </c>
      <c r="AF113" s="31" cm="1">
        <f t="array" ref="AF113">AF$106+IF($C113&lt;&gt;0,SUMPRODUCT((AF$107:AF$108)*TRANSPOSE(($D113:$E113))),0)</f>
        <v>1497378.785400694</v>
      </c>
      <c r="AG113" s="31" cm="1">
        <f t="array" ref="AG113">AG$106+IF($C113&lt;&gt;0,SUMPRODUCT((AG$107:AG$108)*TRANSPOSE(($D113:$E113))),0)</f>
        <v>1497378.7854007478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-10265.410218283185</v>
      </c>
      <c r="K114" s="31" cm="1">
        <f t="array" ref="K114">K$106+IF($C114&lt;&gt;0,SUMPRODUCT((K$107:K$108)*TRANSPOSE(($D114:$E114))),0)</f>
        <v>42220.506919167143</v>
      </c>
      <c r="L114" s="31" cm="1">
        <f t="array" ref="L114">L$106+IF($C114&lt;&gt;0,SUMPRODUCT((L$107:L$108)*TRANSPOSE(($D114:$E114))),0)</f>
        <v>181030.67336971266</v>
      </c>
      <c r="M114" s="31" cm="1">
        <f t="array" ref="M114">M$106+IF($C114&lt;&gt;0,SUMPRODUCT((M$107:M$108)*TRANSPOSE(($D114:$E114))),0)</f>
        <v>438054.54125231353</v>
      </c>
      <c r="N114" s="31" cm="1">
        <f t="array" ref="N114">N$106+IF($C114&lt;&gt;0,SUMPRODUCT((N$107:N$108)*TRANSPOSE(($D114:$E114))),0)</f>
        <v>856357.86805865646</v>
      </c>
      <c r="O114" s="31" cm="1">
        <f t="array" ref="O114">O$106+IF($C114&lt;&gt;0,SUMPRODUCT((O$107:O$108)*TRANSPOSE(($D114:$E114))),0)</f>
        <v>1181234.9638964552</v>
      </c>
      <c r="P114" s="31" cm="1">
        <f t="array" ref="P114">P$106+IF($C114&lt;&gt;0,SUMPRODUCT((P$107:P$108)*TRANSPOSE(($D114:$E114))),0)</f>
        <v>1353694.2201388199</v>
      </c>
      <c r="Q114" s="31" cm="1">
        <f t="array" ref="Q114">Q$106+IF($C114&lt;&gt;0,SUMPRODUCT((Q$107:Q$108)*TRANSPOSE(($D114:$E114))),0)</f>
        <v>1436788.8645446766</v>
      </c>
      <c r="R114" s="31" cm="1">
        <f t="array" ref="R114">R$106+IF($C114&lt;&gt;0,SUMPRODUCT((R$107:R$108)*TRANSPOSE(($D114:$E114))),0)</f>
        <v>1437245.0735424208</v>
      </c>
      <c r="S114" s="31" cm="1">
        <f t="array" ref="S114">S$106+IF($C114&lt;&gt;0,SUMPRODUCT((S$107:S$108)*TRANSPOSE(($D114:$E114))),0)</f>
        <v>1437245.073542394</v>
      </c>
      <c r="T114" s="31" cm="1">
        <f t="array" ref="T114">T$106+IF($C114&lt;&gt;0,SUMPRODUCT((T$107:T$108)*TRANSPOSE(($D114:$E114))),0)</f>
        <v>1437245.073542394</v>
      </c>
      <c r="U114" s="31" cm="1">
        <f t="array" ref="U114">U$106+IF($C114&lt;&gt;0,SUMPRODUCT((U$107:U$108)*TRANSPOSE(($D114:$E114))),0)</f>
        <v>1437245.073542394</v>
      </c>
      <c r="V114" s="31" cm="1">
        <f t="array" ref="V114">V$106+IF($C114&lt;&gt;0,SUMPRODUCT((V$107:V$108)*TRANSPOSE(($D114:$E114))),0)</f>
        <v>1437245.073542394</v>
      </c>
      <c r="W114" s="31" cm="1">
        <f t="array" ref="W114">W$106+IF($C114&lt;&gt;0,SUMPRODUCT((W$107:W$108)*TRANSPOSE(($D114:$E114))),0)</f>
        <v>1437245.073542394</v>
      </c>
      <c r="X114" s="31" cm="1">
        <f t="array" ref="X114">X$106+IF($C114&lt;&gt;0,SUMPRODUCT((X$107:X$108)*TRANSPOSE(($D114:$E114))),0)</f>
        <v>1437245.0735423404</v>
      </c>
      <c r="Y114" s="31" cm="1">
        <f t="array" ref="Y114">Y$106+IF($C114&lt;&gt;0,SUMPRODUCT((Y$107:Y$108)*TRANSPOSE(($D114:$E114))),0)</f>
        <v>1437245.073542394</v>
      </c>
      <c r="Z114" s="31" cm="1">
        <f t="array" ref="Z114">Z$106+IF($C114&lt;&gt;0,SUMPRODUCT((Z$107:Z$108)*TRANSPOSE(($D114:$E114))),0)</f>
        <v>1437245.073542394</v>
      </c>
      <c r="AA114" s="31" cm="1">
        <f t="array" ref="AA114">AA$106+IF($C114&lt;&gt;0,SUMPRODUCT((AA$107:AA$108)*TRANSPOSE(($D114:$E114))),0)</f>
        <v>1437245.073542394</v>
      </c>
      <c r="AB114" s="31" cm="1">
        <f t="array" ref="AB114">AB$106+IF($C114&lt;&gt;0,SUMPRODUCT((AB$107:AB$108)*TRANSPOSE(($D114:$E114))),0)</f>
        <v>1437245.073542394</v>
      </c>
      <c r="AC114" s="31" cm="1">
        <f t="array" ref="AC114">AC$106+IF($C114&lt;&gt;0,SUMPRODUCT((AC$107:AC$108)*TRANSPOSE(($D114:$E114))),0)</f>
        <v>1437245.073542394</v>
      </c>
      <c r="AD114" s="31" cm="1">
        <f t="array" ref="AD114">AD$106+IF($C114&lt;&gt;0,SUMPRODUCT((AD$107:AD$108)*TRANSPOSE(($D114:$E114))),0)</f>
        <v>1437245.073542394</v>
      </c>
      <c r="AE114" s="31" cm="1">
        <f t="array" ref="AE114">AE$106+IF($C114&lt;&gt;0,SUMPRODUCT((AE$107:AE$108)*TRANSPOSE(($D114:$E114))),0)</f>
        <v>1437245.0735424478</v>
      </c>
      <c r="AF114" s="31" cm="1">
        <f t="array" ref="AF114">AF$106+IF($C114&lt;&gt;0,SUMPRODUCT((AF$107:AF$108)*TRANSPOSE(($D114:$E114))),0)</f>
        <v>1437245.0735423404</v>
      </c>
      <c r="AG114" s="31" cm="1">
        <f t="array" ref="AG114">AG$106+IF($C114&lt;&gt;0,SUMPRODUCT((AG$107:AG$108)*TRANSPOSE(($D114:$E114))),0)</f>
        <v>1437245.073542394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15320.082805620317</v>
      </c>
      <c r="K115" s="31" cm="1">
        <f t="array" ref="K115">K$106+IF($C115&lt;&gt;0,SUMPRODUCT((K$107:K$108)*TRANSPOSE(($D115:$E115))),0)</f>
        <v>100363.86267316676</v>
      </c>
      <c r="L115" s="31" cm="1">
        <f t="array" ref="L115">L$106+IF($C115&lt;&gt;0,SUMPRODUCT((L$107:L$108)*TRANSPOSE(($D115:$E115))),0)</f>
        <v>281323.47511081898</v>
      </c>
      <c r="M115" s="31" cm="1">
        <f t="array" ref="M115">M$106+IF($C115&lt;&gt;0,SUMPRODUCT((M$107:M$108)*TRANSPOSE(($D115:$E115))),0)</f>
        <v>593631.64469519933</v>
      </c>
      <c r="N115" s="31" cm="1">
        <f t="array" ref="N115">N$106+IF($C115&lt;&gt;0,SUMPRODUCT((N$107:N$108)*TRANSPOSE(($D115:$E115))),0)</f>
        <v>1085139.2130837375</v>
      </c>
      <c r="O115" s="31" cm="1">
        <f t="array" ref="O115">O$106+IF($C115&lt;&gt;0,SUMPRODUCT((O$107:O$108)*TRANSPOSE(($D115:$E115))),0)</f>
        <v>1446113.764014625</v>
      </c>
      <c r="P115" s="31" cm="1">
        <f t="array" ref="P115">P$106+IF($C115&lt;&gt;0,SUMPRODUCT((P$107:P$108)*TRANSPOSE(($D115:$E115))),0)</f>
        <v>1637735.1598394746</v>
      </c>
      <c r="Q115" s="31" cm="1">
        <f t="array" ref="Q115">Q$106+IF($C115&lt;&gt;0,SUMPRODUCT((Q$107:Q$108)*TRANSPOSE(($D115:$E115))),0)</f>
        <v>1730062.5425126487</v>
      </c>
      <c r="R115" s="31" cm="1">
        <f t="array" ref="R115">R$106+IF($C115&lt;&gt;0,SUMPRODUCT((R$107:R$108)*TRANSPOSE(($D115:$E115))),0)</f>
        <v>1730569.4413990313</v>
      </c>
      <c r="S115" s="31" cm="1">
        <f t="array" ref="S115">S$106+IF($C115&lt;&gt;0,SUMPRODUCT((S$107:S$108)*TRANSPOSE(($D115:$E115))),0)</f>
        <v>1730569.4413990015</v>
      </c>
      <c r="T115" s="31" cm="1">
        <f t="array" ref="T115">T$106+IF($C115&lt;&gt;0,SUMPRODUCT((T$107:T$108)*TRANSPOSE(($D115:$E115))),0)</f>
        <v>1730569.4413990015</v>
      </c>
      <c r="U115" s="31" cm="1">
        <f t="array" ref="U115">U$106+IF($C115&lt;&gt;0,SUMPRODUCT((U$107:U$108)*TRANSPOSE(($D115:$E115))),0)</f>
        <v>1730569.4413990015</v>
      </c>
      <c r="V115" s="31" cm="1">
        <f t="array" ref="V115">V$106+IF($C115&lt;&gt;0,SUMPRODUCT((V$107:V$108)*TRANSPOSE(($D115:$E115))),0)</f>
        <v>1730569.4413990015</v>
      </c>
      <c r="W115" s="31" cm="1">
        <f t="array" ref="W115">W$106+IF($C115&lt;&gt;0,SUMPRODUCT((W$107:W$108)*TRANSPOSE(($D115:$E115))),0)</f>
        <v>1730569.4413990015</v>
      </c>
      <c r="X115" s="31" cm="1">
        <f t="array" ref="X115">X$106+IF($C115&lt;&gt;0,SUMPRODUCT((X$107:X$108)*TRANSPOSE(($D115:$E115))),0)</f>
        <v>1730569.4413989419</v>
      </c>
      <c r="Y115" s="31" cm="1">
        <f t="array" ref="Y115">Y$106+IF($C115&lt;&gt;0,SUMPRODUCT((Y$107:Y$108)*TRANSPOSE(($D115:$E115))),0)</f>
        <v>1730569.4413990015</v>
      </c>
      <c r="Z115" s="31" cm="1">
        <f t="array" ref="Z115">Z$106+IF($C115&lt;&gt;0,SUMPRODUCT((Z$107:Z$108)*TRANSPOSE(($D115:$E115))),0)</f>
        <v>1730569.4413990015</v>
      </c>
      <c r="AA115" s="31" cm="1">
        <f t="array" ref="AA115">AA$106+IF($C115&lt;&gt;0,SUMPRODUCT((AA$107:AA$108)*TRANSPOSE(($D115:$E115))),0)</f>
        <v>1730569.4413990015</v>
      </c>
      <c r="AB115" s="31" cm="1">
        <f t="array" ref="AB115">AB$106+IF($C115&lt;&gt;0,SUMPRODUCT((AB$107:AB$108)*TRANSPOSE(($D115:$E115))),0)</f>
        <v>1730569.4413990015</v>
      </c>
      <c r="AC115" s="31" cm="1">
        <f t="array" ref="AC115">AC$106+IF($C115&lt;&gt;0,SUMPRODUCT((AC$107:AC$108)*TRANSPOSE(($D115:$E115))),0)</f>
        <v>1730569.4413990015</v>
      </c>
      <c r="AD115" s="31" cm="1">
        <f t="array" ref="AD115">AD$106+IF($C115&lt;&gt;0,SUMPRODUCT((AD$107:AD$108)*TRANSPOSE(($D115:$E115))),0)</f>
        <v>1730569.4413990015</v>
      </c>
      <c r="AE115" s="31" cm="1">
        <f t="array" ref="AE115">AE$106+IF($C115&lt;&gt;0,SUMPRODUCT((AE$107:AE$108)*TRANSPOSE(($D115:$E115))),0)</f>
        <v>1730569.4413990611</v>
      </c>
      <c r="AF115" s="31" cm="1">
        <f t="array" ref="AF115">AF$106+IF($C115&lt;&gt;0,SUMPRODUCT((AF$107:AF$108)*TRANSPOSE(($D115:$E115))),0)</f>
        <v>1730569.4413989419</v>
      </c>
      <c r="AG115" s="31" cm="1">
        <f t="array" ref="AG115">AG$106+IF($C115&lt;&gt;0,SUMPRODUCT((AG$107:AG$108)*TRANSPOSE(($D115:$E115))),0)</f>
        <v>1730569.4413990015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15320.082805620317</v>
      </c>
      <c r="K116" s="31" cm="1">
        <f t="array" ref="K116">K$106+IF($C116&lt;&gt;0,SUMPRODUCT((K$107:K$108)*TRANSPOSE(($D116:$E116))),0)</f>
        <v>100363.86267316676</v>
      </c>
      <c r="L116" s="31" cm="1">
        <f t="array" ref="L116">L$106+IF($C116&lt;&gt;0,SUMPRODUCT((L$107:L$108)*TRANSPOSE(($D116:$E116))),0)</f>
        <v>281323.47511081898</v>
      </c>
      <c r="M116" s="31" cm="1">
        <f t="array" ref="M116">M$106+IF($C116&lt;&gt;0,SUMPRODUCT((M$107:M$108)*TRANSPOSE(($D116:$E116))),0)</f>
        <v>593631.64469519933</v>
      </c>
      <c r="N116" s="31" cm="1">
        <f t="array" ref="N116">N$106+IF($C116&lt;&gt;0,SUMPRODUCT((N$107:N$108)*TRANSPOSE(($D116:$E116))),0)</f>
        <v>1085139.2130837375</v>
      </c>
      <c r="O116" s="31" cm="1">
        <f t="array" ref="O116">O$106+IF($C116&lt;&gt;0,SUMPRODUCT((O$107:O$108)*TRANSPOSE(($D116:$E116))),0)</f>
        <v>1446113.764014625</v>
      </c>
      <c r="P116" s="31" cm="1">
        <f t="array" ref="P116">P$106+IF($C116&lt;&gt;0,SUMPRODUCT((P$107:P$108)*TRANSPOSE(($D116:$E116))),0)</f>
        <v>1637735.1598394746</v>
      </c>
      <c r="Q116" s="31" cm="1">
        <f t="array" ref="Q116">Q$106+IF($C116&lt;&gt;0,SUMPRODUCT((Q$107:Q$108)*TRANSPOSE(($D116:$E116))),0)</f>
        <v>1730062.5425126487</v>
      </c>
      <c r="R116" s="31" cm="1">
        <f t="array" ref="R116">R$106+IF($C116&lt;&gt;0,SUMPRODUCT((R$107:R$108)*TRANSPOSE(($D116:$E116))),0)</f>
        <v>1730569.4413990313</v>
      </c>
      <c r="S116" s="31" cm="1">
        <f t="array" ref="S116">S$106+IF($C116&lt;&gt;0,SUMPRODUCT((S$107:S$108)*TRANSPOSE(($D116:$E116))),0)</f>
        <v>1730569.4413990015</v>
      </c>
      <c r="T116" s="31" cm="1">
        <f t="array" ref="T116">T$106+IF($C116&lt;&gt;0,SUMPRODUCT((T$107:T$108)*TRANSPOSE(($D116:$E116))),0)</f>
        <v>1730569.4413990015</v>
      </c>
      <c r="U116" s="31" cm="1">
        <f t="array" ref="U116">U$106+IF($C116&lt;&gt;0,SUMPRODUCT((U$107:U$108)*TRANSPOSE(($D116:$E116))),0)</f>
        <v>1730569.4413990015</v>
      </c>
      <c r="V116" s="31" cm="1">
        <f t="array" ref="V116">V$106+IF($C116&lt;&gt;0,SUMPRODUCT((V$107:V$108)*TRANSPOSE(($D116:$E116))),0)</f>
        <v>1730569.4413990015</v>
      </c>
      <c r="W116" s="31" cm="1">
        <f t="array" ref="W116">W$106+IF($C116&lt;&gt;0,SUMPRODUCT((W$107:W$108)*TRANSPOSE(($D116:$E116))),0)</f>
        <v>1730569.4413990015</v>
      </c>
      <c r="X116" s="31" cm="1">
        <f t="array" ref="X116">X$106+IF($C116&lt;&gt;0,SUMPRODUCT((X$107:X$108)*TRANSPOSE(($D116:$E116))),0)</f>
        <v>1730569.4413989419</v>
      </c>
      <c r="Y116" s="31" cm="1">
        <f t="array" ref="Y116">Y$106+IF($C116&lt;&gt;0,SUMPRODUCT((Y$107:Y$108)*TRANSPOSE(($D116:$E116))),0)</f>
        <v>1730569.4413990015</v>
      </c>
      <c r="Z116" s="31" cm="1">
        <f t="array" ref="Z116">Z$106+IF($C116&lt;&gt;0,SUMPRODUCT((Z$107:Z$108)*TRANSPOSE(($D116:$E116))),0)</f>
        <v>1730569.4413990015</v>
      </c>
      <c r="AA116" s="31" cm="1">
        <f t="array" ref="AA116">AA$106+IF($C116&lt;&gt;0,SUMPRODUCT((AA$107:AA$108)*TRANSPOSE(($D116:$E116))),0)</f>
        <v>1730569.4413990015</v>
      </c>
      <c r="AB116" s="31" cm="1">
        <f t="array" ref="AB116">AB$106+IF($C116&lt;&gt;0,SUMPRODUCT((AB$107:AB$108)*TRANSPOSE(($D116:$E116))),0)</f>
        <v>1730569.4413990015</v>
      </c>
      <c r="AC116" s="31" cm="1">
        <f t="array" ref="AC116">AC$106+IF($C116&lt;&gt;0,SUMPRODUCT((AC$107:AC$108)*TRANSPOSE(($D116:$E116))),0)</f>
        <v>1730569.4413990015</v>
      </c>
      <c r="AD116" s="31" cm="1">
        <f t="array" ref="AD116">AD$106+IF($C116&lt;&gt;0,SUMPRODUCT((AD$107:AD$108)*TRANSPOSE(($D116:$E116))),0)</f>
        <v>1730569.4413990015</v>
      </c>
      <c r="AE116" s="31" cm="1">
        <f t="array" ref="AE116">AE$106+IF($C116&lt;&gt;0,SUMPRODUCT((AE$107:AE$108)*TRANSPOSE(($D116:$E116))),0)</f>
        <v>1730569.4413990611</v>
      </c>
      <c r="AF116" s="31" cm="1">
        <f t="array" ref="AF116">AF$106+IF($C116&lt;&gt;0,SUMPRODUCT((AF$107:AF$108)*TRANSPOSE(($D116:$E116))),0)</f>
        <v>1730569.4413989419</v>
      </c>
      <c r="AG116" s="31" cm="1">
        <f t="array" ref="AG116">AG$106+IF($C116&lt;&gt;0,SUMPRODUCT((AG$107:AG$108)*TRANSPOSE(($D116:$E116))),0)</f>
        <v>1730569.4413990015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15320.082805620317</v>
      </c>
      <c r="K117" s="31" cm="1">
        <f t="array" ref="K117">K$106+IF($C117&lt;&gt;0,SUMPRODUCT((K$107:K$108)*TRANSPOSE(($D117:$E117))),0)</f>
        <v>100363.86267316676</v>
      </c>
      <c r="L117" s="31" cm="1">
        <f t="array" ref="L117">L$106+IF($C117&lt;&gt;0,SUMPRODUCT((L$107:L$108)*TRANSPOSE(($D117:$E117))),0)</f>
        <v>281323.47511081898</v>
      </c>
      <c r="M117" s="31" cm="1">
        <f t="array" ref="M117">M$106+IF($C117&lt;&gt;0,SUMPRODUCT((M$107:M$108)*TRANSPOSE(($D117:$E117))),0)</f>
        <v>593631.64469519933</v>
      </c>
      <c r="N117" s="31" cm="1">
        <f t="array" ref="N117">N$106+IF($C117&lt;&gt;0,SUMPRODUCT((N$107:N$108)*TRANSPOSE(($D117:$E117))),0)</f>
        <v>1085139.2130837375</v>
      </c>
      <c r="O117" s="31" cm="1">
        <f t="array" ref="O117">O$106+IF($C117&lt;&gt;0,SUMPRODUCT((O$107:O$108)*TRANSPOSE(($D117:$E117))),0)</f>
        <v>1446113.764014625</v>
      </c>
      <c r="P117" s="31" cm="1">
        <f t="array" ref="P117">P$106+IF($C117&lt;&gt;0,SUMPRODUCT((P$107:P$108)*TRANSPOSE(($D117:$E117))),0)</f>
        <v>1637735.1598394746</v>
      </c>
      <c r="Q117" s="31" cm="1">
        <f t="array" ref="Q117">Q$106+IF($C117&lt;&gt;0,SUMPRODUCT((Q$107:Q$108)*TRANSPOSE(($D117:$E117))),0)</f>
        <v>1730062.5425126487</v>
      </c>
      <c r="R117" s="31" cm="1">
        <f t="array" ref="R117">R$106+IF($C117&lt;&gt;0,SUMPRODUCT((R$107:R$108)*TRANSPOSE(($D117:$E117))),0)</f>
        <v>1730569.4413990313</v>
      </c>
      <c r="S117" s="31" cm="1">
        <f t="array" ref="S117">S$106+IF($C117&lt;&gt;0,SUMPRODUCT((S$107:S$108)*TRANSPOSE(($D117:$E117))),0)</f>
        <v>1730569.4413990015</v>
      </c>
      <c r="T117" s="31" cm="1">
        <f t="array" ref="T117">T$106+IF($C117&lt;&gt;0,SUMPRODUCT((T$107:T$108)*TRANSPOSE(($D117:$E117))),0)</f>
        <v>1730569.4413990015</v>
      </c>
      <c r="U117" s="31" cm="1">
        <f t="array" ref="U117">U$106+IF($C117&lt;&gt;0,SUMPRODUCT((U$107:U$108)*TRANSPOSE(($D117:$E117))),0)</f>
        <v>1730569.4413990015</v>
      </c>
      <c r="V117" s="31" cm="1">
        <f t="array" ref="V117">V$106+IF($C117&lt;&gt;0,SUMPRODUCT((V$107:V$108)*TRANSPOSE(($D117:$E117))),0)</f>
        <v>1730569.4413990015</v>
      </c>
      <c r="W117" s="31" cm="1">
        <f t="array" ref="W117">W$106+IF($C117&lt;&gt;0,SUMPRODUCT((W$107:W$108)*TRANSPOSE(($D117:$E117))),0)</f>
        <v>1730569.4413990015</v>
      </c>
      <c r="X117" s="31" cm="1">
        <f t="array" ref="X117">X$106+IF($C117&lt;&gt;0,SUMPRODUCT((X$107:X$108)*TRANSPOSE(($D117:$E117))),0)</f>
        <v>1730569.4413989419</v>
      </c>
      <c r="Y117" s="31" cm="1">
        <f t="array" ref="Y117">Y$106+IF($C117&lt;&gt;0,SUMPRODUCT((Y$107:Y$108)*TRANSPOSE(($D117:$E117))),0)</f>
        <v>1730569.4413990015</v>
      </c>
      <c r="Z117" s="31" cm="1">
        <f t="array" ref="Z117">Z$106+IF($C117&lt;&gt;0,SUMPRODUCT((Z$107:Z$108)*TRANSPOSE(($D117:$E117))),0)</f>
        <v>1730569.4413990015</v>
      </c>
      <c r="AA117" s="31" cm="1">
        <f t="array" ref="AA117">AA$106+IF($C117&lt;&gt;0,SUMPRODUCT((AA$107:AA$108)*TRANSPOSE(($D117:$E117))),0)</f>
        <v>1730569.4413990015</v>
      </c>
      <c r="AB117" s="31" cm="1">
        <f t="array" ref="AB117">AB$106+IF($C117&lt;&gt;0,SUMPRODUCT((AB$107:AB$108)*TRANSPOSE(($D117:$E117))),0)</f>
        <v>1730569.4413990015</v>
      </c>
      <c r="AC117" s="31" cm="1">
        <f t="array" ref="AC117">AC$106+IF($C117&lt;&gt;0,SUMPRODUCT((AC$107:AC$108)*TRANSPOSE(($D117:$E117))),0)</f>
        <v>1730569.4413990015</v>
      </c>
      <c r="AD117" s="31" cm="1">
        <f t="array" ref="AD117">AD$106+IF($C117&lt;&gt;0,SUMPRODUCT((AD$107:AD$108)*TRANSPOSE(($D117:$E117))),0)</f>
        <v>1730569.4413990015</v>
      </c>
      <c r="AE117" s="31" cm="1">
        <f t="array" ref="AE117">AE$106+IF($C117&lt;&gt;0,SUMPRODUCT((AE$107:AE$108)*TRANSPOSE(($D117:$E117))),0)</f>
        <v>1730569.4413990611</v>
      </c>
      <c r="AF117" s="31" cm="1">
        <f t="array" ref="AF117">AF$106+IF($C117&lt;&gt;0,SUMPRODUCT((AF$107:AF$108)*TRANSPOSE(($D117:$E117))),0)</f>
        <v>1730569.4413989419</v>
      </c>
      <c r="AG117" s="31" cm="1">
        <f t="array" ref="AG117">AG$106+IF($C117&lt;&gt;0,SUMPRODUCT((AG$107:AG$108)*TRANSPOSE(($D117:$E117))),0)</f>
        <v>1730569.4413990015</v>
      </c>
    </row>
  </sheetData>
  <conditionalFormatting sqref="E28">
    <cfRule type="expression" dxfId="8" priority="4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3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134</v>
      </c>
      <c r="B3" s="5"/>
      <c r="C3" s="204" t="str">
        <f>INDEX(Assumptions!$E$14:$E$18, MATCH(A3,_xlfn.ANCHORARRAY( Assumptions!$C$14),0))</f>
        <v>Monitor highest delta risk cable sections and replace those with high partial discharge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9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252</v>
      </c>
      <c r="D14"/>
      <c r="E14" s="151">
        <v>1</v>
      </c>
      <c r="G14" s="211">
        <f>input_dollars</f>
        <v>45291</v>
      </c>
      <c r="H14" s="152"/>
      <c r="I14" s="32">
        <f>Workings_costs!E50</f>
        <v>1000000</v>
      </c>
      <c r="J14" s="32">
        <f>Workings_costs!F50</f>
        <v>1000000</v>
      </c>
      <c r="K14" s="32">
        <f>Workings_costs!G50</f>
        <v>1000000</v>
      </c>
      <c r="L14" s="32">
        <f>Workings_costs!H50</f>
        <v>1000000</v>
      </c>
      <c r="M14" s="32">
        <f>Workings_costs!I50</f>
        <v>1000000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251</v>
      </c>
      <c r="D15"/>
      <c r="E15" s="151">
        <v>60</v>
      </c>
      <c r="G15" s="211">
        <f>input_dollars</f>
        <v>45291</v>
      </c>
      <c r="H15" s="2"/>
      <c r="I15" s="32">
        <f>Workings_costs!E51</f>
        <v>0</v>
      </c>
      <c r="J15" s="32">
        <f>Workings_costs!F51</f>
        <v>1191610.21358</v>
      </c>
      <c r="K15" s="32">
        <f>Workings_costs!G51</f>
        <v>1191610.21358</v>
      </c>
      <c r="L15" s="32">
        <f>Workings_costs!H51</f>
        <v>1191610.21358</v>
      </c>
      <c r="M15" s="32">
        <f>Workings_costs!I51</f>
        <v>1191610.21358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51">
        <v>0</v>
      </c>
      <c r="G16" s="211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1000000</v>
      </c>
      <c r="J17" s="106">
        <f t="shared" si="0"/>
        <v>2191610.2135800002</v>
      </c>
      <c r="K17" s="106">
        <f t="shared" si="0"/>
        <v>2191610.2135800002</v>
      </c>
      <c r="L17" s="106">
        <f t="shared" si="0"/>
        <v>2191610.2135800002</v>
      </c>
      <c r="M17" s="106">
        <f t="shared" si="0"/>
        <v>2191610.2135800002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  <c r="AL19"/>
      <c r="AM19"/>
    </row>
    <row r="20" spans="1:43" x14ac:dyDescent="0.2">
      <c r="G20" s="209"/>
      <c r="AH20"/>
      <c r="AI20"/>
      <c r="AJ20"/>
      <c r="AK20"/>
      <c r="AL20"/>
      <c r="AM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2">
        <v>0</v>
      </c>
      <c r="O25" s="172">
        <v>0</v>
      </c>
      <c r="P25" s="172">
        <v>0</v>
      </c>
      <c r="Q25" s="172">
        <v>0</v>
      </c>
      <c r="R25" s="172">
        <v>0</v>
      </c>
      <c r="S25" s="172">
        <v>0</v>
      </c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761.7229058080103</v>
      </c>
      <c r="J27" s="172">
        <f>INDEX(Workings_risks!I$47:I$51, MATCH($A$3, Workings_risks!$C$47:$C$51,0))</f>
        <v>910.68158216047846</v>
      </c>
      <c r="K27" s="172">
        <f>INDEX(Workings_risks!J$47:J$51, MATCH($A$3, Workings_risks!$C$47:$C$51,0))</f>
        <v>1095.3823229468335</v>
      </c>
      <c r="L27" s="172">
        <f>INDEX(Workings_risks!K$47:K$51, MATCH($A$3, Workings_risks!$C$47:$C$51,0))</f>
        <v>1324.3832150096753</v>
      </c>
      <c r="M27" s="172">
        <f>INDEX(Workings_risks!L$47:L$51, MATCH($A$3, Workings_risks!$C$47:$C$51,0))</f>
        <v>1608.9293892779981</v>
      </c>
      <c r="N27" s="172">
        <f>INDEX(Workings_risks!M$47:M$51, MATCH($A$3, Workings_risks!$C$47:$C$51,0))</f>
        <v>2033.3255983504505</v>
      </c>
      <c r="O27" s="172">
        <f>INDEX(Workings_risks!N$47:N$51, MATCH($A$3, Workings_risks!$C$47:$C$51,0))</f>
        <v>2485.6764875073995</v>
      </c>
      <c r="P27" s="172">
        <f>INDEX(Workings_risks!O$47:O$51, MATCH($A$3, Workings_risks!$C$47:$C$51,0))</f>
        <v>2943.646507680025</v>
      </c>
      <c r="Q27" s="172">
        <f>INDEX(Workings_risks!P$47:P$51, MATCH($A$3, Workings_risks!$C$47:$C$51,0))</f>
        <v>3405.834606322841</v>
      </c>
      <c r="R27" s="172">
        <f>INDEX(Workings_risks!Q$47:Q$51, MATCH($A$3, Workings_risks!$C$47:$C$51,0))</f>
        <v>3872.185953401658</v>
      </c>
      <c r="S27" s="172">
        <f>INDEX(Workings_risks!R$47:R$51, MATCH($A$3, Workings_risks!$C$47:$C$51,0))</f>
        <v>4445.6848220919983</v>
      </c>
      <c r="T27" s="172">
        <f>INDEX(Workings_risks!S$47:S$51, MATCH($A$3, Workings_risks!$C$47:$C$51,0))</f>
        <v>5028.5589521095681</v>
      </c>
      <c r="U27" s="172">
        <f>INDEX(Workings_risks!T$47:T$51, MATCH($A$3, Workings_risks!$C$47:$C$51,0))</f>
        <v>5571.9932482984605</v>
      </c>
      <c r="V27" s="172">
        <f>INDEX(Workings_risks!U$47:U$51, MATCH($A$3, Workings_risks!$C$47:$C$51,0))</f>
        <v>5960.6465262451038</v>
      </c>
      <c r="W27" s="172">
        <f>INDEX(Workings_risks!V$47:V$51, MATCH($A$3, Workings_risks!$C$47:$C$51,0))</f>
        <v>6260.8649778206009</v>
      </c>
      <c r="X27" s="172">
        <f>INDEX(Workings_risks!W$47:W$51, MATCH($A$3, Workings_risks!$C$47:$C$51,0))</f>
        <v>6526.70223221176</v>
      </c>
      <c r="Y27" s="172">
        <f>INDEX(Workings_risks!X$47:X$51, MATCH($A$3, Workings_risks!$C$47:$C$51,0))</f>
        <v>6685.6874939452264</v>
      </c>
      <c r="Z27" s="172">
        <f>INDEX(Workings_risks!Y$47:Y$51, MATCH($A$3, Workings_risks!$C$47:$C$51,0))</f>
        <v>6820.7337855464484</v>
      </c>
      <c r="AA27" s="172">
        <f>INDEX(Workings_risks!Z$47:Z$51, MATCH($A$3, Workings_risks!$C$47:$C$51,0))</f>
        <v>6934.1455765963246</v>
      </c>
      <c r="AB27" s="172">
        <f>INDEX(Workings_risks!AA$47:AA$51, MATCH($A$3, Workings_risks!$C$47:$C$51,0))</f>
        <v>7035.9101205551196</v>
      </c>
      <c r="AC27" s="172">
        <f>INDEX(Workings_risks!AB$47:AB$51, MATCH($A$3, Workings_risks!$C$47:$C$51,0))</f>
        <v>7129.803065011557</v>
      </c>
      <c r="AD27" s="172">
        <f>INDEX(Workings_risks!AC$47:AC$51, MATCH($A$3, Workings_risks!$C$47:$C$51,0))</f>
        <v>7196.4828703201438</v>
      </c>
      <c r="AE27" s="172">
        <f>INDEX(Workings_risks!AD$47:AD$51, MATCH($A$3, Workings_risks!$C$47:$C$51,0))</f>
        <v>7248.2680892843728</v>
      </c>
      <c r="AF27" s="172">
        <f>INDEX(Workings_risks!AE$47:AE$51, MATCH($A$3, Workings_risks!$C$47:$C$51,0))</f>
        <v>7293.3770393618697</v>
      </c>
      <c r="AG27" s="172">
        <f>INDEX(Workings_risks!AF$47:AF$51, MATCH($A$3, Workings_risks!$C$47:$C$51,0))</f>
        <v>7336.3593761818302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36425429.68238622</v>
      </c>
      <c r="J28" s="302">
        <f t="shared" ref="J28:AG28" si="2">J27*$E$28</f>
        <v>43548602.360648483</v>
      </c>
      <c r="K28" s="302">
        <f t="shared" si="2"/>
        <v>52380953.067840867</v>
      </c>
      <c r="L28" s="302">
        <f t="shared" si="2"/>
        <v>63331727.722819142</v>
      </c>
      <c r="M28" s="302">
        <f t="shared" si="2"/>
        <v>76938666.129388735</v>
      </c>
      <c r="N28" s="302">
        <f t="shared" si="2"/>
        <v>97233203.884744406</v>
      </c>
      <c r="O28" s="302">
        <f t="shared" si="2"/>
        <v>118864528.58184406</v>
      </c>
      <c r="P28" s="302">
        <f t="shared" si="2"/>
        <v>140764558.94622377</v>
      </c>
      <c r="Q28" s="302">
        <f t="shared" si="2"/>
        <v>162866296.93884885</v>
      </c>
      <c r="R28" s="302">
        <f t="shared" si="2"/>
        <v>185167120.59897792</v>
      </c>
      <c r="S28" s="302">
        <f t="shared" si="2"/>
        <v>212591716.28216627</v>
      </c>
      <c r="T28" s="302">
        <f t="shared" si="2"/>
        <v>240464634.99676818</v>
      </c>
      <c r="U28" s="302">
        <f t="shared" si="2"/>
        <v>266451549.12511232</v>
      </c>
      <c r="V28" s="302">
        <f t="shared" si="2"/>
        <v>285036867.40651184</v>
      </c>
      <c r="W28" s="302">
        <f t="shared" si="2"/>
        <v>299393250.82866722</v>
      </c>
      <c r="X28" s="302">
        <f t="shared" si="2"/>
        <v>312105532.60849911</v>
      </c>
      <c r="Y28" s="302">
        <f t="shared" si="2"/>
        <v>319708174.49789476</v>
      </c>
      <c r="Z28" s="302">
        <f t="shared" si="2"/>
        <v>326166059.85368472</v>
      </c>
      <c r="AA28" s="302">
        <f t="shared" si="2"/>
        <v>331589387.92816168</v>
      </c>
      <c r="AB28" s="302">
        <f t="shared" si="2"/>
        <v>336455747.08825433</v>
      </c>
      <c r="AC28" s="302">
        <f t="shared" si="2"/>
        <v>340945688.01019919</v>
      </c>
      <c r="AD28" s="302">
        <f t="shared" si="2"/>
        <v>344134302.32254773</v>
      </c>
      <c r="AE28" s="302">
        <f t="shared" si="2"/>
        <v>346610660.63813174</v>
      </c>
      <c r="AF28" s="302">
        <f t="shared" si="2"/>
        <v>348767761.17504048</v>
      </c>
      <c r="AG28" s="302">
        <f t="shared" si="2"/>
        <v>350823167.51175725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INDEX(Workings_risks!H$62:H$160, MATCH($A$3&amp;$C30, Workings_risks!$E$62:$E$160,0))</f>
        <v>3329625.8863919196</v>
      </c>
      <c r="J30" s="32">
        <f>INDEX(Workings_risks!I$62:I$160, MATCH($A$3&amp;$C30, Workings_risks!$E$62:$E$160,0))</f>
        <v>3981283.7268592021</v>
      </c>
      <c r="K30" s="32">
        <f>INDEX(Workings_risks!J$62:J$160, MATCH($A$3&amp;$C30, Workings_risks!$E$62:$E$160,0))</f>
        <v>4789327.4570613094</v>
      </c>
      <c r="L30" s="32">
        <f>INDEX(Workings_risks!K$62:K$160, MATCH($A$3&amp;$C30, Workings_risks!$E$62:$E$160,0))</f>
        <v>5791233.3680767948</v>
      </c>
      <c r="M30" s="32">
        <f>INDEX(Workings_risks!L$62:L$160, MATCH($A$3&amp;$C30, Workings_risks!$E$62:$E$160,0))</f>
        <v>7036227.9646708993</v>
      </c>
      <c r="N30" s="32">
        <f>INDEX(Workings_risks!M$62:M$160, MATCH($A$3&amp;$C30, Workings_risks!$E$62:$E$160,0))</f>
        <v>8819606.7363435589</v>
      </c>
      <c r="O30" s="32">
        <f>INDEX(Workings_risks!N$62:N$160, MATCH($A$3&amp;$C30, Workings_risks!$E$62:$E$160,0))</f>
        <v>10781685.5080045</v>
      </c>
      <c r="P30" s="32">
        <f>INDEX(Workings_risks!O$62:O$160, MATCH($A$3&amp;$C30, Workings_risks!$E$62:$E$160,0))</f>
        <v>12767464.79691522</v>
      </c>
      <c r="Q30" s="32">
        <f>INDEX(Workings_risks!P$62:P$160, MATCH($A$3&amp;$C30, Workings_risks!$E$62:$E$160,0))</f>
        <v>14771149.093264988</v>
      </c>
      <c r="R30" s="32">
        <f>INDEX(Workings_risks!Q$62:Q$160, MATCH($A$3&amp;$C30, Workings_risks!$E$62:$E$160,0))</f>
        <v>16792350.626316033</v>
      </c>
      <c r="S30" s="32">
        <f>INDEX(Workings_risks!R$62:R$160, MATCH($A$3&amp;$C30, Workings_risks!$E$62:$E$160,0))</f>
        <v>19277891.746721514</v>
      </c>
      <c r="T30" s="32">
        <f>INDEX(Workings_risks!S$62:S$160, MATCH($A$3&amp;$C30, Workings_risks!$E$62:$E$160,0))</f>
        <v>21804068.485558789</v>
      </c>
      <c r="U30" s="32">
        <f>INDEX(Workings_risks!T$62:T$160, MATCH($A$3&amp;$C30, Workings_risks!$E$62:$E$160,0))</f>
        <v>24159321.005925771</v>
      </c>
      <c r="V30" s="32">
        <f>INDEX(Workings_risks!U$62:U$160, MATCH($A$3&amp;$C30, Workings_risks!$E$62:$E$160,0))</f>
        <v>25843771.475803066</v>
      </c>
      <c r="W30" s="32">
        <f>INDEX(Workings_risks!V$62:V$160, MATCH($A$3&amp;$C30, Workings_risks!$E$62:$E$160,0))</f>
        <v>27144958.674903437</v>
      </c>
      <c r="X30" s="32">
        <f>INDEX(Workings_risks!W$62:W$160, MATCH($A$3&amp;$C30, Workings_risks!$E$62:$E$160,0))</f>
        <v>28297146.569304418</v>
      </c>
      <c r="Y30" s="32">
        <f>INDEX(Workings_risks!X$62:X$160, MATCH($A$3&amp;$C30, Workings_risks!$E$62:$E$160,0))</f>
        <v>28986253.805213865</v>
      </c>
      <c r="Z30" s="32">
        <f>INDEX(Workings_risks!Y$62:Y$160, MATCH($A$3&amp;$C30, Workings_risks!$E$62:$E$160,0))</f>
        <v>29571618.418729551</v>
      </c>
      <c r="AA30" s="32">
        <f>INDEX(Workings_risks!Z$62:Z$160, MATCH($A$3&amp;$C30, Workings_risks!$E$62:$E$160,0))</f>
        <v>30063228.348864499</v>
      </c>
      <c r="AB30" s="32">
        <f>INDEX(Workings_risks!AA$62:AA$160, MATCH($A$3&amp;$C30, Workings_risks!$E$62:$E$160,0))</f>
        <v>30504368.072280142</v>
      </c>
      <c r="AC30" s="32">
        <f>INDEX(Workings_risks!AB$62:AB$160, MATCH($A$3&amp;$C30, Workings_risks!$E$62:$E$160,0))</f>
        <v>30911401.585158791</v>
      </c>
      <c r="AD30" s="32">
        <f>INDEX(Workings_risks!AC$62:AC$160, MATCH($A$3&amp;$C30, Workings_risks!$E$62:$E$160,0))</f>
        <v>31200505.154656693</v>
      </c>
      <c r="AE30" s="32">
        <f>INDEX(Workings_risks!AD$62:AD$160, MATCH($A$3&amp;$C30, Workings_risks!$E$62:$E$160,0))</f>
        <v>31425067.076643888</v>
      </c>
      <c r="AF30" s="32">
        <f>INDEX(Workings_risks!AE$62:AE$160, MATCH($A$3&amp;$C30, Workings_risks!$E$62:$E$160,0))</f>
        <v>31620705.670374747</v>
      </c>
      <c r="AG30" s="32">
        <f>INDEX(Workings_risks!AF$62:AF$160, MATCH($A$3&amp;$C30, Workings_risks!$E$62:$E$160,0))</f>
        <v>31807139.685150355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INDEX(Workings_risks!H$62:H$160, MATCH($A$3&amp;$C31, Workings_risks!$E$62:$E$160,0))</f>
        <v>1846704.2062848115</v>
      </c>
      <c r="J31" s="32">
        <f>INDEX(Workings_risks!I$62:I$160, MATCH($A$3&amp;$C31, Workings_risks!$E$62:$E$160,0))</f>
        <v>2208092.2781204837</v>
      </c>
      <c r="K31" s="32">
        <f>INDEX(Workings_risks!J$62:J$160, MATCH($A$3&amp;$C31, Workings_risks!$E$62:$E$160,0))</f>
        <v>2656205.1188747133</v>
      </c>
      <c r="L31" s="32">
        <f>INDEX(Workings_risks!K$62:K$160, MATCH($A$3&amp;$C31, Workings_risks!$E$62:$E$160,0))</f>
        <v>3211823.1157851974</v>
      </c>
      <c r="M31" s="32">
        <f>INDEX(Workings_risks!L$62:L$160, MATCH($A$3&amp;$C31, Workings_risks!$E$62:$E$160,0))</f>
        <v>3902243.3075824338</v>
      </c>
      <c r="N31" s="32">
        <f>INDEX(Workings_risks!M$62:M$160, MATCH($A$3&amp;$C31, Workings_risks!$E$62:$E$160,0))</f>
        <v>4896698.1320012594</v>
      </c>
      <c r="O31" s="32">
        <f>INDEX(Workings_risks!N$62:N$160, MATCH($A$3&amp;$C31, Workings_risks!$E$62:$E$160,0))</f>
        <v>5986056.3807395017</v>
      </c>
      <c r="P31" s="32">
        <f>INDEX(Workings_risks!O$62:O$160, MATCH($A$3&amp;$C31, Workings_risks!$E$62:$E$160,0))</f>
        <v>7088623.7845597249</v>
      </c>
      <c r="Q31" s="32">
        <f>INDEX(Workings_risks!P$62:P$160, MATCH($A$3&amp;$C31, Workings_risks!$E$62:$E$160,0))</f>
        <v>8201161.505436779</v>
      </c>
      <c r="R31" s="32">
        <f>INDEX(Workings_risks!Q$62:Q$160, MATCH($A$3&amp;$C31, Workings_risks!$E$62:$E$160,0))</f>
        <v>9323465.5055352785</v>
      </c>
      <c r="S31" s="32">
        <f>INDEX(Workings_risks!R$62:R$160, MATCH($A$3&amp;$C31, Workings_risks!$E$62:$E$160,0))</f>
        <v>10703604.816200893</v>
      </c>
      <c r="T31" s="32">
        <f>INDEX(Workings_risks!S$62:S$160, MATCH($A$3&amp;$C31, Workings_risks!$E$62:$E$160,0))</f>
        <v>12106307.503782658</v>
      </c>
      <c r="U31" s="32">
        <f>INDEX(Workings_risks!T$62:T$160, MATCH($A$3&amp;$C31, Workings_risks!$E$62:$E$160,0))</f>
        <v>13414101.002126822</v>
      </c>
      <c r="V31" s="32">
        <f>INDEX(Workings_risks!U$62:U$160, MATCH($A$3&amp;$C31, Workings_risks!$E$62:$E$160,0))</f>
        <v>14349418.805881554</v>
      </c>
      <c r="W31" s="32">
        <f>INDEX(Workings_risks!V$62:V$160, MATCH($A$3&amp;$C31, Workings_risks!$E$62:$E$160,0))</f>
        <v>15071922.147059642</v>
      </c>
      <c r="X31" s="32">
        <f>INDEX(Workings_risks!W$62:W$160, MATCH($A$3&amp;$C31, Workings_risks!$E$62:$E$160,0))</f>
        <v>15711690.422418006</v>
      </c>
      <c r="Y31" s="32">
        <f>INDEX(Workings_risks!X$62:X$160, MATCH($A$3&amp;$C31, Workings_risks!$E$62:$E$160,0))</f>
        <v>16094324.073598057</v>
      </c>
      <c r="Z31" s="32">
        <f>INDEX(Workings_risks!Y$62:Y$160, MATCH($A$3&amp;$C31, Workings_risks!$E$62:$E$160,0))</f>
        <v>16419352.198183946</v>
      </c>
      <c r="AA31" s="32">
        <f>INDEX(Workings_risks!Z$62:Z$160, MATCH($A$3&amp;$C31, Workings_risks!$E$62:$E$160,0))</f>
        <v>16692320.741979742</v>
      </c>
      <c r="AB31" s="32">
        <f>INDEX(Workings_risks!AA$62:AA$160, MATCH($A$3&amp;$C31, Workings_risks!$E$62:$E$160,0))</f>
        <v>16937264.169699457</v>
      </c>
      <c r="AC31" s="32">
        <f>INDEX(Workings_risks!AB$62:AB$160, MATCH($A$3&amp;$C31, Workings_risks!$E$62:$E$160,0))</f>
        <v>17163268.843733177</v>
      </c>
      <c r="AD31" s="32">
        <f>INDEX(Workings_risks!AC$62:AC$160, MATCH($A$3&amp;$C31, Workings_risks!$E$62:$E$160,0))</f>
        <v>17323790.019373491</v>
      </c>
      <c r="AE31" s="32">
        <f>INDEX(Workings_risks!AD$62:AD$160, MATCH($A$3&amp;$C31, Workings_risks!$E$62:$E$160,0))</f>
        <v>17448472.481640909</v>
      </c>
      <c r="AF31" s="32">
        <f>INDEX(Workings_risks!AE$62:AE$160, MATCH($A$3&amp;$C31, Workings_risks!$E$62:$E$160,0))</f>
        <v>17557093.899744682</v>
      </c>
      <c r="AG31" s="32">
        <f>INDEX(Workings_risks!AF$62:AF$160, MATCH($A$3&amp;$C31, Workings_risks!$E$62:$E$160,0))</f>
        <v>17660603.404749803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INDEX(Workings_risks!H$62:H$160, MATCH($A$3&amp;$C32, Workings_risks!$E$62:$E$160,0))</f>
        <v>162977.32373559708</v>
      </c>
      <c r="J32" s="32">
        <f>INDEX(Workings_risks!I$62:I$160, MATCH($A$3&amp;$C32, Workings_risks!$E$62:$E$160,0))</f>
        <v>194905.55467284226</v>
      </c>
      <c r="K32" s="32">
        <f>INDEX(Workings_risks!J$62:J$160, MATCH($A$3&amp;$C32, Workings_risks!$E$62:$E$160,0))</f>
        <v>234497.32000005545</v>
      </c>
      <c r="L32" s="32">
        <f>INDEX(Workings_risks!K$62:K$160, MATCH($A$3&amp;$C32, Workings_risks!$E$62:$E$160,0))</f>
        <v>283590.92894105305</v>
      </c>
      <c r="M32" s="32">
        <f>INDEX(Workings_risks!L$62:L$160, MATCH($A$3&amp;$C32, Workings_risks!$E$62:$E$160,0))</f>
        <v>344600.10841119918</v>
      </c>
      <c r="N32" s="32">
        <f>INDEX(Workings_risks!M$62:M$160, MATCH($A$3&amp;$C32, Workings_risks!$E$62:$E$160,0))</f>
        <v>427704.69387161965</v>
      </c>
      <c r="O32" s="32">
        <f>INDEX(Workings_risks!N$62:N$160, MATCH($A$3&amp;$C32, Workings_risks!$E$62:$E$160,0))</f>
        <v>522854.88302687352</v>
      </c>
      <c r="P32" s="32">
        <f>INDEX(Workings_risks!O$62:O$160, MATCH($A$3&amp;$C32, Workings_risks!$E$62:$E$160,0))</f>
        <v>619114.85210237163</v>
      </c>
      <c r="Q32" s="32">
        <f>INDEX(Workings_risks!P$62:P$160, MATCH($A$3&amp;$C32, Workings_risks!$E$62:$E$160,0))</f>
        <v>716220.11574477213</v>
      </c>
      <c r="R32" s="32">
        <f>INDEX(Workings_risks!Q$62:Q$160, MATCH($A$3&amp;$C32, Workings_risks!$E$62:$E$160,0))</f>
        <v>814143.04776242818</v>
      </c>
      <c r="S32" s="32">
        <f>INDEX(Workings_risks!R$62:R$160, MATCH($A$3&amp;$C32, Workings_risks!$E$62:$E$160,0))</f>
        <v>934559.55442236818</v>
      </c>
      <c r="T32" s="32">
        <f>INDEX(Workings_risks!S$62:S$160, MATCH($A$3&amp;$C32, Workings_risks!$E$62:$E$160,0))</f>
        <v>1056944.920036322</v>
      </c>
      <c r="U32" s="32">
        <f>INDEX(Workings_risks!T$62:T$160, MATCH($A$3&amp;$C32, Workings_risks!$E$62:$E$160,0))</f>
        <v>1171050.0149325377</v>
      </c>
      <c r="V32" s="32">
        <f>INDEX(Workings_risks!U$62:U$160, MATCH($A$3&amp;$C32, Workings_risks!$E$62:$E$160,0))</f>
        <v>1252657.9633955599</v>
      </c>
      <c r="W32" s="32">
        <f>INDEX(Workings_risks!V$62:V$160, MATCH($A$3&amp;$C32, Workings_risks!$E$62:$E$160,0))</f>
        <v>1315698.787999992</v>
      </c>
      <c r="X32" s="32">
        <f>INDEX(Workings_risks!W$62:W$160, MATCH($A$3&amp;$C32, Workings_risks!$E$62:$E$160,0))</f>
        <v>1371521.5813601597</v>
      </c>
      <c r="Y32" s="32">
        <f>INDEX(Workings_risks!X$62:X$160, MATCH($A$3&amp;$C32, Workings_risks!$E$62:$E$160,0))</f>
        <v>1404910.5021670498</v>
      </c>
      <c r="Z32" s="32">
        <f>INDEX(Workings_risks!Y$62:Y$160, MATCH($A$3&amp;$C32, Workings_risks!$E$62:$E$160,0))</f>
        <v>1433273.940368444</v>
      </c>
      <c r="AA32" s="32">
        <f>INDEX(Workings_risks!Z$62:Z$160, MATCH($A$3&amp;$C32, Workings_risks!$E$62:$E$160,0))</f>
        <v>1457095.8019832065</v>
      </c>
      <c r="AB32" s="32">
        <f>INDEX(Workings_risks!AA$62:AA$160, MATCH($A$3&amp;$C32, Workings_risks!$E$62:$E$160,0))</f>
        <v>1478473.067850796</v>
      </c>
      <c r="AC32" s="32">
        <f>INDEX(Workings_risks!AB$62:AB$160, MATCH($A$3&amp;$C32, Workings_risks!$E$62:$E$160,0))</f>
        <v>1498198.542321186</v>
      </c>
      <c r="AD32" s="32">
        <f>INDEX(Workings_risks!AC$62:AC$160, MATCH($A$3&amp;$C32, Workings_risks!$E$62:$E$160,0))</f>
        <v>1512211.3752920639</v>
      </c>
      <c r="AE32" s="32">
        <f>INDEX(Workings_risks!AD$62:AD$160, MATCH($A$3&amp;$C32, Workings_risks!$E$62:$E$160,0))</f>
        <v>1523098.0441030599</v>
      </c>
      <c r="AF32" s="32">
        <f>INDEX(Workings_risks!AE$62:AE$160, MATCH($A$3&amp;$C32, Workings_risks!$E$62:$E$160,0))</f>
        <v>1532584.1524923381</v>
      </c>
      <c r="AG32" s="32">
        <f>INDEX(Workings_risks!AF$62:AF$160, MATCH($A$3&amp;$C32, Workings_risks!$E$62:$E$160,0))</f>
        <v>1541625.0440000077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INDEX(Workings_risks!H$62:H$160, MATCH($A$3&amp;$C33, Workings_risks!$E$62:$E$160,0))</f>
        <v>1091499.533754095</v>
      </c>
      <c r="J33" s="32">
        <f>INDEX(Workings_risks!I$62:I$160, MATCH($A$3&amp;$C33, Workings_risks!$E$62:$E$160,0))</f>
        <v>1305255.7961824283</v>
      </c>
      <c r="K33" s="32">
        <f>INDEX(Workings_risks!J$62:J$160, MATCH($A$3&amp;$C33, Workings_risks!$E$62:$E$160,0))</f>
        <v>1570315.4000579172</v>
      </c>
      <c r="L33" s="32">
        <f>INDEX(Workings_risks!K$62:K$160, MATCH($A$3&amp;$C33, Workings_risks!$E$62:$E$160,0))</f>
        <v>1898980.4763992203</v>
      </c>
      <c r="M33" s="32">
        <f>INDEX(Workings_risks!L$62:L$160, MATCH($A$3&amp;$C33, Workings_risks!$E$62:$E$160,0))</f>
        <v>2307406.2142926096</v>
      </c>
      <c r="N33" s="32">
        <f>INDEX(Workings_risks!M$62:M$160, MATCH($A$3&amp;$C33, Workings_risks!$E$62:$E$160,0))</f>
        <v>2874072.7730418509</v>
      </c>
      <c r="O33" s="32">
        <f>INDEX(Workings_risks!N$62:N$160, MATCH($A$3&amp;$C33, Workings_risks!$E$62:$E$160,0))</f>
        <v>3513460.0230104253</v>
      </c>
      <c r="P33" s="32">
        <f>INDEX(Workings_risks!O$62:O$160, MATCH($A$3&amp;$C33, Workings_risks!$E$62:$E$160,0))</f>
        <v>4160401.0072852327</v>
      </c>
      <c r="Q33" s="32">
        <f>INDEX(Workings_risks!P$62:P$160, MATCH($A$3&amp;$C33, Workings_risks!$E$62:$E$160,0))</f>
        <v>4813078.1399612268</v>
      </c>
      <c r="R33" s="32">
        <f>INDEX(Workings_risks!Q$62:Q$160, MATCH($A$3&amp;$C33, Workings_risks!$E$62:$E$160,0))</f>
        <v>5471327.2428529141</v>
      </c>
      <c r="S33" s="32">
        <f>INDEX(Workings_risks!R$62:R$160, MATCH($A$3&amp;$C33, Workings_risks!$E$62:$E$160,0))</f>
        <v>6280787.2791355904</v>
      </c>
      <c r="T33" s="32">
        <f>INDEX(Workings_risks!S$62:S$160, MATCH($A$3&amp;$C33, Workings_risks!$E$62:$E$160,0))</f>
        <v>7103481.8458724106</v>
      </c>
      <c r="U33" s="32">
        <f>INDEX(Workings_risks!T$62:T$160, MATCH($A$3&amp;$C33, Workings_risks!$E$62:$E$160,0))</f>
        <v>7870513.9175145952</v>
      </c>
      <c r="V33" s="32">
        <f>INDEX(Workings_risks!U$62:U$160, MATCH($A$3&amp;$C33, Workings_risks!$E$62:$E$160,0))</f>
        <v>8419092.1056495607</v>
      </c>
      <c r="W33" s="32">
        <f>INDEX(Workings_risks!V$62:V$160, MATCH($A$3&amp;$C33, Workings_risks!$E$62:$E$160,0))</f>
        <v>8842857.1238178127</v>
      </c>
      <c r="X33" s="32">
        <f>INDEX(Workings_risks!W$62:W$160, MATCH($A$3&amp;$C33, Workings_risks!$E$62:$E$160,0))</f>
        <v>9218100.0835334044</v>
      </c>
      <c r="Y33" s="32">
        <f>INDEX(Workings_risks!X$62:X$160, MATCH($A$3&amp;$C33, Workings_risks!$E$62:$E$160,0))</f>
        <v>9442536.5766780935</v>
      </c>
      <c r="Z33" s="32">
        <f>INDEX(Workings_risks!Y$62:Y$160, MATCH($A$3&amp;$C33, Workings_risks!$E$62:$E$160,0))</f>
        <v>9633189.6747047119</v>
      </c>
      <c r="AA33" s="32">
        <f>INDEX(Workings_risks!Z$62:Z$160, MATCH($A$3&amp;$C33, Workings_risks!$E$62:$E$160,0))</f>
        <v>9793312.2208986618</v>
      </c>
      <c r="AB33" s="32">
        <f>INDEX(Workings_risks!AA$62:AA$160, MATCH($A$3&amp;$C33, Workings_risks!$E$62:$E$160,0))</f>
        <v>9937000.5062961858</v>
      </c>
      <c r="AC33" s="32">
        <f>INDEX(Workings_risks!AB$62:AB$160, MATCH($A$3&amp;$C33, Workings_risks!$E$62:$E$160,0))</f>
        <v>10069583.843749499</v>
      </c>
      <c r="AD33" s="32">
        <f>INDEX(Workings_risks!AC$62:AC$160, MATCH($A$3&amp;$C33, Workings_risks!$E$62:$E$160,0))</f>
        <v>10163764.170909218</v>
      </c>
      <c r="AE33" s="32">
        <f>INDEX(Workings_risks!AD$62:AD$160, MATCH($A$3&amp;$C33, Workings_risks!$E$62:$E$160,0))</f>
        <v>10236928.259592965</v>
      </c>
      <c r="AF33" s="32">
        <f>INDEX(Workings_risks!AE$62:AE$160, MATCH($A$3&amp;$C33, Workings_risks!$E$62:$E$160,0))</f>
        <v>10300675.883767447</v>
      </c>
      <c r="AG33" s="32">
        <f>INDEX(Workings_risks!AF$62:AF$160, MATCH($A$3&amp;$C33, Workings_risks!$E$62:$E$160,0))</f>
        <v>10361428.942511322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42856236.632552646</v>
      </c>
      <c r="J36" s="108">
        <f t="shared" ref="J36:AG36" si="3">SUM(J28:J34)</f>
        <v>51238139.716483444</v>
      </c>
      <c r="K36" s="108">
        <f t="shared" si="3"/>
        <v>61631298.363834865</v>
      </c>
      <c r="L36" s="108">
        <f t="shared" si="3"/>
        <v>74517355.612021402</v>
      </c>
      <c r="M36" s="108">
        <f t="shared" si="3"/>
        <v>90529143.724345878</v>
      </c>
      <c r="N36" s="108">
        <f t="shared" si="3"/>
        <v>114251286.2200027</v>
      </c>
      <c r="O36" s="108">
        <f t="shared" si="3"/>
        <v>139668585.37662536</v>
      </c>
      <c r="P36" s="108">
        <f t="shared" si="3"/>
        <v>165400163.38708633</v>
      </c>
      <c r="Q36" s="108">
        <f t="shared" si="3"/>
        <v>191367905.79325661</v>
      </c>
      <c r="R36" s="108">
        <f t="shared" si="3"/>
        <v>217568407.02144459</v>
      </c>
      <c r="S36" s="108">
        <f t="shared" si="3"/>
        <v>249788559.67864662</v>
      </c>
      <c r="T36" s="108">
        <f t="shared" si="3"/>
        <v>282535437.75201833</v>
      </c>
      <c r="U36" s="108">
        <f t="shared" si="3"/>
        <v>313066535.06561202</v>
      </c>
      <c r="V36" s="108">
        <f t="shared" si="3"/>
        <v>334901807.75724161</v>
      </c>
      <c r="W36" s="108">
        <f t="shared" si="3"/>
        <v>351768687.56244808</v>
      </c>
      <c r="X36" s="108">
        <f t="shared" si="3"/>
        <v>366703991.26511508</v>
      </c>
      <c r="Y36" s="108">
        <f t="shared" si="3"/>
        <v>375636199.45555186</v>
      </c>
      <c r="Z36" s="108">
        <f t="shared" si="3"/>
        <v>383223494.08567142</v>
      </c>
      <c r="AA36" s="108">
        <f t="shared" si="3"/>
        <v>389595345.04188776</v>
      </c>
      <c r="AB36" s="108">
        <f t="shared" si="3"/>
        <v>395312852.90438086</v>
      </c>
      <c r="AC36" s="108">
        <f t="shared" si="3"/>
        <v>400588140.82516187</v>
      </c>
      <c r="AD36" s="108">
        <f t="shared" si="3"/>
        <v>404334573.04277921</v>
      </c>
      <c r="AE36" s="108">
        <f t="shared" si="3"/>
        <v>407244226.50011259</v>
      </c>
      <c r="AF36" s="108">
        <f t="shared" si="3"/>
        <v>409778820.78141969</v>
      </c>
      <c r="AG36" s="108">
        <f t="shared" si="3"/>
        <v>412193964.5881688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151432.81740793545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24590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88.357719508603083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0.35181336539087127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1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1523374.5266522393</v>
      </c>
      <c r="J64" s="135">
        <f>(1-INDEX(Data!$C$9:$C$13, MATCH($A$3, options,0)))*('Option1 (base case)'!J36-J36)</f>
        <v>1849882.9553789347</v>
      </c>
      <c r="K64" s="135">
        <f>(1-INDEX(Data!$C$9:$C$13, MATCH($A$3, options,0)))*('Option1 (base case)'!K36-K36)</f>
        <v>2255974.5969554782</v>
      </c>
      <c r="L64" s="135">
        <f>(1-INDEX(Data!$C$9:$C$13, MATCH($A$3, options,0)))*('Option1 (base case)'!L36-L36)</f>
        <v>2762380.3935613632</v>
      </c>
      <c r="M64" s="135">
        <f>(1-INDEX(Data!$C$9:$C$13, MATCH($A$3, options,0)))*('Option1 (base case)'!M36-M36)</f>
        <v>3395455.5957673341</v>
      </c>
      <c r="N64" s="135">
        <f>(1-INDEX(Data!$C$9:$C$13, MATCH($A$3, options,0)))*('Option1 (base case)'!N36-N36)</f>
        <v>394868.67670468986</v>
      </c>
      <c r="O64" s="135">
        <f>(1-INDEX(Data!$C$9:$C$13, MATCH($A$3, options,0)))*('Option1 (base case)'!O36-O36)</f>
        <v>482398.95938074589</v>
      </c>
      <c r="P64" s="135">
        <f>(1-INDEX(Data!$C$9:$C$13, MATCH($A$3, options,0)))*('Option1 (base case)'!P36-P36)</f>
        <v>534925.90584874153</v>
      </c>
      <c r="Q64" s="135">
        <f>(1-INDEX(Data!$C$9:$C$13, MATCH($A$3, options,0)))*('Option1 (base case)'!Q36-Q36)</f>
        <v>567288.53523254395</v>
      </c>
      <c r="R64" s="135">
        <f>(1-INDEX(Data!$C$9:$C$13, MATCH($A$3, options,0)))*('Option1 (base case)'!R36-R36)</f>
        <v>571429.82408463955</v>
      </c>
      <c r="S64" s="135">
        <f>(1-INDEX(Data!$C$9:$C$13, MATCH($A$3, options,0)))*('Option1 (base case)'!S36-S36)</f>
        <v>574066.70051631331</v>
      </c>
      <c r="T64" s="135">
        <f>(1-INDEX(Data!$C$9:$C$13, MATCH($A$3, options,0)))*('Option1 (base case)'!T36-T36)</f>
        <v>576922.93780505657</v>
      </c>
      <c r="U64" s="135">
        <f>(1-INDEX(Data!$C$9:$C$13, MATCH($A$3, options,0)))*('Option1 (base case)'!U36-U36)</f>
        <v>580017.29699939489</v>
      </c>
      <c r="V64" s="135">
        <f>(1-INDEX(Data!$C$9:$C$13, MATCH($A$3, options,0)))*('Option1 (base case)'!V36-V36)</f>
        <v>583370.17112672329</v>
      </c>
      <c r="W64" s="135">
        <f>(1-INDEX(Data!$C$9:$C$13, MATCH($A$3, options,0)))*('Option1 (base case)'!W36-W36)</f>
        <v>587003.72869819403</v>
      </c>
      <c r="X64" s="135">
        <f>(1-INDEX(Data!$C$9:$C$13, MATCH($A$3, options,0)))*('Option1 (base case)'!X36-X36)</f>
        <v>590942.06992131472</v>
      </c>
      <c r="Y64" s="135">
        <f>(1-INDEX(Data!$C$9:$C$13, MATCH($A$3, options,0)))*('Option1 (base case)'!Y36-Y36)</f>
        <v>595211.39675170183</v>
      </c>
      <c r="Z64" s="135">
        <f>(1-INDEX(Data!$C$9:$C$13, MATCH($A$3, options,0)))*('Option1 (base case)'!Z36-Z36)</f>
        <v>599840.19801539183</v>
      </c>
      <c r="AA64" s="135">
        <f>(1-INDEX(Data!$C$9:$C$13, MATCH($A$3, options,0)))*('Option1 (base case)'!AA36-AA36)</f>
        <v>604859.45094192028</v>
      </c>
      <c r="AB64" s="135">
        <f>(1-INDEX(Data!$C$9:$C$13, MATCH($A$3, options,0)))*('Option1 (base case)'!AB36-AB36)</f>
        <v>610302.84057146311</v>
      </c>
      <c r="AC64" s="135">
        <f>(1-INDEX(Data!$C$9:$C$13, MATCH($A$3, options,0)))*('Option1 (base case)'!AC36-AC36)</f>
        <v>616206.9986256361</v>
      </c>
      <c r="AD64" s="135">
        <f>(1-INDEX(Data!$C$9:$C$13, MATCH($A$3, options,0)))*('Option1 (base case)'!AD36-AD36)</f>
        <v>622611.76357793808</v>
      </c>
      <c r="AE64" s="135">
        <f>(1-INDEX(Data!$C$9:$C$13, MATCH($A$3, options,0)))*('Option1 (base case)'!AE36-AE36)</f>
        <v>629560.46380901337</v>
      </c>
      <c r="AF64" s="135">
        <f>(1-INDEX(Data!$C$9:$C$13, MATCH($A$3, options,0)))*('Option1 (base case)'!AF36-AF36)</f>
        <v>637100.22590905428</v>
      </c>
      <c r="AG64" s="135">
        <f>(1-INDEX(Data!$C$9:$C$13, MATCH($A$3, options,0)))*('Option1 (base case)'!AG36-AG36)</f>
        <v>645282.3103633523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Condition assessment of top 30 delta risk cable sections</v>
      </c>
      <c r="D67" s="38"/>
      <c r="F67" s="97"/>
      <c r="G67" s="214">
        <f>input_dollars</f>
        <v>45291</v>
      </c>
      <c r="H67" s="31"/>
      <c r="I67" s="119">
        <f t="shared" ref="I67:AG67" si="5">-I14</f>
        <v>-1000000</v>
      </c>
      <c r="J67" s="119">
        <f t="shared" si="5"/>
        <v>-1000000</v>
      </c>
      <c r="K67" s="119">
        <f t="shared" si="5"/>
        <v>-1000000</v>
      </c>
      <c r="L67" s="119">
        <f t="shared" si="5"/>
        <v>-1000000</v>
      </c>
      <c r="M67" s="119">
        <f t="shared" si="5"/>
        <v>-1000000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Replacement of poor condition cable sections</v>
      </c>
      <c r="D68" s="38"/>
      <c r="F68" s="97"/>
      <c r="G68" s="214">
        <f>input_dollars</f>
        <v>45291</v>
      </c>
      <c r="H68" s="31"/>
      <c r="I68" s="119">
        <f t="shared" ref="I68:AG68" si="6">-I15</f>
        <v>0</v>
      </c>
      <c r="J68" s="119">
        <f t="shared" si="6"/>
        <v>-1191610.21358</v>
      </c>
      <c r="K68" s="119">
        <f t="shared" si="6"/>
        <v>-1191610.21358</v>
      </c>
      <c r="L68" s="119">
        <f t="shared" si="6"/>
        <v>-1191610.21358</v>
      </c>
      <c r="M68" s="119">
        <f t="shared" si="6"/>
        <v>-1191610.21358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Condition assessment of top 30 delta risk cable sections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-1000000</v>
      </c>
      <c r="J72" s="119" cm="1">
        <f t="array" ref="J72">SUMPRODUCT(($I67:J67))-SUMPRODUCT(($I67:J67)*($I$6:J$6&lt;=(J$6-$E14)))</f>
        <v>-1000000</v>
      </c>
      <c r="K72" s="119" cm="1">
        <f t="array" ref="K72">SUMPRODUCT(($I67:K67))-SUMPRODUCT(($I67:K67)*($I$6:K$6&lt;=(K$6-$E14)))</f>
        <v>-1000000</v>
      </c>
      <c r="L72" s="119" cm="1">
        <f t="array" ref="L72">SUMPRODUCT(($I67:L67))-SUMPRODUCT(($I67:L67)*($I$6:L$6&lt;=(L$6-$E14)))</f>
        <v>-1000000</v>
      </c>
      <c r="M72" s="119" cm="1">
        <f t="array" ref="M72">SUMPRODUCT(($I67:M67))-SUMPRODUCT(($I67:M67)*($I$6:M$6&lt;=(M$6-$E14)))</f>
        <v>-1000000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Replacement of poor condition cable sections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-1191610.21358</v>
      </c>
      <c r="K73" s="119" cm="1">
        <f t="array" ref="K73">SUMPRODUCT(($I68:K68))-SUMPRODUCT(($I68:K68)*($I$6:K$6&lt;=(K$6-$E15)))</f>
        <v>-2383220.42716</v>
      </c>
      <c r="L73" s="119" cm="1">
        <f t="array" ref="L73">SUMPRODUCT(($I68:L68))-SUMPRODUCT(($I68:L68)*($I$6:L$6&lt;=(L$6-$E15)))</f>
        <v>-3574830.6407399997</v>
      </c>
      <c r="M73" s="119" cm="1">
        <f t="array" ref="M73">SUMPRODUCT(($I68:M68))-SUMPRODUCT(($I68:M68)*($I$6:M$6&lt;=(M$6-$E15)))</f>
        <v>-4766440.8543199999</v>
      </c>
      <c r="N73" s="119" cm="1">
        <f t="array" ref="N73">SUMPRODUCT(($I68:N68))-SUMPRODUCT(($I68:N68)*($I$6:N$6&lt;=(N$6-$E15)))</f>
        <v>-4766440.8543199999</v>
      </c>
      <c r="O73" s="119" cm="1">
        <f t="array" ref="O73">SUMPRODUCT(($I68:O68))-SUMPRODUCT(($I68:O68)*($I$6:O$6&lt;=(O$6-$E15)))</f>
        <v>-4766440.8543199999</v>
      </c>
      <c r="P73" s="119" cm="1">
        <f t="array" ref="P73">SUMPRODUCT(($I68:P68))-SUMPRODUCT(($I68:P68)*($I$6:P$6&lt;=(P$6-$E15)))</f>
        <v>-4766440.8543199999</v>
      </c>
      <c r="Q73" s="119" cm="1">
        <f t="array" ref="Q73">SUMPRODUCT(($I68:Q68))-SUMPRODUCT(($I68:Q68)*($I$6:Q$6&lt;=(Q$6-$E15)))</f>
        <v>-4766440.8543199999</v>
      </c>
      <c r="R73" s="119" cm="1">
        <f t="array" ref="R73">SUMPRODUCT(($I68:R68))-SUMPRODUCT(($I68:R68)*($I$6:R$6&lt;=(R$6-$E15)))</f>
        <v>-4766440.8543199999</v>
      </c>
      <c r="S73" s="119" cm="1">
        <f t="array" ref="S73">SUMPRODUCT(($I68:S68))-SUMPRODUCT(($I68:S68)*($I$6:S$6&lt;=(S$6-$E15)))</f>
        <v>-4766440.8543199999</v>
      </c>
      <c r="T73" s="119" cm="1">
        <f t="array" ref="T73">SUMPRODUCT(($I68:T68))-SUMPRODUCT(($I68:T68)*($I$6:T$6&lt;=(T$6-$E15)))</f>
        <v>-4766440.8543199999</v>
      </c>
      <c r="U73" s="119" cm="1">
        <f t="array" ref="U73">SUMPRODUCT(($I68:U68))-SUMPRODUCT(($I68:U68)*($I$6:U$6&lt;=(U$6-$E15)))</f>
        <v>-4766440.8543199999</v>
      </c>
      <c r="V73" s="119" cm="1">
        <f t="array" ref="V73">SUMPRODUCT(($I68:V68))-SUMPRODUCT(($I68:V68)*($I$6:V$6&lt;=(V$6-$E15)))</f>
        <v>-4766440.8543199999</v>
      </c>
      <c r="W73" s="119" cm="1">
        <f t="array" ref="W73">SUMPRODUCT(($I68:W68))-SUMPRODUCT(($I68:W68)*($I$6:W$6&lt;=(W$6-$E15)))</f>
        <v>-4766440.8543199999</v>
      </c>
      <c r="X73" s="119" cm="1">
        <f t="array" ref="X73">SUMPRODUCT(($I68:X68))-SUMPRODUCT(($I68:X68)*($I$6:X$6&lt;=(X$6-$E15)))</f>
        <v>-4766440.8543199999</v>
      </c>
      <c r="Y73" s="119" cm="1">
        <f t="array" ref="Y73">SUMPRODUCT(($I68:Y68))-SUMPRODUCT(($I68:Y68)*($I$6:Y$6&lt;=(Y$6-$E15)))</f>
        <v>-4766440.8543199999</v>
      </c>
      <c r="Z73" s="119" cm="1">
        <f t="array" ref="Z73">SUMPRODUCT(($I68:Z68))-SUMPRODUCT(($I68:Z68)*($I$6:Z$6&lt;=(Z$6-$E15)))</f>
        <v>-4766440.8543199999</v>
      </c>
      <c r="AA73" s="119" cm="1">
        <f t="array" ref="AA73">SUMPRODUCT(($I68:AA68))-SUMPRODUCT(($I68:AA68)*($I$6:AA$6&lt;=(AA$6-$E15)))</f>
        <v>-4766440.8543199999</v>
      </c>
      <c r="AB73" s="119" cm="1">
        <f t="array" ref="AB73">SUMPRODUCT(($I68:AB68))-SUMPRODUCT(($I68:AB68)*($I$6:AB$6&lt;=(AB$6-$E15)))</f>
        <v>-4766440.8543199999</v>
      </c>
      <c r="AC73" s="119" cm="1">
        <f t="array" ref="AC73">SUMPRODUCT(($I68:AC68))-SUMPRODUCT(($I68:AC68)*($I$6:AC$6&lt;=(AC$6-$E15)))</f>
        <v>-4766440.8543199999</v>
      </c>
      <c r="AD73" s="119" cm="1">
        <f t="array" ref="AD73">SUMPRODUCT(($I68:AD68))-SUMPRODUCT(($I68:AD68)*($I$6:AD$6&lt;=(AD$6-$E15)))</f>
        <v>-4766440.8543199999</v>
      </c>
      <c r="AE73" s="119" cm="1">
        <f t="array" ref="AE73">SUMPRODUCT(($I68:AE68))-SUMPRODUCT(($I68:AE68)*($I$6:AE$6&lt;=(AE$6-$E15)))</f>
        <v>-4766440.8543199999</v>
      </c>
      <c r="AF73" s="119" cm="1">
        <f t="array" ref="AF73">SUMPRODUCT(($I68:AF68))-SUMPRODUCT(($I68:AF68)*($I$6:AF$6&lt;=(AF$6-$E15)))</f>
        <v>-4766440.8543199999</v>
      </c>
      <c r="AG73" s="119" cm="1">
        <f t="array" ref="AG73">SUMPRODUCT(($I68:AG68))-SUMPRODUCT(($I68:AG68)*($I$6:AG$6&lt;=(AG$6-$E15)))</f>
        <v>-4766440.8543199999</v>
      </c>
    </row>
    <row r="74" spans="1:33" x14ac:dyDescent="0.2">
      <c r="A74" s="8"/>
      <c r="B74" s="8"/>
      <c r="C74" s="4">
        <f>C16</f>
        <v>0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Condition assessment of top 30 delta risk cable sections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-1035000.0000000002</v>
      </c>
      <c r="K77" s="119">
        <f t="shared" si="8"/>
        <v>-1035000.0000000002</v>
      </c>
      <c r="L77" s="119">
        <f t="shared" si="8"/>
        <v>-1035000.0000000002</v>
      </c>
      <c r="M77" s="119">
        <f t="shared" si="8"/>
        <v>-1035000.0000000002</v>
      </c>
      <c r="N77" s="119">
        <f t="shared" si="8"/>
        <v>-1035000.0000000002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Replacement of poor condition cable sections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-47770.010613513354</v>
      </c>
      <c r="L78" s="119">
        <f t="shared" si="9"/>
        <v>-95540.021227026707</v>
      </c>
      <c r="M78" s="119">
        <f t="shared" si="9"/>
        <v>-143310.03184054006</v>
      </c>
      <c r="N78" s="119">
        <f t="shared" si="9"/>
        <v>-191080.04245405341</v>
      </c>
      <c r="O78" s="119">
        <f t="shared" si="9"/>
        <v>-191080.04245405341</v>
      </c>
      <c r="P78" s="119">
        <f t="shared" si="9"/>
        <v>-191080.04245405341</v>
      </c>
      <c r="Q78" s="119">
        <f t="shared" si="9"/>
        <v>-191080.04245405341</v>
      </c>
      <c r="R78" s="119">
        <f t="shared" si="9"/>
        <v>-191080.04245405341</v>
      </c>
      <c r="S78" s="119">
        <f t="shared" si="9"/>
        <v>-191080.04245405341</v>
      </c>
      <c r="T78" s="119">
        <f t="shared" si="9"/>
        <v>-191080.04245405341</v>
      </c>
      <c r="U78" s="119">
        <f t="shared" si="9"/>
        <v>-191080.04245405341</v>
      </c>
      <c r="V78" s="119">
        <f t="shared" si="9"/>
        <v>-191080.04245405341</v>
      </c>
      <c r="W78" s="119">
        <f t="shared" si="9"/>
        <v>-191080.04245405341</v>
      </c>
      <c r="X78" s="119">
        <f t="shared" si="9"/>
        <v>-191080.04245405341</v>
      </c>
      <c r="Y78" s="119">
        <f t="shared" si="9"/>
        <v>-191080.04245405341</v>
      </c>
      <c r="Z78" s="119">
        <f t="shared" si="9"/>
        <v>-191080.04245405341</v>
      </c>
      <c r="AA78" s="119">
        <f t="shared" si="9"/>
        <v>-191080.04245405341</v>
      </c>
      <c r="AB78" s="119">
        <f t="shared" si="9"/>
        <v>-191080.04245405341</v>
      </c>
      <c r="AC78" s="119">
        <f t="shared" si="9"/>
        <v>-191080.04245405341</v>
      </c>
      <c r="AD78" s="119">
        <f t="shared" si="9"/>
        <v>-191080.04245405341</v>
      </c>
      <c r="AE78" s="119">
        <f t="shared" si="9"/>
        <v>-191080.04245405341</v>
      </c>
      <c r="AF78" s="119">
        <f t="shared" si="9"/>
        <v>-191080.04245405341</v>
      </c>
      <c r="AG78" s="119">
        <f t="shared" si="9"/>
        <v>-191080.04245405341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-1035000.0000000002</v>
      </c>
      <c r="K80" s="180">
        <f t="shared" si="11"/>
        <v>-1082770.0106135136</v>
      </c>
      <c r="L80" s="180">
        <f t="shared" si="11"/>
        <v>-1130540.0212270268</v>
      </c>
      <c r="M80" s="180">
        <f t="shared" si="11"/>
        <v>-1178310.0318405402</v>
      </c>
      <c r="N80" s="180">
        <f t="shared" si="11"/>
        <v>-1226080.0424540536</v>
      </c>
      <c r="O80" s="180">
        <f t="shared" si="11"/>
        <v>-191080.04245405341</v>
      </c>
      <c r="P80" s="180">
        <f t="shared" si="11"/>
        <v>-191080.04245405341</v>
      </c>
      <c r="Q80" s="180">
        <f t="shared" si="11"/>
        <v>-191080.04245405341</v>
      </c>
      <c r="R80" s="180">
        <f t="shared" si="11"/>
        <v>-191080.04245405341</v>
      </c>
      <c r="S80" s="180">
        <f t="shared" si="11"/>
        <v>-191080.04245405341</v>
      </c>
      <c r="T80" s="180">
        <f t="shared" si="11"/>
        <v>-191080.04245405341</v>
      </c>
      <c r="U80" s="180">
        <f t="shared" si="11"/>
        <v>-191080.04245405341</v>
      </c>
      <c r="V80" s="180">
        <f t="shared" si="11"/>
        <v>-191080.04245405341</v>
      </c>
      <c r="W80" s="180">
        <f t="shared" si="11"/>
        <v>-191080.04245405341</v>
      </c>
      <c r="X80" s="180">
        <f t="shared" si="11"/>
        <v>-191080.04245405341</v>
      </c>
      <c r="Y80" s="180">
        <f t="shared" si="11"/>
        <v>-191080.04245405341</v>
      </c>
      <c r="Z80" s="180">
        <f t="shared" si="11"/>
        <v>-191080.04245405341</v>
      </c>
      <c r="AA80" s="180">
        <f t="shared" si="11"/>
        <v>-191080.04245405341</v>
      </c>
      <c r="AB80" s="180">
        <f t="shared" si="11"/>
        <v>-191080.04245405341</v>
      </c>
      <c r="AC80" s="180">
        <f>SUM(AC77:AC79)</f>
        <v>-191080.04245405341</v>
      </c>
      <c r="AD80" s="180">
        <f>SUM(AD77:AD79)</f>
        <v>-191080.04245405341</v>
      </c>
      <c r="AE80" s="180">
        <f>SUM(AE77:AE79)</f>
        <v>-191080.04245405341</v>
      </c>
      <c r="AF80" s="180">
        <f>SUM(AF77:AF79)</f>
        <v>-191080.04245405341</v>
      </c>
      <c r="AG80" s="180">
        <f>SUM(AG77:AG79)</f>
        <v>-191080.04245405341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-1035000.0000000002</v>
      </c>
      <c r="K82" s="119">
        <f t="shared" si="13"/>
        <v>-1082770.0106135136</v>
      </c>
      <c r="L82" s="119">
        <f t="shared" si="13"/>
        <v>-1130540.0212270268</v>
      </c>
      <c r="M82" s="119">
        <f t="shared" si="13"/>
        <v>-1178310.0318405402</v>
      </c>
      <c r="N82" s="119">
        <f t="shared" si="13"/>
        <v>-1226080.0424540536</v>
      </c>
      <c r="O82" s="119">
        <f t="shared" si="13"/>
        <v>-191080.04245405341</v>
      </c>
      <c r="P82" s="119">
        <f t="shared" si="13"/>
        <v>-191080.04245405341</v>
      </c>
      <c r="Q82" s="119">
        <f t="shared" si="13"/>
        <v>-191080.04245405341</v>
      </c>
      <c r="R82" s="119">
        <f t="shared" si="13"/>
        <v>-191080.04245405341</v>
      </c>
      <c r="S82" s="119">
        <f t="shared" si="13"/>
        <v>-191080.04245405341</v>
      </c>
      <c r="T82" s="119">
        <f t="shared" si="13"/>
        <v>-191080.04245405341</v>
      </c>
      <c r="U82" s="119">
        <f t="shared" si="13"/>
        <v>-191080.04245405341</v>
      </c>
      <c r="V82" s="119">
        <f t="shared" si="13"/>
        <v>-191080.04245405341</v>
      </c>
      <c r="W82" s="119">
        <f t="shared" si="13"/>
        <v>-191080.04245405341</v>
      </c>
      <c r="X82" s="119">
        <f t="shared" si="13"/>
        <v>-191080.04245405341</v>
      </c>
      <c r="Y82" s="119">
        <f t="shared" si="13"/>
        <v>-191080.04245405341</v>
      </c>
      <c r="Z82" s="119">
        <f t="shared" si="13"/>
        <v>-191080.04245405341</v>
      </c>
      <c r="AA82" s="119">
        <f t="shared" si="13"/>
        <v>-191080.04245405341</v>
      </c>
      <c r="AB82" s="119">
        <f t="shared" si="13"/>
        <v>-191080.04245405341</v>
      </c>
      <c r="AC82" s="119">
        <f>AC80</f>
        <v>-191080.04245405341</v>
      </c>
      <c r="AD82" s="119">
        <f>AD80</f>
        <v>-191080.04245405341</v>
      </c>
      <c r="AE82" s="119">
        <f>AE80</f>
        <v>-191080.04245405341</v>
      </c>
      <c r="AF82" s="119">
        <f>AF80</f>
        <v>-191080.04245405341</v>
      </c>
      <c r="AG82" s="119">
        <f>AG80</f>
        <v>-191080.04245405341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1523374.5266522393</v>
      </c>
      <c r="J84" s="31">
        <f t="shared" ref="J84:AB84" si="15">J64</f>
        <v>1849882.9553789347</v>
      </c>
      <c r="K84" s="31">
        <f t="shared" si="15"/>
        <v>2255974.5969554782</v>
      </c>
      <c r="L84" s="31">
        <f t="shared" si="15"/>
        <v>2762380.3935613632</v>
      </c>
      <c r="M84" s="31">
        <f t="shared" si="15"/>
        <v>3395455.5957673341</v>
      </c>
      <c r="N84" s="31">
        <f t="shared" si="15"/>
        <v>394868.67670468986</v>
      </c>
      <c r="O84" s="31">
        <f t="shared" si="15"/>
        <v>482398.95938074589</v>
      </c>
      <c r="P84" s="31">
        <f t="shared" si="15"/>
        <v>534925.90584874153</v>
      </c>
      <c r="Q84" s="31">
        <f t="shared" si="15"/>
        <v>567288.53523254395</v>
      </c>
      <c r="R84" s="31">
        <f t="shared" si="15"/>
        <v>571429.82408463955</v>
      </c>
      <c r="S84" s="31">
        <f t="shared" si="15"/>
        <v>574066.70051631331</v>
      </c>
      <c r="T84" s="31">
        <f t="shared" si="15"/>
        <v>576922.93780505657</v>
      </c>
      <c r="U84" s="31">
        <f t="shared" si="15"/>
        <v>580017.29699939489</v>
      </c>
      <c r="V84" s="31">
        <f t="shared" si="15"/>
        <v>583370.17112672329</v>
      </c>
      <c r="W84" s="31">
        <f t="shared" si="15"/>
        <v>587003.72869819403</v>
      </c>
      <c r="X84" s="31">
        <f t="shared" si="15"/>
        <v>590942.06992131472</v>
      </c>
      <c r="Y84" s="31">
        <f t="shared" si="15"/>
        <v>595211.39675170183</v>
      </c>
      <c r="Z84" s="31">
        <f t="shared" si="15"/>
        <v>599840.19801539183</v>
      </c>
      <c r="AA84" s="31">
        <f t="shared" si="15"/>
        <v>604859.45094192028</v>
      </c>
      <c r="AB84" s="31">
        <f t="shared" si="15"/>
        <v>610302.84057146311</v>
      </c>
      <c r="AC84" s="31">
        <f>AC64</f>
        <v>616206.9986256361</v>
      </c>
      <c r="AD84" s="31">
        <f>AD64</f>
        <v>622611.76357793808</v>
      </c>
      <c r="AE84" s="31">
        <f>AE64</f>
        <v>629560.46380901337</v>
      </c>
      <c r="AF84" s="31">
        <f>AF64</f>
        <v>637100.22590905428</v>
      </c>
      <c r="AG84" s="31">
        <f>AG64</f>
        <v>645282.3103633523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1523374.5266522393</v>
      </c>
      <c r="J87" s="183">
        <f t="shared" si="17"/>
        <v>814882.95537893451</v>
      </c>
      <c r="K87" s="183">
        <f t="shared" si="17"/>
        <v>1173204.5863419645</v>
      </c>
      <c r="L87" s="183">
        <f t="shared" si="17"/>
        <v>1631840.3723343364</v>
      </c>
      <c r="M87" s="183">
        <f t="shared" si="17"/>
        <v>2217145.5639267936</v>
      </c>
      <c r="N87" s="183">
        <f t="shared" si="17"/>
        <v>-831211.36574936379</v>
      </c>
      <c r="O87" s="183">
        <f t="shared" si="17"/>
        <v>291318.91692669247</v>
      </c>
      <c r="P87" s="183">
        <f t="shared" si="17"/>
        <v>343845.86339468812</v>
      </c>
      <c r="Q87" s="183">
        <f t="shared" si="17"/>
        <v>376208.49277849053</v>
      </c>
      <c r="R87" s="183">
        <f t="shared" si="17"/>
        <v>380349.78163058613</v>
      </c>
      <c r="S87" s="183">
        <f t="shared" si="17"/>
        <v>382986.6580622599</v>
      </c>
      <c r="T87" s="183">
        <f t="shared" si="17"/>
        <v>385842.89535100316</v>
      </c>
      <c r="U87" s="183">
        <f t="shared" si="17"/>
        <v>388937.25454534148</v>
      </c>
      <c r="V87" s="183">
        <f t="shared" si="17"/>
        <v>392290.12867266987</v>
      </c>
      <c r="W87" s="183">
        <f t="shared" si="17"/>
        <v>395923.68624414061</v>
      </c>
      <c r="X87" s="183">
        <f t="shared" si="17"/>
        <v>399862.0274672613</v>
      </c>
      <c r="Y87" s="183">
        <f t="shared" si="17"/>
        <v>404131.35429764842</v>
      </c>
      <c r="Z87" s="183">
        <f t="shared" si="17"/>
        <v>408760.15556133841</v>
      </c>
      <c r="AA87" s="183">
        <f t="shared" si="17"/>
        <v>413779.40848786687</v>
      </c>
      <c r="AB87" s="183">
        <f t="shared" si="17"/>
        <v>419222.79811740969</v>
      </c>
      <c r="AC87" s="183">
        <f>SUM(AC82:AC86)</f>
        <v>425126.95617158269</v>
      </c>
      <c r="AD87" s="183">
        <f>SUM(AD82:AD86)</f>
        <v>431531.72112388466</v>
      </c>
      <c r="AE87" s="183">
        <f>SUM(AE82:AE86)</f>
        <v>438480.42135495995</v>
      </c>
      <c r="AF87" s="183">
        <f>SUM(AF82:AF86)</f>
        <v>446020.18345500086</v>
      </c>
      <c r="AG87" s="183">
        <f>SUM(AG82:AG86)</f>
        <v>454202.26790929888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1523374.5266522393</v>
      </c>
      <c r="J106" s="31">
        <f t="shared" ref="J106:AG106" si="18">J87</f>
        <v>814882.95537893451</v>
      </c>
      <c r="K106" s="31">
        <f t="shared" si="18"/>
        <v>1173204.5863419645</v>
      </c>
      <c r="L106" s="31">
        <f t="shared" si="18"/>
        <v>1631840.3723343364</v>
      </c>
      <c r="M106" s="31">
        <f t="shared" si="18"/>
        <v>2217145.5639267936</v>
      </c>
      <c r="N106" s="31">
        <f t="shared" si="18"/>
        <v>-831211.36574936379</v>
      </c>
      <c r="O106" s="31">
        <f t="shared" si="18"/>
        <v>291318.91692669247</v>
      </c>
      <c r="P106" s="31">
        <f t="shared" si="18"/>
        <v>343845.86339468812</v>
      </c>
      <c r="Q106" s="31">
        <f t="shared" si="18"/>
        <v>376208.49277849053</v>
      </c>
      <c r="R106" s="31">
        <f t="shared" si="18"/>
        <v>380349.78163058613</v>
      </c>
      <c r="S106" s="31">
        <f t="shared" si="18"/>
        <v>382986.6580622599</v>
      </c>
      <c r="T106" s="31">
        <f t="shared" si="18"/>
        <v>385842.89535100316</v>
      </c>
      <c r="U106" s="31">
        <f t="shared" si="18"/>
        <v>388937.25454534148</v>
      </c>
      <c r="V106" s="31">
        <f t="shared" si="18"/>
        <v>392290.12867266987</v>
      </c>
      <c r="W106" s="31">
        <f t="shared" si="18"/>
        <v>395923.68624414061</v>
      </c>
      <c r="X106" s="31">
        <f t="shared" si="18"/>
        <v>399862.0274672613</v>
      </c>
      <c r="Y106" s="31">
        <f t="shared" si="18"/>
        <v>404131.35429764842</v>
      </c>
      <c r="Z106" s="31">
        <f t="shared" si="18"/>
        <v>408760.15556133841</v>
      </c>
      <c r="AA106" s="31">
        <f t="shared" si="18"/>
        <v>413779.40848786687</v>
      </c>
      <c r="AB106" s="31">
        <f t="shared" si="18"/>
        <v>419222.79811740969</v>
      </c>
      <c r="AC106" s="31">
        <f t="shared" si="18"/>
        <v>425126.95617158269</v>
      </c>
      <c r="AD106" s="31">
        <f t="shared" si="18"/>
        <v>431531.72112388466</v>
      </c>
      <c r="AE106" s="31">
        <f t="shared" si="18"/>
        <v>438480.42135495995</v>
      </c>
      <c r="AF106" s="31">
        <f t="shared" si="18"/>
        <v>446020.18345500086</v>
      </c>
      <c r="AG106" s="31">
        <f t="shared" si="18"/>
        <v>454202.26790929888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-1035000.0000000002</v>
      </c>
      <c r="K107" s="31">
        <f t="shared" si="19"/>
        <v>-1082770.0106135136</v>
      </c>
      <c r="L107" s="31">
        <f t="shared" si="19"/>
        <v>-1130540.0212270268</v>
      </c>
      <c r="M107" s="31">
        <f t="shared" si="19"/>
        <v>-1178310.0318405402</v>
      </c>
      <c r="N107" s="31">
        <f t="shared" si="19"/>
        <v>-1226080.0424540536</v>
      </c>
      <c r="O107" s="31">
        <f t="shared" si="19"/>
        <v>-191080.04245405341</v>
      </c>
      <c r="P107" s="31">
        <f t="shared" si="19"/>
        <v>-191080.04245405341</v>
      </c>
      <c r="Q107" s="31">
        <f t="shared" si="19"/>
        <v>-191080.04245405341</v>
      </c>
      <c r="R107" s="31">
        <f t="shared" si="19"/>
        <v>-191080.04245405341</v>
      </c>
      <c r="S107" s="31">
        <f t="shared" si="19"/>
        <v>-191080.04245405341</v>
      </c>
      <c r="T107" s="31">
        <f t="shared" si="19"/>
        <v>-191080.04245405341</v>
      </c>
      <c r="U107" s="31">
        <f t="shared" si="19"/>
        <v>-191080.04245405341</v>
      </c>
      <c r="V107" s="31">
        <f t="shared" si="19"/>
        <v>-191080.04245405341</v>
      </c>
      <c r="W107" s="31">
        <f t="shared" si="19"/>
        <v>-191080.04245405341</v>
      </c>
      <c r="X107" s="31">
        <f t="shared" si="19"/>
        <v>-191080.04245405341</v>
      </c>
      <c r="Y107" s="31">
        <f t="shared" si="19"/>
        <v>-191080.04245405341</v>
      </c>
      <c r="Z107" s="31">
        <f t="shared" si="19"/>
        <v>-191080.04245405341</v>
      </c>
      <c r="AA107" s="31">
        <f t="shared" si="19"/>
        <v>-191080.04245405341</v>
      </c>
      <c r="AB107" s="31">
        <f t="shared" si="19"/>
        <v>-191080.04245405341</v>
      </c>
      <c r="AC107" s="31">
        <f t="shared" si="19"/>
        <v>-191080.04245405341</v>
      </c>
      <c r="AD107" s="31">
        <f t="shared" si="19"/>
        <v>-191080.04245405341</v>
      </c>
      <c r="AE107" s="31">
        <f t="shared" si="19"/>
        <v>-191080.04245405341</v>
      </c>
      <c r="AF107" s="31">
        <f t="shared" si="19"/>
        <v>-191080.04245405341</v>
      </c>
      <c r="AG107" s="31">
        <f t="shared" si="19"/>
        <v>-191080.04245405341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1523374.5266522393</v>
      </c>
      <c r="J108" s="31">
        <f t="shared" ref="J108:AG108" si="20">SUM(J84:J85)</f>
        <v>1849882.9553789347</v>
      </c>
      <c r="K108" s="31">
        <f t="shared" si="20"/>
        <v>2255974.5969554782</v>
      </c>
      <c r="L108" s="31">
        <f t="shared" si="20"/>
        <v>2762380.3935613632</v>
      </c>
      <c r="M108" s="31">
        <f t="shared" si="20"/>
        <v>3395455.5957673341</v>
      </c>
      <c r="N108" s="31">
        <f t="shared" si="20"/>
        <v>394868.67670468986</v>
      </c>
      <c r="O108" s="31">
        <f t="shared" si="20"/>
        <v>482398.95938074589</v>
      </c>
      <c r="P108" s="31">
        <f t="shared" si="20"/>
        <v>534925.90584874153</v>
      </c>
      <c r="Q108" s="31">
        <f t="shared" si="20"/>
        <v>567288.53523254395</v>
      </c>
      <c r="R108" s="31">
        <f t="shared" si="20"/>
        <v>571429.82408463955</v>
      </c>
      <c r="S108" s="31">
        <f t="shared" si="20"/>
        <v>574066.70051631331</v>
      </c>
      <c r="T108" s="31">
        <f t="shared" si="20"/>
        <v>576922.93780505657</v>
      </c>
      <c r="U108" s="31">
        <f t="shared" si="20"/>
        <v>580017.29699939489</v>
      </c>
      <c r="V108" s="31">
        <f t="shared" si="20"/>
        <v>583370.17112672329</v>
      </c>
      <c r="W108" s="31">
        <f t="shared" si="20"/>
        <v>587003.72869819403</v>
      </c>
      <c r="X108" s="31">
        <f t="shared" si="20"/>
        <v>590942.06992131472</v>
      </c>
      <c r="Y108" s="31">
        <f t="shared" si="20"/>
        <v>595211.39675170183</v>
      </c>
      <c r="Z108" s="31">
        <f t="shared" si="20"/>
        <v>599840.19801539183</v>
      </c>
      <c r="AA108" s="31">
        <f t="shared" si="20"/>
        <v>604859.45094192028</v>
      </c>
      <c r="AB108" s="31">
        <f t="shared" si="20"/>
        <v>610302.84057146311</v>
      </c>
      <c r="AC108" s="31">
        <f t="shared" si="20"/>
        <v>616206.9986256361</v>
      </c>
      <c r="AD108" s="31">
        <f t="shared" si="20"/>
        <v>622611.76357793808</v>
      </c>
      <c r="AE108" s="31">
        <f t="shared" si="20"/>
        <v>629560.46380901337</v>
      </c>
      <c r="AF108" s="31">
        <f t="shared" si="20"/>
        <v>637100.22590905428</v>
      </c>
      <c r="AG108" s="31">
        <f t="shared" si="20"/>
        <v>645282.3103633523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1523374.5266522393</v>
      </c>
      <c r="J110" s="31" cm="1">
        <f t="array" ref="J110">J$106+IF($C110&lt;&gt;0,SUMPRODUCT((J$107:J$108)*TRANSPOSE(($D110:$E110))),0)</f>
        <v>711382.95537893451</v>
      </c>
      <c r="K110" s="31" cm="1">
        <f t="array" ref="K110">K$106+IF($C110&lt;&gt;0,SUMPRODUCT((K$107:K$108)*TRANSPOSE(($D110:$E110))),0)</f>
        <v>1064927.5852806133</v>
      </c>
      <c r="L110" s="31" cm="1">
        <f t="array" ref="L110">L$106+IF($C110&lt;&gt;0,SUMPRODUCT((L$107:L$108)*TRANSPOSE(($D110:$E110))),0)</f>
        <v>1518786.3702116336</v>
      </c>
      <c r="M110" s="31" cm="1">
        <f t="array" ref="M110">M$106+IF($C110&lt;&gt;0,SUMPRODUCT((M$107:M$108)*TRANSPOSE(($D110:$E110))),0)</f>
        <v>2099314.5607427396</v>
      </c>
      <c r="N110" s="31" cm="1">
        <f t="array" ref="N110">N$106+IF($C110&lt;&gt;0,SUMPRODUCT((N$107:N$108)*TRANSPOSE(($D110:$E110))),0)</f>
        <v>-953819.36999476911</v>
      </c>
      <c r="O110" s="31" cm="1">
        <f t="array" ref="O110">O$106+IF($C110&lt;&gt;0,SUMPRODUCT((O$107:O$108)*TRANSPOSE(($D110:$E110))),0)</f>
        <v>272210.91268128715</v>
      </c>
      <c r="P110" s="31" cm="1">
        <f t="array" ref="P110">P$106+IF($C110&lt;&gt;0,SUMPRODUCT((P$107:P$108)*TRANSPOSE(($D110:$E110))),0)</f>
        <v>324737.8591492828</v>
      </c>
      <c r="Q110" s="31" cm="1">
        <f t="array" ref="Q110">Q$106+IF($C110&lt;&gt;0,SUMPRODUCT((Q$107:Q$108)*TRANSPOSE(($D110:$E110))),0)</f>
        <v>357100.48853308521</v>
      </c>
      <c r="R110" s="31" cm="1">
        <f t="array" ref="R110">R$106+IF($C110&lt;&gt;0,SUMPRODUCT((R$107:R$108)*TRANSPOSE(($D110:$E110))),0)</f>
        <v>361241.77738518082</v>
      </c>
      <c r="S110" s="31" cm="1">
        <f t="array" ref="S110">S$106+IF($C110&lt;&gt;0,SUMPRODUCT((S$107:S$108)*TRANSPOSE(($D110:$E110))),0)</f>
        <v>363878.65381685458</v>
      </c>
      <c r="T110" s="31" cm="1">
        <f t="array" ref="T110">T$106+IF($C110&lt;&gt;0,SUMPRODUCT((T$107:T$108)*TRANSPOSE(($D110:$E110))),0)</f>
        <v>366734.89110559784</v>
      </c>
      <c r="U110" s="31" cm="1">
        <f t="array" ref="U110">U$106+IF($C110&lt;&gt;0,SUMPRODUCT((U$107:U$108)*TRANSPOSE(($D110:$E110))),0)</f>
        <v>369829.25029993616</v>
      </c>
      <c r="V110" s="31" cm="1">
        <f t="array" ref="V110">V$106+IF($C110&lt;&gt;0,SUMPRODUCT((V$107:V$108)*TRANSPOSE(($D110:$E110))),0)</f>
        <v>373182.12442726456</v>
      </c>
      <c r="W110" s="31" cm="1">
        <f t="array" ref="W110">W$106+IF($C110&lt;&gt;0,SUMPRODUCT((W$107:W$108)*TRANSPOSE(($D110:$E110))),0)</f>
        <v>376815.68199873529</v>
      </c>
      <c r="X110" s="31" cm="1">
        <f t="array" ref="X110">X$106+IF($C110&lt;&gt;0,SUMPRODUCT((X$107:X$108)*TRANSPOSE(($D110:$E110))),0)</f>
        <v>380754.02322185598</v>
      </c>
      <c r="Y110" s="31" cm="1">
        <f t="array" ref="Y110">Y$106+IF($C110&lt;&gt;0,SUMPRODUCT((Y$107:Y$108)*TRANSPOSE(($D110:$E110))),0)</f>
        <v>385023.3500522431</v>
      </c>
      <c r="Z110" s="31" cm="1">
        <f t="array" ref="Z110">Z$106+IF($C110&lt;&gt;0,SUMPRODUCT((Z$107:Z$108)*TRANSPOSE(($D110:$E110))),0)</f>
        <v>389652.15131593309</v>
      </c>
      <c r="AA110" s="31" cm="1">
        <f t="array" ref="AA110">AA$106+IF($C110&lt;&gt;0,SUMPRODUCT((AA$107:AA$108)*TRANSPOSE(($D110:$E110))),0)</f>
        <v>394671.40424246155</v>
      </c>
      <c r="AB110" s="31" cm="1">
        <f t="array" ref="AB110">AB$106+IF($C110&lt;&gt;0,SUMPRODUCT((AB$107:AB$108)*TRANSPOSE(($D110:$E110))),0)</f>
        <v>400114.79387200437</v>
      </c>
      <c r="AC110" s="31" cm="1">
        <f t="array" ref="AC110">AC$106+IF($C110&lt;&gt;0,SUMPRODUCT((AC$107:AC$108)*TRANSPOSE(($D110:$E110))),0)</f>
        <v>406018.95192617737</v>
      </c>
      <c r="AD110" s="31" cm="1">
        <f t="array" ref="AD110">AD$106+IF($C110&lt;&gt;0,SUMPRODUCT((AD$107:AD$108)*TRANSPOSE(($D110:$E110))),0)</f>
        <v>412423.71687847935</v>
      </c>
      <c r="AE110" s="31" cm="1">
        <f t="array" ref="AE110">AE$106+IF($C110&lt;&gt;0,SUMPRODUCT((AE$107:AE$108)*TRANSPOSE(($D110:$E110))),0)</f>
        <v>419372.41710955463</v>
      </c>
      <c r="AF110" s="31" cm="1">
        <f t="array" ref="AF110">AF$106+IF($C110&lt;&gt;0,SUMPRODUCT((AF$107:AF$108)*TRANSPOSE(($D110:$E110))),0)</f>
        <v>426912.17920959555</v>
      </c>
      <c r="AG110" s="31" cm="1">
        <f t="array" ref="AG110">AG$106+IF($C110&lt;&gt;0,SUMPRODUCT((AG$107:AG$108)*TRANSPOSE(($D110:$E110))),0)</f>
        <v>435094.26366389357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1523374.5266522393</v>
      </c>
      <c r="J111" s="31" cm="1">
        <f t="array" ref="J111">J$106+IF($C111&lt;&gt;0,SUMPRODUCT((J$107:J$108)*TRANSPOSE(($D111:$E111))),0)</f>
        <v>918382.95537893451</v>
      </c>
      <c r="K111" s="31" cm="1">
        <f t="array" ref="K111">K$106+IF($C111&lt;&gt;0,SUMPRODUCT((K$107:K$108)*TRANSPOSE(($D111:$E111))),0)</f>
        <v>1281481.5874033158</v>
      </c>
      <c r="L111" s="31" cm="1">
        <f t="array" ref="L111">L$106+IF($C111&lt;&gt;0,SUMPRODUCT((L$107:L$108)*TRANSPOSE(($D111:$E111))),0)</f>
        <v>1744894.3744570392</v>
      </c>
      <c r="M111" s="31" cm="1">
        <f t="array" ref="M111">M$106+IF($C111&lt;&gt;0,SUMPRODUCT((M$107:M$108)*TRANSPOSE(($D111:$E111))),0)</f>
        <v>2334976.5671108477</v>
      </c>
      <c r="N111" s="31" cm="1">
        <f t="array" ref="N111">N$106+IF($C111&lt;&gt;0,SUMPRODUCT((N$107:N$108)*TRANSPOSE(($D111:$E111))),0)</f>
        <v>-708603.36150395847</v>
      </c>
      <c r="O111" s="31" cm="1">
        <f t="array" ref="O111">O$106+IF($C111&lt;&gt;0,SUMPRODUCT((O$107:O$108)*TRANSPOSE(($D111:$E111))),0)</f>
        <v>310426.92117209779</v>
      </c>
      <c r="P111" s="31" cm="1">
        <f t="array" ref="P111">P$106+IF($C111&lt;&gt;0,SUMPRODUCT((P$107:P$108)*TRANSPOSE(($D111:$E111))),0)</f>
        <v>362953.86764009343</v>
      </c>
      <c r="Q111" s="31" cm="1">
        <f t="array" ref="Q111">Q$106+IF($C111&lt;&gt;0,SUMPRODUCT((Q$107:Q$108)*TRANSPOSE(($D111:$E111))),0)</f>
        <v>395316.49702389585</v>
      </c>
      <c r="R111" s="31" cm="1">
        <f t="array" ref="R111">R$106+IF($C111&lt;&gt;0,SUMPRODUCT((R$107:R$108)*TRANSPOSE(($D111:$E111))),0)</f>
        <v>399457.78587599145</v>
      </c>
      <c r="S111" s="31" cm="1">
        <f t="array" ref="S111">S$106+IF($C111&lt;&gt;0,SUMPRODUCT((S$107:S$108)*TRANSPOSE(($D111:$E111))),0)</f>
        <v>402094.66230766522</v>
      </c>
      <c r="T111" s="31" cm="1">
        <f t="array" ref="T111">T$106+IF($C111&lt;&gt;0,SUMPRODUCT((T$107:T$108)*TRANSPOSE(($D111:$E111))),0)</f>
        <v>404950.89959640848</v>
      </c>
      <c r="U111" s="31" cm="1">
        <f t="array" ref="U111">U$106+IF($C111&lt;&gt;0,SUMPRODUCT((U$107:U$108)*TRANSPOSE(($D111:$E111))),0)</f>
        <v>408045.2587907468</v>
      </c>
      <c r="V111" s="31" cm="1">
        <f t="array" ref="V111">V$106+IF($C111&lt;&gt;0,SUMPRODUCT((V$107:V$108)*TRANSPOSE(($D111:$E111))),0)</f>
        <v>411398.13291807519</v>
      </c>
      <c r="W111" s="31" cm="1">
        <f t="array" ref="W111">W$106+IF($C111&lt;&gt;0,SUMPRODUCT((W$107:W$108)*TRANSPOSE(($D111:$E111))),0)</f>
        <v>415031.69048954593</v>
      </c>
      <c r="X111" s="31" cm="1">
        <f t="array" ref="X111">X$106+IF($C111&lt;&gt;0,SUMPRODUCT((X$107:X$108)*TRANSPOSE(($D111:$E111))),0)</f>
        <v>418970.03171266662</v>
      </c>
      <c r="Y111" s="31" cm="1">
        <f t="array" ref="Y111">Y$106+IF($C111&lt;&gt;0,SUMPRODUCT((Y$107:Y$108)*TRANSPOSE(($D111:$E111))),0)</f>
        <v>423239.35854305374</v>
      </c>
      <c r="Z111" s="31" cm="1">
        <f t="array" ref="Z111">Z$106+IF($C111&lt;&gt;0,SUMPRODUCT((Z$107:Z$108)*TRANSPOSE(($D111:$E111))),0)</f>
        <v>427868.15980674373</v>
      </c>
      <c r="AA111" s="31" cm="1">
        <f t="array" ref="AA111">AA$106+IF($C111&lt;&gt;0,SUMPRODUCT((AA$107:AA$108)*TRANSPOSE(($D111:$E111))),0)</f>
        <v>432887.41273327218</v>
      </c>
      <c r="AB111" s="31" cm="1">
        <f t="array" ref="AB111">AB$106+IF($C111&lt;&gt;0,SUMPRODUCT((AB$107:AB$108)*TRANSPOSE(($D111:$E111))),0)</f>
        <v>438330.80236281501</v>
      </c>
      <c r="AC111" s="31" cm="1">
        <f t="array" ref="AC111">AC$106+IF($C111&lt;&gt;0,SUMPRODUCT((AC$107:AC$108)*TRANSPOSE(($D111:$E111))),0)</f>
        <v>444234.960416988</v>
      </c>
      <c r="AD111" s="31" cm="1">
        <f t="array" ref="AD111">AD$106+IF($C111&lt;&gt;0,SUMPRODUCT((AD$107:AD$108)*TRANSPOSE(($D111:$E111))),0)</f>
        <v>450639.72536928998</v>
      </c>
      <c r="AE111" s="31" cm="1">
        <f t="array" ref="AE111">AE$106+IF($C111&lt;&gt;0,SUMPRODUCT((AE$107:AE$108)*TRANSPOSE(($D111:$E111))),0)</f>
        <v>457588.42560036527</v>
      </c>
      <c r="AF111" s="31" cm="1">
        <f t="array" ref="AF111">AF$106+IF($C111&lt;&gt;0,SUMPRODUCT((AF$107:AF$108)*TRANSPOSE(($D111:$E111))),0)</f>
        <v>465128.18770040618</v>
      </c>
      <c r="AG111" s="31" cm="1">
        <f t="array" ref="AG111">AG$106+IF($C111&lt;&gt;0,SUMPRODUCT((AG$107:AG$108)*TRANSPOSE(($D111:$E111))),0)</f>
        <v>473310.2721547042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1675711.9793174632</v>
      </c>
      <c r="J112" s="31" cm="1">
        <f t="array" ref="J112">J$106+IF($C112&lt;&gt;0,SUMPRODUCT((J$107:J$108)*TRANSPOSE(($D112:$E112))),0)</f>
        <v>999871.25091682794</v>
      </c>
      <c r="K112" s="31" cm="1">
        <f t="array" ref="K112">K$106+IF($C112&lt;&gt;0,SUMPRODUCT((K$107:K$108)*TRANSPOSE(($D112:$E112))),0)</f>
        <v>1398802.0460375124</v>
      </c>
      <c r="L112" s="31" cm="1">
        <f t="array" ref="L112">L$106+IF($C112&lt;&gt;0,SUMPRODUCT((L$107:L$108)*TRANSPOSE(($D112:$E112))),0)</f>
        <v>1908078.4116904726</v>
      </c>
      <c r="M112" s="31" cm="1">
        <f t="array" ref="M112">M$106+IF($C112&lt;&gt;0,SUMPRODUCT((M$107:M$108)*TRANSPOSE(($D112:$E112))),0)</f>
        <v>2556691.1235035271</v>
      </c>
      <c r="N112" s="31" cm="1">
        <f t="array" ref="N112">N$106+IF($C112&lt;&gt;0,SUMPRODUCT((N$107:N$108)*TRANSPOSE(($D112:$E112))),0)</f>
        <v>-791724.4980788948</v>
      </c>
      <c r="O112" s="31" cm="1">
        <f t="array" ref="O112">O$106+IF($C112&lt;&gt;0,SUMPRODUCT((O$107:O$108)*TRANSPOSE(($D112:$E112))),0)</f>
        <v>339558.81286476704</v>
      </c>
      <c r="P112" s="31" cm="1">
        <f t="array" ref="P112">P$106+IF($C112&lt;&gt;0,SUMPRODUCT((P$107:P$108)*TRANSPOSE(($D112:$E112))),0)</f>
        <v>397338.45397956227</v>
      </c>
      <c r="Q112" s="31" cm="1">
        <f t="array" ref="Q112">Q$106+IF($C112&lt;&gt;0,SUMPRODUCT((Q$107:Q$108)*TRANSPOSE(($D112:$E112))),0)</f>
        <v>432937.34630174492</v>
      </c>
      <c r="R112" s="31" cm="1">
        <f t="array" ref="R112">R$106+IF($C112&lt;&gt;0,SUMPRODUCT((R$107:R$108)*TRANSPOSE(($D112:$E112))),0)</f>
        <v>437492.76403905009</v>
      </c>
      <c r="S112" s="31" cm="1">
        <f t="array" ref="S112">S$106+IF($C112&lt;&gt;0,SUMPRODUCT((S$107:S$108)*TRANSPOSE(($D112:$E112))),0)</f>
        <v>440393.32811389124</v>
      </c>
      <c r="T112" s="31" cm="1">
        <f t="array" ref="T112">T$106+IF($C112&lt;&gt;0,SUMPRODUCT((T$107:T$108)*TRANSPOSE(($D112:$E112))),0)</f>
        <v>443535.18913150881</v>
      </c>
      <c r="U112" s="31" cm="1">
        <f t="array" ref="U112">U$106+IF($C112&lt;&gt;0,SUMPRODUCT((U$107:U$108)*TRANSPOSE(($D112:$E112))),0)</f>
        <v>446938.98424528097</v>
      </c>
      <c r="V112" s="31" cm="1">
        <f t="array" ref="V112">V$106+IF($C112&lt;&gt;0,SUMPRODUCT((V$107:V$108)*TRANSPOSE(($D112:$E112))),0)</f>
        <v>450627.1457853422</v>
      </c>
      <c r="W112" s="31" cm="1">
        <f t="array" ref="W112">W$106+IF($C112&lt;&gt;0,SUMPRODUCT((W$107:W$108)*TRANSPOSE(($D112:$E112))),0)</f>
        <v>454624.05911396001</v>
      </c>
      <c r="X112" s="31" cm="1">
        <f t="array" ref="X112">X$106+IF($C112&lt;&gt;0,SUMPRODUCT((X$107:X$108)*TRANSPOSE(($D112:$E112))),0)</f>
        <v>458956.23445939278</v>
      </c>
      <c r="Y112" s="31" cm="1">
        <f t="array" ref="Y112">Y$106+IF($C112&lt;&gt;0,SUMPRODUCT((Y$107:Y$108)*TRANSPOSE(($D112:$E112))),0)</f>
        <v>463652.4939728186</v>
      </c>
      <c r="Z112" s="31" cm="1">
        <f t="array" ref="Z112">Z$106+IF($C112&lt;&gt;0,SUMPRODUCT((Z$107:Z$108)*TRANSPOSE(($D112:$E112))),0)</f>
        <v>468744.17536287761</v>
      </c>
      <c r="AA112" s="31" cm="1">
        <f t="array" ref="AA112">AA$106+IF($C112&lt;&gt;0,SUMPRODUCT((AA$107:AA$108)*TRANSPOSE(($D112:$E112))),0)</f>
        <v>474265.35358205892</v>
      </c>
      <c r="AB112" s="31" cm="1">
        <f t="array" ref="AB112">AB$106+IF($C112&lt;&gt;0,SUMPRODUCT((AB$107:AB$108)*TRANSPOSE(($D112:$E112))),0)</f>
        <v>480253.08217455598</v>
      </c>
      <c r="AC112" s="31" cm="1">
        <f t="array" ref="AC112">AC$106+IF($C112&lt;&gt;0,SUMPRODUCT((AC$107:AC$108)*TRANSPOSE(($D112:$E112))),0)</f>
        <v>486747.65603414632</v>
      </c>
      <c r="AD112" s="31" cm="1">
        <f t="array" ref="AD112">AD$106+IF($C112&lt;&gt;0,SUMPRODUCT((AD$107:AD$108)*TRANSPOSE(($D112:$E112))),0)</f>
        <v>493792.89748167846</v>
      </c>
      <c r="AE112" s="31" cm="1">
        <f t="array" ref="AE112">AE$106+IF($C112&lt;&gt;0,SUMPRODUCT((AE$107:AE$108)*TRANSPOSE(($D112:$E112))),0)</f>
        <v>501436.46773586131</v>
      </c>
      <c r="AF112" s="31" cm="1">
        <f t="array" ref="AF112">AF$106+IF($C112&lt;&gt;0,SUMPRODUCT((AF$107:AF$108)*TRANSPOSE(($D112:$E112))),0)</f>
        <v>509730.20604590629</v>
      </c>
      <c r="AG112" s="31" cm="1">
        <f t="array" ref="AG112">AG$106+IF($C112&lt;&gt;0,SUMPRODUCT((AG$107:AG$108)*TRANSPOSE(($D112:$E112))),0)</f>
        <v>518730.49894563411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1371037.0739870153</v>
      </c>
      <c r="J113" s="31" cm="1">
        <f t="array" ref="J113">J$106+IF($C113&lt;&gt;0,SUMPRODUCT((J$107:J$108)*TRANSPOSE(($D113:$E113))),0)</f>
        <v>629894.65984104108</v>
      </c>
      <c r="K113" s="31" cm="1">
        <f t="array" ref="K113">K$106+IF($C113&lt;&gt;0,SUMPRODUCT((K$107:K$108)*TRANSPOSE(($D113:$E113))),0)</f>
        <v>947607.12664641673</v>
      </c>
      <c r="L113" s="31" cm="1">
        <f t="array" ref="L113">L$106+IF($C113&lt;&gt;0,SUMPRODUCT((L$107:L$108)*TRANSPOSE(($D113:$E113))),0)</f>
        <v>1355602.3329782002</v>
      </c>
      <c r="M113" s="31" cm="1">
        <f t="array" ref="M113">M$106+IF($C113&lt;&gt;0,SUMPRODUCT((M$107:M$108)*TRANSPOSE(($D113:$E113))),0)</f>
        <v>1877600.0043500601</v>
      </c>
      <c r="N113" s="31" cm="1">
        <f t="array" ref="N113">N$106+IF($C113&lt;&gt;0,SUMPRODUCT((N$107:N$108)*TRANSPOSE(($D113:$E113))),0)</f>
        <v>-870698.23341983277</v>
      </c>
      <c r="O113" s="31" cm="1">
        <f t="array" ref="O113">O$106+IF($C113&lt;&gt;0,SUMPRODUCT((O$107:O$108)*TRANSPOSE(($D113:$E113))),0)</f>
        <v>243079.02098861788</v>
      </c>
      <c r="P113" s="31" cm="1">
        <f t="array" ref="P113">P$106+IF($C113&lt;&gt;0,SUMPRODUCT((P$107:P$108)*TRANSPOSE(($D113:$E113))),0)</f>
        <v>290353.27280981396</v>
      </c>
      <c r="Q113" s="31" cm="1">
        <f t="array" ref="Q113">Q$106+IF($C113&lt;&gt;0,SUMPRODUCT((Q$107:Q$108)*TRANSPOSE(($D113:$E113))),0)</f>
        <v>319479.63925523614</v>
      </c>
      <c r="R113" s="31" cm="1">
        <f t="array" ref="R113">R$106+IF($C113&lt;&gt;0,SUMPRODUCT((R$107:R$108)*TRANSPOSE(($D113:$E113))),0)</f>
        <v>323206.79922212218</v>
      </c>
      <c r="S113" s="31" cm="1">
        <f t="array" ref="S113">S$106+IF($C113&lt;&gt;0,SUMPRODUCT((S$107:S$108)*TRANSPOSE(($D113:$E113))),0)</f>
        <v>325579.98801062856</v>
      </c>
      <c r="T113" s="31" cm="1">
        <f t="array" ref="T113">T$106+IF($C113&lt;&gt;0,SUMPRODUCT((T$107:T$108)*TRANSPOSE(($D113:$E113))),0)</f>
        <v>328150.6015704975</v>
      </c>
      <c r="U113" s="31" cm="1">
        <f t="array" ref="U113">U$106+IF($C113&lt;&gt;0,SUMPRODUCT((U$107:U$108)*TRANSPOSE(($D113:$E113))),0)</f>
        <v>330935.52484540199</v>
      </c>
      <c r="V113" s="31" cm="1">
        <f t="array" ref="V113">V$106+IF($C113&lt;&gt;0,SUMPRODUCT((V$107:V$108)*TRANSPOSE(($D113:$E113))),0)</f>
        <v>333953.11155999755</v>
      </c>
      <c r="W113" s="31" cm="1">
        <f t="array" ref="W113">W$106+IF($C113&lt;&gt;0,SUMPRODUCT((W$107:W$108)*TRANSPOSE(($D113:$E113))),0)</f>
        <v>337223.31337432121</v>
      </c>
      <c r="X113" s="31" cm="1">
        <f t="array" ref="X113">X$106+IF($C113&lt;&gt;0,SUMPRODUCT((X$107:X$108)*TRANSPOSE(($D113:$E113))),0)</f>
        <v>340767.82047512982</v>
      </c>
      <c r="Y113" s="31" cm="1">
        <f t="array" ref="Y113">Y$106+IF($C113&lt;&gt;0,SUMPRODUCT((Y$107:Y$108)*TRANSPOSE(($D113:$E113))),0)</f>
        <v>344610.21462247823</v>
      </c>
      <c r="Z113" s="31" cm="1">
        <f t="array" ref="Z113">Z$106+IF($C113&lt;&gt;0,SUMPRODUCT((Z$107:Z$108)*TRANSPOSE(($D113:$E113))),0)</f>
        <v>348776.13575979922</v>
      </c>
      <c r="AA113" s="31" cm="1">
        <f t="array" ref="AA113">AA$106+IF($C113&lt;&gt;0,SUMPRODUCT((AA$107:AA$108)*TRANSPOSE(($D113:$E113))),0)</f>
        <v>353293.46339367481</v>
      </c>
      <c r="AB113" s="31" cm="1">
        <f t="array" ref="AB113">AB$106+IF($C113&lt;&gt;0,SUMPRODUCT((AB$107:AB$108)*TRANSPOSE(($D113:$E113))),0)</f>
        <v>358192.51406026341</v>
      </c>
      <c r="AC113" s="31" cm="1">
        <f t="array" ref="AC113">AC$106+IF($C113&lt;&gt;0,SUMPRODUCT((AC$107:AC$108)*TRANSPOSE(($D113:$E113))),0)</f>
        <v>363506.25630901905</v>
      </c>
      <c r="AD113" s="31" cm="1">
        <f t="array" ref="AD113">AD$106+IF($C113&lt;&gt;0,SUMPRODUCT((AD$107:AD$108)*TRANSPOSE(($D113:$E113))),0)</f>
        <v>369270.54476609087</v>
      </c>
      <c r="AE113" s="31" cm="1">
        <f t="array" ref="AE113">AE$106+IF($C113&lt;&gt;0,SUMPRODUCT((AE$107:AE$108)*TRANSPOSE(($D113:$E113))),0)</f>
        <v>375524.37497405859</v>
      </c>
      <c r="AF113" s="31" cm="1">
        <f t="array" ref="AF113">AF$106+IF($C113&lt;&gt;0,SUMPRODUCT((AF$107:AF$108)*TRANSPOSE(($D113:$E113))),0)</f>
        <v>382310.16086409544</v>
      </c>
      <c r="AG113" s="31" cm="1">
        <f t="array" ref="AG113">AG$106+IF($C113&lt;&gt;0,SUMPRODUCT((AG$107:AG$108)*TRANSPOSE(($D113:$E113))),0)</f>
        <v>389674.03687296365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1371037.0739870153</v>
      </c>
      <c r="J114" s="31" cm="1">
        <f t="array" ref="J114">J$106+IF($C114&lt;&gt;0,SUMPRODUCT((J$107:J$108)*TRANSPOSE(($D114:$E114))),0)</f>
        <v>526394.65984104096</v>
      </c>
      <c r="K114" s="31" cm="1">
        <f t="array" ref="K114">K$106+IF($C114&lt;&gt;0,SUMPRODUCT((K$107:K$108)*TRANSPOSE(($D114:$E114))),0)</f>
        <v>839330.12558506534</v>
      </c>
      <c r="L114" s="31" cm="1">
        <f t="array" ref="L114">L$106+IF($C114&lt;&gt;0,SUMPRODUCT((L$107:L$108)*TRANSPOSE(($D114:$E114))),0)</f>
        <v>1242548.3308554974</v>
      </c>
      <c r="M114" s="31" cm="1">
        <f t="array" ref="M114">M$106+IF($C114&lt;&gt;0,SUMPRODUCT((M$107:M$108)*TRANSPOSE(($D114:$E114))),0)</f>
        <v>1759769.0011660061</v>
      </c>
      <c r="N114" s="31" cm="1">
        <f t="array" ref="N114">N$106+IF($C114&lt;&gt;0,SUMPRODUCT((N$107:N$108)*TRANSPOSE(($D114:$E114))),0)</f>
        <v>-993306.23766523809</v>
      </c>
      <c r="O114" s="31" cm="1">
        <f t="array" ref="O114">O$106+IF($C114&lt;&gt;0,SUMPRODUCT((O$107:O$108)*TRANSPOSE(($D114:$E114))),0)</f>
        <v>223971.01674321253</v>
      </c>
      <c r="P114" s="31" cm="1">
        <f t="array" ref="P114">P$106+IF($C114&lt;&gt;0,SUMPRODUCT((P$107:P$108)*TRANSPOSE(($D114:$E114))),0)</f>
        <v>271245.26856440865</v>
      </c>
      <c r="Q114" s="31" cm="1">
        <f t="array" ref="Q114">Q$106+IF($C114&lt;&gt;0,SUMPRODUCT((Q$107:Q$108)*TRANSPOSE(($D114:$E114))),0)</f>
        <v>300371.63500983082</v>
      </c>
      <c r="R114" s="31" cm="1">
        <f t="array" ref="R114">R$106+IF($C114&lt;&gt;0,SUMPRODUCT((R$107:R$108)*TRANSPOSE(($D114:$E114))),0)</f>
        <v>304098.79497671686</v>
      </c>
      <c r="S114" s="31" cm="1">
        <f t="array" ref="S114">S$106+IF($C114&lt;&gt;0,SUMPRODUCT((S$107:S$108)*TRANSPOSE(($D114:$E114))),0)</f>
        <v>306471.98376522324</v>
      </c>
      <c r="T114" s="31" cm="1">
        <f t="array" ref="T114">T$106+IF($C114&lt;&gt;0,SUMPRODUCT((T$107:T$108)*TRANSPOSE(($D114:$E114))),0)</f>
        <v>309042.59732509218</v>
      </c>
      <c r="U114" s="31" cm="1">
        <f t="array" ref="U114">U$106+IF($C114&lt;&gt;0,SUMPRODUCT((U$107:U$108)*TRANSPOSE(($D114:$E114))),0)</f>
        <v>311827.52059999667</v>
      </c>
      <c r="V114" s="31" cm="1">
        <f t="array" ref="V114">V$106+IF($C114&lt;&gt;0,SUMPRODUCT((V$107:V$108)*TRANSPOSE(($D114:$E114))),0)</f>
        <v>314845.10731459223</v>
      </c>
      <c r="W114" s="31" cm="1">
        <f t="array" ref="W114">W$106+IF($C114&lt;&gt;0,SUMPRODUCT((W$107:W$108)*TRANSPOSE(($D114:$E114))),0)</f>
        <v>318115.30912891589</v>
      </c>
      <c r="X114" s="31" cm="1">
        <f t="array" ref="X114">X$106+IF($C114&lt;&gt;0,SUMPRODUCT((X$107:X$108)*TRANSPOSE(($D114:$E114))),0)</f>
        <v>321659.8162297245</v>
      </c>
      <c r="Y114" s="31" cm="1">
        <f t="array" ref="Y114">Y$106+IF($C114&lt;&gt;0,SUMPRODUCT((Y$107:Y$108)*TRANSPOSE(($D114:$E114))),0)</f>
        <v>325502.21037707292</v>
      </c>
      <c r="Z114" s="31" cm="1">
        <f t="array" ref="Z114">Z$106+IF($C114&lt;&gt;0,SUMPRODUCT((Z$107:Z$108)*TRANSPOSE(($D114:$E114))),0)</f>
        <v>329668.1315143939</v>
      </c>
      <c r="AA114" s="31" cm="1">
        <f t="array" ref="AA114">AA$106+IF($C114&lt;&gt;0,SUMPRODUCT((AA$107:AA$108)*TRANSPOSE(($D114:$E114))),0)</f>
        <v>334185.4591482695</v>
      </c>
      <c r="AB114" s="31" cm="1">
        <f t="array" ref="AB114">AB$106+IF($C114&lt;&gt;0,SUMPRODUCT((AB$107:AB$108)*TRANSPOSE(($D114:$E114))),0)</f>
        <v>339084.50981485803</v>
      </c>
      <c r="AC114" s="31" cm="1">
        <f t="array" ref="AC114">AC$106+IF($C114&lt;&gt;0,SUMPRODUCT((AC$107:AC$108)*TRANSPOSE(($D114:$E114))),0)</f>
        <v>344398.25206361373</v>
      </c>
      <c r="AD114" s="31" cm="1">
        <f t="array" ref="AD114">AD$106+IF($C114&lt;&gt;0,SUMPRODUCT((AD$107:AD$108)*TRANSPOSE(($D114:$E114))),0)</f>
        <v>350162.54052068549</v>
      </c>
      <c r="AE114" s="31" cm="1">
        <f t="array" ref="AE114">AE$106+IF($C114&lt;&gt;0,SUMPRODUCT((AE$107:AE$108)*TRANSPOSE(($D114:$E114))),0)</f>
        <v>356416.37072865327</v>
      </c>
      <c r="AF114" s="31" cm="1">
        <f t="array" ref="AF114">AF$106+IF($C114&lt;&gt;0,SUMPRODUCT((AF$107:AF$108)*TRANSPOSE(($D114:$E114))),0)</f>
        <v>363202.15661869012</v>
      </c>
      <c r="AG114" s="31" cm="1">
        <f t="array" ref="AG114">AG$106+IF($C114&lt;&gt;0,SUMPRODUCT((AG$107:AG$108)*TRANSPOSE(($D114:$E114))),0)</f>
        <v>370566.03262755834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1523374.5266522393</v>
      </c>
      <c r="J115" s="31" cm="1">
        <f t="array" ref="J115">J$106+IF($C115&lt;&gt;0,SUMPRODUCT((J$107:J$108)*TRANSPOSE(($D115:$E115))),0)</f>
        <v>814882.95537893451</v>
      </c>
      <c r="K115" s="31" cm="1">
        <f t="array" ref="K115">K$106+IF($C115&lt;&gt;0,SUMPRODUCT((K$107:K$108)*TRANSPOSE(($D115:$E115))),0)</f>
        <v>1173204.5863419645</v>
      </c>
      <c r="L115" s="31" cm="1">
        <f t="array" ref="L115">L$106+IF($C115&lt;&gt;0,SUMPRODUCT((L$107:L$108)*TRANSPOSE(($D115:$E115))),0)</f>
        <v>1631840.3723343364</v>
      </c>
      <c r="M115" s="31" cm="1">
        <f t="array" ref="M115">M$106+IF($C115&lt;&gt;0,SUMPRODUCT((M$107:M$108)*TRANSPOSE(($D115:$E115))),0)</f>
        <v>2217145.5639267936</v>
      </c>
      <c r="N115" s="31" cm="1">
        <f t="array" ref="N115">N$106+IF($C115&lt;&gt;0,SUMPRODUCT((N$107:N$108)*TRANSPOSE(($D115:$E115))),0)</f>
        <v>-831211.36574936379</v>
      </c>
      <c r="O115" s="31" cm="1">
        <f t="array" ref="O115">O$106+IF($C115&lt;&gt;0,SUMPRODUCT((O$107:O$108)*TRANSPOSE(($D115:$E115))),0)</f>
        <v>291318.91692669247</v>
      </c>
      <c r="P115" s="31" cm="1">
        <f t="array" ref="P115">P$106+IF($C115&lt;&gt;0,SUMPRODUCT((P$107:P$108)*TRANSPOSE(($D115:$E115))),0)</f>
        <v>343845.86339468812</v>
      </c>
      <c r="Q115" s="31" cm="1">
        <f t="array" ref="Q115">Q$106+IF($C115&lt;&gt;0,SUMPRODUCT((Q$107:Q$108)*TRANSPOSE(($D115:$E115))),0)</f>
        <v>376208.49277849053</v>
      </c>
      <c r="R115" s="31" cm="1">
        <f t="array" ref="R115">R$106+IF($C115&lt;&gt;0,SUMPRODUCT((R$107:R$108)*TRANSPOSE(($D115:$E115))),0)</f>
        <v>380349.78163058613</v>
      </c>
      <c r="S115" s="31" cm="1">
        <f t="array" ref="S115">S$106+IF($C115&lt;&gt;0,SUMPRODUCT((S$107:S$108)*TRANSPOSE(($D115:$E115))),0)</f>
        <v>382986.6580622599</v>
      </c>
      <c r="T115" s="31" cm="1">
        <f t="array" ref="T115">T$106+IF($C115&lt;&gt;0,SUMPRODUCT((T$107:T$108)*TRANSPOSE(($D115:$E115))),0)</f>
        <v>385842.89535100316</v>
      </c>
      <c r="U115" s="31" cm="1">
        <f t="array" ref="U115">U$106+IF($C115&lt;&gt;0,SUMPRODUCT((U$107:U$108)*TRANSPOSE(($D115:$E115))),0)</f>
        <v>388937.25454534148</v>
      </c>
      <c r="V115" s="31" cm="1">
        <f t="array" ref="V115">V$106+IF($C115&lt;&gt;0,SUMPRODUCT((V$107:V$108)*TRANSPOSE(($D115:$E115))),0)</f>
        <v>392290.12867266987</v>
      </c>
      <c r="W115" s="31" cm="1">
        <f t="array" ref="W115">W$106+IF($C115&lt;&gt;0,SUMPRODUCT((W$107:W$108)*TRANSPOSE(($D115:$E115))),0)</f>
        <v>395923.68624414061</v>
      </c>
      <c r="X115" s="31" cm="1">
        <f t="array" ref="X115">X$106+IF($C115&lt;&gt;0,SUMPRODUCT((X$107:X$108)*TRANSPOSE(($D115:$E115))),0)</f>
        <v>399862.0274672613</v>
      </c>
      <c r="Y115" s="31" cm="1">
        <f t="array" ref="Y115">Y$106+IF($C115&lt;&gt;0,SUMPRODUCT((Y$107:Y$108)*TRANSPOSE(($D115:$E115))),0)</f>
        <v>404131.35429764842</v>
      </c>
      <c r="Z115" s="31" cm="1">
        <f t="array" ref="Z115">Z$106+IF($C115&lt;&gt;0,SUMPRODUCT((Z$107:Z$108)*TRANSPOSE(($D115:$E115))),0)</f>
        <v>408760.15556133841</v>
      </c>
      <c r="AA115" s="31" cm="1">
        <f t="array" ref="AA115">AA$106+IF($C115&lt;&gt;0,SUMPRODUCT((AA$107:AA$108)*TRANSPOSE(($D115:$E115))),0)</f>
        <v>413779.40848786687</v>
      </c>
      <c r="AB115" s="31" cm="1">
        <f t="array" ref="AB115">AB$106+IF($C115&lt;&gt;0,SUMPRODUCT((AB$107:AB$108)*TRANSPOSE(($D115:$E115))),0)</f>
        <v>419222.79811740969</v>
      </c>
      <c r="AC115" s="31" cm="1">
        <f t="array" ref="AC115">AC$106+IF($C115&lt;&gt;0,SUMPRODUCT((AC$107:AC$108)*TRANSPOSE(($D115:$E115))),0)</f>
        <v>425126.95617158269</v>
      </c>
      <c r="AD115" s="31" cm="1">
        <f t="array" ref="AD115">AD$106+IF($C115&lt;&gt;0,SUMPRODUCT((AD$107:AD$108)*TRANSPOSE(($D115:$E115))),0)</f>
        <v>431531.72112388466</v>
      </c>
      <c r="AE115" s="31" cm="1">
        <f t="array" ref="AE115">AE$106+IF($C115&lt;&gt;0,SUMPRODUCT((AE$107:AE$108)*TRANSPOSE(($D115:$E115))),0)</f>
        <v>438480.42135495995</v>
      </c>
      <c r="AF115" s="31" cm="1">
        <f t="array" ref="AF115">AF$106+IF($C115&lt;&gt;0,SUMPRODUCT((AF$107:AF$108)*TRANSPOSE(($D115:$E115))),0)</f>
        <v>446020.18345500086</v>
      </c>
      <c r="AG115" s="31" cm="1">
        <f t="array" ref="AG115">AG$106+IF($C115&lt;&gt;0,SUMPRODUCT((AG$107:AG$108)*TRANSPOSE(($D115:$E115))),0)</f>
        <v>454202.26790929888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1523374.5266522393</v>
      </c>
      <c r="J116" s="31" cm="1">
        <f t="array" ref="J116">J$106+IF($C116&lt;&gt;0,SUMPRODUCT((J$107:J$108)*TRANSPOSE(($D116:$E116))),0)</f>
        <v>814882.95537893451</v>
      </c>
      <c r="K116" s="31" cm="1">
        <f t="array" ref="K116">K$106+IF($C116&lt;&gt;0,SUMPRODUCT((K$107:K$108)*TRANSPOSE(($D116:$E116))),0)</f>
        <v>1173204.5863419645</v>
      </c>
      <c r="L116" s="31" cm="1">
        <f t="array" ref="L116">L$106+IF($C116&lt;&gt;0,SUMPRODUCT((L$107:L$108)*TRANSPOSE(($D116:$E116))),0)</f>
        <v>1631840.3723343364</v>
      </c>
      <c r="M116" s="31" cm="1">
        <f t="array" ref="M116">M$106+IF($C116&lt;&gt;0,SUMPRODUCT((M$107:M$108)*TRANSPOSE(($D116:$E116))),0)</f>
        <v>2217145.5639267936</v>
      </c>
      <c r="N116" s="31" cm="1">
        <f t="array" ref="N116">N$106+IF($C116&lt;&gt;0,SUMPRODUCT((N$107:N$108)*TRANSPOSE(($D116:$E116))),0)</f>
        <v>-831211.36574936379</v>
      </c>
      <c r="O116" s="31" cm="1">
        <f t="array" ref="O116">O$106+IF($C116&lt;&gt;0,SUMPRODUCT((O$107:O$108)*TRANSPOSE(($D116:$E116))),0)</f>
        <v>291318.91692669247</v>
      </c>
      <c r="P116" s="31" cm="1">
        <f t="array" ref="P116">P$106+IF($C116&lt;&gt;0,SUMPRODUCT((P$107:P$108)*TRANSPOSE(($D116:$E116))),0)</f>
        <v>343845.86339468812</v>
      </c>
      <c r="Q116" s="31" cm="1">
        <f t="array" ref="Q116">Q$106+IF($C116&lt;&gt;0,SUMPRODUCT((Q$107:Q$108)*TRANSPOSE(($D116:$E116))),0)</f>
        <v>376208.49277849053</v>
      </c>
      <c r="R116" s="31" cm="1">
        <f t="array" ref="R116">R$106+IF($C116&lt;&gt;0,SUMPRODUCT((R$107:R$108)*TRANSPOSE(($D116:$E116))),0)</f>
        <v>380349.78163058613</v>
      </c>
      <c r="S116" s="31" cm="1">
        <f t="array" ref="S116">S$106+IF($C116&lt;&gt;0,SUMPRODUCT((S$107:S$108)*TRANSPOSE(($D116:$E116))),0)</f>
        <v>382986.6580622599</v>
      </c>
      <c r="T116" s="31" cm="1">
        <f t="array" ref="T116">T$106+IF($C116&lt;&gt;0,SUMPRODUCT((T$107:T$108)*TRANSPOSE(($D116:$E116))),0)</f>
        <v>385842.89535100316</v>
      </c>
      <c r="U116" s="31" cm="1">
        <f t="array" ref="U116">U$106+IF($C116&lt;&gt;0,SUMPRODUCT((U$107:U$108)*TRANSPOSE(($D116:$E116))),0)</f>
        <v>388937.25454534148</v>
      </c>
      <c r="V116" s="31" cm="1">
        <f t="array" ref="V116">V$106+IF($C116&lt;&gt;0,SUMPRODUCT((V$107:V$108)*TRANSPOSE(($D116:$E116))),0)</f>
        <v>392290.12867266987</v>
      </c>
      <c r="W116" s="31" cm="1">
        <f t="array" ref="W116">W$106+IF($C116&lt;&gt;0,SUMPRODUCT((W$107:W$108)*TRANSPOSE(($D116:$E116))),0)</f>
        <v>395923.68624414061</v>
      </c>
      <c r="X116" s="31" cm="1">
        <f t="array" ref="X116">X$106+IF($C116&lt;&gt;0,SUMPRODUCT((X$107:X$108)*TRANSPOSE(($D116:$E116))),0)</f>
        <v>399862.0274672613</v>
      </c>
      <c r="Y116" s="31" cm="1">
        <f t="array" ref="Y116">Y$106+IF($C116&lt;&gt;0,SUMPRODUCT((Y$107:Y$108)*TRANSPOSE(($D116:$E116))),0)</f>
        <v>404131.35429764842</v>
      </c>
      <c r="Z116" s="31" cm="1">
        <f t="array" ref="Z116">Z$106+IF($C116&lt;&gt;0,SUMPRODUCT((Z$107:Z$108)*TRANSPOSE(($D116:$E116))),0)</f>
        <v>408760.15556133841</v>
      </c>
      <c r="AA116" s="31" cm="1">
        <f t="array" ref="AA116">AA$106+IF($C116&lt;&gt;0,SUMPRODUCT((AA$107:AA$108)*TRANSPOSE(($D116:$E116))),0)</f>
        <v>413779.40848786687</v>
      </c>
      <c r="AB116" s="31" cm="1">
        <f t="array" ref="AB116">AB$106+IF($C116&lt;&gt;0,SUMPRODUCT((AB$107:AB$108)*TRANSPOSE(($D116:$E116))),0)</f>
        <v>419222.79811740969</v>
      </c>
      <c r="AC116" s="31" cm="1">
        <f t="array" ref="AC116">AC$106+IF($C116&lt;&gt;0,SUMPRODUCT((AC$107:AC$108)*TRANSPOSE(($D116:$E116))),0)</f>
        <v>425126.95617158269</v>
      </c>
      <c r="AD116" s="31" cm="1">
        <f t="array" ref="AD116">AD$106+IF($C116&lt;&gt;0,SUMPRODUCT((AD$107:AD$108)*TRANSPOSE(($D116:$E116))),0)</f>
        <v>431531.72112388466</v>
      </c>
      <c r="AE116" s="31" cm="1">
        <f t="array" ref="AE116">AE$106+IF($C116&lt;&gt;0,SUMPRODUCT((AE$107:AE$108)*TRANSPOSE(($D116:$E116))),0)</f>
        <v>438480.42135495995</v>
      </c>
      <c r="AF116" s="31" cm="1">
        <f t="array" ref="AF116">AF$106+IF($C116&lt;&gt;0,SUMPRODUCT((AF$107:AF$108)*TRANSPOSE(($D116:$E116))),0)</f>
        <v>446020.18345500086</v>
      </c>
      <c r="AG116" s="31" cm="1">
        <f t="array" ref="AG116">AG$106+IF($C116&lt;&gt;0,SUMPRODUCT((AG$107:AG$108)*TRANSPOSE(($D116:$E116))),0)</f>
        <v>454202.26790929888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1523374.5266522393</v>
      </c>
      <c r="J117" s="31" cm="1">
        <f t="array" ref="J117">J$106+IF($C117&lt;&gt;0,SUMPRODUCT((J$107:J$108)*TRANSPOSE(($D117:$E117))),0)</f>
        <v>814882.95537893451</v>
      </c>
      <c r="K117" s="31" cm="1">
        <f t="array" ref="K117">K$106+IF($C117&lt;&gt;0,SUMPRODUCT((K$107:K$108)*TRANSPOSE(($D117:$E117))),0)</f>
        <v>1173204.5863419645</v>
      </c>
      <c r="L117" s="31" cm="1">
        <f t="array" ref="L117">L$106+IF($C117&lt;&gt;0,SUMPRODUCT((L$107:L$108)*TRANSPOSE(($D117:$E117))),0)</f>
        <v>1631840.3723343364</v>
      </c>
      <c r="M117" s="31" cm="1">
        <f t="array" ref="M117">M$106+IF($C117&lt;&gt;0,SUMPRODUCT((M$107:M$108)*TRANSPOSE(($D117:$E117))),0)</f>
        <v>2217145.5639267936</v>
      </c>
      <c r="N117" s="31" cm="1">
        <f t="array" ref="N117">N$106+IF($C117&lt;&gt;0,SUMPRODUCT((N$107:N$108)*TRANSPOSE(($D117:$E117))),0)</f>
        <v>-831211.36574936379</v>
      </c>
      <c r="O117" s="31" cm="1">
        <f t="array" ref="O117">O$106+IF($C117&lt;&gt;0,SUMPRODUCT((O$107:O$108)*TRANSPOSE(($D117:$E117))),0)</f>
        <v>291318.91692669247</v>
      </c>
      <c r="P117" s="31" cm="1">
        <f t="array" ref="P117">P$106+IF($C117&lt;&gt;0,SUMPRODUCT((P$107:P$108)*TRANSPOSE(($D117:$E117))),0)</f>
        <v>343845.86339468812</v>
      </c>
      <c r="Q117" s="31" cm="1">
        <f t="array" ref="Q117">Q$106+IF($C117&lt;&gt;0,SUMPRODUCT((Q$107:Q$108)*TRANSPOSE(($D117:$E117))),0)</f>
        <v>376208.49277849053</v>
      </c>
      <c r="R117" s="31" cm="1">
        <f t="array" ref="R117">R$106+IF($C117&lt;&gt;0,SUMPRODUCT((R$107:R$108)*TRANSPOSE(($D117:$E117))),0)</f>
        <v>380349.78163058613</v>
      </c>
      <c r="S117" s="31" cm="1">
        <f t="array" ref="S117">S$106+IF($C117&lt;&gt;0,SUMPRODUCT((S$107:S$108)*TRANSPOSE(($D117:$E117))),0)</f>
        <v>382986.6580622599</v>
      </c>
      <c r="T117" s="31" cm="1">
        <f t="array" ref="T117">T$106+IF($C117&lt;&gt;0,SUMPRODUCT((T$107:T$108)*TRANSPOSE(($D117:$E117))),0)</f>
        <v>385842.89535100316</v>
      </c>
      <c r="U117" s="31" cm="1">
        <f t="array" ref="U117">U$106+IF($C117&lt;&gt;0,SUMPRODUCT((U$107:U$108)*TRANSPOSE(($D117:$E117))),0)</f>
        <v>388937.25454534148</v>
      </c>
      <c r="V117" s="31" cm="1">
        <f t="array" ref="V117">V$106+IF($C117&lt;&gt;0,SUMPRODUCT((V$107:V$108)*TRANSPOSE(($D117:$E117))),0)</f>
        <v>392290.12867266987</v>
      </c>
      <c r="W117" s="31" cm="1">
        <f t="array" ref="W117">W$106+IF($C117&lt;&gt;0,SUMPRODUCT((W$107:W$108)*TRANSPOSE(($D117:$E117))),0)</f>
        <v>395923.68624414061</v>
      </c>
      <c r="X117" s="31" cm="1">
        <f t="array" ref="X117">X$106+IF($C117&lt;&gt;0,SUMPRODUCT((X$107:X$108)*TRANSPOSE(($D117:$E117))),0)</f>
        <v>399862.0274672613</v>
      </c>
      <c r="Y117" s="31" cm="1">
        <f t="array" ref="Y117">Y$106+IF($C117&lt;&gt;0,SUMPRODUCT((Y$107:Y$108)*TRANSPOSE(($D117:$E117))),0)</f>
        <v>404131.35429764842</v>
      </c>
      <c r="Z117" s="31" cm="1">
        <f t="array" ref="Z117">Z$106+IF($C117&lt;&gt;0,SUMPRODUCT((Z$107:Z$108)*TRANSPOSE(($D117:$E117))),0)</f>
        <v>408760.15556133841</v>
      </c>
      <c r="AA117" s="31" cm="1">
        <f t="array" ref="AA117">AA$106+IF($C117&lt;&gt;0,SUMPRODUCT((AA$107:AA$108)*TRANSPOSE(($D117:$E117))),0)</f>
        <v>413779.40848786687</v>
      </c>
      <c r="AB117" s="31" cm="1">
        <f t="array" ref="AB117">AB$106+IF($C117&lt;&gt;0,SUMPRODUCT((AB$107:AB$108)*TRANSPOSE(($D117:$E117))),0)</f>
        <v>419222.79811740969</v>
      </c>
      <c r="AC117" s="31" cm="1">
        <f t="array" ref="AC117">AC$106+IF($C117&lt;&gt;0,SUMPRODUCT((AC$107:AC$108)*TRANSPOSE(($D117:$E117))),0)</f>
        <v>425126.95617158269</v>
      </c>
      <c r="AD117" s="31" cm="1">
        <f t="array" ref="AD117">AD$106+IF($C117&lt;&gt;0,SUMPRODUCT((AD$107:AD$108)*TRANSPOSE(($D117:$E117))),0)</f>
        <v>431531.72112388466</v>
      </c>
      <c r="AE117" s="31" cm="1">
        <f t="array" ref="AE117">AE$106+IF($C117&lt;&gt;0,SUMPRODUCT((AE$107:AE$108)*TRANSPOSE(($D117:$E117))),0)</f>
        <v>438480.42135495995</v>
      </c>
      <c r="AF117" s="31" cm="1">
        <f t="array" ref="AF117">AF$106+IF($C117&lt;&gt;0,SUMPRODUCT((AF$107:AF$108)*TRANSPOSE(($D117:$E117))),0)</f>
        <v>446020.18345500086</v>
      </c>
      <c r="AG117" s="31" cm="1">
        <f t="array" ref="AG117">AG$106+IF($C117&lt;&gt;0,SUMPRODUCT((AG$107:AG$108)*TRANSPOSE(($D117:$E117))),0)</f>
        <v>454202.26790929888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I36" sqref="I36:AG36"/>
      <selection pane="topRight" activeCell="I36" sqref="I36:AG36"/>
      <selection pane="bottomLeft" activeCell="I36" sqref="I36:AG36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HV cable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7" t="s">
        <v>185</v>
      </c>
      <c r="B3" s="5"/>
      <c r="C3" s="204" t="str">
        <f>INDEX(Assumptions!$E$14:$E$18, MATCH(A3,_xlfn.ANCHORARRAY( Assumptions!$C$14),0))</f>
        <v>Replace highest 5 delta risk cable sections and monitor further 10</v>
      </c>
    </row>
    <row r="4" spans="1:43" x14ac:dyDescent="0.2">
      <c r="A4" s="205" t="str">
        <f>(INDEX(Data!$D$9:$D$13, MATCH(A3, options,0)))</f>
        <v/>
      </c>
      <c r="B4" s="191"/>
      <c r="C4" s="242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3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5"/>
      <c r="G9" s="18" t="s">
        <v>25</v>
      </c>
      <c r="H9" s="224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8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43" x14ac:dyDescent="0.2">
      <c r="A12" s="3"/>
      <c r="B12" s="3"/>
      <c r="C12" s="3"/>
      <c r="D12" s="3"/>
      <c r="G12" s="209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10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249</v>
      </c>
      <c r="D14"/>
      <c r="E14" s="151">
        <v>60</v>
      </c>
      <c r="G14" s="211">
        <f>input_dollars</f>
        <v>45291</v>
      </c>
      <c r="H14" s="152"/>
      <c r="I14" s="32">
        <f>Workings_costs!E54</f>
        <v>1457739.1194399998</v>
      </c>
      <c r="J14" s="32">
        <f>Workings_costs!F54</f>
        <v>1457739.1194399998</v>
      </c>
      <c r="K14" s="32">
        <f>Workings_costs!G54</f>
        <v>1457739.1194399998</v>
      </c>
      <c r="L14" s="32">
        <f>Workings_costs!H54</f>
        <v>1457739.1194399998</v>
      </c>
      <c r="M14" s="32">
        <f>Workings_costs!I54</f>
        <v>1457739.1194399998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250</v>
      </c>
      <c r="D15"/>
      <c r="E15" s="151">
        <v>1</v>
      </c>
      <c r="G15" s="211">
        <f>input_dollars</f>
        <v>45291</v>
      </c>
      <c r="H15" s="2"/>
      <c r="I15" s="32">
        <f>Workings_costs!E55</f>
        <v>333333.33333333331</v>
      </c>
      <c r="J15" s="32">
        <f>Workings_costs!F55</f>
        <v>333333.33333333331</v>
      </c>
      <c r="K15" s="32">
        <f>Workings_costs!G55</f>
        <v>333333.33333333331</v>
      </c>
      <c r="L15" s="32">
        <f>Workings_costs!H55</f>
        <v>333333.33333333331</v>
      </c>
      <c r="M15" s="32">
        <f>Workings_costs!I55</f>
        <v>333333.33333333331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251</v>
      </c>
      <c r="D16"/>
      <c r="E16" s="151">
        <v>60</v>
      </c>
      <c r="G16" s="211">
        <f>input_dollars</f>
        <v>45291</v>
      </c>
      <c r="H16" s="2"/>
      <c r="I16" s="32">
        <f>Workings_costs!E56</f>
        <v>0</v>
      </c>
      <c r="J16" s="32">
        <f>Workings_costs!F56</f>
        <v>0</v>
      </c>
      <c r="K16" s="32">
        <f>Workings_costs!G56</f>
        <v>0</v>
      </c>
      <c r="L16" s="32">
        <f>Workings_costs!H56</f>
        <v>0</v>
      </c>
      <c r="M16" s="32">
        <f>Workings_costs!I56</f>
        <v>772268.16670000006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11">
        <f>input_dollars</f>
        <v>45291</v>
      </c>
      <c r="H17" s="107"/>
      <c r="I17" s="106">
        <f t="shared" ref="I17:Q17" si="0">SUM(I14:I16)</f>
        <v>1791072.4527733331</v>
      </c>
      <c r="J17" s="106">
        <f t="shared" si="0"/>
        <v>1791072.4527733331</v>
      </c>
      <c r="K17" s="106">
        <f>SUM(K14:K16)</f>
        <v>1791072.4527733331</v>
      </c>
      <c r="L17" s="106">
        <f t="shared" si="0"/>
        <v>1791072.4527733331</v>
      </c>
      <c r="M17" s="106">
        <f t="shared" si="0"/>
        <v>2563340.619473333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1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11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/>
      <c r="AI19"/>
      <c r="AJ19"/>
      <c r="AK19"/>
    </row>
    <row r="20" spans="1:43" x14ac:dyDescent="0.2">
      <c r="G20" s="209"/>
      <c r="AH20"/>
      <c r="AI20"/>
      <c r="AJ20"/>
      <c r="AK20"/>
    </row>
    <row r="21" spans="1:43" x14ac:dyDescent="0.2">
      <c r="C21"/>
      <c r="D21"/>
      <c r="E21"/>
      <c r="G21" s="2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8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12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12"/>
      <c r="H24" s="111"/>
      <c r="I24" s="173">
        <v>0</v>
      </c>
      <c r="J24" s="173">
        <v>0</v>
      </c>
      <c r="K24" s="173">
        <v>0</v>
      </c>
      <c r="L24" s="173">
        <v>0</v>
      </c>
      <c r="M24" s="173">
        <v>0</v>
      </c>
      <c r="N24" s="173">
        <v>0</v>
      </c>
      <c r="O24" s="173">
        <v>0</v>
      </c>
      <c r="P24" s="173">
        <v>0</v>
      </c>
      <c r="Q24" s="173">
        <v>0</v>
      </c>
      <c r="R24" s="173">
        <v>0</v>
      </c>
      <c r="S24" s="173">
        <v>0</v>
      </c>
      <c r="T24" s="173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3">
        <v>0</v>
      </c>
      <c r="AD24" s="173">
        <v>0</v>
      </c>
      <c r="AE24" s="173">
        <v>0</v>
      </c>
      <c r="AF24" s="173">
        <v>0</v>
      </c>
      <c r="AG24" s="173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12"/>
      <c r="E25" s="111"/>
      <c r="F25" s="111"/>
      <c r="G25" s="212"/>
      <c r="H25" s="111"/>
      <c r="I25" s="173">
        <v>0</v>
      </c>
      <c r="J25" s="173">
        <v>0</v>
      </c>
      <c r="K25" s="173">
        <v>0</v>
      </c>
      <c r="L25" s="173">
        <v>0</v>
      </c>
      <c r="M25" s="173">
        <v>0</v>
      </c>
      <c r="N25" s="173">
        <v>0</v>
      </c>
      <c r="O25" s="173">
        <v>0</v>
      </c>
      <c r="P25" s="173">
        <v>0</v>
      </c>
      <c r="Q25" s="173">
        <v>0</v>
      </c>
      <c r="R25" s="173">
        <v>0</v>
      </c>
      <c r="S25" s="173">
        <v>0</v>
      </c>
      <c r="T25" s="173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3">
        <v>0</v>
      </c>
      <c r="AD25" s="173">
        <v>0</v>
      </c>
      <c r="AE25" s="173">
        <v>0</v>
      </c>
      <c r="AF25" s="173">
        <v>0</v>
      </c>
      <c r="AG25" s="173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12"/>
      <c r="E26" s="111"/>
      <c r="F26" s="111"/>
      <c r="G26" s="2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9"/>
      <c r="E27"/>
      <c r="G27" s="211" t="s">
        <v>40</v>
      </c>
      <c r="H27"/>
      <c r="I27" s="172">
        <f>INDEX(Workings_risks!H$47:H$51, MATCH($A$3, Workings_risks!$C$47:$C$51,0))</f>
        <v>779.46588426325468</v>
      </c>
      <c r="J27" s="172">
        <f>INDEX(Workings_risks!I$47:I$51, MATCH($A$3, Workings_risks!$C$47:$C$51,0))</f>
        <v>930.71891381845273</v>
      </c>
      <c r="K27" s="172">
        <f>INDEX(Workings_risks!J$47:J$51, MATCH($A$3, Workings_risks!$C$47:$C$51,0))</f>
        <v>1118.1323715402664</v>
      </c>
      <c r="L27" s="172">
        <f>INDEX(Workings_risks!K$47:K$51, MATCH($A$3, Workings_risks!$C$47:$C$51,0))</f>
        <v>1350.0837423324474</v>
      </c>
      <c r="M27" s="172">
        <f>INDEX(Workings_risks!L$47:L$51, MATCH($A$3, Workings_risks!$C$47:$C$51,0))</f>
        <v>1637.7900507957738</v>
      </c>
      <c r="N27" s="172">
        <f>INDEX(Workings_risks!M$47:M$51, MATCH($A$3, Workings_risks!$C$47:$C$51,0))</f>
        <v>2020.7541558776081</v>
      </c>
      <c r="O27" s="172">
        <f>INDEX(Workings_risks!N$47:N$51, MATCH($A$3, Workings_risks!$C$47:$C$51,0))</f>
        <v>2470.2846853123519</v>
      </c>
      <c r="P27" s="172">
        <f>INDEX(Workings_risks!O$47:O$51, MATCH($A$3, Workings_risks!$C$47:$C$51,0))</f>
        <v>2926.7131539188722</v>
      </c>
      <c r="Q27" s="172">
        <f>INDEX(Workings_risks!P$47:P$51, MATCH($A$3, Workings_risks!$C$47:$C$51,0))</f>
        <v>3389.0322453945255</v>
      </c>
      <c r="R27" s="172">
        <f>INDEX(Workings_risks!Q$47:Q$51, MATCH($A$3, Workings_risks!$C$47:$C$51,0))</f>
        <v>3855.4146752164338</v>
      </c>
      <c r="S27" s="172">
        <f>INDEX(Workings_risks!R$47:R$51, MATCH($A$3, Workings_risks!$C$47:$C$51,0))</f>
        <v>4428.9139261691262</v>
      </c>
      <c r="T27" s="172">
        <f>INDEX(Workings_risks!S$47:S$51, MATCH($A$3, Workings_risks!$C$47:$C$51,0))</f>
        <v>5011.7884702493238</v>
      </c>
      <c r="U27" s="172">
        <f>INDEX(Workings_risks!T$47:T$51, MATCH($A$3, Workings_risks!$C$47:$C$51,0))</f>
        <v>5555.2232150208702</v>
      </c>
      <c r="V27" s="172">
        <f>INDEX(Workings_risks!U$47:U$51, MATCH($A$3, Workings_risks!$C$47:$C$51,0))</f>
        <v>5943.876979026526</v>
      </c>
      <c r="W27" s="172">
        <f>INDEX(Workings_risks!V$47:V$51, MATCH($A$3, Workings_risks!$C$47:$C$51,0))</f>
        <v>6244.0959573511145</v>
      </c>
      <c r="X27" s="172">
        <f>INDEX(Workings_risks!W$47:W$51, MATCH($A$3, Workings_risks!$C$47:$C$51,0))</f>
        <v>6509.9337826752007</v>
      </c>
      <c r="Y27" s="172">
        <f>INDEX(Workings_risks!X$47:X$51, MATCH($A$3, Workings_risks!$C$47:$C$51,0))</f>
        <v>6668.9196633238716</v>
      </c>
      <c r="Z27" s="172">
        <f>INDEX(Workings_risks!Y$47:Y$51, MATCH($A$3, Workings_risks!$C$47:$C$51,0))</f>
        <v>6803.9666259525411</v>
      </c>
      <c r="AA27" s="172">
        <f>INDEX(Workings_risks!Z$47:Z$51, MATCH($A$3, Workings_risks!$C$47:$C$51,0))</f>
        <v>6917.3791446328096</v>
      </c>
      <c r="AB27" s="172">
        <f>INDEX(Workings_risks!AA$47:AA$51, MATCH($A$3, Workings_risks!$C$47:$C$51,0))</f>
        <v>7019.1444777081906</v>
      </c>
      <c r="AC27" s="172">
        <f>INDEX(Workings_risks!AB$47:AB$51, MATCH($A$3, Workings_risks!$C$47:$C$51,0))</f>
        <v>7113.0382780778273</v>
      </c>
      <c r="AD27" s="172">
        <f>INDEX(Workings_risks!AC$47:AC$51, MATCH($A$3, Workings_risks!$C$47:$C$51,0))</f>
        <v>7179.7190118715307</v>
      </c>
      <c r="AE27" s="172">
        <f>INDEX(Workings_risks!AD$47:AD$51, MATCH($A$3, Workings_risks!$C$47:$C$51,0))</f>
        <v>7231.5052381740115</v>
      </c>
      <c r="AF27" s="172">
        <f>INDEX(Workings_risks!AE$47:AE$51, MATCH($A$3, Workings_risks!$C$47:$C$51,0))</f>
        <v>7276.6152812747405</v>
      </c>
      <c r="AG27" s="172">
        <f>INDEX(Workings_risks!AF$47:AF$51, MATCH($A$3, Workings_risks!$C$47:$C$51,0))</f>
        <v>7319.5988042340323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9" t="s">
        <v>63</v>
      </c>
      <c r="E28" s="113">
        <f>Assumptions!H41*vcr_esc</f>
        <v>47819.790378690712</v>
      </c>
      <c r="F28" s="242" t="str">
        <f>IF(AND(SUM(I27:AG27)&lt;&gt;0, E28=0), "!", "")</f>
        <v/>
      </c>
      <c r="G28" s="211">
        <f>input_dollars</f>
        <v>45291</v>
      </c>
      <c r="H28"/>
      <c r="I28" s="302">
        <f>I27*$E$28</f>
        <v>37273895.192809634</v>
      </c>
      <c r="J28" s="302">
        <f t="shared" ref="J28:AG28" si="2">J27*$E$28</f>
        <v>44506783.360281117</v>
      </c>
      <c r="K28" s="302">
        <f t="shared" si="2"/>
        <v>53468855.62268386</v>
      </c>
      <c r="L28" s="302">
        <f t="shared" si="2"/>
        <v>64560721.552015916</v>
      </c>
      <c r="M28" s="302">
        <f t="shared" si="2"/>
        <v>78318776.91335912</v>
      </c>
      <c r="N28" s="302">
        <f t="shared" si="2"/>
        <v>96632040.140935317</v>
      </c>
      <c r="O28" s="302">
        <f t="shared" si="2"/>
        <v>118128495.82732663</v>
      </c>
      <c r="P28" s="302">
        <f t="shared" si="2"/>
        <v>139954809.51895723</v>
      </c>
      <c r="Q28" s="302">
        <f t="shared" si="2"/>
        <v>162062811.56138971</v>
      </c>
      <c r="R28" s="302">
        <f t="shared" si="2"/>
        <v>184365121.5917778</v>
      </c>
      <c r="S28" s="302">
        <f t="shared" si="2"/>
        <v>211789735.55467167</v>
      </c>
      <c r="T28" s="302">
        <f t="shared" si="2"/>
        <v>239662674.06966165</v>
      </c>
      <c r="U28" s="302">
        <f t="shared" si="2"/>
        <v>265649609.64913428</v>
      </c>
      <c r="V28" s="302">
        <f t="shared" si="2"/>
        <v>284234951.17377388</v>
      </c>
      <c r="W28" s="302">
        <f t="shared" si="2"/>
        <v>298591359.78496039</v>
      </c>
      <c r="X28" s="302">
        <f t="shared" si="2"/>
        <v>311303668.86668521</v>
      </c>
      <c r="Y28" s="302">
        <f t="shared" si="2"/>
        <v>318906340.35247618</v>
      </c>
      <c r="Z28" s="302">
        <f t="shared" si="2"/>
        <v>325364257.79665804</v>
      </c>
      <c r="AA28" s="302">
        <f t="shared" si="2"/>
        <v>330787620.66626781</v>
      </c>
      <c r="AB28" s="302">
        <f t="shared" si="2"/>
        <v>335654017.56175017</v>
      </c>
      <c r="AC28" s="302">
        <f t="shared" si="2"/>
        <v>340143999.41328484</v>
      </c>
      <c r="AD28" s="302">
        <f t="shared" si="2"/>
        <v>343332658.125597</v>
      </c>
      <c r="AE28" s="302">
        <f t="shared" si="2"/>
        <v>345809064.61188507</v>
      </c>
      <c r="AF28" s="302">
        <f t="shared" si="2"/>
        <v>347966217.41693562</v>
      </c>
      <c r="AG28" s="302">
        <f t="shared" si="2"/>
        <v>350021680.47458661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10"/>
      <c r="E29"/>
      <c r="G29" s="21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consequence</v>
      </c>
      <c r="D30" s="209" t="s">
        <v>208</v>
      </c>
      <c r="G30" s="211">
        <f>input_dollars</f>
        <v>45291</v>
      </c>
      <c r="H30" s="152"/>
      <c r="I30" s="32">
        <f>INDEX(Workings_risks!H$62:H$218, MATCH($A$3&amp;$C30, Workings_risks!$E$62:$E$218,0))</f>
        <v>3423495.0151333283</v>
      </c>
      <c r="J30" s="32">
        <f>INDEX(Workings_risks!I$62:I$218, MATCH($A$3&amp;$C30, Workings_risks!$E$62:$E$218,0))</f>
        <v>4042673.4729273939</v>
      </c>
      <c r="K30" s="32">
        <f>INDEX(Workings_risks!J$62:J$218, MATCH($A$3&amp;$C30, Workings_risks!$E$62:$E$218,0))</f>
        <v>4859452.1608554749</v>
      </c>
      <c r="L30" s="32">
        <f>INDEX(Workings_risks!K$62:K$218, MATCH($A$3&amp;$C30, Workings_risks!$E$62:$E$218,0))</f>
        <v>5870987.1282325238</v>
      </c>
      <c r="M30" s="32">
        <f>INDEX(Workings_risks!L$62:L$218, MATCH($A$3&amp;$C30, Workings_risks!$E$62:$E$218,0))</f>
        <v>7126470.907488131</v>
      </c>
      <c r="N30" s="32">
        <f>INDEX(Workings_risks!M$62:M$218, MATCH($A$3&amp;$C30, Workings_risks!$E$62:$E$218,0))</f>
        <v>8782482.4507326931</v>
      </c>
      <c r="O30" s="32">
        <f>INDEX(Workings_risks!N$62:N$218, MATCH($A$3&amp;$C30, Workings_risks!$E$62:$E$218,0))</f>
        <v>10736263.54679532</v>
      </c>
      <c r="P30" s="32">
        <f>INDEX(Workings_risks!O$62:O$218, MATCH($A$3&amp;$C30, Workings_risks!$E$62:$E$218,0))</f>
        <v>12717587.496189576</v>
      </c>
      <c r="Q30" s="32">
        <f>INDEX(Workings_risks!P$62:P$218, MATCH($A$3&amp;$C30, Workings_risks!$E$62:$E$218,0))</f>
        <v>14721730.208724376</v>
      </c>
      <c r="R30" s="32">
        <f>INDEX(Workings_risks!Q$62:Q$218, MATCH($A$3&amp;$C30, Workings_risks!$E$62:$E$218,0))</f>
        <v>16743014.024645759</v>
      </c>
      <c r="S30" s="32">
        <f>INDEX(Workings_risks!R$62:R$218, MATCH($A$3&amp;$C30, Workings_risks!$E$62:$E$218,0))</f>
        <v>19228533.951716635</v>
      </c>
      <c r="T30" s="32">
        <f>INDEX(Workings_risks!S$62:S$218, MATCH($A$3&amp;$C30, Workings_risks!$E$62:$E$218,0))</f>
        <v>21754687.734152976</v>
      </c>
      <c r="U30" s="32">
        <f>INDEX(Workings_risks!T$62:T$218, MATCH($A$3&amp;$C30, Workings_risks!$E$62:$E$218,0))</f>
        <v>24109915.384264752</v>
      </c>
      <c r="V30" s="32">
        <f>INDEX(Workings_risks!U$62:U$218, MATCH($A$3&amp;$C30, Workings_risks!$E$62:$E$218,0))</f>
        <v>25794338.906127941</v>
      </c>
      <c r="W30" s="32">
        <f>INDEX(Workings_risks!V$62:V$218, MATCH($A$3&amp;$C30, Workings_risks!$E$62:$E$218,0))</f>
        <v>27095496.901280601</v>
      </c>
      <c r="X30" s="32">
        <f>INDEX(Workings_risks!W$62:W$218, MATCH($A$3&amp;$C30, Workings_risks!$E$62:$E$218,0))</f>
        <v>28247653.142099969</v>
      </c>
      <c r="Y30" s="32">
        <f>INDEX(Workings_risks!X$62:X$218, MATCH($A$3&amp;$C30, Workings_risks!$E$62:$E$218,0))</f>
        <v>28936726.064201239</v>
      </c>
      <c r="Z30" s="32">
        <f>INDEX(Workings_risks!Y$62:Y$218, MATCH($A$3&amp;$C30, Workings_risks!$E$62:$E$218,0))</f>
        <v>29522053.474709295</v>
      </c>
      <c r="AA30" s="32">
        <f>INDEX(Workings_risks!Z$62:Z$218, MATCH($A$3&amp;$C30, Workings_risks!$E$62:$E$218,0))</f>
        <v>30013623.063664254</v>
      </c>
      <c r="AB30" s="32">
        <f>INDEX(Workings_risks!AA$62:AA$218, MATCH($A$3&amp;$C30, Workings_risks!$E$62:$E$218,0))</f>
        <v>30454719.036991183</v>
      </c>
      <c r="AC30" s="32">
        <f>INDEX(Workings_risks!AB$62:AB$218, MATCH($A$3&amp;$C30, Workings_risks!$E$62:$E$218,0))</f>
        <v>30861705.096452706</v>
      </c>
      <c r="AD30" s="32">
        <f>INDEX(Workings_risks!AC$62:AC$218, MATCH($A$3&amp;$C30, Workings_risks!$E$62:$E$218,0))</f>
        <v>31150757.189011801</v>
      </c>
      <c r="AE30" s="32">
        <f>INDEX(Workings_risks!AD$62:AD$218, MATCH($A$3&amp;$C30, Workings_risks!$E$62:$E$218,0))</f>
        <v>31375263.262295846</v>
      </c>
      <c r="AF30" s="32">
        <f>INDEX(Workings_risks!AE$62:AE$218, MATCH($A$3&amp;$C30, Workings_risks!$E$62:$E$218,0))</f>
        <v>31570841.256789241</v>
      </c>
      <c r="AG30" s="32">
        <f>INDEX(Workings_risks!AF$62:AF$218, MATCH($A$3&amp;$C30, Workings_risks!$E$62:$E$218,0))</f>
        <v>31757209.509797808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replacements</v>
      </c>
      <c r="D31" s="210"/>
      <c r="E31"/>
      <c r="G31" s="211">
        <f>input_dollars</f>
        <v>45291</v>
      </c>
      <c r="H31" s="152"/>
      <c r="I31" s="32">
        <f>INDEX(Workings_risks!H$62:H$218, MATCH($A$3&amp;$C31, Workings_risks!$E$62:$E$218,0))</f>
        <v>1900959.3721450921</v>
      </c>
      <c r="J31" s="32">
        <f>INDEX(Workings_risks!I$62:I$218, MATCH($A$3&amp;$C31, Workings_risks!$E$62:$E$218,0))</f>
        <v>2233343.727011974</v>
      </c>
      <c r="K31" s="32">
        <f>INDEX(Workings_risks!J$62:J$218, MATCH($A$3&amp;$C31, Workings_risks!$E$62:$E$218,0))</f>
        <v>2678274.8549780492</v>
      </c>
      <c r="L31" s="32">
        <f>INDEX(Workings_risks!K$62:K$218, MATCH($A$3&amp;$C31, Workings_risks!$E$62:$E$218,0))</f>
        <v>3227812.4365466828</v>
      </c>
      <c r="M31" s="32">
        <f>INDEX(Workings_risks!L$62:L$218, MATCH($A$3&amp;$C31, Workings_risks!$E$62:$E$218,0))</f>
        <v>3908060.186526238</v>
      </c>
      <c r="N31" s="32">
        <f>INDEX(Workings_risks!M$62:M$218, MATCH($A$3&amp;$C31, Workings_risks!$E$62:$E$218,0))</f>
        <v>4822324.3975850428</v>
      </c>
      <c r="O31" s="32">
        <f>INDEX(Workings_risks!N$62:N$218, MATCH($A$3&amp;$C31, Workings_risks!$E$62:$E$218,0))</f>
        <v>5894953.3915989278</v>
      </c>
      <c r="P31" s="32">
        <f>INDEX(Workings_risks!O$62:O$218, MATCH($A$3&amp;$C31, Workings_risks!$E$62:$E$218,0))</f>
        <v>6988002.573678988</v>
      </c>
      <c r="Q31" s="32">
        <f>INDEX(Workings_risks!P$62:P$218, MATCH($A$3&amp;$C31, Workings_risks!$E$62:$E$218,0))</f>
        <v>8099840.9093253128</v>
      </c>
      <c r="R31" s="32">
        <f>INDEX(Workings_risks!Q$62:Q$218, MATCH($A$3&amp;$C31, Workings_risks!$E$62:$E$218,0))</f>
        <v>9222173.0298136622</v>
      </c>
      <c r="S31" s="32">
        <f>INDEX(Workings_risks!R$62:R$218, MATCH($A$3&amp;$C31, Workings_risks!$E$62:$E$218,0))</f>
        <v>10602279.441512734</v>
      </c>
      <c r="T31" s="32">
        <f>INDEX(Workings_risks!S$62:S$218, MATCH($A$3&amp;$C31, Workings_risks!$E$62:$E$218,0))</f>
        <v>12004946.493274072</v>
      </c>
      <c r="U31" s="32">
        <f>INDEX(Workings_risks!T$62:T$218, MATCH($A$3&amp;$C31, Workings_risks!$E$62:$E$218,0))</f>
        <v>13312701.384871867</v>
      </c>
      <c r="V31" s="32">
        <f>INDEX(Workings_risks!U$62:U$218, MATCH($A$3&amp;$C31, Workings_risks!$E$62:$E$218,0))</f>
        <v>14247977.356520848</v>
      </c>
      <c r="W31" s="32">
        <f>INDEX(Workings_risks!V$62:V$218, MATCH($A$3&amp;$C31, Workings_risks!$E$62:$E$218,0))</f>
        <v>14970435.363648564</v>
      </c>
      <c r="X31" s="32">
        <f>INDEX(Workings_risks!W$62:W$218, MATCH($A$3&amp;$C31, Workings_risks!$E$62:$E$218,0))</f>
        <v>15610154.502325898</v>
      </c>
      <c r="Y31" s="32">
        <f>INDEX(Workings_risks!X$62:X$218, MATCH($A$3&amp;$C31, Workings_risks!$E$62:$E$218,0))</f>
        <v>15992734.887285784</v>
      </c>
      <c r="Z31" s="32">
        <f>INDEX(Workings_risks!Y$62:Y$218, MATCH($A$3&amp;$C31, Workings_risks!$E$62:$E$218,0))</f>
        <v>16317705.260671776</v>
      </c>
      <c r="AA31" s="32">
        <f>INDEX(Workings_risks!Z$62:Z$218, MATCH($A$3&amp;$C31, Workings_risks!$E$62:$E$218,0))</f>
        <v>16590611.181800798</v>
      </c>
      <c r="AB31" s="32">
        <f>INDEX(Workings_risks!AA$62:AA$218, MATCH($A$3&amp;$C31, Workings_risks!$E$62:$E$218,0))</f>
        <v>16835486.695115745</v>
      </c>
      <c r="AC31" s="32">
        <f>INDEX(Workings_risks!AB$62:AB$218, MATCH($A$3&amp;$C31, Workings_risks!$E$62:$E$218,0))</f>
        <v>17061417.70597133</v>
      </c>
      <c r="AD31" s="32">
        <f>INDEX(Workings_risks!AC$62:AC$218, MATCH($A$3&amp;$C31, Workings_risks!$E$62:$E$218,0))</f>
        <v>17221858.972615782</v>
      </c>
      <c r="AE31" s="32">
        <f>INDEX(Workings_risks!AD$62:AD$218, MATCH($A$3&amp;$C31, Workings_risks!$E$62:$E$218,0))</f>
        <v>17346454.739483412</v>
      </c>
      <c r="AF31" s="32">
        <f>INDEX(Workings_risks!AE$62:AE$218, MATCH($A$3&amp;$C31, Workings_risks!$E$62:$E$218,0))</f>
        <v>17454982.087808982</v>
      </c>
      <c r="AG31" s="32">
        <f>INDEX(Workings_risks!AF$62:AF$218, MATCH($A$3&amp;$C31, Workings_risks!$E$62:$E$218,0))</f>
        <v>17558389.509106468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Environmental consequence</v>
      </c>
      <c r="D32" s="209" t="s">
        <v>208</v>
      </c>
      <c r="E32"/>
      <c r="G32" s="211">
        <f>input_dollars</f>
        <v>45291</v>
      </c>
      <c r="H32"/>
      <c r="I32" s="32">
        <f>INDEX(Workings_risks!H$62:H$218, MATCH($A$3&amp;$C32, Workings_risks!$E$62:$E$218,0))</f>
        <v>165853.38374076918</v>
      </c>
      <c r="J32" s="32">
        <f>INDEX(Workings_risks!I$62:I$218, MATCH($A$3&amp;$C32, Workings_risks!$E$62:$E$218,0))</f>
        <v>197235.23368523066</v>
      </c>
      <c r="K32" s="32">
        <f>INDEX(Workings_risks!J$62:J$218, MATCH($A$3&amp;$C32, Workings_risks!$E$62:$E$218,0))</f>
        <v>237300.91533958292</v>
      </c>
      <c r="L32" s="32">
        <f>INDEX(Workings_risks!K$62:K$218, MATCH($A$3&amp;$C32, Workings_risks!$E$62:$E$218,0))</f>
        <v>286972.68838190299</v>
      </c>
      <c r="M32" s="32">
        <f>INDEX(Workings_risks!L$62:L$218, MATCH($A$3&amp;$C32, Workings_risks!$E$62:$E$218,0))</f>
        <v>348688.70386905741</v>
      </c>
      <c r="N32" s="32">
        <f>INDEX(Workings_risks!M$62:M$218, MATCH($A$3&amp;$C32, Workings_risks!$E$62:$E$218,0))</f>
        <v>427636.31119749416</v>
      </c>
      <c r="O32" s="32">
        <f>INDEX(Workings_risks!N$62:N$218, MATCH($A$3&amp;$C32, Workings_risks!$E$62:$E$218,0))</f>
        <v>522772.35844300489</v>
      </c>
      <c r="P32" s="32">
        <f>INDEX(Workings_risks!O$62:O$218, MATCH($A$3&amp;$C32, Workings_risks!$E$62:$E$218,0))</f>
        <v>619033.88280333928</v>
      </c>
      <c r="Q32" s="32">
        <f>INDEX(Workings_risks!P$62:P$218, MATCH($A$3&amp;$C32, Workings_risks!$E$62:$E$218,0))</f>
        <v>716175.14631215041</v>
      </c>
      <c r="R32" s="32">
        <f>INDEX(Workings_risks!Q$62:Q$218, MATCH($A$3&amp;$C32, Workings_risks!$E$62:$E$218,0))</f>
        <v>814101.88578371913</v>
      </c>
      <c r="S32" s="32">
        <f>INDEX(Workings_risks!R$62:R$218, MATCH($A$3&amp;$C32, Workings_risks!$E$62:$E$218,0))</f>
        <v>934519.10965631774</v>
      </c>
      <c r="T32" s="32">
        <f>INDEX(Workings_risks!S$62:S$218, MATCH($A$3&amp;$C32, Workings_risks!$E$62:$E$218,0))</f>
        <v>1056905.2521476082</v>
      </c>
      <c r="U32" s="32">
        <f>INDEX(Workings_risks!T$62:T$218, MATCH($A$3&amp;$C32, Workings_risks!$E$62:$E$218,0))</f>
        <v>1171011.188688718</v>
      </c>
      <c r="V32" s="32">
        <f>INDEX(Workings_risks!U$62:U$218, MATCH($A$3&amp;$C32, Workings_risks!$E$62:$E$218,0))</f>
        <v>1252620.0491109577</v>
      </c>
      <c r="W32" s="32">
        <f>INDEX(Workings_risks!V$62:V$218, MATCH($A$3&amp;$C32, Workings_risks!$E$62:$E$218,0))</f>
        <v>1315661.8620186166</v>
      </c>
      <c r="X32" s="32">
        <f>INDEX(Workings_risks!W$62:W$218, MATCH($A$3&amp;$C32, Workings_risks!$E$62:$E$218,0))</f>
        <v>1371485.726581115</v>
      </c>
      <c r="Y32" s="32">
        <f>INDEX(Workings_risks!X$62:X$218, MATCH($A$3&amp;$C32, Workings_risks!$E$62:$E$218,0))</f>
        <v>1404875.8086161956</v>
      </c>
      <c r="Z32" s="32">
        <f>INDEX(Workings_risks!Y$62:Y$218, MATCH($A$3&amp;$C32, Workings_risks!$E$62:$E$218,0))</f>
        <v>1433240.5058204087</v>
      </c>
      <c r="AA32" s="32">
        <f>INDEX(Workings_risks!Z$62:Z$218, MATCH($A$3&amp;$C32, Workings_risks!$E$62:$E$218,0))</f>
        <v>1457063.732638217</v>
      </c>
      <c r="AB32" s="32">
        <f>INDEX(Workings_risks!AA$62:AA$218, MATCH($A$3&amp;$C32, Workings_risks!$E$62:$E$218,0))</f>
        <v>1478442.4790711838</v>
      </c>
      <c r="AC32" s="32">
        <f>INDEX(Workings_risks!AB$62:AB$218, MATCH($A$3&amp;$C32, Workings_risks!$E$62:$E$218,0))</f>
        <v>1498169.5594328642</v>
      </c>
      <c r="AD32" s="32">
        <f>INDEX(Workings_risks!AC$62:AC$218, MATCH($A$3&amp;$C32, Workings_risks!$E$62:$E$218,0))</f>
        <v>1512184.1344567423</v>
      </c>
      <c r="AE32" s="32">
        <f>INDEX(Workings_risks!AD$62:AD$218, MATCH($A$3&amp;$C32, Workings_risks!$E$62:$E$218,0))</f>
        <v>1523072.6932674772</v>
      </c>
      <c r="AF32" s="32">
        <f>INDEX(Workings_risks!AE$62:AE$218, MATCH($A$3&amp;$C32, Workings_risks!$E$62:$E$218,0))</f>
        <v>1532560.8524213482</v>
      </c>
      <c r="AG32" s="32">
        <f>INDEX(Workings_risks!AF$62:AF$218, MATCH($A$3&amp;$C32, Workings_risks!$E$62:$E$218,0))</f>
        <v>1541603.9694009719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Response cost</v>
      </c>
      <c r="D33" s="223"/>
      <c r="E33"/>
      <c r="G33" s="211">
        <f>input_dollars</f>
        <v>45291</v>
      </c>
      <c r="H33"/>
      <c r="I33" s="32">
        <f>INDEX(Workings_risks!H$62:H$218, MATCH($A$3&amp;$C33, Workings_risks!$E$62:$E$218,0))</f>
        <v>1114904.0813809298</v>
      </c>
      <c r="J33" s="32">
        <f>INDEX(Workings_risks!I$62:I$218, MATCH($A$3&amp;$C33, Workings_risks!$E$62:$E$218,0))</f>
        <v>1322231.6365141415</v>
      </c>
      <c r="K33" s="32">
        <f>INDEX(Workings_risks!J$62:J$218, MATCH($A$3&amp;$C33, Workings_risks!$E$62:$E$218,0))</f>
        <v>1589814.4447434426</v>
      </c>
      <c r="L33" s="32">
        <f>INDEX(Workings_risks!K$62:K$218, MATCH($A$3&amp;$C33, Workings_risks!$E$62:$E$218,0))</f>
        <v>1921312.5138687717</v>
      </c>
      <c r="M33" s="32">
        <f>INDEX(Workings_risks!L$62:L$218, MATCH($A$3&amp;$C33, Workings_risks!$E$62:$E$218,0))</f>
        <v>2332896.3194425148</v>
      </c>
      <c r="N33" s="32">
        <f>INDEX(Workings_risks!M$62:M$218, MATCH($A$3&amp;$C33, Workings_risks!$E$62:$E$218,0))</f>
        <v>2865377.960555362</v>
      </c>
      <c r="O33" s="32">
        <f>INDEX(Workings_risks!N$62:N$218, MATCH($A$3&amp;$C33, Workings_risks!$E$62:$E$218,0))</f>
        <v>3502816.5170350657</v>
      </c>
      <c r="P33" s="32">
        <f>INDEX(Workings_risks!O$62:O$218, MATCH($A$3&amp;$C33, Workings_risks!$E$62:$E$218,0))</f>
        <v>4148706.0682291547</v>
      </c>
      <c r="Q33" s="32">
        <f>INDEX(Workings_risks!P$62:P$218, MATCH($A$3&amp;$C33, Workings_risks!$E$62:$E$218,0))</f>
        <v>4801523.6693422217</v>
      </c>
      <c r="R33" s="32">
        <f>INDEX(Workings_risks!Q$62:Q$218, MATCH($A$3&amp;$C33, Workings_risks!$E$62:$E$218,0))</f>
        <v>5459799.2569627771</v>
      </c>
      <c r="S33" s="32">
        <f>INDEX(Workings_risks!R$62:R$218, MATCH($A$3&amp;$C33, Workings_risks!$E$62:$E$218,0))</f>
        <v>6269260.3500794005</v>
      </c>
      <c r="T33" s="32">
        <f>INDEX(Workings_risks!S$62:S$218, MATCH($A$3&amp;$C33, Workings_risks!$E$62:$E$218,0))</f>
        <v>7091956.0615678262</v>
      </c>
      <c r="U33" s="32">
        <f>INDEX(Workings_risks!T$62:T$218, MATCH($A$3&amp;$C33, Workings_risks!$E$62:$E$218,0))</f>
        <v>7858989.3733985154</v>
      </c>
      <c r="V33" s="32">
        <f>INDEX(Workings_risks!U$62:U$218, MATCH($A$3&amp;$C33, Workings_risks!$E$62:$E$218,0))</f>
        <v>8407568.9053322114</v>
      </c>
      <c r="W33" s="32">
        <f>INDEX(Workings_risks!V$62:V$218, MATCH($A$3&amp;$C33, Workings_risks!$E$62:$E$218,0))</f>
        <v>8831335.379794335</v>
      </c>
      <c r="X33" s="32">
        <f>INDEX(Workings_risks!W$62:W$218, MATCH($A$3&amp;$C33, Workings_risks!$E$62:$E$218,0))</f>
        <v>9206579.9179580677</v>
      </c>
      <c r="Y33" s="32">
        <f>INDEX(Workings_risks!X$62:X$218, MATCH($A$3&amp;$C33, Workings_risks!$E$62:$E$218,0))</f>
        <v>9431018.1222066488</v>
      </c>
      <c r="Z33" s="32">
        <f>INDEX(Workings_risks!Y$62:Y$218, MATCH($A$3&amp;$C33, Workings_risks!$E$62:$E$218,0))</f>
        <v>9621673.0754109509</v>
      </c>
      <c r="AA33" s="32">
        <f>INDEX(Workings_risks!Z$62:Z$218, MATCH($A$3&amp;$C33, Workings_risks!$E$62:$E$218,0))</f>
        <v>9781797.6332717407</v>
      </c>
      <c r="AB33" s="32">
        <f>INDEX(Workings_risks!AA$62:AA$218, MATCH($A$3&amp;$C33, Workings_risks!$E$62:$E$218,0))</f>
        <v>9925488.1003258936</v>
      </c>
      <c r="AC33" s="32">
        <f>INDEX(Workings_risks!AB$62:AB$218, MATCH($A$3&amp;$C33, Workings_risks!$E$62:$E$218,0))</f>
        <v>10058073.804107256</v>
      </c>
      <c r="AD33" s="32">
        <f>INDEX(Workings_risks!AC$62:AC$218, MATCH($A$3&amp;$C33, Workings_risks!$E$62:$E$218,0))</f>
        <v>10152256.698233308</v>
      </c>
      <c r="AE33" s="32">
        <f>INDEX(Workings_risks!AD$62:AD$218, MATCH($A$3&amp;$C33, Workings_risks!$E$62:$E$218,0))</f>
        <v>10225423.571887258</v>
      </c>
      <c r="AF33" s="32">
        <f>INDEX(Workings_risks!AE$62:AE$218, MATCH($A$3&amp;$C33, Workings_risks!$E$62:$E$218,0))</f>
        <v>10289174.217923684</v>
      </c>
      <c r="AG33" s="32">
        <f>INDEX(Workings_risks!AF$62:AF$218, MATCH($A$3&amp;$C33, Workings_risks!$E$62:$E$218,0))</f>
        <v>10349930.55596594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10"/>
      <c r="D34" s="210"/>
      <c r="E34"/>
      <c r="G34" s="211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10"/>
      <c r="E35"/>
      <c r="G35" s="21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22"/>
      <c r="E36" s="107"/>
      <c r="F36" s="3"/>
      <c r="G36" s="213"/>
      <c r="H36" s="107"/>
      <c r="I36" s="108">
        <f>SUM(I28:I34)</f>
        <v>43879107.045209751</v>
      </c>
      <c r="J36" s="108">
        <f t="shared" ref="J36:AG36" si="3">SUM(J28:J34)</f>
        <v>52302267.430419855</v>
      </c>
      <c r="K36" s="108">
        <f t="shared" si="3"/>
        <v>62833697.998600401</v>
      </c>
      <c r="L36" s="108">
        <f t="shared" si="3"/>
        <v>75867806.319045812</v>
      </c>
      <c r="M36" s="108">
        <f t="shared" si="3"/>
        <v>92034893.030685067</v>
      </c>
      <c r="N36" s="108">
        <f t="shared" si="3"/>
        <v>113529861.26100591</v>
      </c>
      <c r="O36" s="108">
        <f t="shared" si="3"/>
        <v>138785301.64119893</v>
      </c>
      <c r="P36" s="108">
        <f t="shared" si="3"/>
        <v>164428139.53985831</v>
      </c>
      <c r="Q36" s="108">
        <f t="shared" si="3"/>
        <v>190402081.49509376</v>
      </c>
      <c r="R36" s="108">
        <f t="shared" si="3"/>
        <v>216604209.7889837</v>
      </c>
      <c r="S36" s="108">
        <f t="shared" si="3"/>
        <v>248824328.40763673</v>
      </c>
      <c r="T36" s="108">
        <f t="shared" si="3"/>
        <v>281571169.61080414</v>
      </c>
      <c r="U36" s="108">
        <f t="shared" si="3"/>
        <v>312102226.98035812</v>
      </c>
      <c r="V36" s="108">
        <f t="shared" si="3"/>
        <v>333937456.3908658</v>
      </c>
      <c r="W36" s="108">
        <f t="shared" si="3"/>
        <v>350804289.29170257</v>
      </c>
      <c r="X36" s="108">
        <f t="shared" si="3"/>
        <v>365739542.15565026</v>
      </c>
      <c r="Y36" s="108">
        <f t="shared" si="3"/>
        <v>374671695.23478603</v>
      </c>
      <c r="Z36" s="108">
        <f t="shared" si="3"/>
        <v>382258930.11327046</v>
      </c>
      <c r="AA36" s="108">
        <f t="shared" si="3"/>
        <v>388630716.27764285</v>
      </c>
      <c r="AB36" s="108">
        <f t="shared" si="3"/>
        <v>394348153.87325418</v>
      </c>
      <c r="AC36" s="108">
        <f t="shared" si="3"/>
        <v>399623365.57924896</v>
      </c>
      <c r="AD36" s="108">
        <f t="shared" si="3"/>
        <v>403369715.11991465</v>
      </c>
      <c r="AE36" s="108">
        <f t="shared" si="3"/>
        <v>406279278.87881905</v>
      </c>
      <c r="AF36" s="108">
        <f t="shared" si="3"/>
        <v>408813775.8318789</v>
      </c>
      <c r="AG36" s="108">
        <f t="shared" si="3"/>
        <v>411228814.01885778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1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1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1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9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9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1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10"/>
      <c r="E44"/>
      <c r="G44" s="21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9" t="s">
        <v>63</v>
      </c>
      <c r="E45" s="113">
        <f>Assumptions!G94</f>
        <v>151432.81740793545</v>
      </c>
      <c r="G45" s="211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9" t="s">
        <v>63</v>
      </c>
      <c r="E46" s="113">
        <f>Assumptions!G95</f>
        <v>24590</v>
      </c>
      <c r="G46" s="211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9" t="s">
        <v>63</v>
      </c>
      <c r="E47" s="112">
        <f>Assumptions!G96</f>
        <v>88.357719508603083</v>
      </c>
      <c r="G47" s="211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9" t="s">
        <v>126</v>
      </c>
      <c r="E48" s="112">
        <f>Assumptions!G97</f>
        <v>0</v>
      </c>
      <c r="G48" s="211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9" t="s">
        <v>206</v>
      </c>
      <c r="E49" s="112">
        <f>Assumptions!G98</f>
        <v>0.35181336539087127</v>
      </c>
      <c r="G49" s="211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9" t="s">
        <v>206</v>
      </c>
      <c r="E50" s="112">
        <f>Assumptions!G99</f>
        <v>0.35181336539087127</v>
      </c>
      <c r="G50" s="211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9" t="s">
        <v>126</v>
      </c>
      <c r="E51" s="112">
        <f>Assumptions!G100</f>
        <v>0</v>
      </c>
      <c r="G51" s="211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9" t="s">
        <v>126</v>
      </c>
      <c r="E52" s="112">
        <f>Assumptions!G101</f>
        <v>0</v>
      </c>
      <c r="G52" s="211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9"/>
      <c r="G53" s="211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9"/>
      <c r="G54" s="211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9"/>
      <c r="G55" s="211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9"/>
      <c r="G56" s="209"/>
    </row>
    <row r="57" spans="1:43" x14ac:dyDescent="0.2">
      <c r="C57" s="3" t="s">
        <v>125</v>
      </c>
      <c r="D57" s="222"/>
      <c r="E57" s="107"/>
      <c r="F57" s="3"/>
      <c r="G57" s="214">
        <f>input_dollars</f>
        <v>45291</v>
      </c>
      <c r="H57" s="107"/>
      <c r="I57" s="174" cm="1">
        <f t="array" ref="I57">SUMPRODUCT((I$45:I$52)*($E$45:$E$52))+SUM(I54:I55)+I42</f>
        <v>0</v>
      </c>
      <c r="J57" s="174" cm="1">
        <f t="array" ref="J57">SUMPRODUCT((J$45:J$52)*($E$45:$E$52))+SUM(J54:J55)+J42</f>
        <v>0</v>
      </c>
      <c r="K57" s="174" cm="1">
        <f t="array" ref="K57">SUMPRODUCT((K$45:K$52)*($E$45:$E$52))+SUM(K54:K55)+K42</f>
        <v>0</v>
      </c>
      <c r="L57" s="174" cm="1">
        <f t="array" ref="L57">SUMPRODUCT((L$45:L$52)*($E$45:$E$52))+SUM(L54:L55)+L42</f>
        <v>0</v>
      </c>
      <c r="M57" s="174" cm="1">
        <f t="array" ref="M57">SUMPRODUCT((M$45:M$52)*($E$45:$E$52))+SUM(M54:M55)+M42</f>
        <v>0</v>
      </c>
      <c r="N57" s="174" cm="1">
        <f t="array" ref="N57">SUMPRODUCT((N$45:N$52)*($E$45:$E$52))+SUM(N54:N55)+N42</f>
        <v>0</v>
      </c>
      <c r="O57" s="174" cm="1">
        <f t="array" ref="O57">SUMPRODUCT((O$45:O$52)*($E$45:$E$52))+SUM(O54:O55)+O42</f>
        <v>0</v>
      </c>
      <c r="P57" s="174" cm="1">
        <f t="array" ref="P57">SUMPRODUCT((P$45:P$52)*($E$45:$E$52))+SUM(P54:P55)+P42</f>
        <v>0</v>
      </c>
      <c r="Q57" s="174" cm="1">
        <f t="array" ref="Q57">SUMPRODUCT((Q$45:Q$52)*($E$45:$E$52))+SUM(Q54:Q55)+Q42</f>
        <v>0</v>
      </c>
      <c r="R57" s="174" cm="1">
        <f t="array" ref="R57">SUMPRODUCT((R$45:R$52)*($E$45:$E$52))+SUM(R54:R55)+R42</f>
        <v>0</v>
      </c>
      <c r="S57" s="174" cm="1">
        <f t="array" ref="S57">SUMPRODUCT((S$45:S$52)*($E$45:$E$52))+SUM(S54:S55)+S42</f>
        <v>0</v>
      </c>
      <c r="T57" s="174" cm="1">
        <f t="array" ref="T57">SUMPRODUCT((T$45:T$52)*($E$45:$E$52))+SUM(T54:T55)+T42</f>
        <v>0</v>
      </c>
      <c r="U57" s="174" cm="1">
        <f t="array" ref="U57">SUMPRODUCT((U$45:U$52)*($E$45:$E$52))+SUM(U54:U55)+U42</f>
        <v>0</v>
      </c>
      <c r="V57" s="174" cm="1">
        <f t="array" ref="V57">SUMPRODUCT((V$45:V$52)*($E$45:$E$52))+SUM(V54:V55)+V42</f>
        <v>0</v>
      </c>
      <c r="W57" s="174" cm="1">
        <f t="array" ref="W57">SUMPRODUCT((W$45:W$52)*($E$45:$E$52))+SUM(W54:W55)+W42</f>
        <v>0</v>
      </c>
      <c r="X57" s="174" cm="1">
        <f t="array" ref="X57">SUMPRODUCT((X$45:X$52)*($E$45:$E$52))+SUM(X54:X55)+X42</f>
        <v>0</v>
      </c>
      <c r="Y57" s="174" cm="1">
        <f t="array" ref="Y57">SUMPRODUCT((Y$45:Y$52)*($E$45:$E$52))+SUM(Y54:Y55)+Y42</f>
        <v>0</v>
      </c>
      <c r="Z57" s="174" cm="1">
        <f t="array" ref="Z57">SUMPRODUCT((Z$45:Z$52)*($E$45:$E$52))+SUM(Z54:Z55)+Z42</f>
        <v>0</v>
      </c>
      <c r="AA57" s="174" cm="1">
        <f t="array" ref="AA57">SUMPRODUCT((AA$45:AA$52)*($E$45:$E$52))+SUM(AA54:AA55)+AA42</f>
        <v>0</v>
      </c>
      <c r="AB57" s="174" cm="1">
        <f t="array" ref="AB57">SUMPRODUCT((AB$45:AB$52)*($E$45:$E$52))+SUM(AB54:AB55)+AB42</f>
        <v>0</v>
      </c>
      <c r="AC57" s="174" cm="1">
        <f t="array" ref="AC57">SUMPRODUCT((AC$45:AC$52)*($E$45:$E$52))+SUM(AC54:AC55)+AC42</f>
        <v>0</v>
      </c>
      <c r="AD57" s="174" cm="1">
        <f t="array" ref="AD57">SUMPRODUCT((AD$45:AD$52)*($E$45:$E$52))+SUM(AD54:AD55)+AD42</f>
        <v>0</v>
      </c>
      <c r="AE57" s="174" cm="1">
        <f t="array" ref="AE57">SUMPRODUCT((AE$45:AE$52)*($E$45:$E$52))+SUM(AE54:AE55)+AE42</f>
        <v>0</v>
      </c>
      <c r="AF57" s="174" cm="1">
        <f t="array" ref="AF57">SUMPRODUCT((AF$45:AF$52)*($E$45:$E$52))+SUM(AF54:AF55)+AF42</f>
        <v>0</v>
      </c>
      <c r="AG57" s="174" cm="1">
        <f t="array" ref="AG57">SUMPRODUCT((AG$45:AG$52)*($E$45:$E$52))+SUM(AG54:AG55)+AG42</f>
        <v>0</v>
      </c>
    </row>
    <row r="58" spans="1:43" x14ac:dyDescent="0.2">
      <c r="D58" s="209"/>
      <c r="G58" s="209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9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12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5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6"/>
    </row>
    <row r="64" spans="1:43" x14ac:dyDescent="0.2">
      <c r="C64" s="4" t="str">
        <f>'Option1 (base case)'!C64</f>
        <v>Risks mitigated vs base case</v>
      </c>
      <c r="G64" s="214">
        <f>input_dollars</f>
        <v>45291</v>
      </c>
      <c r="I64" s="135">
        <f>(1-INDEX(Data!$C$9:$C$13, MATCH($A$3, options,0)))*('Option1 (base case)'!I36-I36)</f>
        <v>500504.11399513483</v>
      </c>
      <c r="J64" s="135">
        <f>(1-INDEX(Data!$C$9:$C$13, MATCH($A$3, options,0)))*('Option1 (base case)'!J36-J36)</f>
        <v>785755.2414425239</v>
      </c>
      <c r="K64" s="135">
        <f>(1-INDEX(Data!$C$9:$C$13, MATCH($A$3, options,0)))*('Option1 (base case)'!K36-K36)</f>
        <v>1053574.9621899426</v>
      </c>
      <c r="L64" s="135">
        <f>(1-INDEX(Data!$C$9:$C$13, MATCH($A$3, options,0)))*('Option1 (base case)'!L36-L36)</f>
        <v>1411929.6865369529</v>
      </c>
      <c r="M64" s="135">
        <f>(1-INDEX(Data!$C$9:$C$13, MATCH($A$3, options,0)))*('Option1 (base case)'!M36-M36)</f>
        <v>1889706.2894281447</v>
      </c>
      <c r="N64" s="135">
        <f>(1-INDEX(Data!$C$9:$C$13, MATCH($A$3, options,0)))*('Option1 (base case)'!N36-N36)</f>
        <v>1116293.6357014775</v>
      </c>
      <c r="O64" s="135">
        <f>(1-INDEX(Data!$C$9:$C$13, MATCH($A$3, options,0)))*('Option1 (base case)'!O36-O36)</f>
        <v>1365682.6948071718</v>
      </c>
      <c r="P64" s="135">
        <f>(1-INDEX(Data!$C$9:$C$13, MATCH($A$3, options,0)))*('Option1 (base case)'!P36-P36)</f>
        <v>1506949.753076762</v>
      </c>
      <c r="Q64" s="135">
        <f>(1-INDEX(Data!$C$9:$C$13, MATCH($A$3, options,0)))*('Option1 (base case)'!Q36-Q36)</f>
        <v>1533112.8333953917</v>
      </c>
      <c r="R64" s="135">
        <f>(1-INDEX(Data!$C$9:$C$13, MATCH($A$3, options,0)))*('Option1 (base case)'!R36-R36)</f>
        <v>1535627.0565455258</v>
      </c>
      <c r="S64" s="135">
        <f>(1-INDEX(Data!$C$9:$C$13, MATCH($A$3, options,0)))*('Option1 (base case)'!S36-S36)</f>
        <v>1538297.9715262055</v>
      </c>
      <c r="T64" s="135">
        <f>(1-INDEX(Data!$C$9:$C$13, MATCH($A$3, options,0)))*('Option1 (base case)'!T36-T36)</f>
        <v>1541191.0790192485</v>
      </c>
      <c r="U64" s="135">
        <f>(1-INDEX(Data!$C$9:$C$13, MATCH($A$3, options,0)))*('Option1 (base case)'!U36-U36)</f>
        <v>1544325.3822532892</v>
      </c>
      <c r="V64" s="135">
        <f>(1-INDEX(Data!$C$9:$C$13, MATCH($A$3, options,0)))*('Option1 (base case)'!V36-V36)</f>
        <v>1547721.5375025272</v>
      </c>
      <c r="W64" s="135">
        <f>(1-INDEX(Data!$C$9:$C$13, MATCH($A$3, options,0)))*('Option1 (base case)'!W36-W36)</f>
        <v>1551401.9994437099</v>
      </c>
      <c r="X64" s="135">
        <f>(1-INDEX(Data!$C$9:$C$13, MATCH($A$3, options,0)))*('Option1 (base case)'!X36-X36)</f>
        <v>1555391.1793861389</v>
      </c>
      <c r="Y64" s="135">
        <f>(1-INDEX(Data!$C$9:$C$13, MATCH($A$3, options,0)))*('Option1 (base case)'!Y36-Y36)</f>
        <v>1559715.6175175309</v>
      </c>
      <c r="Z64" s="135">
        <f>(1-INDEX(Data!$C$9:$C$13, MATCH($A$3, options,0)))*('Option1 (base case)'!Z36-Z36)</f>
        <v>1564404.1704163551</v>
      </c>
      <c r="AA64" s="135">
        <f>(1-INDEX(Data!$C$9:$C$13, MATCH($A$3, options,0)))*('Option1 (base case)'!AA36-AA36)</f>
        <v>1569488.2151868343</v>
      </c>
      <c r="AB64" s="135">
        <f>(1-INDEX(Data!$C$9:$C$13, MATCH($A$3, options,0)))*('Option1 (base case)'!AB36-AB36)</f>
        <v>1575001.8716981411</v>
      </c>
      <c r="AC64" s="135">
        <f>(1-INDEX(Data!$C$9:$C$13, MATCH($A$3, options,0)))*('Option1 (base case)'!AC36-AC36)</f>
        <v>1580982.2445385456</v>
      </c>
      <c r="AD64" s="135">
        <f>(1-INDEX(Data!$C$9:$C$13, MATCH($A$3, options,0)))*('Option1 (base case)'!AD36-AD36)</f>
        <v>1587469.6864424944</v>
      </c>
      <c r="AE64" s="135">
        <f>(1-INDEX(Data!$C$9:$C$13, MATCH($A$3, options,0)))*('Option1 (base case)'!AE36-AE36)</f>
        <v>1594508.0851025581</v>
      </c>
      <c r="AF64" s="135">
        <f>(1-INDEX(Data!$C$9:$C$13, MATCH($A$3, options,0)))*('Option1 (base case)'!AF36-AF36)</f>
        <v>1602145.1754498482</v>
      </c>
      <c r="AG64" s="135">
        <f>(1-INDEX(Data!$C$9:$C$13, MATCH($A$3, options,0)))*('Option1 (base case)'!AG36-AG36)</f>
        <v>1610432.8796743751</v>
      </c>
    </row>
    <row r="65" spans="1:33" x14ac:dyDescent="0.2">
      <c r="G65" s="216"/>
    </row>
    <row r="66" spans="1:33" x14ac:dyDescent="0.2">
      <c r="A66" s="8"/>
      <c r="B66" s="8"/>
      <c r="C66" s="150" t="s">
        <v>30</v>
      </c>
      <c r="D66" s="38"/>
      <c r="F66" s="97"/>
      <c r="G66" s="217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Cable replacement (top 5)</v>
      </c>
      <c r="D67" s="38"/>
      <c r="F67" s="97"/>
      <c r="G67" s="214">
        <f>input_dollars</f>
        <v>45291</v>
      </c>
      <c r="H67" s="31"/>
      <c r="I67" s="119">
        <f t="shared" ref="I67:AG67" si="5">-I14</f>
        <v>-1457739.1194399998</v>
      </c>
      <c r="J67" s="119">
        <f t="shared" si="5"/>
        <v>-1457739.1194399998</v>
      </c>
      <c r="K67" s="119">
        <f t="shared" si="5"/>
        <v>-1457739.1194399998</v>
      </c>
      <c r="L67" s="119">
        <f t="shared" si="5"/>
        <v>-1457739.1194399998</v>
      </c>
      <c r="M67" s="119">
        <f t="shared" si="5"/>
        <v>-1457739.1194399998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Condition assessment of next 10 delta risk cable sections</v>
      </c>
      <c r="D68" s="38"/>
      <c r="F68" s="97"/>
      <c r="G68" s="214">
        <f>input_dollars</f>
        <v>45291</v>
      </c>
      <c r="H68" s="31"/>
      <c r="I68" s="119">
        <f t="shared" ref="I68:AG68" si="6">-I15</f>
        <v>-333333.33333333331</v>
      </c>
      <c r="J68" s="119">
        <f t="shared" si="6"/>
        <v>-333333.33333333331</v>
      </c>
      <c r="K68" s="119">
        <f t="shared" si="6"/>
        <v>-333333.33333333331</v>
      </c>
      <c r="L68" s="119">
        <f t="shared" si="6"/>
        <v>-333333.33333333331</v>
      </c>
      <c r="M68" s="119">
        <f t="shared" si="6"/>
        <v>-333333.33333333331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Replacement of poor condition cable sections</v>
      </c>
      <c r="D69" s="38"/>
      <c r="F69" s="97"/>
      <c r="G69" s="214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-772268.16670000006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8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50" t="s">
        <v>157</v>
      </c>
      <c r="D71" s="38"/>
      <c r="F71" s="97"/>
      <c r="G71" s="217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Cable replacement (top 5)</v>
      </c>
      <c r="D72" s="38"/>
      <c r="F72" s="97"/>
      <c r="G72" s="214">
        <f>input_dollars</f>
        <v>45291</v>
      </c>
      <c r="H72" s="31"/>
      <c r="I72" s="119" cm="1">
        <f t="array" ref="I72">SUMPRODUCT(($I67:I67))-SUMPRODUCT(($I67:I67)*($I$6:I$6&lt;=(I$6-$E14)))</f>
        <v>-1457739.1194399998</v>
      </c>
      <c r="J72" s="119" cm="1">
        <f t="array" ref="J72">SUMPRODUCT(($I67:J67))-SUMPRODUCT(($I67:J67)*($I$6:J$6&lt;=(J$6-$E14)))</f>
        <v>-2915478.2388799996</v>
      </c>
      <c r="K72" s="119" cm="1">
        <f t="array" ref="K72">SUMPRODUCT(($I67:K67))-SUMPRODUCT(($I67:K67)*($I$6:K$6&lt;=(K$6-$E14)))</f>
        <v>-4373217.3583199997</v>
      </c>
      <c r="L72" s="119" cm="1">
        <f t="array" ref="L72">SUMPRODUCT(($I67:L67))-SUMPRODUCT(($I67:L67)*($I$6:L$6&lt;=(L$6-$E14)))</f>
        <v>-5830956.4777599992</v>
      </c>
      <c r="M72" s="119" cm="1">
        <f t="array" ref="M72">SUMPRODUCT(($I67:M67))-SUMPRODUCT(($I67:M67)*($I$6:M$6&lt;=(M$6-$E14)))</f>
        <v>-7288695.5971999988</v>
      </c>
      <c r="N72" s="119" cm="1">
        <f t="array" ref="N72">SUMPRODUCT(($I67:N67))-SUMPRODUCT(($I67:N67)*($I$6:N$6&lt;=(N$6-$E14)))</f>
        <v>-7288695.5971999988</v>
      </c>
      <c r="O72" s="119" cm="1">
        <f t="array" ref="O72">SUMPRODUCT(($I67:O67))-SUMPRODUCT(($I67:O67)*($I$6:O$6&lt;=(O$6-$E14)))</f>
        <v>-7288695.5971999988</v>
      </c>
      <c r="P72" s="119" cm="1">
        <f t="array" ref="P72">SUMPRODUCT(($I67:P67))-SUMPRODUCT(($I67:P67)*($I$6:P$6&lt;=(P$6-$E14)))</f>
        <v>-7288695.5971999988</v>
      </c>
      <c r="Q72" s="119" cm="1">
        <f t="array" ref="Q72">SUMPRODUCT(($I67:Q67))-SUMPRODUCT(($I67:Q67)*($I$6:Q$6&lt;=(Q$6-$E14)))</f>
        <v>-7288695.5971999988</v>
      </c>
      <c r="R72" s="119" cm="1">
        <f t="array" ref="R72">SUMPRODUCT(($I67:R67))-SUMPRODUCT(($I67:R67)*($I$6:R$6&lt;=(R$6-$E14)))</f>
        <v>-7288695.5971999988</v>
      </c>
      <c r="S72" s="119" cm="1">
        <f t="array" ref="S72">SUMPRODUCT(($I67:S67))-SUMPRODUCT(($I67:S67)*($I$6:S$6&lt;=(S$6-$E14)))</f>
        <v>-7288695.5971999988</v>
      </c>
      <c r="T72" s="119" cm="1">
        <f t="array" ref="T72">SUMPRODUCT(($I67:T67))-SUMPRODUCT(($I67:T67)*($I$6:T$6&lt;=(T$6-$E14)))</f>
        <v>-7288695.5971999988</v>
      </c>
      <c r="U72" s="119" cm="1">
        <f t="array" ref="U72">SUMPRODUCT(($I67:U67))-SUMPRODUCT(($I67:U67)*($I$6:U$6&lt;=(U$6-$E14)))</f>
        <v>-7288695.5971999988</v>
      </c>
      <c r="V72" s="119" cm="1">
        <f t="array" ref="V72">SUMPRODUCT(($I67:V67))-SUMPRODUCT(($I67:V67)*($I$6:V$6&lt;=(V$6-$E14)))</f>
        <v>-7288695.5971999988</v>
      </c>
      <c r="W72" s="119" cm="1">
        <f t="array" ref="W72">SUMPRODUCT(($I67:W67))-SUMPRODUCT(($I67:W67)*($I$6:W$6&lt;=(W$6-$E14)))</f>
        <v>-7288695.5971999988</v>
      </c>
      <c r="X72" s="119" cm="1">
        <f t="array" ref="X72">SUMPRODUCT(($I67:X67))-SUMPRODUCT(($I67:X67)*($I$6:X$6&lt;=(X$6-$E14)))</f>
        <v>-7288695.5971999988</v>
      </c>
      <c r="Y72" s="119" cm="1">
        <f t="array" ref="Y72">SUMPRODUCT(($I67:Y67))-SUMPRODUCT(($I67:Y67)*($I$6:Y$6&lt;=(Y$6-$E14)))</f>
        <v>-7288695.5971999988</v>
      </c>
      <c r="Z72" s="119" cm="1">
        <f t="array" ref="Z72">SUMPRODUCT(($I67:Z67))-SUMPRODUCT(($I67:Z67)*($I$6:Z$6&lt;=(Z$6-$E14)))</f>
        <v>-7288695.5971999988</v>
      </c>
      <c r="AA72" s="119" cm="1">
        <f t="array" ref="AA72">SUMPRODUCT(($I67:AA67))-SUMPRODUCT(($I67:AA67)*($I$6:AA$6&lt;=(AA$6-$E14)))</f>
        <v>-7288695.5971999988</v>
      </c>
      <c r="AB72" s="119" cm="1">
        <f t="array" ref="AB72">SUMPRODUCT(($I67:AB67))-SUMPRODUCT(($I67:AB67)*($I$6:AB$6&lt;=(AB$6-$E14)))</f>
        <v>-7288695.5971999988</v>
      </c>
      <c r="AC72" s="119" cm="1">
        <f t="array" ref="AC72">SUMPRODUCT(($I67:AC67))-SUMPRODUCT(($I67:AC67)*($I$6:AC$6&lt;=(AC$6-$E14)))</f>
        <v>-7288695.5971999988</v>
      </c>
      <c r="AD72" s="119" cm="1">
        <f t="array" ref="AD72">SUMPRODUCT(($I67:AD67))-SUMPRODUCT(($I67:AD67)*($I$6:AD$6&lt;=(AD$6-$E14)))</f>
        <v>-7288695.5971999988</v>
      </c>
      <c r="AE72" s="119" cm="1">
        <f t="array" ref="AE72">SUMPRODUCT(($I67:AE67))-SUMPRODUCT(($I67:AE67)*($I$6:AE$6&lt;=(AE$6-$E14)))</f>
        <v>-7288695.5971999988</v>
      </c>
      <c r="AF72" s="119" cm="1">
        <f t="array" ref="AF72">SUMPRODUCT(($I67:AF67))-SUMPRODUCT(($I67:AF67)*($I$6:AF$6&lt;=(AF$6-$E14)))</f>
        <v>-7288695.5971999988</v>
      </c>
      <c r="AG72" s="119" cm="1">
        <f t="array" ref="AG72">SUMPRODUCT(($I67:AG67))-SUMPRODUCT(($I67:AG67)*($I$6:AG$6&lt;=(AG$6-$E14)))</f>
        <v>-7288695.5971999988</v>
      </c>
    </row>
    <row r="73" spans="1:33" x14ac:dyDescent="0.2">
      <c r="A73" s="8"/>
      <c r="B73" s="8"/>
      <c r="C73" s="4" t="str">
        <f>C15</f>
        <v>Condition assessment of next 10 delta risk cable sections</v>
      </c>
      <c r="D73" s="38"/>
      <c r="F73" s="97"/>
      <c r="G73" s="214">
        <f>input_dollars</f>
        <v>45291</v>
      </c>
      <c r="H73" s="31"/>
      <c r="I73" s="119" cm="1">
        <f t="array" ref="I73">SUMPRODUCT(($I68:I68))-SUMPRODUCT(($I68:I68)*($I$6:I$6&lt;=(I$6-$E15)))</f>
        <v>-333333.33333333331</v>
      </c>
      <c r="J73" s="119" cm="1">
        <f t="array" ref="J73">SUMPRODUCT(($I68:J68))-SUMPRODUCT(($I68:J68)*($I$6:J$6&lt;=(J$6-$E15)))</f>
        <v>-333333.33333333331</v>
      </c>
      <c r="K73" s="119" cm="1">
        <f t="array" ref="K73">SUMPRODUCT(($I68:K68))-SUMPRODUCT(($I68:K68)*($I$6:K$6&lt;=(K$6-$E15)))</f>
        <v>-333333.33333333337</v>
      </c>
      <c r="L73" s="119" cm="1">
        <f t="array" ref="L73">SUMPRODUCT(($I68:L68))-SUMPRODUCT(($I68:L68)*($I$6:L$6&lt;=(L$6-$E15)))</f>
        <v>-333333.33333333326</v>
      </c>
      <c r="M73" s="119" cm="1">
        <f t="array" ref="M73">SUMPRODUCT(($I68:M68))-SUMPRODUCT(($I68:M68)*($I$6:M$6&lt;=(M$6-$E15)))</f>
        <v>-333333.33333333326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Replacement of poor condition cable sections</v>
      </c>
      <c r="D74" s="38"/>
      <c r="F74" s="97"/>
      <c r="G74" s="214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-772268.16670000006</v>
      </c>
      <c r="N74" s="119" cm="1">
        <f t="array" ref="N74">SUMPRODUCT(($I69:N69))-SUMPRODUCT(($I69:N69)*($I$6:N$6&lt;=(N$6-$E16)))</f>
        <v>-772268.16670000006</v>
      </c>
      <c r="O74" s="119" cm="1">
        <f t="array" ref="O74">SUMPRODUCT(($I69:O69))-SUMPRODUCT(($I69:O69)*($I$6:O$6&lt;=(O$6-$E16)))</f>
        <v>-772268.16670000006</v>
      </c>
      <c r="P74" s="119" cm="1">
        <f t="array" ref="P74">SUMPRODUCT(($I69:P69))-SUMPRODUCT(($I69:P69)*($I$6:P$6&lt;=(P$6-$E16)))</f>
        <v>-772268.16670000006</v>
      </c>
      <c r="Q74" s="119" cm="1">
        <f t="array" ref="Q74">SUMPRODUCT(($I69:Q69))-SUMPRODUCT(($I69:Q69)*($I$6:Q$6&lt;=(Q$6-$E16)))</f>
        <v>-772268.16670000006</v>
      </c>
      <c r="R74" s="119" cm="1">
        <f t="array" ref="R74">SUMPRODUCT(($I69:R69))-SUMPRODUCT(($I69:R69)*($I$6:R$6&lt;=(R$6-$E16)))</f>
        <v>-772268.16670000006</v>
      </c>
      <c r="S74" s="119" cm="1">
        <f t="array" ref="S74">SUMPRODUCT(($I69:S69))-SUMPRODUCT(($I69:S69)*($I$6:S$6&lt;=(S$6-$E16)))</f>
        <v>-772268.16670000006</v>
      </c>
      <c r="T74" s="119" cm="1">
        <f t="array" ref="T74">SUMPRODUCT(($I69:T69))-SUMPRODUCT(($I69:T69)*($I$6:T$6&lt;=(T$6-$E16)))</f>
        <v>-772268.16670000006</v>
      </c>
      <c r="U74" s="119" cm="1">
        <f t="array" ref="U74">SUMPRODUCT(($I69:U69))-SUMPRODUCT(($I69:U69)*($I$6:U$6&lt;=(U$6-$E16)))</f>
        <v>-772268.16670000006</v>
      </c>
      <c r="V74" s="119" cm="1">
        <f t="array" ref="V74">SUMPRODUCT(($I69:V69))-SUMPRODUCT(($I69:V69)*($I$6:V$6&lt;=(V$6-$E16)))</f>
        <v>-772268.16670000006</v>
      </c>
      <c r="W74" s="119" cm="1">
        <f t="array" ref="W74">SUMPRODUCT(($I69:W69))-SUMPRODUCT(($I69:W69)*($I$6:W$6&lt;=(W$6-$E16)))</f>
        <v>-772268.16670000006</v>
      </c>
      <c r="X74" s="119" cm="1">
        <f t="array" ref="X74">SUMPRODUCT(($I69:X69))-SUMPRODUCT(($I69:X69)*($I$6:X$6&lt;=(X$6-$E16)))</f>
        <v>-772268.16670000006</v>
      </c>
      <c r="Y74" s="119" cm="1">
        <f t="array" ref="Y74">SUMPRODUCT(($I69:Y69))-SUMPRODUCT(($I69:Y69)*($I$6:Y$6&lt;=(Y$6-$E16)))</f>
        <v>-772268.16670000006</v>
      </c>
      <c r="Z74" s="119" cm="1">
        <f t="array" ref="Z74">SUMPRODUCT(($I69:Z69))-SUMPRODUCT(($I69:Z69)*($I$6:Z$6&lt;=(Z$6-$E16)))</f>
        <v>-772268.16670000006</v>
      </c>
      <c r="AA74" s="119" cm="1">
        <f t="array" ref="AA74">SUMPRODUCT(($I69:AA69))-SUMPRODUCT(($I69:AA69)*($I$6:AA$6&lt;=(AA$6-$E16)))</f>
        <v>-772268.16670000006</v>
      </c>
      <c r="AB74" s="119" cm="1">
        <f t="array" ref="AB74">SUMPRODUCT(($I69:AB69))-SUMPRODUCT(($I69:AB69)*($I$6:AB$6&lt;=(AB$6-$E16)))</f>
        <v>-772268.16670000006</v>
      </c>
      <c r="AC74" s="119" cm="1">
        <f t="array" ref="AC74">SUMPRODUCT(($I69:AC69))-SUMPRODUCT(($I69:AC69)*($I$6:AC$6&lt;=(AC$6-$E16)))</f>
        <v>-772268.16670000006</v>
      </c>
      <c r="AD74" s="119" cm="1">
        <f t="array" ref="AD74">SUMPRODUCT(($I69:AD69))-SUMPRODUCT(($I69:AD69)*($I$6:AD$6&lt;=(AD$6-$E16)))</f>
        <v>-772268.16670000006</v>
      </c>
      <c r="AE74" s="119" cm="1">
        <f t="array" ref="AE74">SUMPRODUCT(($I69:AE69))-SUMPRODUCT(($I69:AE69)*($I$6:AE$6&lt;=(AE$6-$E16)))</f>
        <v>-772268.16670000006</v>
      </c>
      <c r="AF74" s="119" cm="1">
        <f t="array" ref="AF74">SUMPRODUCT(($I69:AF69))-SUMPRODUCT(($I69:AF69)*($I$6:AF$6&lt;=(AF$6-$E16)))</f>
        <v>-772268.16670000006</v>
      </c>
      <c r="AG74" s="119" cm="1">
        <f t="array" ref="AG74">SUMPRODUCT(($I69:AG69))-SUMPRODUCT(($I69:AG69)*($I$6:AG$6&lt;=(AG$6-$E16)))</f>
        <v>-772268.16670000006</v>
      </c>
    </row>
    <row r="75" spans="1:33" x14ac:dyDescent="0.2">
      <c r="A75" s="8"/>
      <c r="B75" s="8"/>
      <c r="C75" s="4"/>
      <c r="D75" s="38"/>
      <c r="F75" s="97"/>
      <c r="G75" s="218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50" t="s">
        <v>91</v>
      </c>
      <c r="D76" s="38"/>
      <c r="F76" s="97"/>
      <c r="G76" s="217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Cable replacement (top 5)</v>
      </c>
      <c r="D77" s="38"/>
      <c r="F77" s="97"/>
      <c r="G77" s="214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-58438.751542898979</v>
      </c>
      <c r="K77" s="119">
        <f t="shared" si="8"/>
        <v>-116877.50308579796</v>
      </c>
      <c r="L77" s="119">
        <f t="shared" si="8"/>
        <v>-175316.25462869694</v>
      </c>
      <c r="M77" s="119">
        <f t="shared" si="8"/>
        <v>-233755.00617159592</v>
      </c>
      <c r="N77" s="119">
        <f t="shared" si="8"/>
        <v>-292193.75771449489</v>
      </c>
      <c r="O77" s="119">
        <f t="shared" si="8"/>
        <v>-292193.75771449489</v>
      </c>
      <c r="P77" s="119">
        <f t="shared" si="8"/>
        <v>-292193.75771449489</v>
      </c>
      <c r="Q77" s="119">
        <f t="shared" si="8"/>
        <v>-292193.75771449489</v>
      </c>
      <c r="R77" s="119">
        <f t="shared" si="8"/>
        <v>-292193.75771449489</v>
      </c>
      <c r="S77" s="119">
        <f t="shared" si="8"/>
        <v>-292193.75771449489</v>
      </c>
      <c r="T77" s="119">
        <f t="shared" si="8"/>
        <v>-292193.75771449489</v>
      </c>
      <c r="U77" s="119">
        <f t="shared" si="8"/>
        <v>-292193.75771449489</v>
      </c>
      <c r="V77" s="119">
        <f t="shared" si="8"/>
        <v>-292193.75771449489</v>
      </c>
      <c r="W77" s="119">
        <f t="shared" si="8"/>
        <v>-292193.75771449489</v>
      </c>
      <c r="X77" s="119">
        <f t="shared" si="8"/>
        <v>-292193.75771449489</v>
      </c>
      <c r="Y77" s="119">
        <f t="shared" si="8"/>
        <v>-292193.75771449489</v>
      </c>
      <c r="Z77" s="119">
        <f t="shared" si="8"/>
        <v>-292193.75771449489</v>
      </c>
      <c r="AA77" s="119">
        <f t="shared" si="8"/>
        <v>-292193.75771449489</v>
      </c>
      <c r="AB77" s="119">
        <f t="shared" si="8"/>
        <v>-292193.75771449489</v>
      </c>
      <c r="AC77" s="119">
        <f t="shared" si="8"/>
        <v>-292193.75771449489</v>
      </c>
      <c r="AD77" s="119">
        <f t="shared" si="8"/>
        <v>-292193.75771449489</v>
      </c>
      <c r="AE77" s="119">
        <f t="shared" si="8"/>
        <v>-292193.75771449489</v>
      </c>
      <c r="AF77" s="119">
        <f t="shared" si="8"/>
        <v>-292193.75771449489</v>
      </c>
      <c r="AG77" s="119">
        <f t="shared" si="8"/>
        <v>-292193.75771449489</v>
      </c>
    </row>
    <row r="78" spans="1:33" x14ac:dyDescent="0.2">
      <c r="A78" s="8"/>
      <c r="B78" s="8"/>
      <c r="C78" s="4" t="str">
        <f>$C$76&amp;" - "&amp;C15</f>
        <v>Annualised capex - Condition assessment of next 10 delta risk cable sections</v>
      </c>
      <c r="D78" s="38"/>
      <c r="F78" s="97"/>
      <c r="G78" s="214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-345000.00000000006</v>
      </c>
      <c r="K78" s="119">
        <f t="shared" si="9"/>
        <v>-345000.00000000006</v>
      </c>
      <c r="L78" s="119">
        <f t="shared" si="9"/>
        <v>-345000.00000000006</v>
      </c>
      <c r="M78" s="119">
        <f t="shared" si="9"/>
        <v>-345000</v>
      </c>
      <c r="N78" s="119">
        <f t="shared" si="9"/>
        <v>-345000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Replacement of poor condition cable sections</v>
      </c>
      <c r="D79" s="38"/>
      <c r="F79" s="97"/>
      <c r="G79" s="214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-30959.16609249571</v>
      </c>
      <c r="O79" s="119">
        <f t="shared" si="10"/>
        <v>-30959.16609249571</v>
      </c>
      <c r="P79" s="119">
        <f t="shared" si="10"/>
        <v>-30959.16609249571</v>
      </c>
      <c r="Q79" s="119">
        <f t="shared" si="10"/>
        <v>-30959.16609249571</v>
      </c>
      <c r="R79" s="119">
        <f t="shared" si="10"/>
        <v>-30959.16609249571</v>
      </c>
      <c r="S79" s="119">
        <f t="shared" si="10"/>
        <v>-30959.16609249571</v>
      </c>
      <c r="T79" s="119">
        <f t="shared" si="10"/>
        <v>-30959.16609249571</v>
      </c>
      <c r="U79" s="119">
        <f t="shared" si="10"/>
        <v>-30959.16609249571</v>
      </c>
      <c r="V79" s="119">
        <f t="shared" si="10"/>
        <v>-30959.16609249571</v>
      </c>
      <c r="W79" s="119">
        <f t="shared" si="10"/>
        <v>-30959.16609249571</v>
      </c>
      <c r="X79" s="119">
        <f t="shared" si="10"/>
        <v>-30959.16609249571</v>
      </c>
      <c r="Y79" s="119">
        <f t="shared" si="10"/>
        <v>-30959.16609249571</v>
      </c>
      <c r="Z79" s="119">
        <f t="shared" si="10"/>
        <v>-30959.16609249571</v>
      </c>
      <c r="AA79" s="119">
        <f t="shared" si="10"/>
        <v>-30959.16609249571</v>
      </c>
      <c r="AB79" s="119">
        <f t="shared" si="10"/>
        <v>-30959.16609249571</v>
      </c>
      <c r="AC79" s="119">
        <f t="shared" si="10"/>
        <v>-30959.16609249571</v>
      </c>
      <c r="AD79" s="119">
        <f t="shared" si="10"/>
        <v>-30959.16609249571</v>
      </c>
      <c r="AE79" s="119">
        <f t="shared" si="10"/>
        <v>-30959.16609249571</v>
      </c>
      <c r="AF79" s="119">
        <f t="shared" si="10"/>
        <v>-30959.16609249571</v>
      </c>
      <c r="AG79" s="119">
        <f t="shared" si="10"/>
        <v>-30959.16609249571</v>
      </c>
    </row>
    <row r="80" spans="1:33" x14ac:dyDescent="0.2">
      <c r="A80" s="8"/>
      <c r="B80" s="8"/>
      <c r="C80" s="176" t="s">
        <v>158</v>
      </c>
      <c r="D80" s="176"/>
      <c r="E80" s="177"/>
      <c r="F80" s="178"/>
      <c r="G80" s="219">
        <f>input_dollars</f>
        <v>45291</v>
      </c>
      <c r="H80" s="179"/>
      <c r="I80" s="180">
        <f>SUM(I77:I79)</f>
        <v>0</v>
      </c>
      <c r="J80" s="180">
        <f t="shared" ref="J80:AB80" si="11">SUM(J77:J79)</f>
        <v>-403438.75154289906</v>
      </c>
      <c r="K80" s="180">
        <f t="shared" si="11"/>
        <v>-461877.503085798</v>
      </c>
      <c r="L80" s="180">
        <f t="shared" si="11"/>
        <v>-520316.254628697</v>
      </c>
      <c r="M80" s="180">
        <f t="shared" si="11"/>
        <v>-578755.00617159589</v>
      </c>
      <c r="N80" s="180">
        <f t="shared" si="11"/>
        <v>-668152.9238069905</v>
      </c>
      <c r="O80" s="180">
        <f t="shared" si="11"/>
        <v>-323152.92380699061</v>
      </c>
      <c r="P80" s="180">
        <f t="shared" si="11"/>
        <v>-323152.92380699061</v>
      </c>
      <c r="Q80" s="180">
        <f t="shared" si="11"/>
        <v>-323152.92380699061</v>
      </c>
      <c r="R80" s="180">
        <f t="shared" si="11"/>
        <v>-323152.92380699061</v>
      </c>
      <c r="S80" s="180">
        <f t="shared" si="11"/>
        <v>-323152.92380699061</v>
      </c>
      <c r="T80" s="180">
        <f t="shared" si="11"/>
        <v>-323152.92380699061</v>
      </c>
      <c r="U80" s="180">
        <f t="shared" si="11"/>
        <v>-323152.92380699061</v>
      </c>
      <c r="V80" s="180">
        <f t="shared" si="11"/>
        <v>-323152.92380699061</v>
      </c>
      <c r="W80" s="180">
        <f t="shared" si="11"/>
        <v>-323152.92380699061</v>
      </c>
      <c r="X80" s="180">
        <f t="shared" si="11"/>
        <v>-323152.92380699061</v>
      </c>
      <c r="Y80" s="180">
        <f t="shared" si="11"/>
        <v>-323152.92380699061</v>
      </c>
      <c r="Z80" s="180">
        <f t="shared" si="11"/>
        <v>-323152.92380699061</v>
      </c>
      <c r="AA80" s="180">
        <f t="shared" si="11"/>
        <v>-323152.92380699061</v>
      </c>
      <c r="AB80" s="180">
        <f t="shared" si="11"/>
        <v>-323152.92380699061</v>
      </c>
      <c r="AC80" s="180">
        <f>SUM(AC77:AC79)</f>
        <v>-323152.92380699061</v>
      </c>
      <c r="AD80" s="180">
        <f>SUM(AD77:AD79)</f>
        <v>-323152.92380699061</v>
      </c>
      <c r="AE80" s="180">
        <f>SUM(AE77:AE79)</f>
        <v>-323152.92380699061</v>
      </c>
      <c r="AF80" s="180">
        <f>SUM(AF77:AF79)</f>
        <v>-323152.92380699061</v>
      </c>
      <c r="AG80" s="180">
        <f>SUM(AG77:AG79)</f>
        <v>-323152.92380699061</v>
      </c>
    </row>
    <row r="81" spans="1:33" x14ac:dyDescent="0.2">
      <c r="A81" s="8"/>
      <c r="B81" s="8"/>
      <c r="C81" s="75"/>
      <c r="D81" s="38"/>
      <c r="F81"/>
      <c r="G81" s="220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4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-403438.75154289906</v>
      </c>
      <c r="K82" s="119">
        <f t="shared" si="13"/>
        <v>-461877.503085798</v>
      </c>
      <c r="L82" s="119">
        <f t="shared" si="13"/>
        <v>-520316.254628697</v>
      </c>
      <c r="M82" s="119">
        <f t="shared" si="13"/>
        <v>-578755.00617159589</v>
      </c>
      <c r="N82" s="119">
        <f t="shared" si="13"/>
        <v>-668152.9238069905</v>
      </c>
      <c r="O82" s="119">
        <f t="shared" si="13"/>
        <v>-323152.92380699061</v>
      </c>
      <c r="P82" s="119">
        <f t="shared" si="13"/>
        <v>-323152.92380699061</v>
      </c>
      <c r="Q82" s="119">
        <f t="shared" si="13"/>
        <v>-323152.92380699061</v>
      </c>
      <c r="R82" s="119">
        <f t="shared" si="13"/>
        <v>-323152.92380699061</v>
      </c>
      <c r="S82" s="119">
        <f t="shared" si="13"/>
        <v>-323152.92380699061</v>
      </c>
      <c r="T82" s="119">
        <f t="shared" si="13"/>
        <v>-323152.92380699061</v>
      </c>
      <c r="U82" s="119">
        <f t="shared" si="13"/>
        <v>-323152.92380699061</v>
      </c>
      <c r="V82" s="119">
        <f t="shared" si="13"/>
        <v>-323152.92380699061</v>
      </c>
      <c r="W82" s="119">
        <f t="shared" si="13"/>
        <v>-323152.92380699061</v>
      </c>
      <c r="X82" s="119">
        <f t="shared" si="13"/>
        <v>-323152.92380699061</v>
      </c>
      <c r="Y82" s="119">
        <f t="shared" si="13"/>
        <v>-323152.92380699061</v>
      </c>
      <c r="Z82" s="119">
        <f t="shared" si="13"/>
        <v>-323152.92380699061</v>
      </c>
      <c r="AA82" s="119">
        <f t="shared" si="13"/>
        <v>-323152.92380699061</v>
      </c>
      <c r="AB82" s="119">
        <f t="shared" si="13"/>
        <v>-323152.92380699061</v>
      </c>
      <c r="AC82" s="119">
        <f>AC80</f>
        <v>-323152.92380699061</v>
      </c>
      <c r="AD82" s="119">
        <f>AD80</f>
        <v>-323152.92380699061</v>
      </c>
      <c r="AE82" s="119">
        <f>AE80</f>
        <v>-323152.92380699061</v>
      </c>
      <c r="AF82" s="119">
        <f>AF80</f>
        <v>-323152.92380699061</v>
      </c>
      <c r="AG82" s="119">
        <f>AG80</f>
        <v>-323152.92380699061</v>
      </c>
    </row>
    <row r="83" spans="1:33" x14ac:dyDescent="0.2">
      <c r="A83" s="8"/>
      <c r="B83" s="8"/>
      <c r="C83" s="4" t="s">
        <v>31</v>
      </c>
      <c r="D83" s="38"/>
      <c r="F83" s="97"/>
      <c r="G83" s="214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4">
        <f t="shared" si="12"/>
        <v>45291</v>
      </c>
      <c r="H84" s="31"/>
      <c r="I84" s="31">
        <f>I64</f>
        <v>500504.11399513483</v>
      </c>
      <c r="J84" s="31">
        <f t="shared" ref="J84:AB84" si="15">J64</f>
        <v>785755.2414425239</v>
      </c>
      <c r="K84" s="31">
        <f t="shared" si="15"/>
        <v>1053574.9621899426</v>
      </c>
      <c r="L84" s="31">
        <f t="shared" si="15"/>
        <v>1411929.6865369529</v>
      </c>
      <c r="M84" s="31">
        <f t="shared" si="15"/>
        <v>1889706.2894281447</v>
      </c>
      <c r="N84" s="31">
        <f t="shared" si="15"/>
        <v>1116293.6357014775</v>
      </c>
      <c r="O84" s="31">
        <f t="shared" si="15"/>
        <v>1365682.6948071718</v>
      </c>
      <c r="P84" s="31">
        <f t="shared" si="15"/>
        <v>1506949.753076762</v>
      </c>
      <c r="Q84" s="31">
        <f t="shared" si="15"/>
        <v>1533112.8333953917</v>
      </c>
      <c r="R84" s="31">
        <f t="shared" si="15"/>
        <v>1535627.0565455258</v>
      </c>
      <c r="S84" s="31">
        <f t="shared" si="15"/>
        <v>1538297.9715262055</v>
      </c>
      <c r="T84" s="31">
        <f t="shared" si="15"/>
        <v>1541191.0790192485</v>
      </c>
      <c r="U84" s="31">
        <f t="shared" si="15"/>
        <v>1544325.3822532892</v>
      </c>
      <c r="V84" s="31">
        <f t="shared" si="15"/>
        <v>1547721.5375025272</v>
      </c>
      <c r="W84" s="31">
        <f t="shared" si="15"/>
        <v>1551401.9994437099</v>
      </c>
      <c r="X84" s="31">
        <f t="shared" si="15"/>
        <v>1555391.1793861389</v>
      </c>
      <c r="Y84" s="31">
        <f t="shared" si="15"/>
        <v>1559715.6175175309</v>
      </c>
      <c r="Z84" s="31">
        <f t="shared" si="15"/>
        <v>1564404.1704163551</v>
      </c>
      <c r="AA84" s="31">
        <f t="shared" si="15"/>
        <v>1569488.2151868343</v>
      </c>
      <c r="AB84" s="31">
        <f t="shared" si="15"/>
        <v>1575001.8716981411</v>
      </c>
      <c r="AC84" s="31">
        <f>AC64</f>
        <v>1580982.2445385456</v>
      </c>
      <c r="AD84" s="31">
        <f>AD64</f>
        <v>1587469.6864424944</v>
      </c>
      <c r="AE84" s="31">
        <f>AE64</f>
        <v>1594508.0851025581</v>
      </c>
      <c r="AF84" s="31">
        <f>AF64</f>
        <v>1602145.1754498482</v>
      </c>
      <c r="AG84" s="31">
        <f>AG64</f>
        <v>1610432.8796743751</v>
      </c>
    </row>
    <row r="85" spans="1:33" x14ac:dyDescent="0.2">
      <c r="A85" s="8"/>
      <c r="B85" s="8"/>
      <c r="C85" s="4" t="s">
        <v>122</v>
      </c>
      <c r="D85" s="38"/>
      <c r="F85" s="97"/>
      <c r="G85" s="214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4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188</v>
      </c>
      <c r="D87" s="182"/>
      <c r="E87" s="177"/>
      <c r="F87" s="183"/>
      <c r="G87" s="219">
        <f t="shared" si="12"/>
        <v>45291</v>
      </c>
      <c r="H87" s="183"/>
      <c r="I87" s="183">
        <f t="shared" ref="I87:AB87" si="17">SUM(I82:I86)</f>
        <v>500504.11399513483</v>
      </c>
      <c r="J87" s="183">
        <f t="shared" si="17"/>
        <v>382316.48989962484</v>
      </c>
      <c r="K87" s="183">
        <f t="shared" si="17"/>
        <v>591697.4591041446</v>
      </c>
      <c r="L87" s="183">
        <f t="shared" si="17"/>
        <v>891613.43190825591</v>
      </c>
      <c r="M87" s="183">
        <f t="shared" si="17"/>
        <v>1310951.2832565489</v>
      </c>
      <c r="N87" s="183">
        <f t="shared" si="17"/>
        <v>448140.71189448703</v>
      </c>
      <c r="O87" s="183">
        <f t="shared" si="17"/>
        <v>1042529.7710001812</v>
      </c>
      <c r="P87" s="183">
        <f t="shared" si="17"/>
        <v>1183796.8292697715</v>
      </c>
      <c r="Q87" s="183">
        <f t="shared" si="17"/>
        <v>1209959.9095884012</v>
      </c>
      <c r="R87" s="183">
        <f t="shared" si="17"/>
        <v>1212474.1327385353</v>
      </c>
      <c r="S87" s="183">
        <f t="shared" si="17"/>
        <v>1215145.047719215</v>
      </c>
      <c r="T87" s="183">
        <f t="shared" si="17"/>
        <v>1218038.155212258</v>
      </c>
      <c r="U87" s="183">
        <f t="shared" si="17"/>
        <v>1221172.4584462987</v>
      </c>
      <c r="V87" s="183">
        <f t="shared" si="17"/>
        <v>1224568.6136955367</v>
      </c>
      <c r="W87" s="183">
        <f t="shared" si="17"/>
        <v>1228249.0756367194</v>
      </c>
      <c r="X87" s="183">
        <f t="shared" si="17"/>
        <v>1232238.2555791484</v>
      </c>
      <c r="Y87" s="183">
        <f t="shared" si="17"/>
        <v>1236562.6937105404</v>
      </c>
      <c r="Z87" s="183">
        <f t="shared" si="17"/>
        <v>1241251.2466093646</v>
      </c>
      <c r="AA87" s="183">
        <f t="shared" si="17"/>
        <v>1246335.2913798438</v>
      </c>
      <c r="AB87" s="183">
        <f t="shared" si="17"/>
        <v>1251848.9478911506</v>
      </c>
      <c r="AC87" s="183">
        <f>SUM(AC82:AC86)</f>
        <v>1257829.3207315551</v>
      </c>
      <c r="AD87" s="183">
        <f>SUM(AD82:AD86)</f>
        <v>1264316.7626355039</v>
      </c>
      <c r="AE87" s="183">
        <f>SUM(AE82:AE86)</f>
        <v>1271355.1612955676</v>
      </c>
      <c r="AF87" s="183">
        <f>SUM(AF82:AF86)</f>
        <v>1278992.2516428577</v>
      </c>
      <c r="AG87" s="183">
        <f>SUM(AG82:AG86)</f>
        <v>1287279.9558673846</v>
      </c>
    </row>
    <row r="88" spans="1:33" x14ac:dyDescent="0.2">
      <c r="A88" s="8"/>
      <c r="B88" s="8"/>
      <c r="C88" s="75"/>
      <c r="D88" s="141"/>
      <c r="E88" s="64"/>
      <c r="F88" s="144"/>
      <c r="G88" s="221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41"/>
      <c r="E89" s="64"/>
      <c r="F89" s="144"/>
      <c r="G89" s="221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4" t="s">
        <v>198</v>
      </c>
      <c r="D90" s="82"/>
      <c r="E90" s="235"/>
      <c r="F90" s="236"/>
      <c r="G90" s="237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8"/>
      <c r="E91" s="235"/>
      <c r="F91" s="235"/>
      <c r="G91" s="237"/>
    </row>
    <row r="92" spans="1:33" x14ac:dyDescent="0.2">
      <c r="C92" s="239" t="s">
        <v>193</v>
      </c>
      <c r="D92" s="240"/>
      <c r="E92" s="240"/>
      <c r="F92" s="240"/>
      <c r="G92" s="241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8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7"/>
      <c r="Y104" s="247"/>
      <c r="Z104" s="247"/>
    </row>
    <row r="105" spans="1:43" x14ac:dyDescent="0.2"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500504.11399513483</v>
      </c>
      <c r="J106" s="31">
        <f t="shared" ref="J106:AG106" si="18">J87</f>
        <v>382316.48989962484</v>
      </c>
      <c r="K106" s="31">
        <f t="shared" si="18"/>
        <v>591697.4591041446</v>
      </c>
      <c r="L106" s="31">
        <f t="shared" si="18"/>
        <v>891613.43190825591</v>
      </c>
      <c r="M106" s="31">
        <f t="shared" si="18"/>
        <v>1310951.2832565489</v>
      </c>
      <c r="N106" s="31">
        <f t="shared" si="18"/>
        <v>448140.71189448703</v>
      </c>
      <c r="O106" s="31">
        <f t="shared" si="18"/>
        <v>1042529.7710001812</v>
      </c>
      <c r="P106" s="31">
        <f t="shared" si="18"/>
        <v>1183796.8292697715</v>
      </c>
      <c r="Q106" s="31">
        <f t="shared" si="18"/>
        <v>1209959.9095884012</v>
      </c>
      <c r="R106" s="31">
        <f t="shared" si="18"/>
        <v>1212474.1327385353</v>
      </c>
      <c r="S106" s="31">
        <f t="shared" si="18"/>
        <v>1215145.047719215</v>
      </c>
      <c r="T106" s="31">
        <f t="shared" si="18"/>
        <v>1218038.155212258</v>
      </c>
      <c r="U106" s="31">
        <f t="shared" si="18"/>
        <v>1221172.4584462987</v>
      </c>
      <c r="V106" s="31">
        <f t="shared" si="18"/>
        <v>1224568.6136955367</v>
      </c>
      <c r="W106" s="31">
        <f t="shared" si="18"/>
        <v>1228249.0756367194</v>
      </c>
      <c r="X106" s="31">
        <f t="shared" si="18"/>
        <v>1232238.2555791484</v>
      </c>
      <c r="Y106" s="31">
        <f t="shared" si="18"/>
        <v>1236562.6937105404</v>
      </c>
      <c r="Z106" s="31">
        <f t="shared" si="18"/>
        <v>1241251.2466093646</v>
      </c>
      <c r="AA106" s="31">
        <f t="shared" si="18"/>
        <v>1246335.2913798438</v>
      </c>
      <c r="AB106" s="31">
        <f t="shared" si="18"/>
        <v>1251848.9478911506</v>
      </c>
      <c r="AC106" s="31">
        <f t="shared" si="18"/>
        <v>1257829.3207315551</v>
      </c>
      <c r="AD106" s="31">
        <f t="shared" si="18"/>
        <v>1264316.7626355039</v>
      </c>
      <c r="AE106" s="31">
        <f t="shared" si="18"/>
        <v>1271355.1612955676</v>
      </c>
      <c r="AF106" s="31">
        <f t="shared" si="18"/>
        <v>1278992.2516428577</v>
      </c>
      <c r="AG106" s="31">
        <f t="shared" si="18"/>
        <v>1287279.9558673846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-403438.75154289906</v>
      </c>
      <c r="K107" s="31">
        <f t="shared" si="19"/>
        <v>-461877.503085798</v>
      </c>
      <c r="L107" s="31">
        <f t="shared" si="19"/>
        <v>-520316.254628697</v>
      </c>
      <c r="M107" s="31">
        <f t="shared" si="19"/>
        <v>-578755.00617159589</v>
      </c>
      <c r="N107" s="31">
        <f t="shared" si="19"/>
        <v>-668152.9238069905</v>
      </c>
      <c r="O107" s="31">
        <f t="shared" si="19"/>
        <v>-323152.92380699061</v>
      </c>
      <c r="P107" s="31">
        <f t="shared" si="19"/>
        <v>-323152.92380699061</v>
      </c>
      <c r="Q107" s="31">
        <f t="shared" si="19"/>
        <v>-323152.92380699061</v>
      </c>
      <c r="R107" s="31">
        <f t="shared" si="19"/>
        <v>-323152.92380699061</v>
      </c>
      <c r="S107" s="31">
        <f t="shared" si="19"/>
        <v>-323152.92380699061</v>
      </c>
      <c r="T107" s="31">
        <f t="shared" si="19"/>
        <v>-323152.92380699061</v>
      </c>
      <c r="U107" s="31">
        <f t="shared" si="19"/>
        <v>-323152.92380699061</v>
      </c>
      <c r="V107" s="31">
        <f t="shared" si="19"/>
        <v>-323152.92380699061</v>
      </c>
      <c r="W107" s="31">
        <f t="shared" si="19"/>
        <v>-323152.92380699061</v>
      </c>
      <c r="X107" s="31">
        <f t="shared" si="19"/>
        <v>-323152.92380699061</v>
      </c>
      <c r="Y107" s="31">
        <f t="shared" si="19"/>
        <v>-323152.92380699061</v>
      </c>
      <c r="Z107" s="31">
        <f t="shared" si="19"/>
        <v>-323152.92380699061</v>
      </c>
      <c r="AA107" s="31">
        <f t="shared" si="19"/>
        <v>-323152.92380699061</v>
      </c>
      <c r="AB107" s="31">
        <f t="shared" si="19"/>
        <v>-323152.92380699061</v>
      </c>
      <c r="AC107" s="31">
        <f t="shared" si="19"/>
        <v>-323152.92380699061</v>
      </c>
      <c r="AD107" s="31">
        <f t="shared" si="19"/>
        <v>-323152.92380699061</v>
      </c>
      <c r="AE107" s="31">
        <f t="shared" si="19"/>
        <v>-323152.92380699061</v>
      </c>
      <c r="AF107" s="31">
        <f t="shared" si="19"/>
        <v>-323152.92380699061</v>
      </c>
      <c r="AG107" s="31">
        <f t="shared" si="19"/>
        <v>-323152.92380699061</v>
      </c>
    </row>
    <row r="108" spans="1:43" x14ac:dyDescent="0.2">
      <c r="C108" s="1" t="s">
        <v>241</v>
      </c>
      <c r="D108"/>
      <c r="E108"/>
      <c r="F108"/>
      <c r="G108"/>
      <c r="I108" s="31">
        <f>SUM(I84:I85)</f>
        <v>500504.11399513483</v>
      </c>
      <c r="J108" s="31">
        <f t="shared" ref="J108:AG108" si="20">SUM(J84:J85)</f>
        <v>785755.2414425239</v>
      </c>
      <c r="K108" s="31">
        <f t="shared" si="20"/>
        <v>1053574.9621899426</v>
      </c>
      <c r="L108" s="31">
        <f t="shared" si="20"/>
        <v>1411929.6865369529</v>
      </c>
      <c r="M108" s="31">
        <f t="shared" si="20"/>
        <v>1889706.2894281447</v>
      </c>
      <c r="N108" s="31">
        <f t="shared" si="20"/>
        <v>1116293.6357014775</v>
      </c>
      <c r="O108" s="31">
        <f t="shared" si="20"/>
        <v>1365682.6948071718</v>
      </c>
      <c r="P108" s="31">
        <f t="shared" si="20"/>
        <v>1506949.753076762</v>
      </c>
      <c r="Q108" s="31">
        <f t="shared" si="20"/>
        <v>1533112.8333953917</v>
      </c>
      <c r="R108" s="31">
        <f t="shared" si="20"/>
        <v>1535627.0565455258</v>
      </c>
      <c r="S108" s="31">
        <f t="shared" si="20"/>
        <v>1538297.9715262055</v>
      </c>
      <c r="T108" s="31">
        <f t="shared" si="20"/>
        <v>1541191.0790192485</v>
      </c>
      <c r="U108" s="31">
        <f t="shared" si="20"/>
        <v>1544325.3822532892</v>
      </c>
      <c r="V108" s="31">
        <f t="shared" si="20"/>
        <v>1547721.5375025272</v>
      </c>
      <c r="W108" s="31">
        <f t="shared" si="20"/>
        <v>1551401.9994437099</v>
      </c>
      <c r="X108" s="31">
        <f t="shared" si="20"/>
        <v>1555391.1793861389</v>
      </c>
      <c r="Y108" s="31">
        <f t="shared" si="20"/>
        <v>1559715.6175175309</v>
      </c>
      <c r="Z108" s="31">
        <f t="shared" si="20"/>
        <v>1564404.1704163551</v>
      </c>
      <c r="AA108" s="31">
        <f t="shared" si="20"/>
        <v>1569488.2151868343</v>
      </c>
      <c r="AB108" s="31">
        <f t="shared" si="20"/>
        <v>1575001.8716981411</v>
      </c>
      <c r="AC108" s="31">
        <f t="shared" si="20"/>
        <v>1580982.2445385456</v>
      </c>
      <c r="AD108" s="31">
        <f t="shared" si="20"/>
        <v>1587469.6864424944</v>
      </c>
      <c r="AE108" s="31">
        <f t="shared" si="20"/>
        <v>1594508.0851025581</v>
      </c>
      <c r="AF108" s="31">
        <f t="shared" si="20"/>
        <v>1602145.1754498482</v>
      </c>
      <c r="AG108" s="31">
        <f t="shared" si="20"/>
        <v>1610432.8796743751</v>
      </c>
    </row>
    <row r="109" spans="1:43" x14ac:dyDescent="0.2">
      <c r="D109" s="307" t="str">
        <f>Assumptions!G110</f>
        <v>Capex</v>
      </c>
      <c r="E109" s="307" t="str">
        <f>Assumptions!H110</f>
        <v>Total benefits</v>
      </c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7"/>
      <c r="Y109" s="247"/>
      <c r="Z109" s="247"/>
    </row>
    <row r="110" spans="1:43" x14ac:dyDescent="0.2">
      <c r="A110" s="1" t="str">
        <f>"sens"&amp;Assumptions!B111</f>
        <v>sens1</v>
      </c>
      <c r="C110" s="306" t="str">
        <f>Assumptions!C111</f>
        <v>Capex 10% higher</v>
      </c>
      <c r="D110" s="307">
        <f>Assumptions!G111</f>
        <v>0.1</v>
      </c>
      <c r="E110" s="307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500504.11399513483</v>
      </c>
      <c r="J110" s="31" cm="1">
        <f t="array" ref="J110">J$106+IF($C110&lt;&gt;0,SUMPRODUCT((J$107:J$108)*TRANSPOSE(($D110:$E110))),0)</f>
        <v>341972.61474533495</v>
      </c>
      <c r="K110" s="31" cm="1">
        <f t="array" ref="K110">K$106+IF($C110&lt;&gt;0,SUMPRODUCT((K$107:K$108)*TRANSPOSE(($D110:$E110))),0)</f>
        <v>545509.70879556483</v>
      </c>
      <c r="L110" s="31" cm="1">
        <f t="array" ref="L110">L$106+IF($C110&lt;&gt;0,SUMPRODUCT((L$107:L$108)*TRANSPOSE(($D110:$E110))),0)</f>
        <v>839581.80644538626</v>
      </c>
      <c r="M110" s="31" cm="1">
        <f t="array" ref="M110">M$106+IF($C110&lt;&gt;0,SUMPRODUCT((M$107:M$108)*TRANSPOSE(($D110:$E110))),0)</f>
        <v>1253075.7826393894</v>
      </c>
      <c r="N110" s="31" cm="1">
        <f t="array" ref="N110">N$106+IF($C110&lt;&gt;0,SUMPRODUCT((N$107:N$108)*TRANSPOSE(($D110:$E110))),0)</f>
        <v>381325.41951378796</v>
      </c>
      <c r="O110" s="31" cm="1">
        <f t="array" ref="O110">O$106+IF($C110&lt;&gt;0,SUMPRODUCT((O$107:O$108)*TRANSPOSE(($D110:$E110))),0)</f>
        <v>1010214.4786194821</v>
      </c>
      <c r="P110" s="31" cm="1">
        <f t="array" ref="P110">P$106+IF($C110&lt;&gt;0,SUMPRODUCT((P$107:P$108)*TRANSPOSE(($D110:$E110))),0)</f>
        <v>1151481.5368890725</v>
      </c>
      <c r="Q110" s="31" cm="1">
        <f t="array" ref="Q110">Q$106+IF($C110&lt;&gt;0,SUMPRODUCT((Q$107:Q$108)*TRANSPOSE(($D110:$E110))),0)</f>
        <v>1177644.6172077022</v>
      </c>
      <c r="R110" s="31" cm="1">
        <f t="array" ref="R110">R$106+IF($C110&lt;&gt;0,SUMPRODUCT((R$107:R$108)*TRANSPOSE(($D110:$E110))),0)</f>
        <v>1180158.8403578363</v>
      </c>
      <c r="S110" s="31" cm="1">
        <f t="array" ref="S110">S$106+IF($C110&lt;&gt;0,SUMPRODUCT((S$107:S$108)*TRANSPOSE(($D110:$E110))),0)</f>
        <v>1182829.7553385161</v>
      </c>
      <c r="T110" s="31" cm="1">
        <f t="array" ref="T110">T$106+IF($C110&lt;&gt;0,SUMPRODUCT((T$107:T$108)*TRANSPOSE(($D110:$E110))),0)</f>
        <v>1185722.862831559</v>
      </c>
      <c r="U110" s="31" cm="1">
        <f t="array" ref="U110">U$106+IF($C110&lt;&gt;0,SUMPRODUCT((U$107:U$108)*TRANSPOSE(($D110:$E110))),0)</f>
        <v>1188857.1660655998</v>
      </c>
      <c r="V110" s="31" cm="1">
        <f t="array" ref="V110">V$106+IF($C110&lt;&gt;0,SUMPRODUCT((V$107:V$108)*TRANSPOSE(($D110:$E110))),0)</f>
        <v>1192253.3213148378</v>
      </c>
      <c r="W110" s="31" cm="1">
        <f t="array" ref="W110">W$106+IF($C110&lt;&gt;0,SUMPRODUCT((W$107:W$108)*TRANSPOSE(($D110:$E110))),0)</f>
        <v>1195933.7832560204</v>
      </c>
      <c r="X110" s="31" cm="1">
        <f t="array" ref="X110">X$106+IF($C110&lt;&gt;0,SUMPRODUCT((X$107:X$108)*TRANSPOSE(($D110:$E110))),0)</f>
        <v>1199922.9631984495</v>
      </c>
      <c r="Y110" s="31" cm="1">
        <f t="array" ref="Y110">Y$106+IF($C110&lt;&gt;0,SUMPRODUCT((Y$107:Y$108)*TRANSPOSE(($D110:$E110))),0)</f>
        <v>1204247.4013298415</v>
      </c>
      <c r="Z110" s="31" cm="1">
        <f t="array" ref="Z110">Z$106+IF($C110&lt;&gt;0,SUMPRODUCT((Z$107:Z$108)*TRANSPOSE(($D110:$E110))),0)</f>
        <v>1208935.9542286657</v>
      </c>
      <c r="AA110" s="31" cm="1">
        <f t="array" ref="AA110">AA$106+IF($C110&lt;&gt;0,SUMPRODUCT((AA$107:AA$108)*TRANSPOSE(($D110:$E110))),0)</f>
        <v>1214019.9989991449</v>
      </c>
      <c r="AB110" s="31" cm="1">
        <f t="array" ref="AB110">AB$106+IF($C110&lt;&gt;0,SUMPRODUCT((AB$107:AB$108)*TRANSPOSE(($D110:$E110))),0)</f>
        <v>1219533.6555104516</v>
      </c>
      <c r="AC110" s="31" cm="1">
        <f t="array" ref="AC110">AC$106+IF($C110&lt;&gt;0,SUMPRODUCT((AC$107:AC$108)*TRANSPOSE(($D110:$E110))),0)</f>
        <v>1225514.0283508562</v>
      </c>
      <c r="AD110" s="31" cm="1">
        <f t="array" ref="AD110">AD$106+IF($C110&lt;&gt;0,SUMPRODUCT((AD$107:AD$108)*TRANSPOSE(($D110:$E110))),0)</f>
        <v>1232001.4702548049</v>
      </c>
      <c r="AE110" s="31" cm="1">
        <f t="array" ref="AE110">AE$106+IF($C110&lt;&gt;0,SUMPRODUCT((AE$107:AE$108)*TRANSPOSE(($D110:$E110))),0)</f>
        <v>1239039.8689148687</v>
      </c>
      <c r="AF110" s="31" cm="1">
        <f t="array" ref="AF110">AF$106+IF($C110&lt;&gt;0,SUMPRODUCT((AF$107:AF$108)*TRANSPOSE(($D110:$E110))),0)</f>
        <v>1246676.9592621587</v>
      </c>
      <c r="AG110" s="31" cm="1">
        <f t="array" ref="AG110">AG$106+IF($C110&lt;&gt;0,SUMPRODUCT((AG$107:AG$108)*TRANSPOSE(($D110:$E110))),0)</f>
        <v>1254964.6634866856</v>
      </c>
    </row>
    <row r="111" spans="1:43" x14ac:dyDescent="0.2">
      <c r="A111" s="1" t="str">
        <f>"sens"&amp;Assumptions!B112</f>
        <v>sens2</v>
      </c>
      <c r="C111" s="306" t="str">
        <f>Assumptions!C112</f>
        <v>Capex 10% lower</v>
      </c>
      <c r="D111" s="307">
        <f>Assumptions!G112</f>
        <v>-0.1</v>
      </c>
      <c r="E111" s="307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500504.11399513483</v>
      </c>
      <c r="J111" s="31" cm="1">
        <f t="array" ref="J111">J$106+IF($C111&lt;&gt;0,SUMPRODUCT((J$107:J$108)*TRANSPOSE(($D111:$E111))),0)</f>
        <v>422660.36505391472</v>
      </c>
      <c r="K111" s="31" cm="1">
        <f t="array" ref="K111">K$106+IF($C111&lt;&gt;0,SUMPRODUCT((K$107:K$108)*TRANSPOSE(($D111:$E111))),0)</f>
        <v>637885.20941272436</v>
      </c>
      <c r="L111" s="31" cm="1">
        <f t="array" ref="L111">L$106+IF($C111&lt;&gt;0,SUMPRODUCT((L$107:L$108)*TRANSPOSE(($D111:$E111))),0)</f>
        <v>943645.05737112556</v>
      </c>
      <c r="M111" s="31" cm="1">
        <f t="array" ref="M111">M$106+IF($C111&lt;&gt;0,SUMPRODUCT((M$107:M$108)*TRANSPOSE(($D111:$E111))),0)</f>
        <v>1368826.7838737085</v>
      </c>
      <c r="N111" s="31" cm="1">
        <f t="array" ref="N111">N$106+IF($C111&lt;&gt;0,SUMPRODUCT((N$107:N$108)*TRANSPOSE(($D111:$E111))),0)</f>
        <v>514956.0042751861</v>
      </c>
      <c r="O111" s="31" cm="1">
        <f t="array" ref="O111">O$106+IF($C111&lt;&gt;0,SUMPRODUCT((O$107:O$108)*TRANSPOSE(($D111:$E111))),0)</f>
        <v>1074845.0633808803</v>
      </c>
      <c r="P111" s="31" cm="1">
        <f t="array" ref="P111">P$106+IF($C111&lt;&gt;0,SUMPRODUCT((P$107:P$108)*TRANSPOSE(($D111:$E111))),0)</f>
        <v>1216112.1216504704</v>
      </c>
      <c r="Q111" s="31" cm="1">
        <f t="array" ref="Q111">Q$106+IF($C111&lt;&gt;0,SUMPRODUCT((Q$107:Q$108)*TRANSPOSE(($D111:$E111))),0)</f>
        <v>1242275.2019691002</v>
      </c>
      <c r="R111" s="31" cm="1">
        <f t="array" ref="R111">R$106+IF($C111&lt;&gt;0,SUMPRODUCT((R$107:R$108)*TRANSPOSE(($D111:$E111))),0)</f>
        <v>1244789.4251192342</v>
      </c>
      <c r="S111" s="31" cm="1">
        <f t="array" ref="S111">S$106+IF($C111&lt;&gt;0,SUMPRODUCT((S$107:S$108)*TRANSPOSE(($D111:$E111))),0)</f>
        <v>1247460.340099914</v>
      </c>
      <c r="T111" s="31" cm="1">
        <f t="array" ref="T111">T$106+IF($C111&lt;&gt;0,SUMPRODUCT((T$107:T$108)*TRANSPOSE(($D111:$E111))),0)</f>
        <v>1250353.4475929569</v>
      </c>
      <c r="U111" s="31" cm="1">
        <f t="array" ref="U111">U$106+IF($C111&lt;&gt;0,SUMPRODUCT((U$107:U$108)*TRANSPOSE(($D111:$E111))),0)</f>
        <v>1253487.7508269977</v>
      </c>
      <c r="V111" s="31" cm="1">
        <f t="array" ref="V111">V$106+IF($C111&lt;&gt;0,SUMPRODUCT((V$107:V$108)*TRANSPOSE(($D111:$E111))),0)</f>
        <v>1256883.9060762357</v>
      </c>
      <c r="W111" s="31" cm="1">
        <f t="array" ref="W111">W$106+IF($C111&lt;&gt;0,SUMPRODUCT((W$107:W$108)*TRANSPOSE(($D111:$E111))),0)</f>
        <v>1260564.3680174183</v>
      </c>
      <c r="X111" s="31" cm="1">
        <f t="array" ref="X111">X$106+IF($C111&lt;&gt;0,SUMPRODUCT((X$107:X$108)*TRANSPOSE(($D111:$E111))),0)</f>
        <v>1264553.5479598474</v>
      </c>
      <c r="Y111" s="31" cm="1">
        <f t="array" ref="Y111">Y$106+IF($C111&lt;&gt;0,SUMPRODUCT((Y$107:Y$108)*TRANSPOSE(($D111:$E111))),0)</f>
        <v>1268877.9860912394</v>
      </c>
      <c r="Z111" s="31" cm="1">
        <f t="array" ref="Z111">Z$106+IF($C111&lt;&gt;0,SUMPRODUCT((Z$107:Z$108)*TRANSPOSE(($D111:$E111))),0)</f>
        <v>1273566.5389900636</v>
      </c>
      <c r="AA111" s="31" cm="1">
        <f t="array" ref="AA111">AA$106+IF($C111&lt;&gt;0,SUMPRODUCT((AA$107:AA$108)*TRANSPOSE(($D111:$E111))),0)</f>
        <v>1278650.5837605428</v>
      </c>
      <c r="AB111" s="31" cm="1">
        <f t="array" ref="AB111">AB$106+IF($C111&lt;&gt;0,SUMPRODUCT((AB$107:AB$108)*TRANSPOSE(($D111:$E111))),0)</f>
        <v>1284164.2402718496</v>
      </c>
      <c r="AC111" s="31" cm="1">
        <f t="array" ref="AC111">AC$106+IF($C111&lt;&gt;0,SUMPRODUCT((AC$107:AC$108)*TRANSPOSE(($D111:$E111))),0)</f>
        <v>1290144.6131122541</v>
      </c>
      <c r="AD111" s="31" cm="1">
        <f t="array" ref="AD111">AD$106+IF($C111&lt;&gt;0,SUMPRODUCT((AD$107:AD$108)*TRANSPOSE(($D111:$E111))),0)</f>
        <v>1296632.0550162029</v>
      </c>
      <c r="AE111" s="31" cm="1">
        <f t="array" ref="AE111">AE$106+IF($C111&lt;&gt;0,SUMPRODUCT((AE$107:AE$108)*TRANSPOSE(($D111:$E111))),0)</f>
        <v>1303670.4536762666</v>
      </c>
      <c r="AF111" s="31" cm="1">
        <f t="array" ref="AF111">AF$106+IF($C111&lt;&gt;0,SUMPRODUCT((AF$107:AF$108)*TRANSPOSE(($D111:$E111))),0)</f>
        <v>1311307.5440235566</v>
      </c>
      <c r="AG111" s="31" cm="1">
        <f t="array" ref="AG111">AG$106+IF($C111&lt;&gt;0,SUMPRODUCT((AG$107:AG$108)*TRANSPOSE(($D111:$E111))),0)</f>
        <v>1319595.2482480835</v>
      </c>
    </row>
    <row r="112" spans="1:43" x14ac:dyDescent="0.2">
      <c r="A112" s="1" t="str">
        <f>"sens"&amp;Assumptions!B113</f>
        <v>sens3</v>
      </c>
      <c r="C112" s="306" t="str">
        <f>Assumptions!C113</f>
        <v>Total benefits 10% higher</v>
      </c>
      <c r="D112" s="307">
        <f>Assumptions!G113</f>
        <v>0</v>
      </c>
      <c r="E112" s="307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550554.52539464831</v>
      </c>
      <c r="J112" s="31" cm="1">
        <f t="array" ref="J112">J$106+IF($C112&lt;&gt;0,SUMPRODUCT((J$107:J$108)*TRANSPOSE(($D112:$E112))),0)</f>
        <v>460892.01404387725</v>
      </c>
      <c r="K112" s="31" cm="1">
        <f t="array" ref="K112">K$106+IF($C112&lt;&gt;0,SUMPRODUCT((K$107:K$108)*TRANSPOSE(($D112:$E112))),0)</f>
        <v>697054.95532313886</v>
      </c>
      <c r="L112" s="31" cm="1">
        <f t="array" ref="L112">L$106+IF($C112&lt;&gt;0,SUMPRODUCT((L$107:L$108)*TRANSPOSE(($D112:$E112))),0)</f>
        <v>1032806.4005619512</v>
      </c>
      <c r="M112" s="31" cm="1">
        <f t="array" ref="M112">M$106+IF($C112&lt;&gt;0,SUMPRODUCT((M$107:M$108)*TRANSPOSE(($D112:$E112))),0)</f>
        <v>1499921.9121993633</v>
      </c>
      <c r="N112" s="31" cm="1">
        <f t="array" ref="N112">N$106+IF($C112&lt;&gt;0,SUMPRODUCT((N$107:N$108)*TRANSPOSE(($D112:$E112))),0)</f>
        <v>559770.07546463481</v>
      </c>
      <c r="O112" s="31" cm="1">
        <f t="array" ref="O112">O$106+IF($C112&lt;&gt;0,SUMPRODUCT((O$107:O$108)*TRANSPOSE(($D112:$E112))),0)</f>
        <v>1179098.0404808985</v>
      </c>
      <c r="P112" s="31" cm="1">
        <f t="array" ref="P112">P$106+IF($C112&lt;&gt;0,SUMPRODUCT((P$107:P$108)*TRANSPOSE(($D112:$E112))),0)</f>
        <v>1334491.8045774477</v>
      </c>
      <c r="Q112" s="31" cm="1">
        <f t="array" ref="Q112">Q$106+IF($C112&lt;&gt;0,SUMPRODUCT((Q$107:Q$108)*TRANSPOSE(($D112:$E112))),0)</f>
        <v>1363271.1929279403</v>
      </c>
      <c r="R112" s="31" cm="1">
        <f t="array" ref="R112">R$106+IF($C112&lt;&gt;0,SUMPRODUCT((R$107:R$108)*TRANSPOSE(($D112:$E112))),0)</f>
        <v>1366036.838393088</v>
      </c>
      <c r="S112" s="31" cm="1">
        <f t="array" ref="S112">S$106+IF($C112&lt;&gt;0,SUMPRODUCT((S$107:S$108)*TRANSPOSE(($D112:$E112))),0)</f>
        <v>1368974.8448718356</v>
      </c>
      <c r="T112" s="31" cm="1">
        <f t="array" ref="T112">T$106+IF($C112&lt;&gt;0,SUMPRODUCT((T$107:T$108)*TRANSPOSE(($D112:$E112))),0)</f>
        <v>1372157.2631141827</v>
      </c>
      <c r="U112" s="31" cm="1">
        <f t="array" ref="U112">U$106+IF($C112&lt;&gt;0,SUMPRODUCT((U$107:U$108)*TRANSPOSE(($D112:$E112))),0)</f>
        <v>1375604.9966716277</v>
      </c>
      <c r="V112" s="31" cm="1">
        <f t="array" ref="V112">V$106+IF($C112&lt;&gt;0,SUMPRODUCT((V$107:V$108)*TRANSPOSE(($D112:$E112))),0)</f>
        <v>1379340.7674457894</v>
      </c>
      <c r="W112" s="31" cm="1">
        <f t="array" ref="W112">W$106+IF($C112&lt;&gt;0,SUMPRODUCT((W$107:W$108)*TRANSPOSE(($D112:$E112))),0)</f>
        <v>1383389.2755810902</v>
      </c>
      <c r="X112" s="31" cm="1">
        <f t="array" ref="X112">X$106+IF($C112&lt;&gt;0,SUMPRODUCT((X$107:X$108)*TRANSPOSE(($D112:$E112))),0)</f>
        <v>1387777.3735177624</v>
      </c>
      <c r="Y112" s="31" cm="1">
        <f t="array" ref="Y112">Y$106+IF($C112&lt;&gt;0,SUMPRODUCT((Y$107:Y$108)*TRANSPOSE(($D112:$E112))),0)</f>
        <v>1392534.2554622935</v>
      </c>
      <c r="Z112" s="31" cm="1">
        <f t="array" ref="Z112">Z$106+IF($C112&lt;&gt;0,SUMPRODUCT((Z$107:Z$108)*TRANSPOSE(($D112:$E112))),0)</f>
        <v>1397691.6636510002</v>
      </c>
      <c r="AA112" s="31" cm="1">
        <f t="array" ref="AA112">AA$106+IF($C112&lt;&gt;0,SUMPRODUCT((AA$107:AA$108)*TRANSPOSE(($D112:$E112))),0)</f>
        <v>1403284.1128985272</v>
      </c>
      <c r="AB112" s="31" cm="1">
        <f t="array" ref="AB112">AB$106+IF($C112&lt;&gt;0,SUMPRODUCT((AB$107:AB$108)*TRANSPOSE(($D112:$E112))),0)</f>
        <v>1409349.1350609646</v>
      </c>
      <c r="AC112" s="31" cm="1">
        <f t="array" ref="AC112">AC$106+IF($C112&lt;&gt;0,SUMPRODUCT((AC$107:AC$108)*TRANSPOSE(($D112:$E112))),0)</f>
        <v>1415927.5451854097</v>
      </c>
      <c r="AD112" s="31" cm="1">
        <f t="array" ref="AD112">AD$106+IF($C112&lt;&gt;0,SUMPRODUCT((AD$107:AD$108)*TRANSPOSE(($D112:$E112))),0)</f>
        <v>1423063.7312797534</v>
      </c>
      <c r="AE112" s="31" cm="1">
        <f t="array" ref="AE112">AE$106+IF($C112&lt;&gt;0,SUMPRODUCT((AE$107:AE$108)*TRANSPOSE(($D112:$E112))),0)</f>
        <v>1430805.9698058234</v>
      </c>
      <c r="AF112" s="31" cm="1">
        <f t="array" ref="AF112">AF$106+IF($C112&lt;&gt;0,SUMPRODUCT((AF$107:AF$108)*TRANSPOSE(($D112:$E112))),0)</f>
        <v>1439206.7691878425</v>
      </c>
      <c r="AG112" s="31" cm="1">
        <f t="array" ref="AG112">AG$106+IF($C112&lt;&gt;0,SUMPRODUCT((AG$107:AG$108)*TRANSPOSE(($D112:$E112))),0)</f>
        <v>1448323.243834822</v>
      </c>
    </row>
    <row r="113" spans="1:33" x14ac:dyDescent="0.2">
      <c r="A113" s="1" t="str">
        <f>"sens"&amp;Assumptions!B114</f>
        <v>sens4</v>
      </c>
      <c r="C113" s="306" t="str">
        <f>Assumptions!C114</f>
        <v>Total benefits 10% lower</v>
      </c>
      <c r="D113" s="307">
        <f>Assumptions!G114</f>
        <v>0</v>
      </c>
      <c r="E113" s="307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450453.70259562135</v>
      </c>
      <c r="J113" s="31" cm="1">
        <f t="array" ref="J113">J$106+IF($C113&lt;&gt;0,SUMPRODUCT((J$107:J$108)*TRANSPOSE(($D113:$E113))),0)</f>
        <v>303740.96575537242</v>
      </c>
      <c r="K113" s="31" cm="1">
        <f t="array" ref="K113">K$106+IF($C113&lt;&gt;0,SUMPRODUCT((K$107:K$108)*TRANSPOSE(($D113:$E113))),0)</f>
        <v>486339.96288515034</v>
      </c>
      <c r="L113" s="31" cm="1">
        <f t="array" ref="L113">L$106+IF($C113&lt;&gt;0,SUMPRODUCT((L$107:L$108)*TRANSPOSE(($D113:$E113))),0)</f>
        <v>750420.4632545606</v>
      </c>
      <c r="M113" s="31" cm="1">
        <f t="array" ref="M113">M$106+IF($C113&lt;&gt;0,SUMPRODUCT((M$107:M$108)*TRANSPOSE(($D113:$E113))),0)</f>
        <v>1121980.6543137345</v>
      </c>
      <c r="N113" s="31" cm="1">
        <f t="array" ref="N113">N$106+IF($C113&lt;&gt;0,SUMPRODUCT((N$107:N$108)*TRANSPOSE(($D113:$E113))),0)</f>
        <v>336511.34832433925</v>
      </c>
      <c r="O113" s="31" cm="1">
        <f t="array" ref="O113">O$106+IF($C113&lt;&gt;0,SUMPRODUCT((O$107:O$108)*TRANSPOSE(($D113:$E113))),0)</f>
        <v>905961.50151946396</v>
      </c>
      <c r="P113" s="31" cm="1">
        <f t="array" ref="P113">P$106+IF($C113&lt;&gt;0,SUMPRODUCT((P$107:P$108)*TRANSPOSE(($D113:$E113))),0)</f>
        <v>1033101.8539620952</v>
      </c>
      <c r="Q113" s="31" cm="1">
        <f t="array" ref="Q113">Q$106+IF($C113&lt;&gt;0,SUMPRODUCT((Q$107:Q$108)*TRANSPOSE(($D113:$E113))),0)</f>
        <v>1056648.6262488621</v>
      </c>
      <c r="R113" s="31" cm="1">
        <f t="array" ref="R113">R$106+IF($C113&lt;&gt;0,SUMPRODUCT((R$107:R$108)*TRANSPOSE(($D113:$E113))),0)</f>
        <v>1058911.4270839826</v>
      </c>
      <c r="S113" s="31" cm="1">
        <f t="array" ref="S113">S$106+IF($C113&lt;&gt;0,SUMPRODUCT((S$107:S$108)*TRANSPOSE(($D113:$E113))),0)</f>
        <v>1061315.2505665945</v>
      </c>
      <c r="T113" s="31" cm="1">
        <f t="array" ref="T113">T$106+IF($C113&lt;&gt;0,SUMPRODUCT((T$107:T$108)*TRANSPOSE(($D113:$E113))),0)</f>
        <v>1063919.0473103332</v>
      </c>
      <c r="U113" s="31" cm="1">
        <f t="array" ref="U113">U$106+IF($C113&lt;&gt;0,SUMPRODUCT((U$107:U$108)*TRANSPOSE(($D113:$E113))),0)</f>
        <v>1066739.9202209697</v>
      </c>
      <c r="V113" s="31" cm="1">
        <f t="array" ref="V113">V$106+IF($C113&lt;&gt;0,SUMPRODUCT((V$107:V$108)*TRANSPOSE(($D113:$E113))),0)</f>
        <v>1069796.4599452841</v>
      </c>
      <c r="W113" s="31" cm="1">
        <f t="array" ref="W113">W$106+IF($C113&lt;&gt;0,SUMPRODUCT((W$107:W$108)*TRANSPOSE(($D113:$E113))),0)</f>
        <v>1073108.8756923485</v>
      </c>
      <c r="X113" s="31" cm="1">
        <f t="array" ref="X113">X$106+IF($C113&lt;&gt;0,SUMPRODUCT((X$107:X$108)*TRANSPOSE(($D113:$E113))),0)</f>
        <v>1076699.1376405344</v>
      </c>
      <c r="Y113" s="31" cm="1">
        <f t="array" ref="Y113">Y$106+IF($C113&lt;&gt;0,SUMPRODUCT((Y$107:Y$108)*TRANSPOSE(($D113:$E113))),0)</f>
        <v>1080591.1319587873</v>
      </c>
      <c r="Z113" s="31" cm="1">
        <f t="array" ref="Z113">Z$106+IF($C113&lt;&gt;0,SUMPRODUCT((Z$107:Z$108)*TRANSPOSE(($D113:$E113))),0)</f>
        <v>1084810.829567729</v>
      </c>
      <c r="AA113" s="31" cm="1">
        <f t="array" ref="AA113">AA$106+IF($C113&lt;&gt;0,SUMPRODUCT((AA$107:AA$108)*TRANSPOSE(($D113:$E113))),0)</f>
        <v>1089386.4698611605</v>
      </c>
      <c r="AB113" s="31" cm="1">
        <f t="array" ref="AB113">AB$106+IF($C113&lt;&gt;0,SUMPRODUCT((AB$107:AB$108)*TRANSPOSE(($D113:$E113))),0)</f>
        <v>1094348.7607213366</v>
      </c>
      <c r="AC113" s="31" cm="1">
        <f t="array" ref="AC113">AC$106+IF($C113&lt;&gt;0,SUMPRODUCT((AC$107:AC$108)*TRANSPOSE(($D113:$E113))),0)</f>
        <v>1099731.0962777005</v>
      </c>
      <c r="AD113" s="31" cm="1">
        <f t="array" ref="AD113">AD$106+IF($C113&lt;&gt;0,SUMPRODUCT((AD$107:AD$108)*TRANSPOSE(($D113:$E113))),0)</f>
        <v>1105569.7939912544</v>
      </c>
      <c r="AE113" s="31" cm="1">
        <f t="array" ref="AE113">AE$106+IF($C113&lt;&gt;0,SUMPRODUCT((AE$107:AE$108)*TRANSPOSE(($D113:$E113))),0)</f>
        <v>1111904.3527853119</v>
      </c>
      <c r="AF113" s="31" cm="1">
        <f t="array" ref="AF113">AF$106+IF($C113&lt;&gt;0,SUMPRODUCT((AF$107:AF$108)*TRANSPOSE(($D113:$E113))),0)</f>
        <v>1118777.7340978729</v>
      </c>
      <c r="AG113" s="31" cm="1">
        <f t="array" ref="AG113">AG$106+IF($C113&lt;&gt;0,SUMPRODUCT((AG$107:AG$108)*TRANSPOSE(($D113:$E113))),0)</f>
        <v>1126236.6678999471</v>
      </c>
    </row>
    <row r="114" spans="1:33" x14ac:dyDescent="0.2">
      <c r="A114" s="1" t="str">
        <f>"sens"&amp;Assumptions!B115</f>
        <v>sens5</v>
      </c>
      <c r="C114" s="306" t="str">
        <f>Assumptions!C115</f>
        <v>Capex 10% higher &amp; total benefits 10% lower</v>
      </c>
      <c r="D114" s="307">
        <f>Assumptions!G115</f>
        <v>0.1</v>
      </c>
      <c r="E114" s="307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450453.70259562135</v>
      </c>
      <c r="J114" s="31" cm="1">
        <f t="array" ref="J114">J$106+IF($C114&lt;&gt;0,SUMPRODUCT((J$107:J$108)*TRANSPOSE(($D114:$E114))),0)</f>
        <v>263397.09060108254</v>
      </c>
      <c r="K114" s="31" cm="1">
        <f t="array" ref="K114">K$106+IF($C114&lt;&gt;0,SUMPRODUCT((K$107:K$108)*TRANSPOSE(($D114:$E114))),0)</f>
        <v>440152.21257657057</v>
      </c>
      <c r="L114" s="31" cm="1">
        <f t="array" ref="L114">L$106+IF($C114&lt;&gt;0,SUMPRODUCT((L$107:L$108)*TRANSPOSE(($D114:$E114))),0)</f>
        <v>698388.83779169095</v>
      </c>
      <c r="M114" s="31" cm="1">
        <f t="array" ref="M114">M$106+IF($C114&lt;&gt;0,SUMPRODUCT((M$107:M$108)*TRANSPOSE(($D114:$E114))),0)</f>
        <v>1064105.1536965747</v>
      </c>
      <c r="N114" s="31" cm="1">
        <f t="array" ref="N114">N$106+IF($C114&lt;&gt;0,SUMPRODUCT((N$107:N$108)*TRANSPOSE(($D114:$E114))),0)</f>
        <v>269696.05594364018</v>
      </c>
      <c r="O114" s="31" cm="1">
        <f t="array" ref="O114">O$106+IF($C114&lt;&gt;0,SUMPRODUCT((O$107:O$108)*TRANSPOSE(($D114:$E114))),0)</f>
        <v>873646.209138765</v>
      </c>
      <c r="P114" s="31" cm="1">
        <f t="array" ref="P114">P$106+IF($C114&lt;&gt;0,SUMPRODUCT((P$107:P$108)*TRANSPOSE(($D114:$E114))),0)</f>
        <v>1000786.5615813961</v>
      </c>
      <c r="Q114" s="31" cm="1">
        <f t="array" ref="Q114">Q$106+IF($C114&lt;&gt;0,SUMPRODUCT((Q$107:Q$108)*TRANSPOSE(($D114:$E114))),0)</f>
        <v>1024333.3338681629</v>
      </c>
      <c r="R114" s="31" cm="1">
        <f t="array" ref="R114">R$106+IF($C114&lt;&gt;0,SUMPRODUCT((R$107:R$108)*TRANSPOSE(($D114:$E114))),0)</f>
        <v>1026596.1347032837</v>
      </c>
      <c r="S114" s="31" cm="1">
        <f t="array" ref="S114">S$106+IF($C114&lt;&gt;0,SUMPRODUCT((S$107:S$108)*TRANSPOSE(($D114:$E114))),0)</f>
        <v>1028999.9581858953</v>
      </c>
      <c r="T114" s="31" cm="1">
        <f t="array" ref="T114">T$106+IF($C114&lt;&gt;0,SUMPRODUCT((T$107:T$108)*TRANSPOSE(($D114:$E114))),0)</f>
        <v>1031603.754929634</v>
      </c>
      <c r="U114" s="31" cm="1">
        <f t="array" ref="U114">U$106+IF($C114&lt;&gt;0,SUMPRODUCT((U$107:U$108)*TRANSPOSE(($D114:$E114))),0)</f>
        <v>1034424.6278402708</v>
      </c>
      <c r="V114" s="31" cm="1">
        <f t="array" ref="V114">V$106+IF($C114&lt;&gt;0,SUMPRODUCT((V$107:V$108)*TRANSPOSE(($D114:$E114))),0)</f>
        <v>1037481.1675645849</v>
      </c>
      <c r="W114" s="31" cm="1">
        <f t="array" ref="W114">W$106+IF($C114&lt;&gt;0,SUMPRODUCT((W$107:W$108)*TRANSPOSE(($D114:$E114))),0)</f>
        <v>1040793.5833116493</v>
      </c>
      <c r="X114" s="31" cm="1">
        <f t="array" ref="X114">X$106+IF($C114&lt;&gt;0,SUMPRODUCT((X$107:X$108)*TRANSPOSE(($D114:$E114))),0)</f>
        <v>1044383.8452598355</v>
      </c>
      <c r="Y114" s="31" cm="1">
        <f t="array" ref="Y114">Y$106+IF($C114&lt;&gt;0,SUMPRODUCT((Y$107:Y$108)*TRANSPOSE(($D114:$E114))),0)</f>
        <v>1048275.8395780883</v>
      </c>
      <c r="Z114" s="31" cm="1">
        <f t="array" ref="Z114">Z$106+IF($C114&lt;&gt;0,SUMPRODUCT((Z$107:Z$108)*TRANSPOSE(($D114:$E114))),0)</f>
        <v>1052495.5371870301</v>
      </c>
      <c r="AA114" s="31" cm="1">
        <f t="array" ref="AA114">AA$106+IF($C114&lt;&gt;0,SUMPRODUCT((AA$107:AA$108)*TRANSPOSE(($D114:$E114))),0)</f>
        <v>1057071.1774804613</v>
      </c>
      <c r="AB114" s="31" cm="1">
        <f t="array" ref="AB114">AB$106+IF($C114&lt;&gt;0,SUMPRODUCT((AB$107:AB$108)*TRANSPOSE(($D114:$E114))),0)</f>
        <v>1062033.4683406374</v>
      </c>
      <c r="AC114" s="31" cm="1">
        <f t="array" ref="AC114">AC$106+IF($C114&lt;&gt;0,SUMPRODUCT((AC$107:AC$108)*TRANSPOSE(($D114:$E114))),0)</f>
        <v>1067415.8038970015</v>
      </c>
      <c r="AD114" s="31" cm="1">
        <f t="array" ref="AD114">AD$106+IF($C114&lt;&gt;0,SUMPRODUCT((AD$107:AD$108)*TRANSPOSE(($D114:$E114))),0)</f>
        <v>1073254.5016105555</v>
      </c>
      <c r="AE114" s="31" cm="1">
        <f t="array" ref="AE114">AE$106+IF($C114&lt;&gt;0,SUMPRODUCT((AE$107:AE$108)*TRANSPOSE(($D114:$E114))),0)</f>
        <v>1079589.0604046127</v>
      </c>
      <c r="AF114" s="31" cm="1">
        <f t="array" ref="AF114">AF$106+IF($C114&lt;&gt;0,SUMPRODUCT((AF$107:AF$108)*TRANSPOSE(($D114:$E114))),0)</f>
        <v>1086462.4417171739</v>
      </c>
      <c r="AG114" s="31" cm="1">
        <f t="array" ref="AG114">AG$106+IF($C114&lt;&gt;0,SUMPRODUCT((AG$107:AG$108)*TRANSPOSE(($D114:$E114))),0)</f>
        <v>1093921.375519248</v>
      </c>
    </row>
    <row r="115" spans="1:33" x14ac:dyDescent="0.2">
      <c r="A115" s="1" t="str">
        <f>"sens"&amp;Assumptions!B116</f>
        <v>sens</v>
      </c>
      <c r="C115" s="306">
        <f>Assumptions!C116</f>
        <v>0</v>
      </c>
      <c r="D115" s="307">
        <f>Assumptions!G116</f>
        <v>0</v>
      </c>
      <c r="E115" s="307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500504.11399513483</v>
      </c>
      <c r="J115" s="31" cm="1">
        <f t="array" ref="J115">J$106+IF($C115&lt;&gt;0,SUMPRODUCT((J$107:J$108)*TRANSPOSE(($D115:$E115))),0)</f>
        <v>382316.48989962484</v>
      </c>
      <c r="K115" s="31" cm="1">
        <f t="array" ref="K115">K$106+IF($C115&lt;&gt;0,SUMPRODUCT((K$107:K$108)*TRANSPOSE(($D115:$E115))),0)</f>
        <v>591697.4591041446</v>
      </c>
      <c r="L115" s="31" cm="1">
        <f t="array" ref="L115">L$106+IF($C115&lt;&gt;0,SUMPRODUCT((L$107:L$108)*TRANSPOSE(($D115:$E115))),0)</f>
        <v>891613.43190825591</v>
      </c>
      <c r="M115" s="31" cm="1">
        <f t="array" ref="M115">M$106+IF($C115&lt;&gt;0,SUMPRODUCT((M$107:M$108)*TRANSPOSE(($D115:$E115))),0)</f>
        <v>1310951.2832565489</v>
      </c>
      <c r="N115" s="31" cm="1">
        <f t="array" ref="N115">N$106+IF($C115&lt;&gt;0,SUMPRODUCT((N$107:N$108)*TRANSPOSE(($D115:$E115))),0)</f>
        <v>448140.71189448703</v>
      </c>
      <c r="O115" s="31" cm="1">
        <f t="array" ref="O115">O$106+IF($C115&lt;&gt;0,SUMPRODUCT((O$107:O$108)*TRANSPOSE(($D115:$E115))),0)</f>
        <v>1042529.7710001812</v>
      </c>
      <c r="P115" s="31" cm="1">
        <f t="array" ref="P115">P$106+IF($C115&lt;&gt;0,SUMPRODUCT((P$107:P$108)*TRANSPOSE(($D115:$E115))),0)</f>
        <v>1183796.8292697715</v>
      </c>
      <c r="Q115" s="31" cm="1">
        <f t="array" ref="Q115">Q$106+IF($C115&lt;&gt;0,SUMPRODUCT((Q$107:Q$108)*TRANSPOSE(($D115:$E115))),0)</f>
        <v>1209959.9095884012</v>
      </c>
      <c r="R115" s="31" cm="1">
        <f t="array" ref="R115">R$106+IF($C115&lt;&gt;0,SUMPRODUCT((R$107:R$108)*TRANSPOSE(($D115:$E115))),0)</f>
        <v>1212474.1327385353</v>
      </c>
      <c r="S115" s="31" cm="1">
        <f t="array" ref="S115">S$106+IF($C115&lt;&gt;0,SUMPRODUCT((S$107:S$108)*TRANSPOSE(($D115:$E115))),0)</f>
        <v>1215145.047719215</v>
      </c>
      <c r="T115" s="31" cm="1">
        <f t="array" ref="T115">T$106+IF($C115&lt;&gt;0,SUMPRODUCT((T$107:T$108)*TRANSPOSE(($D115:$E115))),0)</f>
        <v>1218038.155212258</v>
      </c>
      <c r="U115" s="31" cm="1">
        <f t="array" ref="U115">U$106+IF($C115&lt;&gt;0,SUMPRODUCT((U$107:U$108)*TRANSPOSE(($D115:$E115))),0)</f>
        <v>1221172.4584462987</v>
      </c>
      <c r="V115" s="31" cm="1">
        <f t="array" ref="V115">V$106+IF($C115&lt;&gt;0,SUMPRODUCT((V$107:V$108)*TRANSPOSE(($D115:$E115))),0)</f>
        <v>1224568.6136955367</v>
      </c>
      <c r="W115" s="31" cm="1">
        <f t="array" ref="W115">W$106+IF($C115&lt;&gt;0,SUMPRODUCT((W$107:W$108)*TRANSPOSE(($D115:$E115))),0)</f>
        <v>1228249.0756367194</v>
      </c>
      <c r="X115" s="31" cm="1">
        <f t="array" ref="X115">X$106+IF($C115&lt;&gt;0,SUMPRODUCT((X$107:X$108)*TRANSPOSE(($D115:$E115))),0)</f>
        <v>1232238.2555791484</v>
      </c>
      <c r="Y115" s="31" cm="1">
        <f t="array" ref="Y115">Y$106+IF($C115&lt;&gt;0,SUMPRODUCT((Y$107:Y$108)*TRANSPOSE(($D115:$E115))),0)</f>
        <v>1236562.6937105404</v>
      </c>
      <c r="Z115" s="31" cm="1">
        <f t="array" ref="Z115">Z$106+IF($C115&lt;&gt;0,SUMPRODUCT((Z$107:Z$108)*TRANSPOSE(($D115:$E115))),0)</f>
        <v>1241251.2466093646</v>
      </c>
      <c r="AA115" s="31" cm="1">
        <f t="array" ref="AA115">AA$106+IF($C115&lt;&gt;0,SUMPRODUCT((AA$107:AA$108)*TRANSPOSE(($D115:$E115))),0)</f>
        <v>1246335.2913798438</v>
      </c>
      <c r="AB115" s="31" cm="1">
        <f t="array" ref="AB115">AB$106+IF($C115&lt;&gt;0,SUMPRODUCT((AB$107:AB$108)*TRANSPOSE(($D115:$E115))),0)</f>
        <v>1251848.9478911506</v>
      </c>
      <c r="AC115" s="31" cm="1">
        <f t="array" ref="AC115">AC$106+IF($C115&lt;&gt;0,SUMPRODUCT((AC$107:AC$108)*TRANSPOSE(($D115:$E115))),0)</f>
        <v>1257829.3207315551</v>
      </c>
      <c r="AD115" s="31" cm="1">
        <f t="array" ref="AD115">AD$106+IF($C115&lt;&gt;0,SUMPRODUCT((AD$107:AD$108)*TRANSPOSE(($D115:$E115))),0)</f>
        <v>1264316.7626355039</v>
      </c>
      <c r="AE115" s="31" cm="1">
        <f t="array" ref="AE115">AE$106+IF($C115&lt;&gt;0,SUMPRODUCT((AE$107:AE$108)*TRANSPOSE(($D115:$E115))),0)</f>
        <v>1271355.1612955676</v>
      </c>
      <c r="AF115" s="31" cm="1">
        <f t="array" ref="AF115">AF$106+IF($C115&lt;&gt;0,SUMPRODUCT((AF$107:AF$108)*TRANSPOSE(($D115:$E115))),0)</f>
        <v>1278992.2516428577</v>
      </c>
      <c r="AG115" s="31" cm="1">
        <f t="array" ref="AG115">AG$106+IF($C115&lt;&gt;0,SUMPRODUCT((AG$107:AG$108)*TRANSPOSE(($D115:$E115))),0)</f>
        <v>1287279.9558673846</v>
      </c>
    </row>
    <row r="116" spans="1:33" x14ac:dyDescent="0.2">
      <c r="A116" s="1" t="str">
        <f>"sens"&amp;Assumptions!B117</f>
        <v>sens</v>
      </c>
      <c r="C116" s="306">
        <f>Assumptions!C117</f>
        <v>0</v>
      </c>
      <c r="D116" s="307">
        <f>Assumptions!G117</f>
        <v>0</v>
      </c>
      <c r="E116" s="307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500504.11399513483</v>
      </c>
      <c r="J116" s="31" cm="1">
        <f t="array" ref="J116">J$106+IF($C116&lt;&gt;0,SUMPRODUCT((J$107:J$108)*TRANSPOSE(($D116:$E116))),0)</f>
        <v>382316.48989962484</v>
      </c>
      <c r="K116" s="31" cm="1">
        <f t="array" ref="K116">K$106+IF($C116&lt;&gt;0,SUMPRODUCT((K$107:K$108)*TRANSPOSE(($D116:$E116))),0)</f>
        <v>591697.4591041446</v>
      </c>
      <c r="L116" s="31" cm="1">
        <f t="array" ref="L116">L$106+IF($C116&lt;&gt;0,SUMPRODUCT((L$107:L$108)*TRANSPOSE(($D116:$E116))),0)</f>
        <v>891613.43190825591</v>
      </c>
      <c r="M116" s="31" cm="1">
        <f t="array" ref="M116">M$106+IF($C116&lt;&gt;0,SUMPRODUCT((M$107:M$108)*TRANSPOSE(($D116:$E116))),0)</f>
        <v>1310951.2832565489</v>
      </c>
      <c r="N116" s="31" cm="1">
        <f t="array" ref="N116">N$106+IF($C116&lt;&gt;0,SUMPRODUCT((N$107:N$108)*TRANSPOSE(($D116:$E116))),0)</f>
        <v>448140.71189448703</v>
      </c>
      <c r="O116" s="31" cm="1">
        <f t="array" ref="O116">O$106+IF($C116&lt;&gt;0,SUMPRODUCT((O$107:O$108)*TRANSPOSE(($D116:$E116))),0)</f>
        <v>1042529.7710001812</v>
      </c>
      <c r="P116" s="31" cm="1">
        <f t="array" ref="P116">P$106+IF($C116&lt;&gt;0,SUMPRODUCT((P$107:P$108)*TRANSPOSE(($D116:$E116))),0)</f>
        <v>1183796.8292697715</v>
      </c>
      <c r="Q116" s="31" cm="1">
        <f t="array" ref="Q116">Q$106+IF($C116&lt;&gt;0,SUMPRODUCT((Q$107:Q$108)*TRANSPOSE(($D116:$E116))),0)</f>
        <v>1209959.9095884012</v>
      </c>
      <c r="R116" s="31" cm="1">
        <f t="array" ref="R116">R$106+IF($C116&lt;&gt;0,SUMPRODUCT((R$107:R$108)*TRANSPOSE(($D116:$E116))),0)</f>
        <v>1212474.1327385353</v>
      </c>
      <c r="S116" s="31" cm="1">
        <f t="array" ref="S116">S$106+IF($C116&lt;&gt;0,SUMPRODUCT((S$107:S$108)*TRANSPOSE(($D116:$E116))),0)</f>
        <v>1215145.047719215</v>
      </c>
      <c r="T116" s="31" cm="1">
        <f t="array" ref="T116">T$106+IF($C116&lt;&gt;0,SUMPRODUCT((T$107:T$108)*TRANSPOSE(($D116:$E116))),0)</f>
        <v>1218038.155212258</v>
      </c>
      <c r="U116" s="31" cm="1">
        <f t="array" ref="U116">U$106+IF($C116&lt;&gt;0,SUMPRODUCT((U$107:U$108)*TRANSPOSE(($D116:$E116))),0)</f>
        <v>1221172.4584462987</v>
      </c>
      <c r="V116" s="31" cm="1">
        <f t="array" ref="V116">V$106+IF($C116&lt;&gt;0,SUMPRODUCT((V$107:V$108)*TRANSPOSE(($D116:$E116))),0)</f>
        <v>1224568.6136955367</v>
      </c>
      <c r="W116" s="31" cm="1">
        <f t="array" ref="W116">W$106+IF($C116&lt;&gt;0,SUMPRODUCT((W$107:W$108)*TRANSPOSE(($D116:$E116))),0)</f>
        <v>1228249.0756367194</v>
      </c>
      <c r="X116" s="31" cm="1">
        <f t="array" ref="X116">X$106+IF($C116&lt;&gt;0,SUMPRODUCT((X$107:X$108)*TRANSPOSE(($D116:$E116))),0)</f>
        <v>1232238.2555791484</v>
      </c>
      <c r="Y116" s="31" cm="1">
        <f t="array" ref="Y116">Y$106+IF($C116&lt;&gt;0,SUMPRODUCT((Y$107:Y$108)*TRANSPOSE(($D116:$E116))),0)</f>
        <v>1236562.6937105404</v>
      </c>
      <c r="Z116" s="31" cm="1">
        <f t="array" ref="Z116">Z$106+IF($C116&lt;&gt;0,SUMPRODUCT((Z$107:Z$108)*TRANSPOSE(($D116:$E116))),0)</f>
        <v>1241251.2466093646</v>
      </c>
      <c r="AA116" s="31" cm="1">
        <f t="array" ref="AA116">AA$106+IF($C116&lt;&gt;0,SUMPRODUCT((AA$107:AA$108)*TRANSPOSE(($D116:$E116))),0)</f>
        <v>1246335.2913798438</v>
      </c>
      <c r="AB116" s="31" cm="1">
        <f t="array" ref="AB116">AB$106+IF($C116&lt;&gt;0,SUMPRODUCT((AB$107:AB$108)*TRANSPOSE(($D116:$E116))),0)</f>
        <v>1251848.9478911506</v>
      </c>
      <c r="AC116" s="31" cm="1">
        <f t="array" ref="AC116">AC$106+IF($C116&lt;&gt;0,SUMPRODUCT((AC$107:AC$108)*TRANSPOSE(($D116:$E116))),0)</f>
        <v>1257829.3207315551</v>
      </c>
      <c r="AD116" s="31" cm="1">
        <f t="array" ref="AD116">AD$106+IF($C116&lt;&gt;0,SUMPRODUCT((AD$107:AD$108)*TRANSPOSE(($D116:$E116))),0)</f>
        <v>1264316.7626355039</v>
      </c>
      <c r="AE116" s="31" cm="1">
        <f t="array" ref="AE116">AE$106+IF($C116&lt;&gt;0,SUMPRODUCT((AE$107:AE$108)*TRANSPOSE(($D116:$E116))),0)</f>
        <v>1271355.1612955676</v>
      </c>
      <c r="AF116" s="31" cm="1">
        <f t="array" ref="AF116">AF$106+IF($C116&lt;&gt;0,SUMPRODUCT((AF$107:AF$108)*TRANSPOSE(($D116:$E116))),0)</f>
        <v>1278992.2516428577</v>
      </c>
      <c r="AG116" s="31" cm="1">
        <f t="array" ref="AG116">AG$106+IF($C116&lt;&gt;0,SUMPRODUCT((AG$107:AG$108)*TRANSPOSE(($D116:$E116))),0)</f>
        <v>1287279.9558673846</v>
      </c>
    </row>
    <row r="117" spans="1:33" x14ac:dyDescent="0.2">
      <c r="A117" s="1" t="str">
        <f>"sens"&amp;Assumptions!B118</f>
        <v>sens</v>
      </c>
      <c r="C117" s="306">
        <f>Assumptions!C118</f>
        <v>0</v>
      </c>
      <c r="D117" s="307">
        <f>Assumptions!G118</f>
        <v>0</v>
      </c>
      <c r="E117" s="307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500504.11399513483</v>
      </c>
      <c r="J117" s="31" cm="1">
        <f t="array" ref="J117">J$106+IF($C117&lt;&gt;0,SUMPRODUCT((J$107:J$108)*TRANSPOSE(($D117:$E117))),0)</f>
        <v>382316.48989962484</v>
      </c>
      <c r="K117" s="31" cm="1">
        <f t="array" ref="K117">K$106+IF($C117&lt;&gt;0,SUMPRODUCT((K$107:K$108)*TRANSPOSE(($D117:$E117))),0)</f>
        <v>591697.4591041446</v>
      </c>
      <c r="L117" s="31" cm="1">
        <f t="array" ref="L117">L$106+IF($C117&lt;&gt;0,SUMPRODUCT((L$107:L$108)*TRANSPOSE(($D117:$E117))),0)</f>
        <v>891613.43190825591</v>
      </c>
      <c r="M117" s="31" cm="1">
        <f t="array" ref="M117">M$106+IF($C117&lt;&gt;0,SUMPRODUCT((M$107:M$108)*TRANSPOSE(($D117:$E117))),0)</f>
        <v>1310951.2832565489</v>
      </c>
      <c r="N117" s="31" cm="1">
        <f t="array" ref="N117">N$106+IF($C117&lt;&gt;0,SUMPRODUCT((N$107:N$108)*TRANSPOSE(($D117:$E117))),0)</f>
        <v>448140.71189448703</v>
      </c>
      <c r="O117" s="31" cm="1">
        <f t="array" ref="O117">O$106+IF($C117&lt;&gt;0,SUMPRODUCT((O$107:O$108)*TRANSPOSE(($D117:$E117))),0)</f>
        <v>1042529.7710001812</v>
      </c>
      <c r="P117" s="31" cm="1">
        <f t="array" ref="P117">P$106+IF($C117&lt;&gt;0,SUMPRODUCT((P$107:P$108)*TRANSPOSE(($D117:$E117))),0)</f>
        <v>1183796.8292697715</v>
      </c>
      <c r="Q117" s="31" cm="1">
        <f t="array" ref="Q117">Q$106+IF($C117&lt;&gt;0,SUMPRODUCT((Q$107:Q$108)*TRANSPOSE(($D117:$E117))),0)</f>
        <v>1209959.9095884012</v>
      </c>
      <c r="R117" s="31" cm="1">
        <f t="array" ref="R117">R$106+IF($C117&lt;&gt;0,SUMPRODUCT((R$107:R$108)*TRANSPOSE(($D117:$E117))),0)</f>
        <v>1212474.1327385353</v>
      </c>
      <c r="S117" s="31" cm="1">
        <f t="array" ref="S117">S$106+IF($C117&lt;&gt;0,SUMPRODUCT((S$107:S$108)*TRANSPOSE(($D117:$E117))),0)</f>
        <v>1215145.047719215</v>
      </c>
      <c r="T117" s="31" cm="1">
        <f t="array" ref="T117">T$106+IF($C117&lt;&gt;0,SUMPRODUCT((T$107:T$108)*TRANSPOSE(($D117:$E117))),0)</f>
        <v>1218038.155212258</v>
      </c>
      <c r="U117" s="31" cm="1">
        <f t="array" ref="U117">U$106+IF($C117&lt;&gt;0,SUMPRODUCT((U$107:U$108)*TRANSPOSE(($D117:$E117))),0)</f>
        <v>1221172.4584462987</v>
      </c>
      <c r="V117" s="31" cm="1">
        <f t="array" ref="V117">V$106+IF($C117&lt;&gt;0,SUMPRODUCT((V$107:V$108)*TRANSPOSE(($D117:$E117))),0)</f>
        <v>1224568.6136955367</v>
      </c>
      <c r="W117" s="31" cm="1">
        <f t="array" ref="W117">W$106+IF($C117&lt;&gt;0,SUMPRODUCT((W$107:W$108)*TRANSPOSE(($D117:$E117))),0)</f>
        <v>1228249.0756367194</v>
      </c>
      <c r="X117" s="31" cm="1">
        <f t="array" ref="X117">X$106+IF($C117&lt;&gt;0,SUMPRODUCT((X$107:X$108)*TRANSPOSE(($D117:$E117))),0)</f>
        <v>1232238.2555791484</v>
      </c>
      <c r="Y117" s="31" cm="1">
        <f t="array" ref="Y117">Y$106+IF($C117&lt;&gt;0,SUMPRODUCT((Y$107:Y$108)*TRANSPOSE(($D117:$E117))),0)</f>
        <v>1236562.6937105404</v>
      </c>
      <c r="Z117" s="31" cm="1">
        <f t="array" ref="Z117">Z$106+IF($C117&lt;&gt;0,SUMPRODUCT((Z$107:Z$108)*TRANSPOSE(($D117:$E117))),0)</f>
        <v>1241251.2466093646</v>
      </c>
      <c r="AA117" s="31" cm="1">
        <f t="array" ref="AA117">AA$106+IF($C117&lt;&gt;0,SUMPRODUCT((AA$107:AA$108)*TRANSPOSE(($D117:$E117))),0)</f>
        <v>1246335.2913798438</v>
      </c>
      <c r="AB117" s="31" cm="1">
        <f t="array" ref="AB117">AB$106+IF($C117&lt;&gt;0,SUMPRODUCT((AB$107:AB$108)*TRANSPOSE(($D117:$E117))),0)</f>
        <v>1251848.9478911506</v>
      </c>
      <c r="AC117" s="31" cm="1">
        <f t="array" ref="AC117">AC$106+IF($C117&lt;&gt;0,SUMPRODUCT((AC$107:AC$108)*TRANSPOSE(($D117:$E117))),0)</f>
        <v>1257829.3207315551</v>
      </c>
      <c r="AD117" s="31" cm="1">
        <f t="array" ref="AD117">AD$106+IF($C117&lt;&gt;0,SUMPRODUCT((AD$107:AD$108)*TRANSPOSE(($D117:$E117))),0)</f>
        <v>1264316.7626355039</v>
      </c>
      <c r="AE117" s="31" cm="1">
        <f t="array" ref="AE117">AE$106+IF($C117&lt;&gt;0,SUMPRODUCT((AE$107:AE$108)*TRANSPOSE(($D117:$E117))),0)</f>
        <v>1271355.1612955676</v>
      </c>
      <c r="AF117" s="31" cm="1">
        <f t="array" ref="AF117">AF$106+IF($C117&lt;&gt;0,SUMPRODUCT((AF$107:AF$108)*TRANSPOSE(($D117:$E117))),0)</f>
        <v>1278992.2516428577</v>
      </c>
      <c r="AG117" s="31" cm="1">
        <f t="array" ref="AG117">AG$106+IF($C117&lt;&gt;0,SUMPRODUCT((AG$107:AG$108)*TRANSPOSE(($D117:$E117))),0)</f>
        <v>1287279.9558673846</v>
      </c>
    </row>
  </sheetData>
  <conditionalFormatting sqref="E28">
    <cfRule type="expression" dxfId="2" priority="2">
      <formula>AND(SUM($I$27:$AG$27)&gt;0, $E$28=0)</formula>
    </cfRule>
  </conditionalFormatting>
  <conditionalFormatting sqref="E14:E16">
    <cfRule type="expression" dxfId="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5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HV cable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7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6.7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92">
        <f t="shared" ref="H5:AG5" si="0">IF(H9=start,1/((1+real_disc)^(1/2)),G5/(1+real_disc))</f>
        <v>0</v>
      </c>
      <c r="I5" s="192">
        <f t="shared" si="0"/>
        <v>0.98294637436598087</v>
      </c>
      <c r="J5" s="192">
        <f t="shared" si="0"/>
        <v>0.94970664189949849</v>
      </c>
      <c r="K5" s="192">
        <f t="shared" si="0"/>
        <v>0.91759095835700344</v>
      </c>
      <c r="L5" s="192">
        <f t="shared" si="0"/>
        <v>0.88656131242222558</v>
      </c>
      <c r="M5" s="192">
        <f t="shared" si="0"/>
        <v>0.85658097818572532</v>
      </c>
      <c r="N5" s="192">
        <f t="shared" si="0"/>
        <v>0.8276144716770294</v>
      </c>
      <c r="O5" s="192">
        <f t="shared" si="0"/>
        <v>0.79962750886669509</v>
      </c>
      <c r="P5" s="192">
        <f t="shared" si="0"/>
        <v>0.77258696508859437</v>
      </c>
      <c r="Q5" s="192">
        <f t="shared" si="0"/>
        <v>0.74646083583439071</v>
      </c>
      <c r="R5" s="192">
        <f t="shared" si="0"/>
        <v>0.72121819887380756</v>
      </c>
      <c r="S5" s="192">
        <f t="shared" si="0"/>
        <v>0.69682917765585273</v>
      </c>
      <c r="T5" s="192">
        <f t="shared" si="0"/>
        <v>0.67326490594768384</v>
      </c>
      <c r="U5" s="192">
        <f t="shared" si="0"/>
        <v>0.6504974936692598</v>
      </c>
      <c r="V5" s="192">
        <f t="shared" si="0"/>
        <v>0.62849999388334288</v>
      </c>
      <c r="W5" s="192">
        <f t="shared" si="0"/>
        <v>0.60724637090178057</v>
      </c>
      <c r="X5" s="192">
        <f t="shared" si="0"/>
        <v>0.58671146947031949</v>
      </c>
      <c r="Y5" s="192">
        <f t="shared" si="0"/>
        <v>0.56687098499547783</v>
      </c>
      <c r="Z5" s="192">
        <f t="shared" si="0"/>
        <v>0.54770143477823952</v>
      </c>
      <c r="AA5" s="192">
        <f t="shared" si="0"/>
        <v>0.52918013022052135</v>
      </c>
      <c r="AB5" s="192">
        <f t="shared" si="0"/>
        <v>0.5112851499715183</v>
      </c>
      <c r="AC5" s="192">
        <f t="shared" si="0"/>
        <v>0.4939953139821433</v>
      </c>
      <c r="AD5" s="192">
        <f t="shared" si="0"/>
        <v>0.47729015843685346</v>
      </c>
      <c r="AE5" s="192">
        <f t="shared" si="0"/>
        <v>0.46114991153319179</v>
      </c>
      <c r="AF5" s="192">
        <f t="shared" si="0"/>
        <v>0.4455554700803786</v>
      </c>
      <c r="AG5" s="192">
        <f t="shared" si="0"/>
        <v>0.43048837688925473</v>
      </c>
    </row>
    <row r="6" spans="1:34" s="2" customFormat="1" hidden="1" outlineLevel="1" x14ac:dyDescent="0.2">
      <c r="A6" s="193" t="str">
        <f>'Option1 (base case)'!A6</f>
        <v>Count</v>
      </c>
      <c r="B6" s="116"/>
      <c r="C6" s="117"/>
      <c r="D6" s="116"/>
      <c r="E6" s="116"/>
      <c r="F6" s="116"/>
      <c r="G6" s="101"/>
      <c r="H6" s="193">
        <f>'Option1 (base case)'!H6</f>
        <v>0</v>
      </c>
      <c r="I6" s="193">
        <f>'Option1 (base case)'!I6</f>
        <v>1</v>
      </c>
      <c r="J6" s="193">
        <f>'Option1 (base case)'!J6</f>
        <v>2</v>
      </c>
      <c r="K6" s="193">
        <f>'Option1 (base case)'!K6</f>
        <v>3</v>
      </c>
      <c r="L6" s="193">
        <f>'Option1 (base case)'!L6</f>
        <v>4</v>
      </c>
      <c r="M6" s="193">
        <f>'Option1 (base case)'!M6</f>
        <v>5</v>
      </c>
      <c r="N6" s="193">
        <f>'Option1 (base case)'!N6</f>
        <v>6</v>
      </c>
      <c r="O6" s="193">
        <f>'Option1 (base case)'!O6</f>
        <v>7</v>
      </c>
      <c r="P6" s="193">
        <f>'Option1 (base case)'!P6</f>
        <v>8</v>
      </c>
      <c r="Q6" s="193">
        <f>'Option1 (base case)'!Q6</f>
        <v>9</v>
      </c>
      <c r="R6" s="193">
        <f>'Option1 (base case)'!R6</f>
        <v>10</v>
      </c>
      <c r="S6" s="193">
        <f>'Option1 (base case)'!S6</f>
        <v>11</v>
      </c>
      <c r="T6" s="193">
        <f>'Option1 (base case)'!T6</f>
        <v>12</v>
      </c>
      <c r="U6" s="193">
        <f>'Option1 (base case)'!U6</f>
        <v>13</v>
      </c>
      <c r="V6" s="193">
        <f>'Option1 (base case)'!V6</f>
        <v>14</v>
      </c>
      <c r="W6" s="193">
        <f>'Option1 (base case)'!W6</f>
        <v>15</v>
      </c>
      <c r="X6" s="193">
        <f>'Option1 (base case)'!X6</f>
        <v>16</v>
      </c>
      <c r="Y6" s="193">
        <f>'Option1 (base case)'!Y6</f>
        <v>17</v>
      </c>
      <c r="Z6" s="193">
        <f>'Option1 (base case)'!Z6</f>
        <v>18</v>
      </c>
      <c r="AA6" s="193">
        <f>'Option1 (base case)'!AA6</f>
        <v>19</v>
      </c>
      <c r="AB6" s="193">
        <f>'Option1 (base case)'!AB6</f>
        <v>20</v>
      </c>
      <c r="AC6" s="193">
        <f>'Option1 (base case)'!AC6</f>
        <v>21</v>
      </c>
      <c r="AD6" s="193">
        <f>'Option1 (base case)'!AD6</f>
        <v>22</v>
      </c>
      <c r="AE6" s="193">
        <f>'Option1 (base case)'!AE6</f>
        <v>23</v>
      </c>
      <c r="AF6" s="193">
        <f>'Option1 (base case)'!AF6</f>
        <v>24</v>
      </c>
      <c r="AG6" s="193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4.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71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6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8"/>
      <c r="H12" s="118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</row>
    <row r="13" spans="1:34" s="2" customFormat="1" x14ac:dyDescent="0.2">
      <c r="A13" s="123"/>
      <c r="B13" s="123"/>
      <c r="C13" s="123"/>
      <c r="D13" s="118"/>
      <c r="F13" s="118"/>
      <c r="G13" s="225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5" customFormat="1" x14ac:dyDescent="0.2">
      <c r="A14" s="273" t="str">
        <f>A15</f>
        <v>Option 1 (base case)</v>
      </c>
      <c r="B14" s="273"/>
      <c r="C14" s="273" t="s">
        <v>124</v>
      </c>
      <c r="D14" s="274" t="str">
        <f t="shared" ref="D14:D25" si="2">A14&amp;C14</f>
        <v>Option 1 (base case)Energy at risk value</v>
      </c>
      <c r="F14" s="97">
        <f>SUMPRODUCT($H14:$AG14, $H$5:$AG$5)</f>
        <v>3712697794.2857285</v>
      </c>
      <c r="G14" s="276">
        <f>output_dollars</f>
        <v>46203</v>
      </c>
      <c r="H14" s="277"/>
      <c r="I14" s="31">
        <f>'Option1 (base case)'!I$28*conv_2026</f>
        <v>42039606.699333347</v>
      </c>
      <c r="J14" s="31">
        <f>'Option1 (base case)'!J$28*conv_2026</f>
        <v>50288849.660357684</v>
      </c>
      <c r="K14" s="31">
        <f>'Option1 (base case)'!K$28*conv_2026</f>
        <v>60518687.708409823</v>
      </c>
      <c r="L14" s="31">
        <f>'Option1 (base case)'!L$28*conv_2026</f>
        <v>73205006.142311946</v>
      </c>
      <c r="M14" s="31">
        <f>'Option1 (base case)'!M$28*conv_2026</f>
        <v>88972235.485462412</v>
      </c>
      <c r="N14" s="31">
        <f>'Option1 (base case)'!N$28*conv_2026</f>
        <v>108601205.27326359</v>
      </c>
      <c r="O14" s="31">
        <f>'Option1 (base case)'!O$28*conv_2026</f>
        <v>132761241.16711809</v>
      </c>
      <c r="P14" s="31">
        <f>'Option1 (base case)'!P$28*conv_2026</f>
        <v>157185827.21396542</v>
      </c>
      <c r="Q14" s="31">
        <f>'Option1 (base case)'!Q$28*conv_2026</f>
        <v>181815024.29987413</v>
      </c>
      <c r="R14" s="31">
        <f>'Option1 (base case)'!R$28*conv_2026</f>
        <v>206637974.21624583</v>
      </c>
      <c r="S14" s="31">
        <f>'Option1 (base case)'!S$28*conv_2026</f>
        <v>237161752.21623373</v>
      </c>
      <c r="T14" s="31">
        <f>'Option1 (base case)'!T$28*conv_2026</f>
        <v>268184690.76765147</v>
      </c>
      <c r="U14" s="31">
        <f>'Option1 (base case)'!U$28*conv_2026</f>
        <v>297108905.6329236</v>
      </c>
      <c r="V14" s="31">
        <f>'Option1 (base case)'!V$28*conv_2026</f>
        <v>317796045.642892</v>
      </c>
      <c r="W14" s="31">
        <f>'Option1 (base case)'!W$28*conv_2026</f>
        <v>333777027.1806252</v>
      </c>
      <c r="X14" s="31">
        <f>'Option1 (base case)'!X$28*conv_2026</f>
        <v>347928567.57286286</v>
      </c>
      <c r="Y14" s="31">
        <f>'Option1 (base case)'!Y$28*conv_2026</f>
        <v>356393851.29866272</v>
      </c>
      <c r="Z14" s="31">
        <f>'Option1 (base case)'!Z$28*conv_2026</f>
        <v>363585475.26314193</v>
      </c>
      <c r="AA14" s="31">
        <f>'Option1 (base case)'!AA$28*conv_2026</f>
        <v>369626112.13585728</v>
      </c>
      <c r="AB14" s="31">
        <f>'Option1 (base case)'!AB$28*conv_2026</f>
        <v>375047309.24674702</v>
      </c>
      <c r="AC14" s="31">
        <f>'Option1 (base case)'!AC$28*conv_2026</f>
        <v>380050039.82726985</v>
      </c>
      <c r="AD14" s="31">
        <f>'Option1 (base case)'!AD$28*conv_2026</f>
        <v>383605000.91487318</v>
      </c>
      <c r="AE14" s="31">
        <f>'Option1 (base case)'!AE$28*conv_2026</f>
        <v>386367819.34432232</v>
      </c>
      <c r="AF14" s="31">
        <f>'Option1 (base case)'!AF$28*conv_2026</f>
        <v>388775914.24579501</v>
      </c>
      <c r="AG14" s="31">
        <f>'Option1 (base case)'!AG$28*conv_2026</f>
        <v>391071465.39438528</v>
      </c>
    </row>
    <row r="15" spans="1:34" s="1" customFormat="1" x14ac:dyDescent="0.2">
      <c r="A15" s="138" t="str">
        <f>Data!B9</f>
        <v>Option 1 (base case)</v>
      </c>
      <c r="B15" s="138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9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8" t="str">
        <f t="shared" ref="A16:A25" si="3">A15</f>
        <v>Option 1 (base case)</v>
      </c>
      <c r="B16" s="138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3315591527.4498701</v>
      </c>
      <c r="G16" s="229">
        <f>output_dollars</f>
        <v>46203</v>
      </c>
      <c r="H16" s="31"/>
      <c r="I16" s="31">
        <f>'Option1 (base case)'!I$36*conv_2026</f>
        <v>49390630.50213024</v>
      </c>
      <c r="J16" s="31">
        <f>'Option1 (base case)'!J$36*conv_2026</f>
        <v>59082331.804766648</v>
      </c>
      <c r="K16" s="31">
        <f>'Option1 (base case)'!K$36*conv_2026</f>
        <v>71100954.023132667</v>
      </c>
      <c r="L16" s="31">
        <f>'Option1 (base case)'!L$36*conv_2026</f>
        <v>86005595.512349084</v>
      </c>
      <c r="M16" s="31">
        <f>'Option1 (base case)'!M$36*conv_2026</f>
        <v>104529874.39296569</v>
      </c>
      <c r="N16" s="31">
        <f>'Option1 (base case)'!N$36*conv_2026</f>
        <v>127591155.6475817</v>
      </c>
      <c r="O16" s="31">
        <f>'Option1 (base case)'!O$36*conv_2026</f>
        <v>155975802.87527555</v>
      </c>
      <c r="P16" s="31">
        <f>'Option1 (base case)'!P$36*conv_2026</f>
        <v>184671259.35837469</v>
      </c>
      <c r="Q16" s="31">
        <f>'Option1 (base case)'!Q$36*conv_2026</f>
        <v>213607105.06060264</v>
      </c>
      <c r="R16" s="31">
        <f>'Option1 (base case)'!R$36*conv_2026</f>
        <v>242770583.11264259</v>
      </c>
      <c r="S16" s="31">
        <f>'Option1 (base case)'!S$36*conv_2026</f>
        <v>278631733.08744389</v>
      </c>
      <c r="T16" s="31">
        <f>'Option1 (base case)'!T$36*conv_2026</f>
        <v>315079326.56856143</v>
      </c>
      <c r="U16" s="31">
        <f>'Option1 (base case)'!U$36*conv_2026</f>
        <v>349061214.62931556</v>
      </c>
      <c r="V16" s="31">
        <f>'Option1 (base case)'!V$36*conv_2026</f>
        <v>373365697.20180327</v>
      </c>
      <c r="W16" s="31">
        <f>'Option1 (base case)'!W$36*conv_2026</f>
        <v>392141104.87477905</v>
      </c>
      <c r="X16" s="31">
        <f>'Option1 (base case)'!X$36*conv_2026</f>
        <v>408767176.27330285</v>
      </c>
      <c r="Y16" s="31">
        <f>'Option1 (base case)'!Y$36*conv_2026</f>
        <v>418712695.11668706</v>
      </c>
      <c r="Z16" s="31">
        <f>'Option1 (base case)'!Z$36*conv_2026</f>
        <v>427161842.7141</v>
      </c>
      <c r="AA16" s="31">
        <f>'Option1 (base case)'!AA$36*conv_2026</f>
        <v>434258742.21441233</v>
      </c>
      <c r="AB16" s="31">
        <f>'Option1 (base case)'!AB$36*conv_2026</f>
        <v>440627887.03772533</v>
      </c>
      <c r="AC16" s="31">
        <f>'Option1 (base case)'!AC$36*conv_2026</f>
        <v>446505392.49041617</v>
      </c>
      <c r="AD16" s="31">
        <f>'Option1 (base case)'!AD$36*conv_2026</f>
        <v>450681972.22825778</v>
      </c>
      <c r="AE16" s="31">
        <f>'Option1 (base case)'!AE$36*conv_2026</f>
        <v>453927895.65397722</v>
      </c>
      <c r="AF16" s="31">
        <f>'Option1 (base case)'!AF$36*conv_2026</f>
        <v>456757068.77977121</v>
      </c>
      <c r="AG16" s="31">
        <f>'Option1 (base case)'!AG$36*conv_2026</f>
        <v>459454018.81048024</v>
      </c>
    </row>
    <row r="17" spans="1:33" s="1" customFormat="1" x14ac:dyDescent="0.2">
      <c r="A17" s="138" t="str">
        <f t="shared" si="3"/>
        <v>Option 1 (base case)</v>
      </c>
      <c r="B17" s="138"/>
      <c r="C17" s="75"/>
      <c r="D17" s="38" t="str">
        <f t="shared" si="2"/>
        <v>Option 1 (base case)</v>
      </c>
      <c r="F17"/>
      <c r="G17" s="23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8" t="str">
        <f t="shared" si="3"/>
        <v>Option 1 (base case)</v>
      </c>
      <c r="B18" s="138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9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8" t="str">
        <f t="shared" si="3"/>
        <v>Option 1 (base case)</v>
      </c>
      <c r="B19" s="138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9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8" t="str">
        <f t="shared" si="3"/>
        <v>Option 1 (base case)</v>
      </c>
      <c r="B20" s="138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9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8" t="str">
        <f t="shared" si="3"/>
        <v>Option 1 (base case)</v>
      </c>
      <c r="B21" s="138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9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8" t="str">
        <f t="shared" si="3"/>
        <v>Option 1 (base case)</v>
      </c>
      <c r="B22" s="138"/>
      <c r="C22" s="147" t="str">
        <f>'Option1 (base case)'!C$87</f>
        <v>Net benefits</v>
      </c>
      <c r="D22" s="109" t="str">
        <f t="shared" si="2"/>
        <v>Option 1 (base case)Net benefits</v>
      </c>
      <c r="E22" s="110"/>
      <c r="F22" s="146"/>
      <c r="G22" s="231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8" t="str">
        <f t="shared" si="3"/>
        <v>Option 1 (base case)</v>
      </c>
      <c r="B23" s="138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9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8" t="str">
        <f t="shared" si="3"/>
        <v>Option 1 (base case)</v>
      </c>
      <c r="B24" s="138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9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8" t="str">
        <f t="shared" si="3"/>
        <v>Option 1 (base case)</v>
      </c>
      <c r="B25" s="138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9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32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5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5" customFormat="1" x14ac:dyDescent="0.2">
      <c r="A28" s="273" t="str">
        <f>A29</f>
        <v>Option 2</v>
      </c>
      <c r="B28" s="273"/>
      <c r="C28" s="273" t="s">
        <v>124</v>
      </c>
      <c r="D28" s="274" t="str">
        <f t="shared" si="6"/>
        <v>Option 2Energy at risk value</v>
      </c>
      <c r="F28" s="97">
        <f>SUMPRODUCT($H28:$AG28, $H$5:$AG$5)</f>
        <v>3696588704.7183576</v>
      </c>
      <c r="G28" s="276">
        <f>output_dollars</f>
        <v>46203</v>
      </c>
      <c r="H28" s="277"/>
      <c r="I28" s="31">
        <f>Option2!I$28*conv_2026</f>
        <v>42039606.699333347</v>
      </c>
      <c r="J28" s="31">
        <f>Option2!J$28*conv_2026</f>
        <v>50210964.988674521</v>
      </c>
      <c r="K28" s="31">
        <f>Option2!K$28*conv_2026</f>
        <v>60325371.08808402</v>
      </c>
      <c r="L28" s="31">
        <f>Option2!L$28*conv_2026</f>
        <v>72845369.927439153</v>
      </c>
      <c r="M28" s="31">
        <f>Option2!M$28*conv_2026</f>
        <v>88377582.841068566</v>
      </c>
      <c r="N28" s="31">
        <f>Option2!N$28*conv_2026</f>
        <v>107679097.54914185</v>
      </c>
      <c r="O28" s="31">
        <f>Option2!O$28*conv_2026</f>
        <v>131630808.45144898</v>
      </c>
      <c r="P28" s="31">
        <f>Option2!P$28*conv_2026</f>
        <v>155933568.71472323</v>
      </c>
      <c r="Q28" s="31">
        <f>Option2!Q$28*conv_2026</f>
        <v>180546898.2368364</v>
      </c>
      <c r="R28" s="31">
        <f>Option2!R$28*conv_2026</f>
        <v>205369848.15320811</v>
      </c>
      <c r="S28" s="31">
        <f>Option2!S$28*conv_2026</f>
        <v>235893626.15319607</v>
      </c>
      <c r="T28" s="31">
        <f>Option2!T$28*conv_2026</f>
        <v>266916564.70461378</v>
      </c>
      <c r="U28" s="31">
        <f>Option2!U$28*conv_2026</f>
        <v>295840779.56988585</v>
      </c>
      <c r="V28" s="31">
        <f>Option2!V$28*conv_2026</f>
        <v>316527919.57985431</v>
      </c>
      <c r="W28" s="31">
        <f>Option2!W$28*conv_2026</f>
        <v>332508901.11758757</v>
      </c>
      <c r="X28" s="31">
        <f>Option2!X$28*conv_2026</f>
        <v>346660441.50982517</v>
      </c>
      <c r="Y28" s="31">
        <f>Option2!Y$28*conv_2026</f>
        <v>355125725.23562509</v>
      </c>
      <c r="Z28" s="31">
        <f>Option2!Z$28*conv_2026</f>
        <v>362317349.20010424</v>
      </c>
      <c r="AA28" s="31">
        <f>Option2!AA$28*conv_2026</f>
        <v>368357986.07281959</v>
      </c>
      <c r="AB28" s="31">
        <f>Option2!AB$28*conv_2026</f>
        <v>373779183.18370932</v>
      </c>
      <c r="AC28" s="31">
        <f>Option2!AC$28*conv_2026</f>
        <v>378781913.76423216</v>
      </c>
      <c r="AD28" s="31">
        <f>Option2!AD$28*conv_2026</f>
        <v>382336874.85183549</v>
      </c>
      <c r="AE28" s="31">
        <f>Option2!AE$28*conv_2026</f>
        <v>385099693.28128463</v>
      </c>
      <c r="AF28" s="31">
        <f>Option2!AF$28*conv_2026</f>
        <v>387507788.18275738</v>
      </c>
      <c r="AG28" s="31">
        <f>Option2!AG$28*conv_2026</f>
        <v>389803339.33134758</v>
      </c>
    </row>
    <row r="29" spans="1:33" s="2" customFormat="1" x14ac:dyDescent="0.2">
      <c r="A29" s="138" t="str">
        <f>Data!B10</f>
        <v>Option 2</v>
      </c>
      <c r="B29" s="138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-7452017.2835212778</v>
      </c>
      <c r="G29" s="229">
        <f>output_dollars</f>
        <v>46203</v>
      </c>
      <c r="H29" s="31"/>
      <c r="I29" s="31">
        <f>SUM(Option2!I$67:I$69)*conv_2026*I$7</f>
        <v>-1622336.3012009696</v>
      </c>
      <c r="J29" s="31">
        <f>SUM(Option2!J$67:J$69)*conv_2026*J$7</f>
        <v>-1622336.3012009696</v>
      </c>
      <c r="K29" s="31">
        <f>SUM(Option2!K$67:K$69)*conv_2026*K$7</f>
        <v>-1622336.3012009696</v>
      </c>
      <c r="L29" s="31">
        <f>SUM(Option2!L$67:L$69)*conv_2026*L$7</f>
        <v>-1622336.3012009696</v>
      </c>
      <c r="M29" s="31">
        <f>SUM(Option2!M$67:M$69)*conv_2026*M$7</f>
        <v>-1622336.3012009696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8" t="str">
        <f t="shared" ref="A30:A39" si="7">A29</f>
        <v>Option 2</v>
      </c>
      <c r="B30" s="138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3300039298.3751936</v>
      </c>
      <c r="G30" s="229">
        <f>output_dollars</f>
        <v>46203</v>
      </c>
      <c r="H30" s="31"/>
      <c r="I30" s="31">
        <f>Option2!I$36*conv_2026*I$7</f>
        <v>49390630.50213024</v>
      </c>
      <c r="J30" s="31">
        <f>Option2!J$36*conv_2026*J$7</f>
        <v>58990440.384396061</v>
      </c>
      <c r="K30" s="31">
        <f>Option2!K$36*conv_2026*K$7</f>
        <v>70872871.417928308</v>
      </c>
      <c r="L30" s="31">
        <f>Option2!L$36*conv_2026*L$7</f>
        <v>85581282.462204799</v>
      </c>
      <c r="M30" s="31">
        <f>Option2!M$36*conv_2026*M$7</f>
        <v>103828279.65115599</v>
      </c>
      <c r="N30" s="31">
        <f>Option2!N$36*conv_2026*N$7</f>
        <v>126503216.43344536</v>
      </c>
      <c r="O30" s="31">
        <f>Option2!O$36*conv_2026*O$7</f>
        <v>154642073.58514252</v>
      </c>
      <c r="P30" s="31">
        <f>Option2!P$36*conv_2026*P$7</f>
        <v>183193795.18372118</v>
      </c>
      <c r="Q30" s="31">
        <f>Option2!Q$36*conv_2026*Q$7</f>
        <v>212110919.70572877</v>
      </c>
      <c r="R30" s="31">
        <f>Option2!R$36*conv_2026*R$7</f>
        <v>241274397.75776869</v>
      </c>
      <c r="S30" s="31">
        <f>Option2!S$36*conv_2026*S$7</f>
        <v>277135547.73257005</v>
      </c>
      <c r="T30" s="31">
        <f>Option2!T$36*conv_2026*T$7</f>
        <v>313583141.21368748</v>
      </c>
      <c r="U30" s="31">
        <f>Option2!U$36*conv_2026*U$7</f>
        <v>347565029.27444166</v>
      </c>
      <c r="V30" s="31">
        <f>Option2!V$36*conv_2026*V$7</f>
        <v>371869511.84692937</v>
      </c>
      <c r="W30" s="31">
        <f>Option2!W$36*conv_2026*W$7</f>
        <v>390644919.51990509</v>
      </c>
      <c r="X30" s="31">
        <f>Option2!X$36*conv_2026*X$7</f>
        <v>407270990.91842902</v>
      </c>
      <c r="Y30" s="31">
        <f>Option2!Y$36*conv_2026*Y$7</f>
        <v>417216509.76181322</v>
      </c>
      <c r="Z30" s="31">
        <f>Option2!Z$36*conv_2026*Z$7</f>
        <v>425665657.35922605</v>
      </c>
      <c r="AA30" s="31">
        <f>Option2!AA$36*conv_2026*AA$7</f>
        <v>432762556.8595385</v>
      </c>
      <c r="AB30" s="31">
        <f>Option2!AB$36*conv_2026*AB$7</f>
        <v>439131701.68285149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8" t="str">
        <f t="shared" si="7"/>
        <v>Option 2</v>
      </c>
      <c r="B31" s="138"/>
      <c r="C31" s="75"/>
      <c r="D31" s="38" t="str">
        <f t="shared" si="6"/>
        <v>Option 2</v>
      </c>
      <c r="E31" s="1"/>
      <c r="F31" s="97"/>
      <c r="G31" s="23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8" t="str">
        <f t="shared" si="7"/>
        <v>Option 2</v>
      </c>
      <c r="B32" s="138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-3785093.161245462</v>
      </c>
      <c r="G32" s="229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-65037.225632889684</v>
      </c>
      <c r="K32" s="31">
        <f>Option2!K$82*conv_2026*K$7</f>
        <v>-130074.45126577937</v>
      </c>
      <c r="L32" s="31">
        <f>Option2!L$82*conv_2026*L$7</f>
        <v>-195111.67689866904</v>
      </c>
      <c r="M32" s="31">
        <f>Option2!M$82*conv_2026*M$7</f>
        <v>-260148.90253155874</v>
      </c>
      <c r="N32" s="31">
        <f>Option2!N$82*conv_2026*N$7</f>
        <v>-325186.12816444843</v>
      </c>
      <c r="O32" s="31">
        <f>Option2!O$82*conv_2026*O$7</f>
        <v>-325186.12816444843</v>
      </c>
      <c r="P32" s="31">
        <f>Option2!P$82*conv_2026*P$7</f>
        <v>-325186.12816444843</v>
      </c>
      <c r="Q32" s="31">
        <f>Option2!Q$82*conv_2026*Q$7</f>
        <v>-325186.12816444843</v>
      </c>
      <c r="R32" s="31">
        <f>Option2!R$82*conv_2026*R$7</f>
        <v>-325186.12816444843</v>
      </c>
      <c r="S32" s="31">
        <f>Option2!S$82*conv_2026*S$7</f>
        <v>-325186.12816444843</v>
      </c>
      <c r="T32" s="31">
        <f>Option2!T$82*conv_2026*T$7</f>
        <v>-325186.12816444843</v>
      </c>
      <c r="U32" s="31">
        <f>Option2!U$82*conv_2026*U$7</f>
        <v>-325186.12816444843</v>
      </c>
      <c r="V32" s="31">
        <f>Option2!V$82*conv_2026*V$7</f>
        <v>-325186.12816444843</v>
      </c>
      <c r="W32" s="31">
        <f>Option2!W$82*conv_2026*W$7</f>
        <v>-325186.12816444843</v>
      </c>
      <c r="X32" s="31">
        <f>Option2!X$82*conv_2026*X$7</f>
        <v>-325186.12816444843</v>
      </c>
      <c r="Y32" s="31">
        <f>Option2!Y$82*conv_2026*Y$7</f>
        <v>-325186.12816444843</v>
      </c>
      <c r="Z32" s="31">
        <f>Option2!Z$82*conv_2026*Z$7</f>
        <v>-325186.12816444843</v>
      </c>
      <c r="AA32" s="31">
        <f>Option2!AA$82*conv_2026*AA$7</f>
        <v>-325186.12816444843</v>
      </c>
      <c r="AB32" s="31">
        <f>Option2!AB$82*conv_2026*AB$7</f>
        <v>-325186.12816444843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8" t="str">
        <f t="shared" si="7"/>
        <v>Option 2</v>
      </c>
      <c r="B33" s="138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9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8" t="str">
        <f t="shared" si="7"/>
        <v>Option 2</v>
      </c>
      <c r="B34" s="138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15552229.074676115</v>
      </c>
      <c r="G34" s="229">
        <f t="shared" si="8"/>
        <v>46203</v>
      </c>
      <c r="H34" s="31"/>
      <c r="I34" s="31">
        <f>Option2!I$84*conv_2026*I$7</f>
        <v>0</v>
      </c>
      <c r="J34" s="31">
        <f>Option2!J$84*conv_2026*J$7</f>
        <v>91891.420370588225</v>
      </c>
      <c r="K34" s="31">
        <f>Option2!K$84*conv_2026*K$7</f>
        <v>228082.60520436766</v>
      </c>
      <c r="L34" s="31">
        <f>Option2!L$84*conv_2026*L$7</f>
        <v>424313.05014427629</v>
      </c>
      <c r="M34" s="31">
        <f>Option2!M$84*conv_2026*M$7</f>
        <v>701594.74180969712</v>
      </c>
      <c r="N34" s="31">
        <f>Option2!N$84*conv_2026*N$7</f>
        <v>1087939.2141363302</v>
      </c>
      <c r="O34" s="31">
        <f>Option2!O$84*conv_2026*O$7</f>
        <v>1333729.2901330416</v>
      </c>
      <c r="P34" s="31">
        <f>Option2!P$84*conv_2026*P$7</f>
        <v>1477464.1746534854</v>
      </c>
      <c r="Q34" s="31">
        <f>Option2!Q$84*conv_2026*Q$7</f>
        <v>1496185.3548738793</v>
      </c>
      <c r="R34" s="31">
        <f>Option2!R$84*conv_2026*R$7</f>
        <v>1496185.3548739124</v>
      </c>
      <c r="S34" s="31">
        <f>Option2!S$84*conv_2026*S$7</f>
        <v>1496185.3548738461</v>
      </c>
      <c r="T34" s="31">
        <f>Option2!T$84*conv_2026*T$7</f>
        <v>1496185.3548739788</v>
      </c>
      <c r="U34" s="31">
        <f>Option2!U$84*conv_2026*U$7</f>
        <v>1496185.3548739124</v>
      </c>
      <c r="V34" s="31">
        <f>Option2!V$84*conv_2026*V$7</f>
        <v>1496185.3548739124</v>
      </c>
      <c r="W34" s="31">
        <f>Option2!W$84*conv_2026*W$7</f>
        <v>1496185.3548739124</v>
      </c>
      <c r="X34" s="31">
        <f>Option2!X$84*conv_2026*X$7</f>
        <v>1496185.3548738461</v>
      </c>
      <c r="Y34" s="31">
        <f>Option2!Y$84*conv_2026*Y$7</f>
        <v>1496185.3548738461</v>
      </c>
      <c r="Z34" s="31">
        <f>Option2!Z$84*conv_2026*Z$7</f>
        <v>1496185.3548739124</v>
      </c>
      <c r="AA34" s="31">
        <f>Option2!AA$84*conv_2026*AA$7</f>
        <v>1496185.3548738461</v>
      </c>
      <c r="AB34" s="31">
        <f>Option2!AB$84*conv_2026*AB$7</f>
        <v>1496185.3548738461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8" t="str">
        <f t="shared" si="7"/>
        <v>Option 2</v>
      </c>
      <c r="B35" s="138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9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8" t="str">
        <f t="shared" si="7"/>
        <v>Option 2</v>
      </c>
      <c r="B36" s="138"/>
      <c r="C36" s="125" t="str">
        <f>Option2!C87</f>
        <v>Net benefits</v>
      </c>
      <c r="D36" s="109" t="str">
        <f t="shared" si="6"/>
        <v>Option 2Net benefits</v>
      </c>
      <c r="E36" s="110"/>
      <c r="F36" s="146"/>
      <c r="G36" s="231">
        <f t="shared" si="8"/>
        <v>46203</v>
      </c>
      <c r="H36" s="52"/>
      <c r="I36" s="52">
        <f>SUM(I32:I35)</f>
        <v>0</v>
      </c>
      <c r="J36" s="52">
        <f t="shared" ref="J36:AG36" si="9">SUM(J32:J35)</f>
        <v>26854.194737698541</v>
      </c>
      <c r="K36" s="52">
        <f t="shared" si="9"/>
        <v>98008.153938588293</v>
      </c>
      <c r="L36" s="52">
        <f t="shared" si="9"/>
        <v>229201.37324560725</v>
      </c>
      <c r="M36" s="52">
        <f t="shared" si="9"/>
        <v>441445.83927813836</v>
      </c>
      <c r="N36" s="52">
        <f t="shared" si="9"/>
        <v>762753.08597188175</v>
      </c>
      <c r="O36" s="52">
        <f t="shared" si="9"/>
        <v>1008543.1619685931</v>
      </c>
      <c r="P36" s="52">
        <f t="shared" si="9"/>
        <v>1152278.0464890371</v>
      </c>
      <c r="Q36" s="52">
        <f t="shared" si="9"/>
        <v>1170999.226709431</v>
      </c>
      <c r="R36" s="52">
        <f t="shared" si="9"/>
        <v>1170999.2267094641</v>
      </c>
      <c r="S36" s="52">
        <f t="shared" si="9"/>
        <v>1170999.2267093975</v>
      </c>
      <c r="T36" s="52">
        <f t="shared" si="9"/>
        <v>1170999.2267095302</v>
      </c>
      <c r="U36" s="52">
        <f t="shared" si="9"/>
        <v>1170999.2267094641</v>
      </c>
      <c r="V36" s="52">
        <f t="shared" si="9"/>
        <v>1170999.2267094641</v>
      </c>
      <c r="W36" s="52">
        <f t="shared" si="9"/>
        <v>1170999.2267094641</v>
      </c>
      <c r="X36" s="52">
        <f t="shared" si="9"/>
        <v>1170999.2267093975</v>
      </c>
      <c r="Y36" s="52">
        <f t="shared" si="9"/>
        <v>1170999.2267093975</v>
      </c>
      <c r="Z36" s="52">
        <f t="shared" si="9"/>
        <v>1170999.2267094641</v>
      </c>
      <c r="AA36" s="52">
        <f t="shared" si="9"/>
        <v>1170999.2267093975</v>
      </c>
      <c r="AB36" s="52">
        <f t="shared" si="9"/>
        <v>1170999.2267093975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8" t="str">
        <f t="shared" si="7"/>
        <v>Option 2</v>
      </c>
      <c r="B37" s="138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11767135.913430654</v>
      </c>
      <c r="G37" s="229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8" t="str">
        <f t="shared" si="7"/>
        <v>Option 2</v>
      </c>
      <c r="B38" s="138"/>
      <c r="C38" s="8" t="s">
        <v>189</v>
      </c>
      <c r="D38" s="38" t="str">
        <f t="shared" si="6"/>
        <v>Option 2PV of costs</v>
      </c>
      <c r="E38" s="1"/>
      <c r="F38" s="108">
        <f>SUM(F32:F33)</f>
        <v>-3785093.161245462</v>
      </c>
      <c r="G38" s="229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8" t="str">
        <f t="shared" si="7"/>
        <v>Option 2</v>
      </c>
      <c r="B39" s="138"/>
      <c r="C39" s="8" t="s">
        <v>190</v>
      </c>
      <c r="D39" s="38" t="str">
        <f t="shared" si="6"/>
        <v>Option 2PV of benefits</v>
      </c>
      <c r="E39" s="1"/>
      <c r="F39" s="108">
        <f>SUM(F34:F35)</f>
        <v>15552229.074676115</v>
      </c>
      <c r="G39" s="229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8"/>
      <c r="B40" s="138"/>
      <c r="C40" s="1"/>
      <c r="D40" s="38"/>
      <c r="E40" s="1"/>
      <c r="F40" s="108"/>
      <c r="G40" s="232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5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5" customFormat="1" x14ac:dyDescent="0.2">
      <c r="A42" s="273" t="str">
        <f>A43</f>
        <v>Option 3</v>
      </c>
      <c r="B42" s="273"/>
      <c r="C42" s="273" t="s">
        <v>124</v>
      </c>
      <c r="D42" s="274" t="str">
        <f>A42&amp;C42</f>
        <v>Option 3Energy at risk value</v>
      </c>
      <c r="F42" s="97">
        <f>SUMPRODUCT($H42:$AG42, $H$5:$AG$5)</f>
        <v>3684159752.6033168</v>
      </c>
      <c r="G42" s="276">
        <f>output_dollars</f>
        <v>46203</v>
      </c>
      <c r="H42" s="277"/>
      <c r="I42" s="31">
        <f>Option3!I$28*conv_2026</f>
        <v>42039606.699333347</v>
      </c>
      <c r="J42" s="31">
        <f>Option3!J$28*conv_2026</f>
        <v>50157623.456080481</v>
      </c>
      <c r="K42" s="31">
        <f>Option3!K$28*conv_2026</f>
        <v>60188754.332410209</v>
      </c>
      <c r="L42" s="31">
        <f>Option3!L$28*conv_2026</f>
        <v>72583534.986806825</v>
      </c>
      <c r="M42" s="31">
        <f>Option3!M$28*conv_2026</f>
        <v>87932102.945676133</v>
      </c>
      <c r="N42" s="31">
        <f>Option3!N$28*conv_2026</f>
        <v>106968976.07099856</v>
      </c>
      <c r="O42" s="31">
        <f>Option3!O$28*conv_2026</f>
        <v>130779648.50671227</v>
      </c>
      <c r="P42" s="31">
        <f>Option3!P$28*conv_2026</f>
        <v>155018776.84379447</v>
      </c>
      <c r="Q42" s="31">
        <f>Option3!Q$28*conv_2026</f>
        <v>179558616.34588289</v>
      </c>
      <c r="R42" s="31">
        <f>Option3!R$28*conv_2026</f>
        <v>204381075.6682573</v>
      </c>
      <c r="S42" s="31">
        <f>Option3!S$28*conv_2026</f>
        <v>234904853.66824523</v>
      </c>
      <c r="T42" s="31">
        <f>Option3!T$28*conv_2026</f>
        <v>265927792.21966296</v>
      </c>
      <c r="U42" s="31">
        <f>Option3!U$28*conv_2026</f>
        <v>294852007.08493507</v>
      </c>
      <c r="V42" s="31">
        <f>Option3!V$28*conv_2026</f>
        <v>315539147.09490347</v>
      </c>
      <c r="W42" s="31">
        <f>Option3!W$28*conv_2026</f>
        <v>331520128.63263673</v>
      </c>
      <c r="X42" s="31">
        <f>Option3!X$28*conv_2026</f>
        <v>345671669.02487433</v>
      </c>
      <c r="Y42" s="31">
        <f>Option3!Y$28*conv_2026</f>
        <v>354136952.75067425</v>
      </c>
      <c r="Z42" s="31">
        <f>Option3!Z$28*conv_2026</f>
        <v>361328576.7151534</v>
      </c>
      <c r="AA42" s="31">
        <f>Option3!AA$28*conv_2026</f>
        <v>367369213.58786875</v>
      </c>
      <c r="AB42" s="31">
        <f>Option3!AB$28*conv_2026</f>
        <v>372790410.69875848</v>
      </c>
      <c r="AC42" s="31">
        <f>Option3!AC$28*conv_2026</f>
        <v>377793141.27928132</v>
      </c>
      <c r="AD42" s="31">
        <f>Option3!AD$28*conv_2026</f>
        <v>381348102.36688465</v>
      </c>
      <c r="AE42" s="31">
        <f>Option3!AE$28*conv_2026</f>
        <v>384110920.79633379</v>
      </c>
      <c r="AF42" s="31">
        <f>Option3!AF$28*conv_2026</f>
        <v>386519015.69780654</v>
      </c>
      <c r="AG42" s="31">
        <f>Option3!AG$28*conv_2026</f>
        <v>388814566.84639674</v>
      </c>
    </row>
    <row r="43" spans="1:33" s="2" customFormat="1" x14ac:dyDescent="0.2">
      <c r="A43" s="138" t="str">
        <f>Data!B11</f>
        <v>Option 3</v>
      </c>
      <c r="B43" s="138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-15336311.890981585</v>
      </c>
      <c r="G43" s="229">
        <f>output_dollars</f>
        <v>46203</v>
      </c>
      <c r="H43" s="31"/>
      <c r="I43" s="31">
        <f>SUM(Option3!I$67:I$69)*conv_2026*I$7</f>
        <v>-3338781.240121163</v>
      </c>
      <c r="J43" s="31">
        <f>SUM(Option3!J$67:J$69)*conv_2026*J$7</f>
        <v>-3338781.240121163</v>
      </c>
      <c r="K43" s="31">
        <f>SUM(Option3!K$67:K$69)*conv_2026*K$7</f>
        <v>-3338781.240121163</v>
      </c>
      <c r="L43" s="31">
        <f>SUM(Option3!L$67:L$69)*conv_2026*L$7</f>
        <v>-3338781.240121163</v>
      </c>
      <c r="M43" s="31">
        <f>SUM(Option3!M$67:M$69)*conv_2026*M$7</f>
        <v>-3338781.240121163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8" t="str">
        <f t="shared" ref="A44:A53" si="10">A43</f>
        <v>Option 3</v>
      </c>
      <c r="B44" s="138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3288766609.4294014</v>
      </c>
      <c r="G44" s="229">
        <f>output_dollars</f>
        <v>46203</v>
      </c>
      <c r="H44" s="31"/>
      <c r="I44" s="31">
        <f>Option3!I$36*conv_2026*I$7</f>
        <v>49390630.50213024</v>
      </c>
      <c r="J44" s="31">
        <f>Option3!J$36*conv_2026*J$7</f>
        <v>58931434.754061863</v>
      </c>
      <c r="K44" s="31">
        <f>Option3!K$36*conv_2026*K$7</f>
        <v>70721563.537507951</v>
      </c>
      <c r="L44" s="31">
        <f>Option3!L$36*conv_2026*L$7</f>
        <v>85290965.648745582</v>
      </c>
      <c r="M44" s="31">
        <f>Option3!M$36*conv_2026*M$7</f>
        <v>103333825.68104625</v>
      </c>
      <c r="N44" s="31">
        <f>Option3!N$36*conv_2026*N$7</f>
        <v>125714254.81018692</v>
      </c>
      <c r="O44" s="31">
        <f>Option3!O$36*conv_2026*O$7</f>
        <v>153697168.89511526</v>
      </c>
      <c r="P44" s="31">
        <f>Option3!P$36*conv_2026*P$7</f>
        <v>182179367.50347689</v>
      </c>
      <c r="Q44" s="31">
        <f>Option3!Q$36*conv_2026*Q$7</f>
        <v>211012460.89391732</v>
      </c>
      <c r="R44" s="31">
        <f>Option3!R$36*conv_2026*R$7</f>
        <v>240175374.81177616</v>
      </c>
      <c r="S44" s="31">
        <f>Option3!S$36*conv_2026*S$7</f>
        <v>276036524.78657752</v>
      </c>
      <c r="T44" s="31">
        <f>Option3!T$36*conv_2026*T$7</f>
        <v>312484118.26769507</v>
      </c>
      <c r="U44" s="31">
        <f>Option3!U$36*conv_2026*U$7</f>
        <v>346466006.32844919</v>
      </c>
      <c r="V44" s="31">
        <f>Option3!V$36*conv_2026*V$7</f>
        <v>370770488.90093684</v>
      </c>
      <c r="W44" s="31">
        <f>Option3!W$36*conv_2026*W$7</f>
        <v>389545896.57391262</v>
      </c>
      <c r="X44" s="31">
        <f>Option3!X$36*conv_2026*X$7</f>
        <v>406171967.97243655</v>
      </c>
      <c r="Y44" s="31">
        <f>Option3!Y$36*conv_2026*Y$7</f>
        <v>416117486.81582069</v>
      </c>
      <c r="Z44" s="31">
        <f>Option3!Z$36*conv_2026*Z$7</f>
        <v>424566634.41323358</v>
      </c>
      <c r="AA44" s="31">
        <f>Option3!AA$36*conv_2026*AA$7</f>
        <v>431663533.91354597</v>
      </c>
      <c r="AB44" s="31">
        <f>Option3!AB$36*conv_2026*AB$7</f>
        <v>438032678.7368589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8" t="str">
        <f t="shared" si="10"/>
        <v>Option 3</v>
      </c>
      <c r="B45" s="138"/>
      <c r="C45" s="58"/>
      <c r="D45" s="38"/>
      <c r="E45" s="1"/>
      <c r="F45" s="97"/>
      <c r="G45" s="229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8" t="str">
        <f t="shared" si="10"/>
        <v>Option 3</v>
      </c>
      <c r="B46" s="138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-7789752.3648592457</v>
      </c>
      <c r="G46" s="229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-133847.13680626696</v>
      </c>
      <c r="K46" s="31">
        <f>Option3!K$82*conv_2026*K$7</f>
        <v>-267694.27361253393</v>
      </c>
      <c r="L46" s="31">
        <f>Option3!L$82*conv_2026*L$7</f>
        <v>-401541.41041880089</v>
      </c>
      <c r="M46" s="31">
        <f>Option3!M$82*conv_2026*M$7</f>
        <v>-535388.54722506786</v>
      </c>
      <c r="N46" s="31">
        <f>Option3!N$82*conv_2026*N$7</f>
        <v>-669235.68403133471</v>
      </c>
      <c r="O46" s="31">
        <f>Option3!O$82*conv_2026*O$7</f>
        <v>-669235.68403133471</v>
      </c>
      <c r="P46" s="31">
        <f>Option3!P$82*conv_2026*P$7</f>
        <v>-669235.68403133471</v>
      </c>
      <c r="Q46" s="31">
        <f>Option3!Q$82*conv_2026*Q$7</f>
        <v>-669235.68403133471</v>
      </c>
      <c r="R46" s="31">
        <f>Option3!R$82*conv_2026*R$7</f>
        <v>-669235.68403133471</v>
      </c>
      <c r="S46" s="31">
        <f>Option3!S$82*conv_2026*S$7</f>
        <v>-669235.68403133471</v>
      </c>
      <c r="T46" s="31">
        <f>Option3!T$82*conv_2026*T$7</f>
        <v>-669235.68403133471</v>
      </c>
      <c r="U46" s="31">
        <f>Option3!U$82*conv_2026*U$7</f>
        <v>-669235.68403133471</v>
      </c>
      <c r="V46" s="31">
        <f>Option3!V$82*conv_2026*V$7</f>
        <v>-669235.68403133471</v>
      </c>
      <c r="W46" s="31">
        <f>Option3!W$82*conv_2026*W$7</f>
        <v>-669235.68403133471</v>
      </c>
      <c r="X46" s="31">
        <f>Option3!X$82*conv_2026*X$7</f>
        <v>-669235.68403133471</v>
      </c>
      <c r="Y46" s="31">
        <f>Option3!Y$82*conv_2026*Y$7</f>
        <v>-669235.68403133471</v>
      </c>
      <c r="Z46" s="31">
        <f>Option3!Z$82*conv_2026*Z$7</f>
        <v>-669235.68403133471</v>
      </c>
      <c r="AA46" s="31">
        <f>Option3!AA$82*conv_2026*AA$7</f>
        <v>-669235.68403133471</v>
      </c>
      <c r="AB46" s="31">
        <f>Option3!AB$82*conv_2026*AB$7</f>
        <v>-669235.68403133471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8" t="str">
        <f t="shared" si="10"/>
        <v>Option 3</v>
      </c>
      <c r="B47" s="138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9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8" t="str">
        <f t="shared" si="10"/>
        <v>Option 3</v>
      </c>
      <c r="B48" s="138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26824918.020468052</v>
      </c>
      <c r="G48" s="229">
        <f t="shared" si="12"/>
        <v>46203</v>
      </c>
      <c r="H48" s="31"/>
      <c r="I48" s="31">
        <f>Option3!I$84*conv_2026*I$7</f>
        <v>0</v>
      </c>
      <c r="J48" s="31">
        <f>Option3!J$84*conv_2026*J$7</f>
        <v>150897.05070479127</v>
      </c>
      <c r="K48" s="31">
        <f>Option3!K$84*conv_2026*K$7</f>
        <v>379390.48562471982</v>
      </c>
      <c r="L48" s="31">
        <f>Option3!L$84*conv_2026*L$7</f>
        <v>714629.86360349599</v>
      </c>
      <c r="M48" s="31">
        <f>Option3!M$84*conv_2026*M$7</f>
        <v>1196048.711919439</v>
      </c>
      <c r="N48" s="31">
        <f>Option3!N$84*conv_2026*N$7</f>
        <v>1876900.8373947805</v>
      </c>
      <c r="O48" s="31">
        <f>Option3!O$84*conv_2026*O$7</f>
        <v>2278633.9801603169</v>
      </c>
      <c r="P48" s="31">
        <f>Option3!P$84*conv_2026*P$7</f>
        <v>2491891.8548977925</v>
      </c>
      <c r="Q48" s="31">
        <f>Option3!Q$84*conv_2026*Q$7</f>
        <v>2594644.1666853125</v>
      </c>
      <c r="R48" s="31">
        <f>Option3!R$84*conv_2026*R$7</f>
        <v>2595208.3008664222</v>
      </c>
      <c r="S48" s="31">
        <f>Option3!S$84*conv_2026*S$7</f>
        <v>2595208.3008663892</v>
      </c>
      <c r="T48" s="31">
        <f>Option3!T$84*conv_2026*T$7</f>
        <v>2595208.3008663892</v>
      </c>
      <c r="U48" s="31">
        <f>Option3!U$84*conv_2026*U$7</f>
        <v>2595208.3008663892</v>
      </c>
      <c r="V48" s="31">
        <f>Option3!V$84*conv_2026*V$7</f>
        <v>2595208.3008663892</v>
      </c>
      <c r="W48" s="31">
        <f>Option3!W$84*conv_2026*W$7</f>
        <v>2595208.3008663892</v>
      </c>
      <c r="X48" s="31">
        <f>Option3!X$84*conv_2026*X$7</f>
        <v>2595208.3008663231</v>
      </c>
      <c r="Y48" s="31">
        <f>Option3!Y$84*conv_2026*Y$7</f>
        <v>2595208.3008663892</v>
      </c>
      <c r="Z48" s="31">
        <f>Option3!Z$84*conv_2026*Z$7</f>
        <v>2595208.3008663892</v>
      </c>
      <c r="AA48" s="31">
        <f>Option3!AA$84*conv_2026*AA$7</f>
        <v>2595208.3008663892</v>
      </c>
      <c r="AB48" s="31">
        <f>Option3!AB$84*conv_2026*AB$7</f>
        <v>2595208.3008663892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8" t="str">
        <f t="shared" si="10"/>
        <v>Option 3</v>
      </c>
      <c r="B49" s="138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9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8" t="str">
        <f t="shared" si="10"/>
        <v>Option 3</v>
      </c>
      <c r="B50" s="138"/>
      <c r="C50" s="125" t="str">
        <f>Option3!C87</f>
        <v>Net benefits</v>
      </c>
      <c r="D50" s="109" t="str">
        <f t="shared" si="11"/>
        <v>Option 3Net benefits</v>
      </c>
      <c r="E50" s="110"/>
      <c r="F50" s="146"/>
      <c r="G50" s="231">
        <f t="shared" si="12"/>
        <v>46203</v>
      </c>
      <c r="H50" s="52"/>
      <c r="I50" s="52">
        <f t="shared" ref="I50:AB50" si="13">SUM(I46:I49)</f>
        <v>0</v>
      </c>
      <c r="J50" s="52">
        <f t="shared" si="13"/>
        <v>17049.913898524304</v>
      </c>
      <c r="K50" s="52">
        <f t="shared" si="13"/>
        <v>111696.21201218589</v>
      </c>
      <c r="L50" s="52">
        <f t="shared" si="13"/>
        <v>313088.4531846951</v>
      </c>
      <c r="M50" s="52">
        <f t="shared" si="13"/>
        <v>660660.16469437117</v>
      </c>
      <c r="N50" s="52">
        <f t="shared" si="13"/>
        <v>1207665.1533634458</v>
      </c>
      <c r="O50" s="52">
        <f t="shared" si="13"/>
        <v>1609398.2961289822</v>
      </c>
      <c r="P50" s="52">
        <f t="shared" si="13"/>
        <v>1822656.1708664577</v>
      </c>
      <c r="Q50" s="52">
        <f t="shared" si="13"/>
        <v>1925408.4826539778</v>
      </c>
      <c r="R50" s="52">
        <f t="shared" si="13"/>
        <v>1925972.6168350875</v>
      </c>
      <c r="S50" s="52">
        <f t="shared" si="13"/>
        <v>1925972.6168350545</v>
      </c>
      <c r="T50" s="52">
        <f t="shared" si="13"/>
        <v>1925972.6168350545</v>
      </c>
      <c r="U50" s="52">
        <f t="shared" si="13"/>
        <v>1925972.6168350545</v>
      </c>
      <c r="V50" s="52">
        <f t="shared" si="13"/>
        <v>1925972.6168350545</v>
      </c>
      <c r="W50" s="52">
        <f t="shared" si="13"/>
        <v>1925972.6168350545</v>
      </c>
      <c r="X50" s="52">
        <f t="shared" si="13"/>
        <v>1925972.6168349884</v>
      </c>
      <c r="Y50" s="52">
        <f t="shared" si="13"/>
        <v>1925972.6168350545</v>
      </c>
      <c r="Z50" s="52">
        <f t="shared" si="13"/>
        <v>1925972.6168350545</v>
      </c>
      <c r="AA50" s="52">
        <f t="shared" si="13"/>
        <v>1925972.6168350545</v>
      </c>
      <c r="AB50" s="52">
        <f t="shared" si="13"/>
        <v>1925972.6168350545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8" t="str">
        <f t="shared" si="10"/>
        <v>Option 3</v>
      </c>
      <c r="B51" s="138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19035165.655608807</v>
      </c>
      <c r="G51" s="229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8" t="str">
        <f t="shared" si="10"/>
        <v>Option 3</v>
      </c>
      <c r="B52" s="138"/>
      <c r="C52" s="8" t="s">
        <v>189</v>
      </c>
      <c r="D52" s="38" t="str">
        <f t="shared" si="11"/>
        <v>Option 3PV of costs</v>
      </c>
      <c r="E52" s="1"/>
      <c r="F52" s="108">
        <f>SUM(F46:F47)</f>
        <v>-7789752.3648592457</v>
      </c>
      <c r="G52" s="229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8" t="str">
        <f t="shared" si="10"/>
        <v>Option 3</v>
      </c>
      <c r="B53" s="138"/>
      <c r="C53" s="8" t="s">
        <v>190</v>
      </c>
      <c r="D53" s="38" t="str">
        <f t="shared" si="11"/>
        <v>Option 3PV of benefits</v>
      </c>
      <c r="E53" s="1"/>
      <c r="F53" s="108">
        <f>SUM(F48:F49)</f>
        <v>26824918.020468052</v>
      </c>
      <c r="G53" s="229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8"/>
      <c r="B54" s="138"/>
      <c r="C54" s="1"/>
      <c r="D54" s="38"/>
      <c r="E54" s="1"/>
      <c r="F54" s="108"/>
      <c r="G54" s="232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5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5" customFormat="1" x14ac:dyDescent="0.2">
      <c r="A56" s="273" t="str">
        <f>A57</f>
        <v>Option 4</v>
      </c>
      <c r="B56" s="273"/>
      <c r="C56" s="273" t="s">
        <v>124</v>
      </c>
      <c r="D56" s="274" t="str">
        <f>A56&amp;C56</f>
        <v>Option 4Energy at risk value</v>
      </c>
      <c r="F56" s="97">
        <f>SUMPRODUCT($H56:$AG56, $H$5:$AG$5)</f>
        <v>3695323066.038187</v>
      </c>
      <c r="G56" s="276">
        <f>output_dollars</f>
        <v>46203</v>
      </c>
      <c r="H56" s="277"/>
      <c r="I56" s="31">
        <f>Option4!I$28*conv_2026</f>
        <v>40538321.344686106</v>
      </c>
      <c r="J56" s="31">
        <f>Option4!J$28*conv_2026</f>
        <v>48465790.300933361</v>
      </c>
      <c r="K56" s="31">
        <f>Option4!K$28*conv_2026</f>
        <v>58295425.100554332</v>
      </c>
      <c r="L56" s="31">
        <f>Option4!L$28*conv_2026</f>
        <v>70482680.702138007</v>
      </c>
      <c r="M56" s="31">
        <f>Option4!M$28*conv_2026</f>
        <v>85626014.533821002</v>
      </c>
      <c r="N56" s="31">
        <f>Option4!N$28*conv_2026</f>
        <v>108212062.25493541</v>
      </c>
      <c r="O56" s="31">
        <f>Option4!O$28*conv_2026</f>
        <v>132285837.06908129</v>
      </c>
      <c r="P56" s="31">
        <f>Option4!P$28*conv_2026</f>
        <v>156658657.81850693</v>
      </c>
      <c r="Q56" s="31">
        <f>Option4!Q$28*conv_2026</f>
        <v>181255961.53828555</v>
      </c>
      <c r="R56" s="31">
        <f>Option4!R$28*conv_2026</f>
        <v>206074830.21514967</v>
      </c>
      <c r="S56" s="31">
        <f>Option4!S$28*conv_2026</f>
        <v>236596009.57383198</v>
      </c>
      <c r="T56" s="31">
        <f>Option4!T$28*conv_2026</f>
        <v>267616133.30385429</v>
      </c>
      <c r="U56" s="31">
        <f>Option4!U$28*conv_2026</f>
        <v>296537298.67863059</v>
      </c>
      <c r="V56" s="31">
        <f>Option4!V$28*conv_2026</f>
        <v>317221134.4316777</v>
      </c>
      <c r="W56" s="31">
        <f>Option4!W$28*conv_2026</f>
        <v>333198535.09900004</v>
      </c>
      <c r="X56" s="31">
        <f>Option4!X$28*conv_2026</f>
        <v>347346194.25658619</v>
      </c>
      <c r="Y56" s="31">
        <f>Option4!Y$28*conv_2026</f>
        <v>355807270.56147116</v>
      </c>
      <c r="Z56" s="31">
        <f>Option4!Z$28*conv_2026</f>
        <v>362994332.84303838</v>
      </c>
      <c r="AA56" s="31">
        <f>Option4!AA$28*conv_2026</f>
        <v>369030023.24278998</v>
      </c>
      <c r="AB56" s="31">
        <f>Option4!AB$28*conv_2026</f>
        <v>374445855.89406234</v>
      </c>
      <c r="AC56" s="31">
        <f>Option4!AC$28*conv_2026</f>
        <v>379442767.92775816</v>
      </c>
      <c r="AD56" s="31">
        <f>Option4!AD$28*conv_2026</f>
        <v>382991417.12051582</v>
      </c>
      <c r="AE56" s="31">
        <f>Option4!AE$28*conv_2026</f>
        <v>385747387.60698813</v>
      </c>
      <c r="AF56" s="31">
        <f>Option4!AF$28*conv_2026</f>
        <v>388148052.07410592</v>
      </c>
      <c r="AG56" s="31">
        <f>Option4!AG$28*conv_2026</f>
        <v>390435539.7797628</v>
      </c>
    </row>
    <row r="57" spans="1:33" s="2" customFormat="1" x14ac:dyDescent="0.2">
      <c r="A57" s="138" t="str">
        <f>Data!B12</f>
        <v>Option 4</v>
      </c>
      <c r="B57" s="138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-9900051.6846892666</v>
      </c>
      <c r="G57" s="229">
        <f>output_dollars</f>
        <v>46203</v>
      </c>
      <c r="H57" s="31"/>
      <c r="I57" s="31">
        <f>SUM(Option4!I$67:I$69)*conv_2026*I$7</f>
        <v>-1112912.6464165968</v>
      </c>
      <c r="J57" s="31">
        <f>SUM(Option4!J$67:J$69)*conv_2026*J$7</f>
        <v>-2439070.722708961</v>
      </c>
      <c r="K57" s="31">
        <f>SUM(Option4!K$67:K$69)*conv_2026*K$7</f>
        <v>-2439070.722708961</v>
      </c>
      <c r="L57" s="31">
        <f>SUM(Option4!L$67:L$69)*conv_2026*L$7</f>
        <v>-2439070.722708961</v>
      </c>
      <c r="M57" s="31">
        <f>SUM(Option4!M$67:M$69)*conv_2026*M$7</f>
        <v>-2439070.722708961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8" t="str">
        <f t="shared" ref="A58:A67" si="15">A57</f>
        <v>Option 4</v>
      </c>
      <c r="B58" s="138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3297588128.9727893</v>
      </c>
      <c r="G58" s="229">
        <f>output_dollars</f>
        <v>46203</v>
      </c>
      <c r="H58" s="31"/>
      <c r="I58" s="31">
        <f>Option4!I$36*conv_2026*I$7</f>
        <v>47695247.726190068</v>
      </c>
      <c r="J58" s="31">
        <f>Option4!J$36*conv_2026*J$7</f>
        <v>57023573.669334926</v>
      </c>
      <c r="K58" s="31">
        <f>Option4!K$36*conv_2026*K$7</f>
        <v>68590251.364186332</v>
      </c>
      <c r="L58" s="31">
        <f>Option4!L$36*conv_2026*L$7</f>
        <v>82931307.438141376</v>
      </c>
      <c r="M58" s="31">
        <f>Option4!M$36*conv_2026*M$7</f>
        <v>100751028.92009021</v>
      </c>
      <c r="N58" s="31">
        <f>Option4!N$36*conv_2026*N$7</f>
        <v>127151701.30360326</v>
      </c>
      <c r="O58" s="31">
        <f>Option4!O$36*conv_2026*O$7</f>
        <v>155438934.97276253</v>
      </c>
      <c r="P58" s="31">
        <f>Option4!P$36*conv_2026*P$7</f>
        <v>184075933.55285975</v>
      </c>
      <c r="Q58" s="31">
        <f>Option4!Q$36*conv_2026*Q$7</f>
        <v>212975762.47557521</v>
      </c>
      <c r="R58" s="31">
        <f>Option4!R$36*conv_2026*R$7</f>
        <v>242134631.63487917</v>
      </c>
      <c r="S58" s="31">
        <f>Option4!S$36*conv_2026*S$7</f>
        <v>277992846.99655265</v>
      </c>
      <c r="T58" s="31">
        <f>Option4!T$36*conv_2026*T$7</f>
        <v>314437261.73507041</v>
      </c>
      <c r="U58" s="31">
        <f>Option4!U$36*conv_2026*U$7</f>
        <v>348415706.0443446</v>
      </c>
      <c r="V58" s="31">
        <f>Option4!V$36*conv_2026*V$7</f>
        <v>372716457.16081411</v>
      </c>
      <c r="W58" s="31">
        <f>Option4!W$36*conv_2026*W$7</f>
        <v>391487821.00161707</v>
      </c>
      <c r="X58" s="31">
        <f>Option4!X$36*conv_2026*X$7</f>
        <v>408109509.37038785</v>
      </c>
      <c r="Y58" s="31">
        <f>Option4!Y$36*conv_2026*Y$7</f>
        <v>418050276.8259508</v>
      </c>
      <c r="Z58" s="31">
        <f>Option4!Z$36*conv_2026*Z$7</f>
        <v>426494272.97189963</v>
      </c>
      <c r="AA58" s="31">
        <f>Option4!AA$36*conv_2026*AA$7</f>
        <v>433585586.48215449</v>
      </c>
      <c r="AB58" s="31">
        <f>Option4!AB$36*conv_2026*AB$7</f>
        <v>439948673.28830934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8" t="str">
        <f t="shared" si="15"/>
        <v>Option 4</v>
      </c>
      <c r="B59" s="138"/>
      <c r="C59" s="75"/>
      <c r="D59" s="38" t="str">
        <f t="shared" si="14"/>
        <v>Option 4</v>
      </c>
      <c r="E59" s="1"/>
      <c r="F59"/>
      <c r="G59" s="2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8" t="str">
        <f t="shared" si="15"/>
        <v>Option 4</v>
      </c>
      <c r="B60" s="138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-7489675.8083867542</v>
      </c>
      <c r="G60" s="229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-1151864.5890411779</v>
      </c>
      <c r="K60" s="31">
        <f>Option4!K$82*conv_2026*K$7</f>
        <v>-1205028.437972412</v>
      </c>
      <c r="L60" s="31">
        <f>Option4!L$82*conv_2026*L$7</f>
        <v>-1258192.2869036461</v>
      </c>
      <c r="M60" s="31">
        <f>Option4!M$82*conv_2026*M$7</f>
        <v>-1311356.1358348802</v>
      </c>
      <c r="N60" s="31">
        <f>Option4!N$82*conv_2026*N$7</f>
        <v>-1364519.9847661143</v>
      </c>
      <c r="O60" s="31">
        <f>Option4!O$82*conv_2026*O$7</f>
        <v>-212655.39572493624</v>
      </c>
      <c r="P60" s="31">
        <f>Option4!P$82*conv_2026*P$7</f>
        <v>-212655.39572493624</v>
      </c>
      <c r="Q60" s="31">
        <f>Option4!Q$82*conv_2026*Q$7</f>
        <v>-212655.39572493624</v>
      </c>
      <c r="R60" s="31">
        <f>Option4!R$82*conv_2026*R$7</f>
        <v>-212655.39572493624</v>
      </c>
      <c r="S60" s="31">
        <f>Option4!S$82*conv_2026*S$7</f>
        <v>-212655.39572493624</v>
      </c>
      <c r="T60" s="31">
        <f>Option4!T$82*conv_2026*T$7</f>
        <v>-212655.39572493624</v>
      </c>
      <c r="U60" s="31">
        <f>Option4!U$82*conv_2026*U$7</f>
        <v>-212655.39572493624</v>
      </c>
      <c r="V60" s="31">
        <f>Option4!V$82*conv_2026*V$7</f>
        <v>-212655.39572493624</v>
      </c>
      <c r="W60" s="31">
        <f>Option4!W$82*conv_2026*W$7</f>
        <v>-212655.39572493624</v>
      </c>
      <c r="X60" s="31">
        <f>Option4!X$82*conv_2026*X$7</f>
        <v>-212655.39572493624</v>
      </c>
      <c r="Y60" s="31">
        <f>Option4!Y$82*conv_2026*Y$7</f>
        <v>-212655.39572493624</v>
      </c>
      <c r="Z60" s="31">
        <f>Option4!Z$82*conv_2026*Z$7</f>
        <v>-212655.39572493624</v>
      </c>
      <c r="AA60" s="31">
        <f>Option4!AA$82*conv_2026*AA$7</f>
        <v>-212655.39572493624</v>
      </c>
      <c r="AB60" s="31">
        <f>Option4!AB$82*conv_2026*AB$7</f>
        <v>-212655.39572493624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8" t="str">
        <f t="shared" si="15"/>
        <v>Option 4</v>
      </c>
      <c r="B61" s="138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9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8" t="str">
        <f t="shared" si="15"/>
        <v>Option 4</v>
      </c>
      <c r="B62" s="138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18003398.477080651</v>
      </c>
      <c r="G62" s="229">
        <f t="shared" si="16"/>
        <v>46203</v>
      </c>
      <c r="H62" s="31"/>
      <c r="I62" s="31">
        <f>Option4!I$84*conv_2026*I$7</f>
        <v>1695382.775940174</v>
      </c>
      <c r="J62" s="31">
        <f>Option4!J$84*conv_2026*J$7</f>
        <v>2058758.1354317255</v>
      </c>
      <c r="K62" s="31">
        <f>Option4!K$84*conv_2026*K$7</f>
        <v>2510702.6589463367</v>
      </c>
      <c r="L62" s="31">
        <f>Option4!L$84*conv_2026*L$7</f>
        <v>3074288.0742076971</v>
      </c>
      <c r="M62" s="31">
        <f>Option4!M$84*conv_2026*M$7</f>
        <v>3778845.4728754661</v>
      </c>
      <c r="N62" s="31">
        <f>Option4!N$84*conv_2026*N$7</f>
        <v>439454.34397843597</v>
      </c>
      <c r="O62" s="31">
        <f>Option4!O$84*conv_2026*O$7</f>
        <v>536867.90251303825</v>
      </c>
      <c r="P62" s="31">
        <f>Option4!P$84*conv_2026*P$7</f>
        <v>595325.80551491829</v>
      </c>
      <c r="Q62" s="31">
        <f>Option4!Q$84*conv_2026*Q$7</f>
        <v>631342.58502744534</v>
      </c>
      <c r="R62" s="31">
        <f>Option4!R$84*conv_2026*R$7</f>
        <v>635951.47776340658</v>
      </c>
      <c r="S62" s="31">
        <f>Option4!S$84*conv_2026*S$7</f>
        <v>638886.09089125413</v>
      </c>
      <c r="T62" s="31">
        <f>Option4!T$84*conv_2026*T$7</f>
        <v>642064.83349106321</v>
      </c>
      <c r="U62" s="31">
        <f>Option4!U$84*conv_2026*U$7</f>
        <v>645508.58497099776</v>
      </c>
      <c r="V62" s="31">
        <f>Option4!V$84*conv_2026*V$7</f>
        <v>649240.04098914459</v>
      </c>
      <c r="W62" s="31">
        <f>Option4!W$84*conv_2026*W$7</f>
        <v>653283.87316191709</v>
      </c>
      <c r="X62" s="31">
        <f>Option4!X$84*conv_2026*X$7</f>
        <v>657666.902915032</v>
      </c>
      <c r="Y62" s="31">
        <f>Option4!Y$84*conv_2026*Y$7</f>
        <v>662418.29073625547</v>
      </c>
      <c r="Z62" s="31">
        <f>Option4!Z$84*conv_2026*Z$7</f>
        <v>667569.74220036517</v>
      </c>
      <c r="AA62" s="31">
        <f>Option4!AA$84*conv_2026*AA$7</f>
        <v>673155.73225786223</v>
      </c>
      <c r="AB62" s="31">
        <f>Option4!AB$84*conv_2026*AB$7</f>
        <v>679213.74941595341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8" t="str">
        <f t="shared" si="15"/>
        <v>Option 4</v>
      </c>
      <c r="B63" s="138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9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8" t="str">
        <f t="shared" si="15"/>
        <v>Option 4</v>
      </c>
      <c r="B64" s="138"/>
      <c r="C64" s="125" t="str">
        <f>Option4!C87</f>
        <v>Net benefits</v>
      </c>
      <c r="D64" s="109" t="str">
        <f t="shared" si="14"/>
        <v>Option 4Net benefits</v>
      </c>
      <c r="E64" s="110"/>
      <c r="F64" s="146"/>
      <c r="G64" s="231">
        <f t="shared" si="16"/>
        <v>46203</v>
      </c>
      <c r="H64" s="52"/>
      <c r="I64" s="52">
        <f t="shared" ref="I64:AB64" si="17">SUM(I60:I63)</f>
        <v>1695382.775940174</v>
      </c>
      <c r="J64" s="52">
        <f t="shared" si="17"/>
        <v>906893.54639054765</v>
      </c>
      <c r="K64" s="52">
        <f t="shared" si="17"/>
        <v>1305674.2209739247</v>
      </c>
      <c r="L64" s="52">
        <f t="shared" si="17"/>
        <v>1816095.787304051</v>
      </c>
      <c r="M64" s="52">
        <f t="shared" si="17"/>
        <v>2467489.3370405859</v>
      </c>
      <c r="N64" s="52">
        <f t="shared" si="17"/>
        <v>-925065.64078767831</v>
      </c>
      <c r="O64" s="52">
        <f t="shared" si="17"/>
        <v>324212.50678810198</v>
      </c>
      <c r="P64" s="52">
        <f t="shared" si="17"/>
        <v>382670.40978998202</v>
      </c>
      <c r="Q64" s="52">
        <f t="shared" si="17"/>
        <v>418687.18930250907</v>
      </c>
      <c r="R64" s="52">
        <f t="shared" si="17"/>
        <v>423296.08203847031</v>
      </c>
      <c r="S64" s="52">
        <f t="shared" si="17"/>
        <v>426230.69516631786</v>
      </c>
      <c r="T64" s="52">
        <f t="shared" si="17"/>
        <v>429409.43776612694</v>
      </c>
      <c r="U64" s="52">
        <f t="shared" si="17"/>
        <v>432853.18924606149</v>
      </c>
      <c r="V64" s="52">
        <f t="shared" si="17"/>
        <v>436584.64526420832</v>
      </c>
      <c r="W64" s="52">
        <f t="shared" si="17"/>
        <v>440628.47743698081</v>
      </c>
      <c r="X64" s="52">
        <f t="shared" si="17"/>
        <v>445011.50719009573</v>
      </c>
      <c r="Y64" s="52">
        <f t="shared" si="17"/>
        <v>449762.8950113192</v>
      </c>
      <c r="Z64" s="52">
        <f t="shared" si="17"/>
        <v>454914.3464754289</v>
      </c>
      <c r="AA64" s="52">
        <f t="shared" si="17"/>
        <v>460500.33653292595</v>
      </c>
      <c r="AB64" s="52">
        <f t="shared" si="17"/>
        <v>466558.35369101714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8" t="str">
        <f t="shared" si="15"/>
        <v>Option 4</v>
      </c>
      <c r="B65" s="138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10513722.668693896</v>
      </c>
      <c r="G65" s="229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8" t="str">
        <f t="shared" si="15"/>
        <v>Option 4</v>
      </c>
      <c r="B66" s="138"/>
      <c r="C66" s="8" t="s">
        <v>189</v>
      </c>
      <c r="D66" s="38" t="str">
        <f t="shared" si="14"/>
        <v>Option 4PV of costs</v>
      </c>
      <c r="E66" s="1"/>
      <c r="F66" s="108">
        <f>SUM(F60:F61)</f>
        <v>-7489675.8083867542</v>
      </c>
      <c r="G66" s="229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8" t="str">
        <f t="shared" si="15"/>
        <v>Option 4</v>
      </c>
      <c r="B67" s="138"/>
      <c r="C67" s="8" t="s">
        <v>190</v>
      </c>
      <c r="D67" s="38" t="str">
        <f t="shared" si="14"/>
        <v>Option 4PV of benefits</v>
      </c>
      <c r="E67" s="1"/>
      <c r="F67" s="108">
        <f>SUM(F62:F63)</f>
        <v>18003398.477080651</v>
      </c>
      <c r="G67" s="229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8"/>
      <c r="B68" s="138"/>
      <c r="C68" s="1"/>
      <c r="D68" s="38"/>
      <c r="E68" s="1"/>
      <c r="F68" s="108"/>
      <c r="G68" s="232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5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5" customFormat="1" x14ac:dyDescent="0.2">
      <c r="A70" s="273" t="str">
        <f>A71</f>
        <v>Option 5</v>
      </c>
      <c r="B70" s="273"/>
      <c r="C70" s="273" t="s">
        <v>124</v>
      </c>
      <c r="D70" s="274" t="str">
        <f t="shared" si="18"/>
        <v>Option 5Energy at risk value</v>
      </c>
      <c r="F70" s="97">
        <f>SUMPRODUCT($H70:$AG70, $H$5:$AG$5)</f>
        <v>3690274815.0005016</v>
      </c>
      <c r="G70" s="276">
        <f>output_dollars</f>
        <v>46203</v>
      </c>
      <c r="H70" s="277"/>
      <c r="I70" s="31">
        <f>Option5!I$28*conv_2026</f>
        <v>41482589.341284633</v>
      </c>
      <c r="J70" s="31">
        <f>Option5!J$28*conv_2026</f>
        <v>49532162.052980617</v>
      </c>
      <c r="K70" s="31">
        <f>Option5!K$28*conv_2026</f>
        <v>59506165.611908026</v>
      </c>
      <c r="L70" s="31">
        <f>Option5!L$28*conv_2026</f>
        <v>71850443.477019057</v>
      </c>
      <c r="M70" s="31">
        <f>Option5!M$28*conv_2026</f>
        <v>87161957.278757572</v>
      </c>
      <c r="N70" s="31">
        <f>Option5!N$28*conv_2026</f>
        <v>107543019.52188313</v>
      </c>
      <c r="O70" s="31">
        <f>Option5!O$28*conv_2026</f>
        <v>131466696.908402</v>
      </c>
      <c r="P70" s="31">
        <f>Option5!P$28*conv_2026</f>
        <v>155757477.44047341</v>
      </c>
      <c r="Q70" s="31">
        <f>Option5!Q$28*conv_2026</f>
        <v>180361752.50050047</v>
      </c>
      <c r="R70" s="31">
        <f>Option5!R$28*conv_2026</f>
        <v>205182275.37762308</v>
      </c>
      <c r="S70" s="31">
        <f>Option5!S$28*conv_2026</f>
        <v>235703475.08002087</v>
      </c>
      <c r="T70" s="31">
        <f>Option5!T$28*conv_2026</f>
        <v>266723620.84614545</v>
      </c>
      <c r="U70" s="31">
        <f>Option5!U$28*conv_2026</f>
        <v>295644810.09415394</v>
      </c>
      <c r="V70" s="31">
        <f>Option5!V$28*conv_2026</f>
        <v>316328671.71489686</v>
      </c>
      <c r="W70" s="31">
        <f>Option5!W$28*conv_2026</f>
        <v>332306100.41541046</v>
      </c>
      <c r="X70" s="31">
        <f>Option5!X$28*conv_2026</f>
        <v>346453789.95761859</v>
      </c>
      <c r="Y70" s="31">
        <f>Option5!Y$28*conv_2026</f>
        <v>354914899.20070618</v>
      </c>
      <c r="Z70" s="31">
        <f>Option5!Z$28*conv_2026</f>
        <v>362101997.19385052</v>
      </c>
      <c r="AA70" s="31">
        <f>Option5!AA$28*conv_2026</f>
        <v>368137726.31754547</v>
      </c>
      <c r="AB70" s="31">
        <f>Option5!AB$28*conv_2026</f>
        <v>373553600.96501023</v>
      </c>
      <c r="AC70" s="31">
        <f>Option5!AC$28*conv_2026</f>
        <v>378550558.54976416</v>
      </c>
      <c r="AD70" s="31">
        <f>Option5!AD$28*conv_2026</f>
        <v>382099257.15580285</v>
      </c>
      <c r="AE70" s="31">
        <f>Option5!AE$28*conv_2026</f>
        <v>384855281.25206095</v>
      </c>
      <c r="AF70" s="31">
        <f>Option5!AF$28*conv_2026</f>
        <v>387256003.88905472</v>
      </c>
      <c r="AG70" s="31">
        <f>Option5!AG$28*conv_2026</f>
        <v>389543554.72015661</v>
      </c>
    </row>
    <row r="71" spans="1:33" s="2" customFormat="1" x14ac:dyDescent="0.2">
      <c r="A71" s="138" t="str">
        <f>Data!B13</f>
        <v>Option 5</v>
      </c>
      <c r="B71" s="138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-9892232.9297504798</v>
      </c>
      <c r="G71" s="229">
        <f>output_dollars</f>
        <v>46203</v>
      </c>
      <c r="H71" s="31"/>
      <c r="I71" s="31">
        <f>SUM(Option5!I$67:I$69)*conv_2026*I$7</f>
        <v>-1993307.1833398351</v>
      </c>
      <c r="J71" s="31">
        <f>SUM(Option5!J$67:J$69)*conv_2026*J$7</f>
        <v>-1993307.1833398351</v>
      </c>
      <c r="K71" s="31">
        <f>SUM(Option5!K$67:K$69)*conv_2026*K$7</f>
        <v>-1993307.1833398351</v>
      </c>
      <c r="L71" s="31">
        <f>SUM(Option5!L$67:L$69)*conv_2026*L$7</f>
        <v>-1993307.1833398351</v>
      </c>
      <c r="M71" s="31">
        <f>SUM(Option5!M$67:M$69)*conv_2026*M$7</f>
        <v>-2852774.1924852259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8" t="str">
        <f t="shared" ref="A72:A81" si="19">A71</f>
        <v>Option 5</v>
      </c>
      <c r="B72" s="138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3293527124.2488728</v>
      </c>
      <c r="G72" s="229">
        <f>output_dollars</f>
        <v>46203</v>
      </c>
      <c r="H72" s="31"/>
      <c r="I72" s="31">
        <f>Option5!I$36*conv_2026*I$7</f>
        <v>48833613.144081518</v>
      </c>
      <c r="J72" s="31">
        <f>Option5!J$36*conv_2026*J$7</f>
        <v>58207854.859577142</v>
      </c>
      <c r="K72" s="31">
        <f>Option5!K$36*conv_2026*K$7</f>
        <v>69928417.123763591</v>
      </c>
      <c r="L72" s="31">
        <f>Option5!L$36*conv_2026*L$7</f>
        <v>84434241.108351082</v>
      </c>
      <c r="M72" s="31">
        <f>Option5!M$36*conv_2026*M$7</f>
        <v>102426796.36544812</v>
      </c>
      <c r="N72" s="31">
        <f>Option5!N$36*conv_2026*N$7</f>
        <v>126348818.34329516</v>
      </c>
      <c r="O72" s="31">
        <f>Option5!O$36*conv_2026*O$7</f>
        <v>154455917.33323237</v>
      </c>
      <c r="P72" s="31">
        <f>Option5!P$36*conv_2026*P$7</f>
        <v>182994155.92066118</v>
      </c>
      <c r="Q72" s="31">
        <f>Option5!Q$36*conv_2026*Q$7</f>
        <v>211900884.39993334</v>
      </c>
      <c r="R72" s="31">
        <f>Option5!R$36*conv_2026*R$7</f>
        <v>241061564.34123358</v>
      </c>
      <c r="S72" s="31">
        <f>Option5!S$36*conv_2026*S$7</f>
        <v>276919741.82097536</v>
      </c>
      <c r="T72" s="31">
        <f>Option5!T$36*conv_2026*T$7</f>
        <v>313364115.52617645</v>
      </c>
      <c r="U72" s="31">
        <f>Option5!U$36*conv_2026*U$7</f>
        <v>347342515.38122374</v>
      </c>
      <c r="V72" s="31">
        <f>Option5!V$36*conv_2026*V$7</f>
        <v>371643218.32958537</v>
      </c>
      <c r="W72" s="31">
        <f>Option5!W$36*conv_2026*W$7</f>
        <v>390414529.96992213</v>
      </c>
      <c r="X72" s="31">
        <f>Option5!X$36*conv_2026*X$7</f>
        <v>407036161.7596392</v>
      </c>
      <c r="Y72" s="31">
        <f>Option5!Y$36*conv_2026*Y$7</f>
        <v>416976867.88113832</v>
      </c>
      <c r="Z72" s="31">
        <f>Option5!Z$36*conv_2026*Z$7</f>
        <v>425420797.52873677</v>
      </c>
      <c r="AA72" s="31">
        <f>Option5!AA$36*conv_2026*AA$7</f>
        <v>432512038.93132907</v>
      </c>
      <c r="AB72" s="31">
        <f>Option5!AB$36*conv_2026*AB$7</f>
        <v>438875047.53658265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8" t="str">
        <f t="shared" si="19"/>
        <v>Option 5</v>
      </c>
      <c r="B73" s="138"/>
      <c r="C73" s="75"/>
      <c r="D73" s="38" t="str">
        <f t="shared" si="18"/>
        <v>Option 5</v>
      </c>
      <c r="E73" s="1"/>
      <c r="F73"/>
      <c r="G73" s="23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8" t="str">
        <f t="shared" si="19"/>
        <v>Option 5</v>
      </c>
      <c r="B74" s="138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-5829023.290121411</v>
      </c>
      <c r="G74" s="229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-448992.08864661568</v>
      </c>
      <c r="K74" s="31">
        <f>Option5!K$82*conv_2026*K$7</f>
        <v>-514029.31427950534</v>
      </c>
      <c r="L74" s="31">
        <f>Option5!L$82*conv_2026*L$7</f>
        <v>-579066.53991239506</v>
      </c>
      <c r="M74" s="31">
        <f>Option5!M$82*conv_2026*M$7</f>
        <v>-644103.76554528461</v>
      </c>
      <c r="N74" s="31">
        <f>Option5!N$82*conv_2026*N$7</f>
        <v>-743595.83864502457</v>
      </c>
      <c r="O74" s="31">
        <f>Option5!O$82*conv_2026*O$7</f>
        <v>-359640.97563129879</v>
      </c>
      <c r="P74" s="31">
        <f>Option5!P$82*conv_2026*P$7</f>
        <v>-359640.97563129879</v>
      </c>
      <c r="Q74" s="31">
        <f>Option5!Q$82*conv_2026*Q$7</f>
        <v>-359640.97563129879</v>
      </c>
      <c r="R74" s="31">
        <f>Option5!R$82*conv_2026*R$7</f>
        <v>-359640.97563129879</v>
      </c>
      <c r="S74" s="31">
        <f>Option5!S$82*conv_2026*S$7</f>
        <v>-359640.97563129879</v>
      </c>
      <c r="T74" s="31">
        <f>Option5!T$82*conv_2026*T$7</f>
        <v>-359640.97563129879</v>
      </c>
      <c r="U74" s="31">
        <f>Option5!U$82*conv_2026*U$7</f>
        <v>-359640.97563129879</v>
      </c>
      <c r="V74" s="31">
        <f>Option5!V$82*conv_2026*V$7</f>
        <v>-359640.97563129879</v>
      </c>
      <c r="W74" s="31">
        <f>Option5!W$82*conv_2026*W$7</f>
        <v>-359640.97563129879</v>
      </c>
      <c r="X74" s="31">
        <f>Option5!X$82*conv_2026*X$7</f>
        <v>-359640.97563129879</v>
      </c>
      <c r="Y74" s="31">
        <f>Option5!Y$82*conv_2026*Y$7</f>
        <v>-359640.97563129879</v>
      </c>
      <c r="Z74" s="31">
        <f>Option5!Z$82*conv_2026*Z$7</f>
        <v>-359640.97563129879</v>
      </c>
      <c r="AA74" s="31">
        <f>Option5!AA$82*conv_2026*AA$7</f>
        <v>-359640.97563129879</v>
      </c>
      <c r="AB74" s="31">
        <f>Option5!AB$82*conv_2026*AB$7</f>
        <v>-359640.97563129879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8" t="str">
        <f t="shared" si="19"/>
        <v>Option 5</v>
      </c>
      <c r="B75" s="138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9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8" t="str">
        <f t="shared" si="19"/>
        <v>Option 5</v>
      </c>
      <c r="B76" s="138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22064403.200997062</v>
      </c>
      <c r="G76" s="229">
        <f t="shared" si="20"/>
        <v>46203</v>
      </c>
      <c r="H76" s="31"/>
      <c r="I76" s="31">
        <f>Option5!I$84*conv_2026*I$7</f>
        <v>557017.35804871959</v>
      </c>
      <c r="J76" s="31">
        <f>Option5!J$84*conv_2026*J$7</f>
        <v>874476.94518951129</v>
      </c>
      <c r="K76" s="31">
        <f>Option5!K$84*conv_2026*K$7</f>
        <v>1172536.899369075</v>
      </c>
      <c r="L76" s="31">
        <f>Option5!L$84*conv_2026*L$7</f>
        <v>1571354.4039979961</v>
      </c>
      <c r="M76" s="31">
        <f>Option5!M$84*conv_2026*M$7</f>
        <v>2103078.0275175641</v>
      </c>
      <c r="N76" s="31">
        <f>Option5!N$84*conv_2026*N$7</f>
        <v>1242337.3042865358</v>
      </c>
      <c r="O76" s="31">
        <f>Option5!O$84*conv_2026*O$7</f>
        <v>1519885.5420431991</v>
      </c>
      <c r="P76" s="31">
        <f>Option5!P$84*conv_2026*P$7</f>
        <v>1677103.4377134962</v>
      </c>
      <c r="Q76" s="31">
        <f>Option5!Q$84*conv_2026*Q$7</f>
        <v>1706220.6606693126</v>
      </c>
      <c r="R76" s="31">
        <f>Option5!R$84*conv_2026*R$7</f>
        <v>1709018.77140901</v>
      </c>
      <c r="S76" s="31">
        <f>Option5!S$84*conv_2026*S$7</f>
        <v>1711991.2664685121</v>
      </c>
      <c r="T76" s="31">
        <f>Option5!T$84*conv_2026*T$7</f>
        <v>1715211.0423849623</v>
      </c>
      <c r="U76" s="31">
        <f>Option5!U$84*conv_2026*U$7</f>
        <v>1718699.2480918306</v>
      </c>
      <c r="V76" s="31">
        <f>Option5!V$84*conv_2026*V$7</f>
        <v>1722478.8722179017</v>
      </c>
      <c r="W76" s="31">
        <f>Option5!W$84*conv_2026*W$7</f>
        <v>1726574.9048568988</v>
      </c>
      <c r="X76" s="31">
        <f>Option5!X$84*conv_2026*X$7</f>
        <v>1731014.5136636596</v>
      </c>
      <c r="Y76" s="31">
        <f>Option5!Y$84*conv_2026*Y$7</f>
        <v>1735827.2355487319</v>
      </c>
      <c r="Z76" s="31">
        <f>Option5!Z$84*conv_2026*Z$7</f>
        <v>1741045.1853632266</v>
      </c>
      <c r="AA76" s="31">
        <f>Option5!AA$84*conv_2026*AA$7</f>
        <v>1746703.283083241</v>
      </c>
      <c r="AB76" s="31">
        <f>Option5!AB$84*conv_2026*AB$7</f>
        <v>1752839.5011426716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8" t="str">
        <f t="shared" si="19"/>
        <v>Option 5</v>
      </c>
      <c r="B77" s="138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9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8" t="str">
        <f t="shared" si="19"/>
        <v>Option 5</v>
      </c>
      <c r="B78" s="138"/>
      <c r="C78" s="125" t="str">
        <f>Option5!C87</f>
        <v>Net benefits</v>
      </c>
      <c r="D78" s="109" t="str">
        <f t="shared" si="18"/>
        <v>Option 5Net benefits</v>
      </c>
      <c r="E78" s="110"/>
      <c r="F78" s="146"/>
      <c r="G78" s="231">
        <f t="shared" si="20"/>
        <v>46203</v>
      </c>
      <c r="H78" s="52"/>
      <c r="I78" s="52">
        <f t="shared" ref="I78:AB78" si="21">SUM(I74:I77)</f>
        <v>557017.35804871959</v>
      </c>
      <c r="J78" s="52">
        <f t="shared" si="21"/>
        <v>425484.85654289561</v>
      </c>
      <c r="K78" s="52">
        <f t="shared" si="21"/>
        <v>658507.58508956968</v>
      </c>
      <c r="L78" s="52">
        <f t="shared" si="21"/>
        <v>992287.86408560106</v>
      </c>
      <c r="M78" s="52">
        <f t="shared" si="21"/>
        <v>1458974.2619722795</v>
      </c>
      <c r="N78" s="52">
        <f t="shared" si="21"/>
        <v>498741.46564151125</v>
      </c>
      <c r="O78" s="52">
        <f t="shared" si="21"/>
        <v>1160244.5664119003</v>
      </c>
      <c r="P78" s="52">
        <f t="shared" si="21"/>
        <v>1317462.4620821974</v>
      </c>
      <c r="Q78" s="52">
        <f t="shared" si="21"/>
        <v>1346579.6850380138</v>
      </c>
      <c r="R78" s="52">
        <f t="shared" si="21"/>
        <v>1349377.7957777113</v>
      </c>
      <c r="S78" s="52">
        <f t="shared" si="21"/>
        <v>1352350.2908372134</v>
      </c>
      <c r="T78" s="52">
        <f t="shared" si="21"/>
        <v>1355570.0667536636</v>
      </c>
      <c r="U78" s="52">
        <f t="shared" si="21"/>
        <v>1359058.2724605319</v>
      </c>
      <c r="V78" s="52">
        <f t="shared" si="21"/>
        <v>1362837.896586603</v>
      </c>
      <c r="W78" s="52">
        <f t="shared" si="21"/>
        <v>1366933.9292256001</v>
      </c>
      <c r="X78" s="52">
        <f t="shared" si="21"/>
        <v>1371373.5380323608</v>
      </c>
      <c r="Y78" s="52">
        <f t="shared" si="21"/>
        <v>1376186.2599174331</v>
      </c>
      <c r="Z78" s="52">
        <f t="shared" si="21"/>
        <v>1381404.2097319278</v>
      </c>
      <c r="AA78" s="52">
        <f t="shared" si="21"/>
        <v>1387062.3074519422</v>
      </c>
      <c r="AB78" s="52">
        <f t="shared" si="21"/>
        <v>1393198.5255113728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8" t="str">
        <f t="shared" si="19"/>
        <v>Option 5</v>
      </c>
      <c r="B79" s="138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16235379.910875648</v>
      </c>
      <c r="G79" s="229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8" t="str">
        <f t="shared" si="19"/>
        <v>Option 5</v>
      </c>
      <c r="B80" s="138"/>
      <c r="C80" s="8" t="s">
        <v>189</v>
      </c>
      <c r="D80" s="38" t="str">
        <f t="shared" si="18"/>
        <v>Option 5PV of costs</v>
      </c>
      <c r="E80" s="1"/>
      <c r="F80" s="108">
        <f>SUM(F74:F75)</f>
        <v>-5829023.290121411</v>
      </c>
      <c r="G80" s="229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8" t="str">
        <f t="shared" si="19"/>
        <v>Option 5</v>
      </c>
      <c r="B81" s="138"/>
      <c r="C81" s="8" t="s">
        <v>190</v>
      </c>
      <c r="D81" s="38" t="str">
        <f t="shared" si="18"/>
        <v>Option 5PV of benefits</v>
      </c>
      <c r="E81" s="1"/>
      <c r="F81" s="108">
        <f>SUM(F76:F77)</f>
        <v>22064403.200997062</v>
      </c>
      <c r="G81" s="229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5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3"/>
    </row>
    <row r="84" spans="1:33" ht="12" x14ac:dyDescent="0.2">
      <c r="E84" s="84"/>
      <c r="G84" s="233"/>
    </row>
    <row r="85" spans="1:33" ht="12" x14ac:dyDescent="0.2">
      <c r="E85" s="84"/>
      <c r="G85" s="233"/>
    </row>
    <row r="86" spans="1:33" ht="12" x14ac:dyDescent="0.2">
      <c r="E86" s="84"/>
      <c r="G86" s="233"/>
    </row>
    <row r="87" spans="1:33" ht="12" x14ac:dyDescent="0.2">
      <c r="E87" s="10"/>
      <c r="G87" s="233"/>
    </row>
    <row r="88" spans="1:33" ht="15" x14ac:dyDescent="0.25">
      <c r="A88" s="206" t="s">
        <v>202</v>
      </c>
      <c r="B88" s="54"/>
      <c r="C88" s="19"/>
      <c r="D88" s="19"/>
      <c r="E88" s="83"/>
      <c r="F88" s="19"/>
      <c r="G88" s="227"/>
      <c r="H88" s="227"/>
      <c r="I88" s="203" t="str">
        <f>"FY"&amp;RIGHT(I$9,2)</f>
        <v>FY27</v>
      </c>
      <c r="J88" s="203" t="str">
        <f t="shared" ref="J88:AG88" si="22">"FY"&amp;RIGHT(J$9,2)</f>
        <v>FY28</v>
      </c>
      <c r="K88" s="203" t="str">
        <f t="shared" si="22"/>
        <v>FY29</v>
      </c>
      <c r="L88" s="203" t="str">
        <f t="shared" si="22"/>
        <v>FY30</v>
      </c>
      <c r="M88" s="203" t="str">
        <f t="shared" si="22"/>
        <v>FY31</v>
      </c>
      <c r="N88" s="203" t="str">
        <f t="shared" si="22"/>
        <v>FY32</v>
      </c>
      <c r="O88" s="203" t="str">
        <f t="shared" si="22"/>
        <v>FY33</v>
      </c>
      <c r="P88" s="203" t="str">
        <f t="shared" si="22"/>
        <v>FY34</v>
      </c>
      <c r="Q88" s="203" t="str">
        <f t="shared" si="22"/>
        <v>FY35</v>
      </c>
      <c r="R88" s="203" t="str">
        <f t="shared" si="22"/>
        <v>FY36</v>
      </c>
      <c r="S88" s="203" t="str">
        <f t="shared" si="22"/>
        <v>FY37</v>
      </c>
      <c r="T88" s="203" t="str">
        <f t="shared" si="22"/>
        <v>FY38</v>
      </c>
      <c r="U88" s="203" t="str">
        <f t="shared" si="22"/>
        <v>FY39</v>
      </c>
      <c r="V88" s="203" t="str">
        <f t="shared" si="22"/>
        <v>FY40</v>
      </c>
      <c r="W88" s="203" t="str">
        <f t="shared" si="22"/>
        <v>FY41</v>
      </c>
      <c r="X88" s="203" t="str">
        <f t="shared" si="22"/>
        <v>FY42</v>
      </c>
      <c r="Y88" s="203" t="str">
        <f t="shared" si="22"/>
        <v>FY43</v>
      </c>
      <c r="Z88" s="203" t="str">
        <f t="shared" si="22"/>
        <v>FY44</v>
      </c>
      <c r="AA88" s="203" t="str">
        <f t="shared" si="22"/>
        <v>FY45</v>
      </c>
      <c r="AB88" s="203" t="str">
        <f t="shared" si="22"/>
        <v>FY46</v>
      </c>
      <c r="AC88" s="203" t="str">
        <f t="shared" si="22"/>
        <v>FY47</v>
      </c>
      <c r="AD88" s="203" t="str">
        <f t="shared" si="22"/>
        <v>FY48</v>
      </c>
      <c r="AE88" s="203" t="str">
        <f t="shared" si="22"/>
        <v>FY49</v>
      </c>
      <c r="AF88" s="203" t="str">
        <f t="shared" si="22"/>
        <v>FY50</v>
      </c>
      <c r="AG88" s="203" t="str">
        <f t="shared" si="22"/>
        <v>FY51</v>
      </c>
    </row>
    <row r="89" spans="1:33" ht="12" x14ac:dyDescent="0.2">
      <c r="E89" s="84"/>
      <c r="G89" s="233"/>
    </row>
    <row r="90" spans="1:33" ht="12" x14ac:dyDescent="0.2">
      <c r="E90" s="84"/>
    </row>
    <row r="91" spans="1:33" x14ac:dyDescent="0.2">
      <c r="A91" s="202" t="str">
        <f>Summary!$C$26</f>
        <v>Option 3</v>
      </c>
      <c r="B91" s="142"/>
      <c r="C91" s="200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3 annualised capex</v>
      </c>
      <c r="I91" s="302" cm="1">
        <f t="array" ref="I91">MAX($D91*INDEX(I$15:W$81, MATCH($A91&amp;$C91, $D$15:$D$81,0),))/mill_conv</f>
        <v>0.66923568403133471</v>
      </c>
      <c r="J91" s="302" cm="1">
        <f t="array" ref="J91">MAX($D91*INDEX(J$15:X$81, MATCH($A91&amp;$C91, $D$15:$D$81,0),))/mill_conv</f>
        <v>0.66923568403133471</v>
      </c>
      <c r="K91" s="302" cm="1">
        <f t="array" ref="K91">MAX($D91*INDEX(K$15:Y$81, MATCH($A91&amp;$C91, $D$15:$D$81,0),))/mill_conv</f>
        <v>0.66923568403133471</v>
      </c>
      <c r="L91" s="302" cm="1">
        <f t="array" ref="L91">MAX($D91*INDEX(L$15:Z$81, MATCH($A91&amp;$C91, $D$15:$D$81,0),))/mill_conv</f>
        <v>0.66923568403133471</v>
      </c>
      <c r="M91" s="302" cm="1">
        <f t="array" ref="M91">MAX($D91*INDEX(M$15:AA$81, MATCH($A91&amp;$C91, $D$15:$D$81,0),))/mill_conv</f>
        <v>0.66923568403133471</v>
      </c>
      <c r="N91" s="302" cm="1">
        <f t="array" ref="N91">MAX($D91*INDEX(N$15:AB$81, MATCH($A91&amp;$C91, $D$15:$D$81,0),))/mill_conv</f>
        <v>0.66923568403133471</v>
      </c>
      <c r="O91" s="302" cm="1">
        <f t="array" ref="O91">MAX($D91*INDEX(O$15:AC$81, MATCH($A91&amp;$C91, $D$15:$D$81,0),))/mill_conv</f>
        <v>0.66923568403133471</v>
      </c>
      <c r="P91" s="302" cm="1">
        <f t="array" ref="P91">MAX($D91*INDEX(P$15:AD$81, MATCH($A91&amp;$C91, $D$15:$D$81,0),))/mill_conv</f>
        <v>0.66923568403133471</v>
      </c>
      <c r="Q91" s="302" cm="1">
        <f t="array" ref="Q91">MAX($D91*INDEX(Q$15:AE$81, MATCH($A91&amp;$C91, $D$15:$D$81,0),))/mill_conv</f>
        <v>0.66923568403133471</v>
      </c>
      <c r="R91" s="302" cm="1">
        <f t="array" ref="R91">MAX($D91*INDEX(R$15:AF$81, MATCH($A91&amp;$C91, $D$15:$D$81,0),))/mill_conv</f>
        <v>0.66923568403133471</v>
      </c>
      <c r="S91" s="302" cm="1">
        <f t="array" ref="S91">MAX($D91*INDEX(S$15:AG$81, MATCH($A91&amp;$C91, $D$15:$D$81,0),))/mill_conv</f>
        <v>0.66923568403133471</v>
      </c>
      <c r="T91" s="302" cm="1">
        <f t="array" ref="T91">MAX($D91*INDEX(T$15:AH$81, MATCH($A91&amp;$C91, $D$15:$D$81,0),))/mill_conv</f>
        <v>0.66923568403133471</v>
      </c>
      <c r="U91" s="302" cm="1">
        <f t="array" ref="U91">MAX($D91*INDEX(U$15:AI$81, MATCH($A91&amp;$C91, $D$15:$D$81,0),))/mill_conv</f>
        <v>0.66923568403133471</v>
      </c>
      <c r="V91" s="302" cm="1">
        <f t="array" ref="V91">MAX($D91*INDEX(V$15:AJ$81, MATCH($A91&amp;$C91, $D$15:$D$81,0),))/mill_conv</f>
        <v>0.66923568403133471</v>
      </c>
      <c r="W91" s="302" cm="1">
        <f t="array" ref="W91">MAX($D91*INDEX(W$15:AK$81, MATCH($A91&amp;$C91, $D$15:$D$81,0),))/mill_conv</f>
        <v>0.66923568403133471</v>
      </c>
      <c r="X91" s="302" cm="1">
        <f t="array" ref="X91">MAX($D91*INDEX(X$15:AL$81, MATCH($A91&amp;$C91, $D$15:$D$81,0),))/mill_conv</f>
        <v>0.66923568403133471</v>
      </c>
      <c r="Y91" s="302" cm="1">
        <f t="array" ref="Y91">MAX($D91*INDEX(Y$15:AM$81, MATCH($A91&amp;$C91, $D$15:$D$81,0),))/mill_conv</f>
        <v>0.66923568403133471</v>
      </c>
      <c r="Z91" s="302" cm="1">
        <f t="array" ref="Z91">MAX($D91*INDEX(Z$15:AN$81, MATCH($A91&amp;$C91, $D$15:$D$81,0),))/mill_conv</f>
        <v>0.66923568403133471</v>
      </c>
      <c r="AA91" s="302" cm="1">
        <f t="array" ref="AA91">MAX($D91*INDEX(AA$15:AO$81, MATCH($A91&amp;$C91, $D$15:$D$81,0),))/mill_conv</f>
        <v>0.66923568403133471</v>
      </c>
      <c r="AB91" s="302" cm="1">
        <f t="array" ref="AB91">MAX($D91*INDEX(AB$15:AP$81, MATCH($A91&amp;$C91, $D$15:$D$81,0),))/mill_conv</f>
        <v>0.66923568403133471</v>
      </c>
      <c r="AC91" s="302" cm="1">
        <f t="array" ref="AC91">MAX($D91*INDEX(AC$15:AQ$81, MATCH($A91&amp;$C91, $D$15:$D$81,0),))/mill_conv</f>
        <v>0</v>
      </c>
      <c r="AD91" s="302" cm="1">
        <f t="array" ref="AD91">MAX($D91*INDEX(AD$15:AR$81, MATCH($A91&amp;$C91, $D$15:$D$81,0),))/mill_conv</f>
        <v>0</v>
      </c>
      <c r="AE91" s="302" cm="1">
        <f t="array" ref="AE91">MAX($D91*INDEX(AE$15:AS$81, MATCH($A91&amp;$C91, $D$15:$D$81,0),))/mill_conv</f>
        <v>0</v>
      </c>
      <c r="AF91" s="302" cm="1">
        <f t="array" ref="AF91">MAX($D91*INDEX(AF$15:AT$81, MATCH($A91&amp;$C91, $D$15:$D$81,0),))/mill_conv</f>
        <v>0</v>
      </c>
      <c r="AG91" s="302" cm="1">
        <f t="array" ref="AG91">MAX($D91*INDEX(AG$15:AU$81, MATCH($A91&amp;$C91, $D$15:$D$81,0),))/mill_conv</f>
        <v>0</v>
      </c>
    </row>
    <row r="92" spans="1:33" x14ac:dyDescent="0.2">
      <c r="A92" s="201" t="str">
        <f>A91</f>
        <v>Option 3</v>
      </c>
      <c r="B92" s="142"/>
      <c r="C92" s="201" t="s">
        <v>140</v>
      </c>
      <c r="D92" s="118">
        <f>INDEX(Data!$C$30:$C$36, MATCH(C92, Data!$B$30:$B$36,0))</f>
        <v>1</v>
      </c>
      <c r="E92" s="84"/>
      <c r="H92" s="119" t="str">
        <f>A92&amp;" risk mitigated"</f>
        <v>Option 3 risk mitigated</v>
      </c>
      <c r="I92" s="302">
        <f t="shared" ref="I92:R92" si="23">$D92*INDEX(I$15:I$81, MATCH($A92&amp;$C92, $D$15:$D$81,0))/mill_conv</f>
        <v>0</v>
      </c>
      <c r="J92" s="302">
        <f t="shared" si="23"/>
        <v>0.15089705070479126</v>
      </c>
      <c r="K92" s="302">
        <f t="shared" si="23"/>
        <v>0.37939048562471983</v>
      </c>
      <c r="L92" s="302">
        <f t="shared" si="23"/>
        <v>0.71462986360349601</v>
      </c>
      <c r="M92" s="302">
        <f t="shared" si="23"/>
        <v>1.196048711919439</v>
      </c>
      <c r="N92" s="302">
        <f t="shared" si="23"/>
        <v>1.8769008373947804</v>
      </c>
      <c r="O92" s="302">
        <f t="shared" si="23"/>
        <v>2.278633980160317</v>
      </c>
      <c r="P92" s="302">
        <f t="shared" si="23"/>
        <v>2.4918918548977924</v>
      </c>
      <c r="Q92" s="302">
        <f t="shared" si="23"/>
        <v>2.5946441666853124</v>
      </c>
      <c r="R92" s="302">
        <f t="shared" si="23"/>
        <v>2.5952083008664224</v>
      </c>
      <c r="S92" s="302">
        <f t="shared" ref="S92:AG92" si="24">$D92*INDEX(S$15:S$81, MATCH($A92&amp;$C92, $D$15:$D$81,0))/mill_conv</f>
        <v>2.5952083008663891</v>
      </c>
      <c r="T92" s="302">
        <f t="shared" si="24"/>
        <v>2.5952083008663891</v>
      </c>
      <c r="U92" s="302">
        <f t="shared" si="24"/>
        <v>2.5952083008663891</v>
      </c>
      <c r="V92" s="302">
        <f t="shared" si="24"/>
        <v>2.5952083008663891</v>
      </c>
      <c r="W92" s="302">
        <f t="shared" si="24"/>
        <v>2.5952083008663891</v>
      </c>
      <c r="X92" s="302">
        <f t="shared" si="24"/>
        <v>2.5952083008663229</v>
      </c>
      <c r="Y92" s="302">
        <f t="shared" si="24"/>
        <v>2.5952083008663891</v>
      </c>
      <c r="Z92" s="302">
        <f t="shared" si="24"/>
        <v>2.5952083008663891</v>
      </c>
      <c r="AA92" s="302">
        <f t="shared" si="24"/>
        <v>2.5952083008663891</v>
      </c>
      <c r="AB92" s="302">
        <f t="shared" si="24"/>
        <v>2.5952083008663891</v>
      </c>
      <c r="AC92" s="302">
        <f t="shared" si="24"/>
        <v>0</v>
      </c>
      <c r="AD92" s="302">
        <f t="shared" si="24"/>
        <v>0</v>
      </c>
      <c r="AE92" s="302">
        <f t="shared" si="24"/>
        <v>0</v>
      </c>
      <c r="AF92" s="302">
        <f t="shared" si="24"/>
        <v>0</v>
      </c>
      <c r="AG92" s="302">
        <f t="shared" si="24"/>
        <v>0</v>
      </c>
    </row>
    <row r="93" spans="1:33" ht="12" x14ac:dyDescent="0.2">
      <c r="E93" s="84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9" t="str">
        <f>I88</f>
        <v>FY27</v>
      </c>
      <c r="J97" s="299" t="str">
        <f t="shared" ref="J97:AG97" si="25">J88</f>
        <v>FY28</v>
      </c>
      <c r="K97" s="299" t="str">
        <f t="shared" si="25"/>
        <v>FY29</v>
      </c>
      <c r="L97" s="299" t="str">
        <f t="shared" si="25"/>
        <v>FY30</v>
      </c>
      <c r="M97" s="299" t="str">
        <f t="shared" si="25"/>
        <v>FY31</v>
      </c>
      <c r="N97" s="299" t="str">
        <f t="shared" si="25"/>
        <v>FY32</v>
      </c>
      <c r="O97" s="299" t="str">
        <f t="shared" si="25"/>
        <v>FY33</v>
      </c>
      <c r="P97" s="299" t="str">
        <f t="shared" si="25"/>
        <v>FY34</v>
      </c>
      <c r="Q97" s="299" t="str">
        <f t="shared" si="25"/>
        <v>FY35</v>
      </c>
      <c r="R97" s="299" t="str">
        <f t="shared" si="25"/>
        <v>FY36</v>
      </c>
      <c r="S97" s="299" t="str">
        <f t="shared" si="25"/>
        <v>FY37</v>
      </c>
      <c r="T97" s="299" t="str">
        <f t="shared" si="25"/>
        <v>FY38</v>
      </c>
      <c r="U97" s="299" t="str">
        <f t="shared" si="25"/>
        <v>FY39</v>
      </c>
      <c r="V97" s="299" t="str">
        <f t="shared" si="25"/>
        <v>FY40</v>
      </c>
      <c r="W97" s="299" t="str">
        <f t="shared" si="25"/>
        <v>FY41</v>
      </c>
      <c r="X97" s="299" t="str">
        <f t="shared" si="25"/>
        <v>FY42</v>
      </c>
      <c r="Y97" s="299" t="str">
        <f t="shared" si="25"/>
        <v>FY43</v>
      </c>
      <c r="Z97" s="299" t="str">
        <f t="shared" si="25"/>
        <v>FY44</v>
      </c>
      <c r="AA97" s="299" t="str">
        <f t="shared" si="25"/>
        <v>FY45</v>
      </c>
      <c r="AB97" s="299" t="str">
        <f t="shared" si="25"/>
        <v>FY46</v>
      </c>
      <c r="AC97" s="299" t="str">
        <f t="shared" si="25"/>
        <v>FY47</v>
      </c>
      <c r="AD97" s="299" t="str">
        <f t="shared" si="25"/>
        <v>FY48</v>
      </c>
      <c r="AE97" s="299" t="str">
        <f t="shared" si="25"/>
        <v>FY49</v>
      </c>
      <c r="AF97" s="299" t="str">
        <f t="shared" si="25"/>
        <v>FY50</v>
      </c>
      <c r="AG97" s="299" t="str">
        <f t="shared" si="25"/>
        <v>FY51</v>
      </c>
    </row>
    <row r="98" spans="1:33" x14ac:dyDescent="0.2">
      <c r="A98" s="202" t="s">
        <v>235</v>
      </c>
      <c r="B98" s="142"/>
      <c r="C98" s="200" t="s">
        <v>123</v>
      </c>
      <c r="D98" s="194">
        <f>MAX(H98:AG98)</f>
        <v>7348.3085415882924</v>
      </c>
      <c r="E98" s="298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789.93234825298725</v>
      </c>
      <c r="J98" s="119">
        <f>INDEX('Option1 (base case)'!J$14:J$87, MATCH($C98, 'Option1 (base case)'!$C$14:$C$87,0))</f>
        <v>944.93722044687274</v>
      </c>
      <c r="K98" s="119">
        <f>INDEX('Option1 (base case)'!K$14:K$87, MATCH($C98, 'Option1 (base case)'!$C$14:$C$87,0))</f>
        <v>1137.1578577458827</v>
      </c>
      <c r="L98" s="119">
        <f>INDEX('Option1 (base case)'!L$14:L$87, MATCH($C98, 'Option1 (base case)'!$C$14:$C$87,0))</f>
        <v>1375.5362370406724</v>
      </c>
      <c r="M98" s="119">
        <f>INDEX('Option1 (base case)'!M$14:M$87, MATCH($C98, 'Option1 (base case)'!$C$14:$C$87,0))</f>
        <v>1671.8055287482887</v>
      </c>
      <c r="N98" s="119">
        <f>INDEX('Option1 (base case)'!N$14:N$87, MATCH($C98, 'Option1 (base case)'!$C$14:$C$87,0))</f>
        <v>2040.6376709983399</v>
      </c>
      <c r="O98" s="119">
        <f>INDEX('Option1 (base case)'!O$14:O$87, MATCH($C98, 'Option1 (base case)'!$C$14:$C$87,0))</f>
        <v>2494.609422542143</v>
      </c>
      <c r="P98" s="119">
        <f>INDEX('Option1 (base case)'!P$14:P$87, MATCH($C98, 'Option1 (base case)'!$C$14:$C$87,0))</f>
        <v>2953.5521226744736</v>
      </c>
      <c r="Q98" s="119">
        <f>INDEX('Option1 (base case)'!Q$14:Q$87, MATCH($C98, 'Option1 (base case)'!$C$14:$C$87,0))</f>
        <v>3416.3395038410536</v>
      </c>
      <c r="R98" s="119">
        <f>INDEX('Option1 (base case)'!R$14:R$87, MATCH($C98, 'Option1 (base case)'!$C$14:$C$87,0))</f>
        <v>3882.7675382002981</v>
      </c>
      <c r="S98" s="119">
        <f>INDEX('Option1 (base case)'!S$14:S$87, MATCH($C98, 'Option1 (base case)'!$C$14:$C$87,0))</f>
        <v>4456.3152358638372</v>
      </c>
      <c r="T98" s="119">
        <f>INDEX('Option1 (base case)'!T$14:T$87, MATCH($C98, 'Option1 (base case)'!$C$14:$C$87,0))</f>
        <v>5039.2422569203436</v>
      </c>
      <c r="U98" s="119">
        <f>INDEX('Option1 (base case)'!U$14:U$87, MATCH($C98, 'Option1 (base case)'!$C$14:$C$87,0))</f>
        <v>5582.7338536259967</v>
      </c>
      <c r="V98" s="119">
        <f>INDEX('Option1 (base case)'!V$14:V$87, MATCH($C98, 'Option1 (base case)'!$C$14:$C$87,0))</f>
        <v>5971.449219199857</v>
      </c>
      <c r="W98" s="119">
        <f>INDEX('Option1 (base case)'!W$14:W$87, MATCH($C98, 'Option1 (base case)'!$C$14:$C$87,0))</f>
        <v>6271.7349560235898</v>
      </c>
      <c r="X98" s="119">
        <f>INDEX('Option1 (base case)'!X$14:X$87, MATCH($C98, 'Option1 (base case)'!$C$14:$C$87,0))</f>
        <v>6537.6451395652102</v>
      </c>
      <c r="Y98" s="119">
        <f>INDEX('Option1 (base case)'!Y$14:Y$87, MATCH($C98, 'Option1 (base case)'!$C$14:$C$87,0))</f>
        <v>6696.7094595521748</v>
      </c>
      <c r="Z98" s="119">
        <f>INDEX('Option1 (base case)'!Z$14:Z$87, MATCH($C98, 'Option1 (base case)'!$C$14:$C$87,0))</f>
        <v>6831.8414660584003</v>
      </c>
      <c r="AA98" s="119">
        <f>INDEX('Option1 (base case)'!AA$14:AA$87, MATCH($C98, 'Option1 (base case)'!$C$14:$C$87,0))</f>
        <v>6945.3462022928461</v>
      </c>
      <c r="AB98" s="119">
        <f>INDEX('Option1 (base case)'!AB$14:AB$87, MATCH($C98, 'Option1 (base case)'!$C$14:$C$87,0))</f>
        <v>7047.2115454863479</v>
      </c>
      <c r="AC98" s="119">
        <f>INDEX('Option1 (base case)'!AC$14:AC$87, MATCH($C98, 'Option1 (base case)'!$C$14:$C$87,0))</f>
        <v>7141.2138215640662</v>
      </c>
      <c r="AD98" s="119">
        <f>INDEX('Option1 (base case)'!AD$14:AD$87, MATCH($C98, 'Option1 (base case)'!$C$14:$C$87,0))</f>
        <v>7208.0122285987118</v>
      </c>
      <c r="AE98" s="119">
        <f>INDEX('Option1 (base case)'!AE$14:AE$87, MATCH($C98, 'Option1 (base case)'!$C$14:$C$87,0))</f>
        <v>7259.9261217371559</v>
      </c>
      <c r="AF98" s="119">
        <f>INDEX('Option1 (base case)'!AF$14:AF$87, MATCH($C98, 'Option1 (base case)'!$C$14:$C$87,0))</f>
        <v>7305.1746911146265</v>
      </c>
      <c r="AG98" s="119">
        <f>INDEX('Option1 (base case)'!AG$14:AG$87, MATCH($C98, 'Option1 (base case)'!$C$14:$C$87,0))</f>
        <v>7348.3085415882924</v>
      </c>
    </row>
    <row r="99" spans="1:33" x14ac:dyDescent="0.2">
      <c r="A99" s="201" t="str">
        <f>A23</f>
        <v>Option 1 (base case)</v>
      </c>
      <c r="B99" s="142"/>
      <c r="C99" s="201" t="s">
        <v>124</v>
      </c>
      <c r="D99" s="194">
        <f>MAX(H99:AG99)</f>
        <v>351.39457409669461</v>
      </c>
      <c r="E99" s="298"/>
      <c r="H99" s="119" t="str">
        <f>A99&amp;" risk cost"</f>
        <v>Option 1 (base case) risk cost</v>
      </c>
      <c r="I99" s="119">
        <f>INDEX('Option1 (base case)'!I$14:I$87, MATCH($C99, 'Option1 (base case)'!$C$14:$C$87,0))/10^6</f>
        <v>37.77439930680476</v>
      </c>
      <c r="J99" s="119">
        <f>INDEX('Option1 (base case)'!J$14:J$87, MATCH($C99, 'Option1 (base case)'!$C$14:$C$87,0))/10^6</f>
        <v>45.186699802792113</v>
      </c>
      <c r="K99" s="119">
        <f>INDEX('Option1 (base case)'!K$14:K$87, MATCH($C99, 'Option1 (base case)'!$C$14:$C$87,0))/10^6</f>
        <v>54.378650384889106</v>
      </c>
      <c r="L99" s="119">
        <f>INDEX('Option1 (base case)'!L$14:L$87, MATCH($C99, 'Option1 (base case)'!$C$14:$C$87,0))/10^6</f>
        <v>65.777854513577978</v>
      </c>
      <c r="M99" s="119">
        <f>INDEX('Option1 (base case)'!M$14:M$87, MATCH($C99, 'Option1 (base case)'!$C$14:$C$87,0))/10^6</f>
        <v>79.945389938679355</v>
      </c>
      <c r="N99" s="119">
        <f>INDEX('Option1 (base case)'!N$14:N$87, MATCH($C99, 'Option1 (base case)'!$C$14:$C$87,0))/10^6</f>
        <v>97.582865666000231</v>
      </c>
      <c r="O99" s="119">
        <f>INDEX('Option1 (base case)'!O$14:O$87, MATCH($C99, 'Option1 (base case)'!$C$14:$C$87,0))/10^6</f>
        <v>119.29169966267196</v>
      </c>
      <c r="P99" s="119">
        <f>INDEX('Option1 (base case)'!P$14:P$87, MATCH($C99, 'Option1 (base case)'!$C$14:$C$87,0))/10^6</f>
        <v>141.2382433788303</v>
      </c>
      <c r="Q99" s="119">
        <f>INDEX('Option1 (base case)'!Q$14:Q$87, MATCH($C99, 'Option1 (base case)'!$C$14:$C$87,0))/10^6</f>
        <v>163.3686389361194</v>
      </c>
      <c r="R99" s="119">
        <f>INDEX('Option1 (base case)'!R$14:R$87, MATCH($C99, 'Option1 (base case)'!$C$14:$C$87,0))/10^6</f>
        <v>185.67312976592322</v>
      </c>
      <c r="S99" s="119">
        <f>INDEX('Option1 (base case)'!S$14:S$87, MATCH($C99, 'Option1 (base case)'!$C$14:$C$87,0))/10^6</f>
        <v>213.10006044037434</v>
      </c>
      <c r="T99" s="119">
        <f>INDEX('Option1 (base case)'!T$14:T$87, MATCH($C99, 'Option1 (base case)'!$C$14:$C$87,0))/10^6</f>
        <v>240.97550839337111</v>
      </c>
      <c r="U99" s="119">
        <f>INDEX('Option1 (base case)'!U$14:U$87, MATCH($C99, 'Option1 (base case)'!$C$14:$C$87,0))/10^6</f>
        <v>266.96516262041536</v>
      </c>
      <c r="V99" s="119">
        <f>INDEX('Option1 (base case)'!V$14:V$87, MATCH($C99, 'Option1 (base case)'!$C$14:$C$87,0))/10^6</f>
        <v>285.55344991913347</v>
      </c>
      <c r="W99" s="119">
        <f>INDEX('Option1 (base case)'!W$14:W$87, MATCH($C99, 'Option1 (base case)'!$C$14:$C$87,0))/10^6</f>
        <v>299.91305090775506</v>
      </c>
      <c r="X99" s="119">
        <f>INDEX('Option1 (base case)'!X$14:X$87, MATCH($C99, 'Option1 (base case)'!$C$14:$C$87,0))/10^6</f>
        <v>312.62882014427453</v>
      </c>
      <c r="Y99" s="119">
        <f>INDEX('Option1 (base case)'!Y$14:Y$87, MATCH($C99, 'Option1 (base case)'!$C$14:$C$87,0))/10^6</f>
        <v>320.23524258278019</v>
      </c>
      <c r="Z99" s="119">
        <f>INDEX('Option1 (base case)'!Z$14:Z$87, MATCH($C99, 'Option1 (base case)'!$C$14:$C$87,0))/10^6</f>
        <v>326.69722680735975</v>
      </c>
      <c r="AA99" s="119">
        <f>INDEX('Option1 (base case)'!AA$14:AA$87, MATCH($C99, 'Option1 (base case)'!$C$14:$C$87,0))/10^6</f>
        <v>332.12499950107951</v>
      </c>
      <c r="AB99" s="119">
        <f>INDEX('Option1 (base case)'!AB$14:AB$87, MATCH($C99, 'Option1 (base case)'!$C$14:$C$87,0))/10^6</f>
        <v>336.99617885944616</v>
      </c>
      <c r="AC99" s="119">
        <f>INDEX('Option1 (base case)'!AC$14:AC$87, MATCH($C99, 'Option1 (base case)'!$C$14:$C$87,0))/10^6</f>
        <v>341.49134799660249</v>
      </c>
      <c r="AD99" s="119">
        <f>INDEX('Option1 (base case)'!AD$14:AD$87, MATCH($C99, 'Option1 (base case)'!$C$14:$C$87,0))/10^6</f>
        <v>344.6856338186297</v>
      </c>
      <c r="AE99" s="119">
        <f>INDEX('Option1 (base case)'!AE$14:AE$87, MATCH($C99, 'Option1 (base case)'!$C$14:$C$87,0))/10^6</f>
        <v>347.1681453062518</v>
      </c>
      <c r="AF99" s="119">
        <f>INDEX('Option1 (base case)'!AF$14:AF$87, MATCH($C99, 'Option1 (base case)'!$C$14:$C$87,0))/10^6</f>
        <v>349.33192240881812</v>
      </c>
      <c r="AG99" s="119">
        <f>INDEX('Option1 (base case)'!AG$14:AG$87, MATCH($C99, 'Option1 (base case)'!$C$14:$C$87,0))/10^6</f>
        <v>351.39457409669461</v>
      </c>
    </row>
    <row r="100" spans="1:33" ht="12" x14ac:dyDescent="0.2">
      <c r="E100" s="10"/>
    </row>
    <row r="101" spans="1:33" s="300" customFormat="1" ht="12" x14ac:dyDescent="0.2"/>
    <row r="102" spans="1:33" ht="12" x14ac:dyDescent="0.2">
      <c r="E102" s="10"/>
    </row>
    <row r="103" spans="1:33" ht="12" x14ac:dyDescent="0.2">
      <c r="E103" s="10"/>
      <c r="I103" s="300"/>
    </row>
    <row r="104" spans="1:33" ht="12" x14ac:dyDescent="0.2">
      <c r="E104" s="10"/>
      <c r="H104" s="153"/>
    </row>
    <row r="105" spans="1:33" ht="12" x14ac:dyDescent="0.2">
      <c r="E105" s="10"/>
      <c r="H105" s="153"/>
    </row>
    <row r="106" spans="1:33" ht="12" x14ac:dyDescent="0.2">
      <c r="D106" s="194"/>
      <c r="E106" s="10"/>
    </row>
    <row r="107" spans="1:33" ht="12" x14ac:dyDescent="0.2">
      <c r="D107" s="194"/>
      <c r="E107" s="10"/>
    </row>
    <row r="108" spans="1:33" ht="12" x14ac:dyDescent="0.2">
      <c r="D108" s="194"/>
      <c r="E108" s="84"/>
    </row>
    <row r="109" spans="1:33" ht="12" x14ac:dyDescent="0.2">
      <c r="C109" s="124"/>
      <c r="D109" s="194"/>
      <c r="E109" s="194"/>
    </row>
    <row r="110" spans="1:33" ht="12" x14ac:dyDescent="0.2">
      <c r="D110" s="194"/>
      <c r="E110" s="84"/>
    </row>
    <row r="111" spans="1:33" ht="12" x14ac:dyDescent="0.2">
      <c r="D111" s="194"/>
      <c r="E111" s="84"/>
    </row>
    <row r="112" spans="1:33" ht="12" x14ac:dyDescent="0.2">
      <c r="D112" s="194"/>
      <c r="E112" s="84"/>
    </row>
    <row r="113" spans="4:5" ht="12" x14ac:dyDescent="0.2">
      <c r="D113" s="194"/>
      <c r="E113" s="84"/>
    </row>
    <row r="114" spans="4:5" ht="12" x14ac:dyDescent="0.2">
      <c r="D114" s="194"/>
      <c r="E114" s="84"/>
    </row>
    <row r="115" spans="4:5" ht="12" x14ac:dyDescent="0.2">
      <c r="D115" s="194"/>
      <c r="E115" s="84"/>
    </row>
    <row r="116" spans="4:5" ht="12" x14ac:dyDescent="0.2">
      <c r="D116" s="194"/>
      <c r="E116" s="84"/>
    </row>
    <row r="117" spans="4:5" ht="12" x14ac:dyDescent="0.2">
      <c r="D117" s="194"/>
      <c r="E117" s="84"/>
    </row>
    <row r="118" spans="4:5" ht="12" x14ac:dyDescent="0.2">
      <c r="D118" s="194"/>
      <c r="E118" s="84"/>
    </row>
    <row r="119" spans="4:5" ht="12" x14ac:dyDescent="0.2">
      <c r="D119" s="194"/>
      <c r="E119" s="84"/>
    </row>
    <row r="120" spans="4:5" ht="12" x14ac:dyDescent="0.2">
      <c r="D120" s="194"/>
      <c r="E120" s="84"/>
    </row>
    <row r="121" spans="4:5" ht="12" x14ac:dyDescent="0.2">
      <c r="D121" s="194"/>
      <c r="E121" s="84"/>
    </row>
    <row r="122" spans="4:5" ht="12" x14ac:dyDescent="0.2">
      <c r="D122" s="194"/>
      <c r="E122" s="84"/>
    </row>
    <row r="123" spans="4:5" ht="12" x14ac:dyDescent="0.2">
      <c r="D123" s="194"/>
      <c r="E123" s="84"/>
    </row>
    <row r="124" spans="4:5" ht="12" x14ac:dyDescent="0.2">
      <c r="D124" s="194"/>
      <c r="E124" s="84"/>
    </row>
    <row r="125" spans="4:5" ht="12" x14ac:dyDescent="0.2">
      <c r="D125" s="194"/>
      <c r="E125" s="84"/>
    </row>
    <row r="126" spans="4:5" ht="12" x14ac:dyDescent="0.2">
      <c r="D126" s="194"/>
      <c r="E126" s="84"/>
    </row>
    <row r="127" spans="4:5" ht="12" x14ac:dyDescent="0.2">
      <c r="D127" s="194"/>
      <c r="E127" s="84"/>
    </row>
    <row r="128" spans="4:5" ht="12" x14ac:dyDescent="0.2">
      <c r="D128" s="194"/>
      <c r="E128" s="84"/>
    </row>
    <row r="129" spans="4:5" ht="12" x14ac:dyDescent="0.2">
      <c r="D129" s="194"/>
      <c r="E129" s="84"/>
    </row>
    <row r="130" spans="4:5" ht="12" x14ac:dyDescent="0.2">
      <c r="D130" s="194"/>
      <c r="E130" s="84"/>
    </row>
    <row r="131" spans="4:5" ht="12" x14ac:dyDescent="0.2">
      <c r="D131" s="194"/>
      <c r="E131" s="84"/>
    </row>
    <row r="132" spans="4:5" ht="12" x14ac:dyDescent="0.2">
      <c r="D132" s="194"/>
      <c r="E132" s="84"/>
    </row>
    <row r="133" spans="4:5" ht="12" x14ac:dyDescent="0.2">
      <c r="D133" s="194"/>
      <c r="E133" s="84"/>
    </row>
    <row r="134" spans="4:5" ht="12" x14ac:dyDescent="0.2">
      <c r="D134" s="194"/>
      <c r="E134" s="84"/>
    </row>
    <row r="135" spans="4:5" ht="12" x14ac:dyDescent="0.2">
      <c r="D135" s="194"/>
      <c r="E135" s="84"/>
    </row>
    <row r="136" spans="4:5" ht="12" x14ac:dyDescent="0.2">
      <c r="D136" s="194"/>
      <c r="E136" s="84"/>
    </row>
    <row r="137" spans="4:5" ht="12" x14ac:dyDescent="0.2">
      <c r="D137" s="194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HV cable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7" t="s">
        <v>224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92">
        <f>Consol!H5</f>
        <v>0</v>
      </c>
      <c r="I5" s="192">
        <f>Consol!I5</f>
        <v>0.98294637436598087</v>
      </c>
      <c r="J5" s="192">
        <f>Consol!J5</f>
        <v>0.94970664189949849</v>
      </c>
      <c r="K5" s="192">
        <f>Consol!K5</f>
        <v>0.91759095835700344</v>
      </c>
      <c r="L5" s="192">
        <f>Consol!L5</f>
        <v>0.88656131242222558</v>
      </c>
      <c r="M5" s="192">
        <f>Consol!M5</f>
        <v>0.85658097818572532</v>
      </c>
      <c r="N5" s="192">
        <f>Consol!N5</f>
        <v>0.8276144716770294</v>
      </c>
      <c r="O5" s="192">
        <f>Consol!O5</f>
        <v>0.79962750886669509</v>
      </c>
      <c r="P5" s="192">
        <f>Consol!P5</f>
        <v>0.77258696508859437</v>
      </c>
      <c r="Q5" s="192">
        <f>Consol!Q5</f>
        <v>0.74646083583439071</v>
      </c>
      <c r="R5" s="192">
        <f>Consol!R5</f>
        <v>0.72121819887380756</v>
      </c>
      <c r="S5" s="192">
        <f>Consol!S5</f>
        <v>0.69682917765585273</v>
      </c>
      <c r="T5" s="192">
        <f>Consol!T5</f>
        <v>0.67326490594768384</v>
      </c>
      <c r="U5" s="192">
        <f>Consol!U5</f>
        <v>0.6504974936692598</v>
      </c>
      <c r="V5" s="192">
        <f>Consol!V5</f>
        <v>0.62849999388334288</v>
      </c>
      <c r="W5" s="192">
        <f>Consol!W5</f>
        <v>0.60724637090178057</v>
      </c>
      <c r="X5" s="192">
        <f>Consol!X5</f>
        <v>0.58671146947031949</v>
      </c>
      <c r="Y5" s="192">
        <f>Consol!Y5</f>
        <v>0.56687098499547783</v>
      </c>
      <c r="Z5" s="192">
        <f>Consol!Z5</f>
        <v>0.54770143477823952</v>
      </c>
      <c r="AA5" s="192">
        <f>Consol!AA5</f>
        <v>0.52918013022052135</v>
      </c>
      <c r="AB5" s="192">
        <f>Consol!AB5</f>
        <v>0.5112851499715183</v>
      </c>
      <c r="AC5" s="192">
        <f>Consol!AC5</f>
        <v>0.4939953139821433</v>
      </c>
      <c r="AD5" s="192">
        <f>Consol!AD5</f>
        <v>0.47729015843685346</v>
      </c>
      <c r="AE5" s="192">
        <f>Consol!AE5</f>
        <v>0.46114991153319179</v>
      </c>
      <c r="AF5" s="192">
        <f>Consol!AF5</f>
        <v>0.4455554700803786</v>
      </c>
      <c r="AG5" s="192">
        <f>Consol!AG5</f>
        <v>0.43048837688925473</v>
      </c>
    </row>
    <row r="6" spans="1:33" s="2" customFormat="1" hidden="1" outlineLevel="1" x14ac:dyDescent="0.2">
      <c r="A6" s="193" t="str">
        <f>'Option1 (base case)'!A6</f>
        <v>Count</v>
      </c>
      <c r="B6" s="116"/>
      <c r="D6" s="117"/>
      <c r="E6" s="116"/>
      <c r="F6" s="116"/>
      <c r="G6" s="101"/>
      <c r="H6" s="193">
        <f>Consol!H6</f>
        <v>0</v>
      </c>
      <c r="I6" s="193">
        <f>Consol!I6</f>
        <v>1</v>
      </c>
      <c r="J6" s="193">
        <f>Consol!J6</f>
        <v>2</v>
      </c>
      <c r="K6" s="193">
        <f>Consol!K6</f>
        <v>3</v>
      </c>
      <c r="L6" s="193">
        <f>Consol!L6</f>
        <v>4</v>
      </c>
      <c r="M6" s="193">
        <f>Consol!M6</f>
        <v>5</v>
      </c>
      <c r="N6" s="193">
        <f>Consol!N6</f>
        <v>6</v>
      </c>
      <c r="O6" s="193">
        <f>Consol!O6</f>
        <v>7</v>
      </c>
      <c r="P6" s="193">
        <f>Consol!P6</f>
        <v>8</v>
      </c>
      <c r="Q6" s="193">
        <f>Consol!Q6</f>
        <v>9</v>
      </c>
      <c r="R6" s="193">
        <f>Consol!R6</f>
        <v>10</v>
      </c>
      <c r="S6" s="193">
        <f>Consol!S6</f>
        <v>11</v>
      </c>
      <c r="T6" s="193">
        <f>Consol!T6</f>
        <v>12</v>
      </c>
      <c r="U6" s="193">
        <f>Consol!U6</f>
        <v>13</v>
      </c>
      <c r="V6" s="193">
        <f>Consol!V6</f>
        <v>14</v>
      </c>
      <c r="W6" s="193">
        <f>Consol!W6</f>
        <v>15</v>
      </c>
      <c r="X6" s="193">
        <f>Consol!X6</f>
        <v>16</v>
      </c>
      <c r="Y6" s="193">
        <f>Consol!Y6</f>
        <v>17</v>
      </c>
      <c r="Z6" s="193">
        <f>Consol!Z6</f>
        <v>18</v>
      </c>
      <c r="AA6" s="193">
        <f>Consol!AA6</f>
        <v>19</v>
      </c>
      <c r="AB6" s="193">
        <f>Consol!AB6</f>
        <v>20</v>
      </c>
      <c r="AC6" s="193">
        <f>Consol!AC6</f>
        <v>21</v>
      </c>
      <c r="AD6" s="193">
        <f>Consol!AD6</f>
        <v>22</v>
      </c>
      <c r="AE6" s="193">
        <f>Consol!AE6</f>
        <v>23</v>
      </c>
      <c r="AF6" s="193">
        <f>Consol!AF6</f>
        <v>24</v>
      </c>
      <c r="AG6" s="193">
        <f>Consol!AG6</f>
        <v>25</v>
      </c>
    </row>
    <row r="7" spans="1:33" s="2" customFormat="1" collapsed="1" x14ac:dyDescent="0.2">
      <c r="A7" s="116" t="s">
        <v>195</v>
      </c>
      <c r="B7" s="116"/>
      <c r="D7" s="117"/>
      <c r="E7" s="116"/>
      <c r="F7" s="116"/>
      <c r="G7" s="101"/>
      <c r="H7" s="260" t="b">
        <f>Consol!H7</f>
        <v>1</v>
      </c>
      <c r="I7" s="260" t="b">
        <f>Consol!I7</f>
        <v>1</v>
      </c>
      <c r="J7" s="260" t="b">
        <f>Consol!J7</f>
        <v>1</v>
      </c>
      <c r="K7" s="260" t="b">
        <f>Consol!K7</f>
        <v>1</v>
      </c>
      <c r="L7" s="260" t="b">
        <f>Consol!L7</f>
        <v>1</v>
      </c>
      <c r="M7" s="260" t="b">
        <f>Consol!M7</f>
        <v>1</v>
      </c>
      <c r="N7" s="260" t="b">
        <f>Consol!N7</f>
        <v>1</v>
      </c>
      <c r="O7" s="260" t="b">
        <f>Consol!O7</f>
        <v>1</v>
      </c>
      <c r="P7" s="260" t="b">
        <f>Consol!P7</f>
        <v>1</v>
      </c>
      <c r="Q7" s="260" t="b">
        <f>Consol!Q7</f>
        <v>1</v>
      </c>
      <c r="R7" s="260" t="b">
        <f>Consol!R7</f>
        <v>1</v>
      </c>
      <c r="S7" s="260" t="b">
        <f>Consol!S7</f>
        <v>1</v>
      </c>
      <c r="T7" s="260" t="b">
        <f>Consol!T7</f>
        <v>1</v>
      </c>
      <c r="U7" s="260" t="b">
        <f>Consol!U7</f>
        <v>1</v>
      </c>
      <c r="V7" s="260" t="b">
        <f>Consol!V7</f>
        <v>1</v>
      </c>
      <c r="W7" s="260" t="b">
        <f>Consol!W7</f>
        <v>1</v>
      </c>
      <c r="X7" s="260" t="b">
        <f>Consol!X7</f>
        <v>1</v>
      </c>
      <c r="Y7" s="260" t="b">
        <f>Consol!Y7</f>
        <v>1</v>
      </c>
      <c r="Z7" s="260" t="b">
        <f>Consol!Z7</f>
        <v>1</v>
      </c>
      <c r="AA7" s="260" t="b">
        <f>Consol!AA7</f>
        <v>1</v>
      </c>
      <c r="AB7" s="260" t="b">
        <f>Consol!AB7</f>
        <v>1</v>
      </c>
      <c r="AC7" s="260" t="b">
        <f>Consol!AC7</f>
        <v>0</v>
      </c>
      <c r="AD7" s="260" t="b">
        <f>Consol!AD7</f>
        <v>0</v>
      </c>
      <c r="AE7" s="260" t="b">
        <f>Consol!AE7</f>
        <v>0</v>
      </c>
      <c r="AF7" s="260" t="b">
        <f>Consol!AF7</f>
        <v>0</v>
      </c>
      <c r="AG7" s="260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71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5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6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50"/>
      <c r="B12" s="250"/>
      <c r="C12" s="250"/>
      <c r="D12" s="250"/>
      <c r="E12" s="250"/>
      <c r="F12" s="250"/>
      <c r="G12" s="25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1170999.2267093975</v>
      </c>
      <c r="AA12" s="31">
        <f>Consol!AB36</f>
        <v>1170999.2267093975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51"/>
    </row>
    <row r="13" spans="1:33" s="7" customFormat="1" x14ac:dyDescent="0.2">
      <c r="A13" s="250"/>
      <c r="B13" s="250"/>
      <c r="C13" s="250"/>
      <c r="D13" s="250"/>
      <c r="E13" s="250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1:33" s="7" customFormat="1" x14ac:dyDescent="0.2">
      <c r="A14" s="258" t="s">
        <v>143</v>
      </c>
      <c r="B14" s="258" t="s">
        <v>119</v>
      </c>
      <c r="C14" s="258" t="s">
        <v>188</v>
      </c>
      <c r="D14" s="258" t="str">
        <f>A14&amp;B14</f>
        <v>OPTION 1 (base case)NPV</v>
      </c>
      <c r="E14" s="259"/>
      <c r="F14" s="31">
        <f>SUMPRODUCT($H14:$AG14, $H$5:$AG$5)</f>
        <v>0</v>
      </c>
      <c r="G14" s="251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50"/>
      <c r="B15" s="250"/>
      <c r="C15" s="250"/>
      <c r="D15" s="250"/>
      <c r="E15" s="250"/>
      <c r="F15" s="250"/>
      <c r="G15" s="25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8" t="s">
        <v>143</v>
      </c>
      <c r="B16" s="258" t="str">
        <f>'Option1 (base case)'!A110</f>
        <v>sens1</v>
      </c>
      <c r="C16" s="258" t="str">
        <f>'Option1 (base case)'!C110</f>
        <v>Capex 10% higher</v>
      </c>
      <c r="D16" s="258" t="str">
        <f t="shared" ref="D16:D23" si="0">A16&amp;B16</f>
        <v>OPTION 1 (base case)sens1</v>
      </c>
      <c r="E16" s="259"/>
      <c r="F16" s="31">
        <f>SUMPRODUCT($H16:$AG16, $H$5:$AG$5)</f>
        <v>0</v>
      </c>
      <c r="G16" s="251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8" t="s">
        <v>143</v>
      </c>
      <c r="B17" s="258" t="str">
        <f>'Option1 (base case)'!A111</f>
        <v>sens2</v>
      </c>
      <c r="C17" s="258" t="str">
        <f>'Option1 (base case)'!C111</f>
        <v>Capex 10% lower</v>
      </c>
      <c r="D17" s="258" t="str">
        <f t="shared" si="0"/>
        <v>OPTION 1 (base case)sens2</v>
      </c>
      <c r="E17" s="259"/>
      <c r="F17" s="31">
        <f t="shared" ref="F17:F23" si="1">SUMPRODUCT($H17:$AG17, $H$5:$AG$5)</f>
        <v>0</v>
      </c>
      <c r="G17" s="258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8" t="s">
        <v>143</v>
      </c>
      <c r="B18" s="258" t="str">
        <f>'Option1 (base case)'!A112</f>
        <v>sens3</v>
      </c>
      <c r="C18" s="258" t="str">
        <f>'Option1 (base case)'!C112</f>
        <v>Total benefits 10% higher</v>
      </c>
      <c r="D18" s="258" t="str">
        <f t="shared" si="0"/>
        <v>OPTION 1 (base case)sens3</v>
      </c>
      <c r="E18" s="259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8" t="s">
        <v>143</v>
      </c>
      <c r="B19" s="258" t="str">
        <f>'Option1 (base case)'!A113</f>
        <v>sens4</v>
      </c>
      <c r="C19" s="258" t="str">
        <f>'Option1 (base case)'!C113</f>
        <v>Total benefits 10% lower</v>
      </c>
      <c r="D19" s="258" t="str">
        <f t="shared" si="0"/>
        <v>OPTION 1 (base case)sens4</v>
      </c>
      <c r="E19" s="259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8" t="s">
        <v>143</v>
      </c>
      <c r="B20" s="258" t="str">
        <f>'Option1 (base case)'!A114</f>
        <v>sens5</v>
      </c>
      <c r="C20" s="258" t="str">
        <f>'Option1 (base case)'!C114</f>
        <v>Capex 10% higher &amp; total benefits 10% lower</v>
      </c>
      <c r="D20" s="258" t="str">
        <f t="shared" si="0"/>
        <v>OPTION 1 (base case)sens5</v>
      </c>
      <c r="E20" s="259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8" t="s">
        <v>143</v>
      </c>
      <c r="B21" s="258" t="str">
        <f>'Option1 (base case)'!A115</f>
        <v>sens</v>
      </c>
      <c r="C21" s="258">
        <f>'Option1 (base case)'!C115</f>
        <v>0</v>
      </c>
      <c r="D21" s="258" t="str">
        <f t="shared" si="0"/>
        <v>OPTION 1 (base case)sens</v>
      </c>
      <c r="E21" s="259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8" t="s">
        <v>143</v>
      </c>
      <c r="B22" s="258" t="str">
        <f>'Option1 (base case)'!A116</f>
        <v>sens</v>
      </c>
      <c r="C22" s="258">
        <f>'Option1 (base case)'!C116</f>
        <v>0</v>
      </c>
      <c r="D22" s="258" t="str">
        <f t="shared" si="0"/>
        <v>OPTION 1 (base case)sens</v>
      </c>
      <c r="E22" s="259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8" t="s">
        <v>143</v>
      </c>
      <c r="B23" s="258" t="str">
        <f>'Option1 (base case)'!A117</f>
        <v>sens</v>
      </c>
      <c r="C23" s="258">
        <f>'Option1 (base case)'!C117</f>
        <v>0</v>
      </c>
      <c r="D23" s="258" t="str">
        <f t="shared" si="0"/>
        <v>OPTION 1 (base case)sens</v>
      </c>
      <c r="E23" s="259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50"/>
      <c r="B24" s="250"/>
      <c r="C24" s="250"/>
      <c r="D24" s="250"/>
      <c r="E24" s="250"/>
      <c r="F24" s="250"/>
      <c r="G24" s="25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50"/>
      <c r="B25" s="250"/>
      <c r="C25" s="250"/>
      <c r="D25" s="250"/>
      <c r="E25" s="250"/>
      <c r="F25" s="250"/>
      <c r="G25" s="25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50"/>
      <c r="B26" s="250"/>
      <c r="C26" s="250"/>
      <c r="D26" s="250"/>
      <c r="E26" s="250"/>
      <c r="F26" s="250"/>
      <c r="G26" s="25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50"/>
      <c r="B27" s="250"/>
      <c r="C27" s="250"/>
      <c r="D27" s="250"/>
      <c r="E27" s="250"/>
      <c r="F27" s="250"/>
      <c r="G27" s="25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8" t="s">
        <v>131</v>
      </c>
      <c r="B28" s="258" t="s">
        <v>119</v>
      </c>
      <c r="C28" s="258" t="s">
        <v>188</v>
      </c>
      <c r="D28" s="258" t="str">
        <f>A28&amp;B28</f>
        <v>Option 2NPV</v>
      </c>
      <c r="E28" s="259"/>
      <c r="F28" s="31">
        <f>SUMPRODUCT($H28:$AG28, $H$5:$AG$5)</f>
        <v>11767135.913430654</v>
      </c>
      <c r="G28" s="251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26854.194737698537</v>
      </c>
      <c r="K28" s="31">
        <f>(INDEX(Option2!K$106:K$117, MATCH($D28, Option2!$G$106:$G$117,0)))*conv_2026*K$7</f>
        <v>98008.153938588293</v>
      </c>
      <c r="L28" s="31">
        <f>(INDEX(Option2!L$106:L$117, MATCH($D28, Option2!$G$106:$G$117,0)))*conv_2026*L$7</f>
        <v>229201.37324560722</v>
      </c>
      <c r="M28" s="31">
        <f>(INDEX(Option2!M$106:M$117, MATCH($D28, Option2!$G$106:$G$117,0)))*conv_2026*M$7</f>
        <v>441445.83927813842</v>
      </c>
      <c r="N28" s="31">
        <f>(INDEX(Option2!N$106:N$117, MATCH($D28, Option2!$G$106:$G$117,0)))*conv_2026*N$7</f>
        <v>762753.08597188175</v>
      </c>
      <c r="O28" s="31">
        <f>(INDEX(Option2!O$106:O$117, MATCH($D28, Option2!$G$106:$G$117,0)))*conv_2026*O$7</f>
        <v>1008543.1619685931</v>
      </c>
      <c r="P28" s="31">
        <f>(INDEX(Option2!P$106:P$117, MATCH($D28, Option2!$G$106:$G$117,0)))*conv_2026*P$7</f>
        <v>1152278.0464890371</v>
      </c>
      <c r="Q28" s="31">
        <f>(INDEX(Option2!Q$106:Q$117, MATCH($D28, Option2!$G$106:$G$117,0)))*conv_2026*Q$7</f>
        <v>1170999.2267094308</v>
      </c>
      <c r="R28" s="31">
        <f>(INDEX(Option2!R$106:R$117, MATCH($D28, Option2!$G$106:$G$117,0)))*conv_2026*R$7</f>
        <v>1170999.2267094641</v>
      </c>
      <c r="S28" s="31">
        <f>(INDEX(Option2!S$106:S$117, MATCH($D28, Option2!$G$106:$G$117,0)))*conv_2026*S$7</f>
        <v>1170999.2267093977</v>
      </c>
      <c r="T28" s="31">
        <f>(INDEX(Option2!T$106:T$117, MATCH($D28, Option2!$G$106:$G$117,0)))*conv_2026*T$7</f>
        <v>1170999.2267095305</v>
      </c>
      <c r="U28" s="31">
        <f>(INDEX(Option2!U$106:U$117, MATCH($D28, Option2!$G$106:$G$117,0)))*conv_2026*U$7</f>
        <v>1170999.2267094641</v>
      </c>
      <c r="V28" s="31">
        <f>(INDEX(Option2!V$106:V$117, MATCH($D28, Option2!$G$106:$G$117,0)))*conv_2026*V$7</f>
        <v>1170999.2267094641</v>
      </c>
      <c r="W28" s="31">
        <f>(INDEX(Option2!W$106:W$117, MATCH($D28, Option2!$G$106:$G$117,0)))*conv_2026*W$7</f>
        <v>1170999.2267094641</v>
      </c>
      <c r="X28" s="31">
        <f>(INDEX(Option2!X$106:X$117, MATCH($D28, Option2!$G$106:$G$117,0)))*conv_2026*X$7</f>
        <v>1170999.2267093977</v>
      </c>
      <c r="Y28" s="31">
        <f>(INDEX(Option2!Y$106:Y$117, MATCH($D28, Option2!$G$106:$G$117,0)))*conv_2026*Y$7</f>
        <v>1170999.2267093977</v>
      </c>
      <c r="Z28" s="31">
        <f>(INDEX(Option2!Z$106:Z$117, MATCH($D28, Option2!$G$106:$G$117,0)))*conv_2026*Z$7</f>
        <v>1170999.2267094641</v>
      </c>
      <c r="AA28" s="31">
        <f>(INDEX(Option2!AA$106:AA$117, MATCH($D28, Option2!$G$106:$G$117,0)))*conv_2026*AA$7</f>
        <v>1170999.2267093977</v>
      </c>
      <c r="AB28" s="31">
        <f>(INDEX(Option2!AB$106:AB$117, MATCH($D28, Option2!$G$106:$G$117,0)))*conv_2026*AB$7</f>
        <v>1170999.2267093977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50"/>
      <c r="B29" s="250"/>
      <c r="C29" s="250"/>
      <c r="D29" s="250"/>
      <c r="E29" s="250"/>
      <c r="F29" s="250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</row>
    <row r="30" spans="1:35" s="7" customFormat="1" x14ac:dyDescent="0.2">
      <c r="A30" s="258" t="s">
        <v>131</v>
      </c>
      <c r="B30" s="258" t="str">
        <f>Option2!A110</f>
        <v>sens1</v>
      </c>
      <c r="C30" s="258" t="str">
        <f>Option2!C110</f>
        <v>Capex 10% higher</v>
      </c>
      <c r="D30" s="258" t="str">
        <f t="shared" ref="D30:D37" si="2">A30&amp;B30</f>
        <v>Option 2sens1</v>
      </c>
      <c r="E30" s="259"/>
      <c r="F30" s="31">
        <f>SUMPRODUCT($H30:$AG30, $H$5:$AG$5)</f>
        <v>11388626.59730611</v>
      </c>
      <c r="G30" s="251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20350.47217440957</v>
      </c>
      <c r="K30" s="31">
        <f>IF($B30=0,0, (INDEX(Option2!K$106:K$117, MATCH($D30, Option2!$G$106:$G$117,0)))*conv_2026*K$7)</f>
        <v>85000.708812010358</v>
      </c>
      <c r="L30" s="31">
        <f>IF($B30=0,0, (INDEX(Option2!L$106:L$117, MATCH($D30, Option2!$G$106:$G$117,0)))*conv_2026*L$7)</f>
        <v>209690.20555574031</v>
      </c>
      <c r="M30" s="31">
        <f>IF($B30=0,0, (INDEX(Option2!M$106:M$117, MATCH($D30, Option2!$G$106:$G$117,0)))*conv_2026*M$7)</f>
        <v>415430.94902498258</v>
      </c>
      <c r="N30" s="31">
        <f>IF($B30=0,0, (INDEX(Option2!N$106:N$117, MATCH($D30, Option2!$G$106:$G$117,0)))*conv_2026*N$7)</f>
        <v>730234.4731554368</v>
      </c>
      <c r="O30" s="31">
        <f>IF($B30=0,0, (INDEX(Option2!O$106:O$117, MATCH($D30, Option2!$G$106:$G$117,0)))*conv_2026*O$7)</f>
        <v>976024.54915214831</v>
      </c>
      <c r="P30" s="31">
        <f>IF($B30=0,0, (INDEX(Option2!P$106:P$117, MATCH($D30, Option2!$G$106:$G$117,0)))*conv_2026*P$7)</f>
        <v>1119759.4336725923</v>
      </c>
      <c r="Q30" s="31">
        <f>IF($B30=0,0, (INDEX(Option2!Q$106:Q$117, MATCH($D30, Option2!$G$106:$G$117,0)))*conv_2026*Q$7)</f>
        <v>1138480.613892986</v>
      </c>
      <c r="R30" s="31">
        <f>IF($B30=0,0, (INDEX(Option2!R$106:R$117, MATCH($D30, Option2!$G$106:$G$117,0)))*conv_2026*R$7)</f>
        <v>1138480.6138930193</v>
      </c>
      <c r="S30" s="31">
        <f>IF($B30=0,0, (INDEX(Option2!S$106:S$117, MATCH($D30, Option2!$G$106:$G$117,0)))*conv_2026*S$7)</f>
        <v>1138480.6138929529</v>
      </c>
      <c r="T30" s="31">
        <f>IF($B30=0,0, (INDEX(Option2!T$106:T$117, MATCH($D30, Option2!$G$106:$G$117,0)))*conv_2026*T$7)</f>
        <v>1138480.6138930856</v>
      </c>
      <c r="U30" s="31">
        <f>IF($B30=0,0, (INDEX(Option2!U$106:U$117, MATCH($D30, Option2!$G$106:$G$117,0)))*conv_2026*U$7)</f>
        <v>1138480.6138930193</v>
      </c>
      <c r="V30" s="31">
        <f>IF($B30=0,0, (INDEX(Option2!V$106:V$117, MATCH($D30, Option2!$G$106:$G$117,0)))*conv_2026*V$7)</f>
        <v>1138480.6138930193</v>
      </c>
      <c r="W30" s="31">
        <f>IF($B30=0,0, (INDEX(Option2!W$106:W$117, MATCH($D30, Option2!$G$106:$G$117,0)))*conv_2026*W$7)</f>
        <v>1138480.6138930193</v>
      </c>
      <c r="X30" s="31">
        <f>IF($B30=0,0, (INDEX(Option2!X$106:X$117, MATCH($D30, Option2!$G$106:$G$117,0)))*conv_2026*X$7)</f>
        <v>1138480.6138929529</v>
      </c>
      <c r="Y30" s="31">
        <f>IF($B30=0,0, (INDEX(Option2!Y$106:Y$117, MATCH($D30, Option2!$G$106:$G$117,0)))*conv_2026*Y$7)</f>
        <v>1138480.6138929529</v>
      </c>
      <c r="Z30" s="31">
        <f>IF($B30=0,0, (INDEX(Option2!Z$106:Z$117, MATCH($D30, Option2!$G$106:$G$117,0)))*conv_2026*Z$7)</f>
        <v>1138480.6138930193</v>
      </c>
      <c r="AA30" s="31">
        <f>IF($B30=0,0, (INDEX(Option2!AA$106:AA$117, MATCH($D30, Option2!$G$106:$G$117,0)))*conv_2026*AA$7)</f>
        <v>1138480.6138929529</v>
      </c>
      <c r="AB30" s="31">
        <f>IF($B30=0,0, (INDEX(Option2!AB$106:AB$117, MATCH($D30, Option2!$G$106:$G$117,0)))*conv_2026*AB$7)</f>
        <v>1138480.6138929529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8" t="s">
        <v>131</v>
      </c>
      <c r="B31" s="258" t="str">
        <f>Option2!A111</f>
        <v>sens2</v>
      </c>
      <c r="C31" s="258" t="str">
        <f>Option2!C111</f>
        <v>Capex 10% lower</v>
      </c>
      <c r="D31" s="258" t="str">
        <f t="shared" si="2"/>
        <v>Option 2sens2</v>
      </c>
      <c r="E31" s="259"/>
      <c r="F31" s="31">
        <f t="shared" ref="F31:F37" si="3">SUMPRODUCT($H31:$AG31, $H$5:$AG$5)</f>
        <v>12145645.229555201</v>
      </c>
      <c r="G31" s="258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33357.917300987501</v>
      </c>
      <c r="K31" s="31">
        <f>IF($B31=0,0, (INDEX(Option2!K$106:K$117, MATCH($D31, Option2!$G$106:$G$117,0)))*conv_2026*K$7)</f>
        <v>111015.59906516623</v>
      </c>
      <c r="L31" s="31">
        <f>IF($B31=0,0, (INDEX(Option2!L$106:L$117, MATCH($D31, Option2!$G$106:$G$117,0)))*conv_2026*L$7)</f>
        <v>248712.54093547416</v>
      </c>
      <c r="M31" s="31">
        <f>IF($B31=0,0, (INDEX(Option2!M$106:M$117, MATCH($D31, Option2!$G$106:$G$117,0)))*conv_2026*M$7)</f>
        <v>467460.72953129432</v>
      </c>
      <c r="N31" s="31">
        <f>IF($B31=0,0, (INDEX(Option2!N$106:N$117, MATCH($D31, Option2!$G$106:$G$117,0)))*conv_2026*N$7)</f>
        <v>795271.69878832658</v>
      </c>
      <c r="O31" s="31">
        <f>IF($B31=0,0, (INDEX(Option2!O$106:O$117, MATCH($D31, Option2!$G$106:$G$117,0)))*conv_2026*O$7)</f>
        <v>1041061.774785038</v>
      </c>
      <c r="P31" s="31">
        <f>IF($B31=0,0, (INDEX(Option2!P$106:P$117, MATCH($D31, Option2!$G$106:$G$117,0)))*conv_2026*P$7)</f>
        <v>1184796.6593054819</v>
      </c>
      <c r="Q31" s="31">
        <f>IF($B31=0,0, (INDEX(Option2!Q$106:Q$117, MATCH($D31, Option2!$G$106:$G$117,0)))*conv_2026*Q$7)</f>
        <v>1203517.8395258756</v>
      </c>
      <c r="R31" s="31">
        <f>IF($B31=0,0, (INDEX(Option2!R$106:R$117, MATCH($D31, Option2!$G$106:$G$117,0)))*conv_2026*R$7)</f>
        <v>1203517.8395259089</v>
      </c>
      <c r="S31" s="31">
        <f>IF($B31=0,0, (INDEX(Option2!S$106:S$117, MATCH($D31, Option2!$G$106:$G$117,0)))*conv_2026*S$7)</f>
        <v>1203517.8395258426</v>
      </c>
      <c r="T31" s="31">
        <f>IF($B31=0,0, (INDEX(Option2!T$106:T$117, MATCH($D31, Option2!$G$106:$G$117,0)))*conv_2026*T$7)</f>
        <v>1203517.8395259751</v>
      </c>
      <c r="U31" s="31">
        <f>IF($B31=0,0, (INDEX(Option2!U$106:U$117, MATCH($D31, Option2!$G$106:$G$117,0)))*conv_2026*U$7)</f>
        <v>1203517.8395259089</v>
      </c>
      <c r="V31" s="31">
        <f>IF($B31=0,0, (INDEX(Option2!V$106:V$117, MATCH($D31, Option2!$G$106:$G$117,0)))*conv_2026*V$7)</f>
        <v>1203517.8395259089</v>
      </c>
      <c r="W31" s="31">
        <f>IF($B31=0,0, (INDEX(Option2!W$106:W$117, MATCH($D31, Option2!$G$106:$G$117,0)))*conv_2026*W$7)</f>
        <v>1203517.8395259089</v>
      </c>
      <c r="X31" s="31">
        <f>IF($B31=0,0, (INDEX(Option2!X$106:X$117, MATCH($D31, Option2!$G$106:$G$117,0)))*conv_2026*X$7)</f>
        <v>1203517.8395258426</v>
      </c>
      <c r="Y31" s="31">
        <f>IF($B31=0,0, (INDEX(Option2!Y$106:Y$117, MATCH($D31, Option2!$G$106:$G$117,0)))*conv_2026*Y$7)</f>
        <v>1203517.8395258426</v>
      </c>
      <c r="Z31" s="31">
        <f>IF($B31=0,0, (INDEX(Option2!Z$106:Z$117, MATCH($D31, Option2!$G$106:$G$117,0)))*conv_2026*Z$7)</f>
        <v>1203517.8395259089</v>
      </c>
      <c r="AA31" s="31">
        <f>IF($B31=0,0, (INDEX(Option2!AA$106:AA$117, MATCH($D31, Option2!$G$106:$G$117,0)))*conv_2026*AA$7)</f>
        <v>1203517.8395258426</v>
      </c>
      <c r="AB31" s="31">
        <f>IF($B31=0,0, (INDEX(Option2!AB$106:AB$117, MATCH($D31, Option2!$G$106:$G$117,0)))*conv_2026*AB$7)</f>
        <v>1203517.8395258426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8" t="s">
        <v>131</v>
      </c>
      <c r="B32" s="258" t="str">
        <f>Option2!A112</f>
        <v>sens3</v>
      </c>
      <c r="C32" s="258" t="str">
        <f>Option2!C112</f>
        <v>Total benefits 10% higher</v>
      </c>
      <c r="D32" s="258" t="str">
        <f t="shared" si="2"/>
        <v>Option 2sens3</v>
      </c>
      <c r="E32" s="259"/>
      <c r="F32" s="31">
        <f t="shared" si="3"/>
        <v>13322358.820898268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36043.336774757357</v>
      </c>
      <c r="K32" s="31">
        <f>IF($B32=0,0, (INDEX(Option2!K$106:K$117, MATCH($D32, Option2!$G$106:$G$117,0)))*conv_2026*K$7)</f>
        <v>120816.41445902507</v>
      </c>
      <c r="L32" s="31">
        <f>IF($B32=0,0, (INDEX(Option2!L$106:L$117, MATCH($D32, Option2!$G$106:$G$117,0)))*conv_2026*L$7)</f>
        <v>271632.67826003482</v>
      </c>
      <c r="M32" s="31">
        <f>IF($B32=0,0, (INDEX(Option2!M$106:M$117, MATCH($D32, Option2!$G$106:$G$117,0)))*conv_2026*M$7)</f>
        <v>511605.31345910818</v>
      </c>
      <c r="N32" s="31">
        <f>IF($B32=0,0, (INDEX(Option2!N$106:N$117, MATCH($D32, Option2!$G$106:$G$117,0)))*conv_2026*N$7)</f>
        <v>871547.00738551468</v>
      </c>
      <c r="O32" s="31">
        <f>IF($B32=0,0, (INDEX(Option2!O$106:O$117, MATCH($D32, Option2!$G$106:$G$117,0)))*conv_2026*O$7)</f>
        <v>1141916.0909818972</v>
      </c>
      <c r="P32" s="31">
        <f>IF($B32=0,0, (INDEX(Option2!P$106:P$117, MATCH($D32, Option2!$G$106:$G$117,0)))*conv_2026*P$7)</f>
        <v>1300024.4639543856</v>
      </c>
      <c r="Q32" s="31">
        <f>IF($B32=0,0, (INDEX(Option2!Q$106:Q$117, MATCH($D32, Option2!$G$106:$G$117,0)))*conv_2026*Q$7)</f>
        <v>1320617.7621968188</v>
      </c>
      <c r="R32" s="31">
        <f>IF($B32=0,0, (INDEX(Option2!R$106:R$117, MATCH($D32, Option2!$G$106:$G$117,0)))*conv_2026*R$7)</f>
        <v>1320617.7621968554</v>
      </c>
      <c r="S32" s="31">
        <f>IF($B32=0,0, (INDEX(Option2!S$106:S$117, MATCH($D32, Option2!$G$106:$G$117,0)))*conv_2026*S$7)</f>
        <v>1320617.7621967823</v>
      </c>
      <c r="T32" s="31">
        <f>IF($B32=0,0, (INDEX(Option2!T$106:T$117, MATCH($D32, Option2!$G$106:$G$117,0)))*conv_2026*T$7)</f>
        <v>1320617.7621969285</v>
      </c>
      <c r="U32" s="31">
        <f>IF($B32=0,0, (INDEX(Option2!U$106:U$117, MATCH($D32, Option2!$G$106:$G$117,0)))*conv_2026*U$7)</f>
        <v>1320617.7621968554</v>
      </c>
      <c r="V32" s="31">
        <f>IF($B32=0,0, (INDEX(Option2!V$106:V$117, MATCH($D32, Option2!$G$106:$G$117,0)))*conv_2026*V$7)</f>
        <v>1320617.7621968554</v>
      </c>
      <c r="W32" s="31">
        <f>IF($B32=0,0, (INDEX(Option2!W$106:W$117, MATCH($D32, Option2!$G$106:$G$117,0)))*conv_2026*W$7)</f>
        <v>1320617.7621968554</v>
      </c>
      <c r="X32" s="31">
        <f>IF($B32=0,0, (INDEX(Option2!X$106:X$117, MATCH($D32, Option2!$G$106:$G$117,0)))*conv_2026*X$7)</f>
        <v>1320617.7621967823</v>
      </c>
      <c r="Y32" s="31">
        <f>IF($B32=0,0, (INDEX(Option2!Y$106:Y$117, MATCH($D32, Option2!$G$106:$G$117,0)))*conv_2026*Y$7)</f>
        <v>1320617.7621967823</v>
      </c>
      <c r="Z32" s="31">
        <f>IF($B32=0,0, (INDEX(Option2!Z$106:Z$117, MATCH($D32, Option2!$G$106:$G$117,0)))*conv_2026*Z$7)</f>
        <v>1320617.7621968554</v>
      </c>
      <c r="AA32" s="31">
        <f>IF($B32=0,0, (INDEX(Option2!AA$106:AA$117, MATCH($D32, Option2!$G$106:$G$117,0)))*conv_2026*AA$7)</f>
        <v>1320617.7621967823</v>
      </c>
      <c r="AB32" s="31">
        <f>IF($B32=0,0, (INDEX(Option2!AB$106:AB$117, MATCH($D32, Option2!$G$106:$G$117,0)))*conv_2026*AB$7)</f>
        <v>1320617.7621967823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8" t="s">
        <v>131</v>
      </c>
      <c r="B33" s="258" t="str">
        <f>Option2!A113</f>
        <v>sens4</v>
      </c>
      <c r="C33" s="258" t="str">
        <f>Option2!C113</f>
        <v>Total benefits 10% lower</v>
      </c>
      <c r="D33" s="258" t="str">
        <f t="shared" si="2"/>
        <v>Option 2sens4</v>
      </c>
      <c r="E33" s="259"/>
      <c r="F33" s="31">
        <f t="shared" si="3"/>
        <v>10211913.005963044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17665.052700639713</v>
      </c>
      <c r="K33" s="31">
        <f>IF($B33=0,0, (INDEX(Option2!K$106:K$117, MATCH($D33, Option2!$G$106:$G$117,0)))*conv_2026*K$7)</f>
        <v>75199.893418151536</v>
      </c>
      <c r="L33" s="31">
        <f>IF($B33=0,0, (INDEX(Option2!L$106:L$117, MATCH($D33, Option2!$G$106:$G$117,0)))*conv_2026*L$7)</f>
        <v>186770.06823117961</v>
      </c>
      <c r="M33" s="31">
        <f>IF($B33=0,0, (INDEX(Option2!M$106:M$117, MATCH($D33, Option2!$G$106:$G$117,0)))*conv_2026*M$7)</f>
        <v>371286.36509716872</v>
      </c>
      <c r="N33" s="31">
        <f>IF($B33=0,0, (INDEX(Option2!N$106:N$117, MATCH($D33, Option2!$G$106:$G$117,0)))*conv_2026*N$7)</f>
        <v>653959.16455824871</v>
      </c>
      <c r="O33" s="31">
        <f>IF($B33=0,0, (INDEX(Option2!O$106:O$117, MATCH($D33, Option2!$G$106:$G$117,0)))*conv_2026*O$7)</f>
        <v>875170.23295528896</v>
      </c>
      <c r="P33" s="31">
        <f>IF($B33=0,0, (INDEX(Option2!P$106:P$117, MATCH($D33, Option2!$G$106:$G$117,0)))*conv_2026*P$7)</f>
        <v>1004531.6290236885</v>
      </c>
      <c r="Q33" s="31">
        <f>IF($B33=0,0, (INDEX(Option2!Q$106:Q$117, MATCH($D33, Option2!$G$106:$G$117,0)))*conv_2026*Q$7)</f>
        <v>1021380.691222043</v>
      </c>
      <c r="R33" s="31">
        <f>IF($B33=0,0, (INDEX(Option2!R$106:R$117, MATCH($D33, Option2!$G$106:$G$117,0)))*conv_2026*R$7)</f>
        <v>1021380.6912220728</v>
      </c>
      <c r="S33" s="31">
        <f>IF($B33=0,0, (INDEX(Option2!S$106:S$117, MATCH($D33, Option2!$G$106:$G$117,0)))*conv_2026*S$7)</f>
        <v>1021380.6912220131</v>
      </c>
      <c r="T33" s="31">
        <f>IF($B33=0,0, (INDEX(Option2!T$106:T$117, MATCH($D33, Option2!$G$106:$G$117,0)))*conv_2026*T$7)</f>
        <v>1021380.6912221325</v>
      </c>
      <c r="U33" s="31">
        <f>IF($B33=0,0, (INDEX(Option2!U$106:U$117, MATCH($D33, Option2!$G$106:$G$117,0)))*conv_2026*U$7)</f>
        <v>1021380.6912220728</v>
      </c>
      <c r="V33" s="31">
        <f>IF($B33=0,0, (INDEX(Option2!V$106:V$117, MATCH($D33, Option2!$G$106:$G$117,0)))*conv_2026*V$7)</f>
        <v>1021380.6912220728</v>
      </c>
      <c r="W33" s="31">
        <f>IF($B33=0,0, (INDEX(Option2!W$106:W$117, MATCH($D33, Option2!$G$106:$G$117,0)))*conv_2026*W$7)</f>
        <v>1021380.6912220728</v>
      </c>
      <c r="X33" s="31">
        <f>IF($B33=0,0, (INDEX(Option2!X$106:X$117, MATCH($D33, Option2!$G$106:$G$117,0)))*conv_2026*X$7)</f>
        <v>1021380.6912220131</v>
      </c>
      <c r="Y33" s="31">
        <f>IF($B33=0,0, (INDEX(Option2!Y$106:Y$117, MATCH($D33, Option2!$G$106:$G$117,0)))*conv_2026*Y$7)</f>
        <v>1021380.6912220131</v>
      </c>
      <c r="Z33" s="31">
        <f>IF($B33=0,0, (INDEX(Option2!Z$106:Z$117, MATCH($D33, Option2!$G$106:$G$117,0)))*conv_2026*Z$7)</f>
        <v>1021380.6912220728</v>
      </c>
      <c r="AA33" s="31">
        <f>IF($B33=0,0, (INDEX(Option2!AA$106:AA$117, MATCH($D33, Option2!$G$106:$G$117,0)))*conv_2026*AA$7)</f>
        <v>1021380.6912220131</v>
      </c>
      <c r="AB33" s="31">
        <f>IF($B33=0,0, (INDEX(Option2!AB$106:AB$117, MATCH($D33, Option2!$G$106:$G$117,0)))*conv_2026*AB$7)</f>
        <v>1021380.6912220131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8" t="s">
        <v>131</v>
      </c>
      <c r="B34" s="258" t="str">
        <f>Option2!A114</f>
        <v>sens5</v>
      </c>
      <c r="C34" s="258" t="str">
        <f>Option2!C114</f>
        <v>Capex 10% higher &amp; total benefits 10% lower</v>
      </c>
      <c r="D34" s="258" t="str">
        <f t="shared" si="2"/>
        <v>Option 2sens5</v>
      </c>
      <c r="E34" s="259"/>
      <c r="F34" s="31">
        <f t="shared" si="3"/>
        <v>9833403.689838497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11161.330137350746</v>
      </c>
      <c r="K34" s="31">
        <f>IF($B34=0,0, (INDEX(Option2!K$106:K$117, MATCH($D34, Option2!$G$106:$G$117,0)))*conv_2026*K$7)</f>
        <v>62192.448291573601</v>
      </c>
      <c r="L34" s="31">
        <f>IF($B34=0,0, (INDEX(Option2!L$106:L$117, MATCH($D34, Option2!$G$106:$G$117,0)))*conv_2026*L$7)</f>
        <v>167258.9005413127</v>
      </c>
      <c r="M34" s="31">
        <f>IF($B34=0,0, (INDEX(Option2!M$106:M$117, MATCH($D34, Option2!$G$106:$G$117,0)))*conv_2026*M$7)</f>
        <v>345271.47484401282</v>
      </c>
      <c r="N34" s="31">
        <f>IF($B34=0,0, (INDEX(Option2!N$106:N$117, MATCH($D34, Option2!$G$106:$G$117,0)))*conv_2026*N$7)</f>
        <v>621440.55174180388</v>
      </c>
      <c r="O34" s="31">
        <f>IF($B34=0,0, (INDEX(Option2!O$106:O$117, MATCH($D34, Option2!$G$106:$G$117,0)))*conv_2026*O$7)</f>
        <v>842651.62013884413</v>
      </c>
      <c r="P34" s="31">
        <f>IF($B34=0,0, (INDEX(Option2!P$106:P$117, MATCH($D34, Option2!$G$106:$G$117,0)))*conv_2026*P$7)</f>
        <v>972013.01620724378</v>
      </c>
      <c r="Q34" s="31">
        <f>IF($B34=0,0, (INDEX(Option2!Q$106:Q$117, MATCH($D34, Option2!$G$106:$G$117,0)))*conv_2026*Q$7)</f>
        <v>988862.07840559818</v>
      </c>
      <c r="R34" s="31">
        <f>IF($B34=0,0, (INDEX(Option2!R$106:R$117, MATCH($D34, Option2!$G$106:$G$117,0)))*conv_2026*R$7)</f>
        <v>988862.07840562798</v>
      </c>
      <c r="S34" s="31">
        <f>IF($B34=0,0, (INDEX(Option2!S$106:S$117, MATCH($D34, Option2!$G$106:$G$117,0)))*conv_2026*S$7)</f>
        <v>988862.07840556826</v>
      </c>
      <c r="T34" s="31">
        <f>IF($B34=0,0, (INDEX(Option2!T$106:T$117, MATCH($D34, Option2!$G$106:$G$117,0)))*conv_2026*T$7)</f>
        <v>988862.0784056877</v>
      </c>
      <c r="U34" s="31">
        <f>IF($B34=0,0, (INDEX(Option2!U$106:U$117, MATCH($D34, Option2!$G$106:$G$117,0)))*conv_2026*U$7)</f>
        <v>988862.07840562798</v>
      </c>
      <c r="V34" s="31">
        <f>IF($B34=0,0, (INDEX(Option2!V$106:V$117, MATCH($D34, Option2!$G$106:$G$117,0)))*conv_2026*V$7)</f>
        <v>988862.07840562798</v>
      </c>
      <c r="W34" s="31">
        <f>IF($B34=0,0, (INDEX(Option2!W$106:W$117, MATCH($D34, Option2!$G$106:$G$117,0)))*conv_2026*W$7)</f>
        <v>988862.07840562798</v>
      </c>
      <c r="X34" s="31">
        <f>IF($B34=0,0, (INDEX(Option2!X$106:X$117, MATCH($D34, Option2!$G$106:$G$117,0)))*conv_2026*X$7)</f>
        <v>988862.07840556826</v>
      </c>
      <c r="Y34" s="31">
        <f>IF($B34=0,0, (INDEX(Option2!Y$106:Y$117, MATCH($D34, Option2!$G$106:$G$117,0)))*conv_2026*Y$7)</f>
        <v>988862.07840556826</v>
      </c>
      <c r="Z34" s="31">
        <f>IF($B34=0,0, (INDEX(Option2!Z$106:Z$117, MATCH($D34, Option2!$G$106:$G$117,0)))*conv_2026*Z$7)</f>
        <v>988862.07840562798</v>
      </c>
      <c r="AA34" s="31">
        <f>IF($B34=0,0, (INDEX(Option2!AA$106:AA$117, MATCH($D34, Option2!$G$106:$G$117,0)))*conv_2026*AA$7)</f>
        <v>988862.07840556826</v>
      </c>
      <c r="AB34" s="31">
        <f>IF($B34=0,0, (INDEX(Option2!AB$106:AB$117, MATCH($D34, Option2!$G$106:$G$117,0)))*conv_2026*AB$7)</f>
        <v>988862.07840556826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8" t="s">
        <v>131</v>
      </c>
      <c r="B35" s="258" t="str">
        <f>Option2!A115</f>
        <v>sens</v>
      </c>
      <c r="C35" s="258">
        <f>Option2!C115</f>
        <v>0</v>
      </c>
      <c r="D35" s="258" t="str">
        <f t="shared" si="2"/>
        <v>Option 2sens</v>
      </c>
      <c r="E35" s="259"/>
      <c r="F35" s="31">
        <f t="shared" si="3"/>
        <v>11767135.913430654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26854.194737698537</v>
      </c>
      <c r="K35" s="31">
        <f>IF($B35=0,0, (INDEX(Option2!K$106:K$117, MATCH($D35, Option2!$G$106:$G$117,0)))*conv_2026*K$7)</f>
        <v>98008.153938588293</v>
      </c>
      <c r="L35" s="31">
        <f>IF($B35=0,0, (INDEX(Option2!L$106:L$117, MATCH($D35, Option2!$G$106:$G$117,0)))*conv_2026*L$7)</f>
        <v>229201.37324560722</v>
      </c>
      <c r="M35" s="31">
        <f>IF($B35=0,0, (INDEX(Option2!M$106:M$117, MATCH($D35, Option2!$G$106:$G$117,0)))*conv_2026*M$7)</f>
        <v>441445.83927813842</v>
      </c>
      <c r="N35" s="31">
        <f>IF($B35=0,0, (INDEX(Option2!N$106:N$117, MATCH($D35, Option2!$G$106:$G$117,0)))*conv_2026*N$7)</f>
        <v>762753.08597188175</v>
      </c>
      <c r="O35" s="31">
        <f>IF($B35=0,0, (INDEX(Option2!O$106:O$117, MATCH($D35, Option2!$G$106:$G$117,0)))*conv_2026*O$7)</f>
        <v>1008543.1619685931</v>
      </c>
      <c r="P35" s="31">
        <f>IF($B35=0,0, (INDEX(Option2!P$106:P$117, MATCH($D35, Option2!$G$106:$G$117,0)))*conv_2026*P$7)</f>
        <v>1152278.0464890371</v>
      </c>
      <c r="Q35" s="31">
        <f>IF($B35=0,0, (INDEX(Option2!Q$106:Q$117, MATCH($D35, Option2!$G$106:$G$117,0)))*conv_2026*Q$7)</f>
        <v>1170999.2267094308</v>
      </c>
      <c r="R35" s="31">
        <f>IF($B35=0,0, (INDEX(Option2!R$106:R$117, MATCH($D35, Option2!$G$106:$G$117,0)))*conv_2026*R$7)</f>
        <v>1170999.2267094641</v>
      </c>
      <c r="S35" s="31">
        <f>IF($B35=0,0, (INDEX(Option2!S$106:S$117, MATCH($D35, Option2!$G$106:$G$117,0)))*conv_2026*S$7)</f>
        <v>1170999.2267093977</v>
      </c>
      <c r="T35" s="31">
        <f>IF($B35=0,0, (INDEX(Option2!T$106:T$117, MATCH($D35, Option2!$G$106:$G$117,0)))*conv_2026*T$7)</f>
        <v>1170999.2267095305</v>
      </c>
      <c r="U35" s="31">
        <f>IF($B35=0,0, (INDEX(Option2!U$106:U$117, MATCH($D35, Option2!$G$106:$G$117,0)))*conv_2026*U$7)</f>
        <v>1170999.2267094641</v>
      </c>
      <c r="V35" s="31">
        <f>IF($B35=0,0, (INDEX(Option2!V$106:V$117, MATCH($D35, Option2!$G$106:$G$117,0)))*conv_2026*V$7)</f>
        <v>1170999.2267094641</v>
      </c>
      <c r="W35" s="31">
        <f>IF($B35=0,0, (INDEX(Option2!W$106:W$117, MATCH($D35, Option2!$G$106:$G$117,0)))*conv_2026*W$7)</f>
        <v>1170999.2267094641</v>
      </c>
      <c r="X35" s="31">
        <f>IF($B35=0,0, (INDEX(Option2!X$106:X$117, MATCH($D35, Option2!$G$106:$G$117,0)))*conv_2026*X$7)</f>
        <v>1170999.2267093977</v>
      </c>
      <c r="Y35" s="31">
        <f>IF($B35=0,0, (INDEX(Option2!Y$106:Y$117, MATCH($D35, Option2!$G$106:$G$117,0)))*conv_2026*Y$7)</f>
        <v>1170999.2267093977</v>
      </c>
      <c r="Z35" s="31">
        <f>IF($B35=0,0, (INDEX(Option2!Z$106:Z$117, MATCH($D35, Option2!$G$106:$G$117,0)))*conv_2026*Z$7)</f>
        <v>1170999.2267094641</v>
      </c>
      <c r="AA35" s="31">
        <f>IF($B35=0,0, (INDEX(Option2!AA$106:AA$117, MATCH($D35, Option2!$G$106:$G$117,0)))*conv_2026*AA$7)</f>
        <v>1170999.2267093977</v>
      </c>
      <c r="AB35" s="31">
        <f>IF($B35=0,0, (INDEX(Option2!AB$106:AB$117, MATCH($D35, Option2!$G$106:$G$117,0)))*conv_2026*AB$7)</f>
        <v>1170999.2267093977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8" t="s">
        <v>131</v>
      </c>
      <c r="B36" s="258" t="str">
        <f>Option2!A116</f>
        <v>sens</v>
      </c>
      <c r="C36" s="258">
        <f>Option2!C116</f>
        <v>0</v>
      </c>
      <c r="D36" s="258" t="str">
        <f t="shared" si="2"/>
        <v>Option 2sens</v>
      </c>
      <c r="E36" s="259"/>
      <c r="F36" s="31">
        <f t="shared" si="3"/>
        <v>11767135.913430654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26854.194737698537</v>
      </c>
      <c r="K36" s="31">
        <f>IF($B36=0,0, (INDEX(Option2!K$106:K$117, MATCH($D36, Option2!$G$106:$G$117,0)))*conv_2026*K$7)</f>
        <v>98008.153938588293</v>
      </c>
      <c r="L36" s="31">
        <f>IF($B36=0,0, (INDEX(Option2!L$106:L$117, MATCH($D36, Option2!$G$106:$G$117,0)))*conv_2026*L$7)</f>
        <v>229201.37324560722</v>
      </c>
      <c r="M36" s="31">
        <f>IF($B36=0,0, (INDEX(Option2!M$106:M$117, MATCH($D36, Option2!$G$106:$G$117,0)))*conv_2026*M$7)</f>
        <v>441445.83927813842</v>
      </c>
      <c r="N36" s="31">
        <f>IF($B36=0,0, (INDEX(Option2!N$106:N$117, MATCH($D36, Option2!$G$106:$G$117,0)))*conv_2026*N$7)</f>
        <v>762753.08597188175</v>
      </c>
      <c r="O36" s="31">
        <f>IF($B36=0,0, (INDEX(Option2!O$106:O$117, MATCH($D36, Option2!$G$106:$G$117,0)))*conv_2026*O$7)</f>
        <v>1008543.1619685931</v>
      </c>
      <c r="P36" s="31">
        <f>IF($B36=0,0, (INDEX(Option2!P$106:P$117, MATCH($D36, Option2!$G$106:$G$117,0)))*conv_2026*P$7)</f>
        <v>1152278.0464890371</v>
      </c>
      <c r="Q36" s="31">
        <f>IF($B36=0,0, (INDEX(Option2!Q$106:Q$117, MATCH($D36, Option2!$G$106:$G$117,0)))*conv_2026*Q$7)</f>
        <v>1170999.2267094308</v>
      </c>
      <c r="R36" s="31">
        <f>IF($B36=0,0, (INDEX(Option2!R$106:R$117, MATCH($D36, Option2!$G$106:$G$117,0)))*conv_2026*R$7)</f>
        <v>1170999.2267094641</v>
      </c>
      <c r="S36" s="31">
        <f>IF($B36=0,0, (INDEX(Option2!S$106:S$117, MATCH($D36, Option2!$G$106:$G$117,0)))*conv_2026*S$7)</f>
        <v>1170999.2267093977</v>
      </c>
      <c r="T36" s="31">
        <f>IF($B36=0,0, (INDEX(Option2!T$106:T$117, MATCH($D36, Option2!$G$106:$G$117,0)))*conv_2026*T$7)</f>
        <v>1170999.2267095305</v>
      </c>
      <c r="U36" s="31">
        <f>IF($B36=0,0, (INDEX(Option2!U$106:U$117, MATCH($D36, Option2!$G$106:$G$117,0)))*conv_2026*U$7)</f>
        <v>1170999.2267094641</v>
      </c>
      <c r="V36" s="31">
        <f>IF($B36=0,0, (INDEX(Option2!V$106:V$117, MATCH($D36, Option2!$G$106:$G$117,0)))*conv_2026*V$7)</f>
        <v>1170999.2267094641</v>
      </c>
      <c r="W36" s="31">
        <f>IF($B36=0,0, (INDEX(Option2!W$106:W$117, MATCH($D36, Option2!$G$106:$G$117,0)))*conv_2026*W$7)</f>
        <v>1170999.2267094641</v>
      </c>
      <c r="X36" s="31">
        <f>IF($B36=0,0, (INDEX(Option2!X$106:X$117, MATCH($D36, Option2!$G$106:$G$117,0)))*conv_2026*X$7)</f>
        <v>1170999.2267093977</v>
      </c>
      <c r="Y36" s="31">
        <f>IF($B36=0,0, (INDEX(Option2!Y$106:Y$117, MATCH($D36, Option2!$G$106:$G$117,0)))*conv_2026*Y$7)</f>
        <v>1170999.2267093977</v>
      </c>
      <c r="Z36" s="31">
        <f>IF($B36=0,0, (INDEX(Option2!Z$106:Z$117, MATCH($D36, Option2!$G$106:$G$117,0)))*conv_2026*Z$7)</f>
        <v>1170999.2267094641</v>
      </c>
      <c r="AA36" s="31">
        <f>IF($B36=0,0, (INDEX(Option2!AA$106:AA$117, MATCH($D36, Option2!$G$106:$G$117,0)))*conv_2026*AA$7)</f>
        <v>1170999.2267093977</v>
      </c>
      <c r="AB36" s="31">
        <f>IF($B36=0,0, (INDEX(Option2!AB$106:AB$117, MATCH($D36, Option2!$G$106:$G$117,0)))*conv_2026*AB$7)</f>
        <v>1170999.2267093977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8" t="s">
        <v>131</v>
      </c>
      <c r="B37" s="258" t="str">
        <f>Option2!A117</f>
        <v>sens</v>
      </c>
      <c r="C37" s="258">
        <f>Option2!C117</f>
        <v>0</v>
      </c>
      <c r="D37" s="258" t="str">
        <f t="shared" si="2"/>
        <v>Option 2sens</v>
      </c>
      <c r="E37" s="259"/>
      <c r="F37" s="31">
        <f t="shared" si="3"/>
        <v>11767135.913430654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26854.194737698537</v>
      </c>
      <c r="K37" s="31">
        <f>IF($B37=0,0, (INDEX(Option2!K$106:K$117, MATCH($D37, Option2!$G$106:$G$117,0)))*conv_2026*K$7)</f>
        <v>98008.153938588293</v>
      </c>
      <c r="L37" s="31">
        <f>IF($B37=0,0, (INDEX(Option2!L$106:L$117, MATCH($D37, Option2!$G$106:$G$117,0)))*conv_2026*L$7)</f>
        <v>229201.37324560722</v>
      </c>
      <c r="M37" s="31">
        <f>IF($B37=0,0, (INDEX(Option2!M$106:M$117, MATCH($D37, Option2!$G$106:$G$117,0)))*conv_2026*M$7)</f>
        <v>441445.83927813842</v>
      </c>
      <c r="N37" s="31">
        <f>IF($B37=0,0, (INDEX(Option2!N$106:N$117, MATCH($D37, Option2!$G$106:$G$117,0)))*conv_2026*N$7)</f>
        <v>762753.08597188175</v>
      </c>
      <c r="O37" s="31">
        <f>IF($B37=0,0, (INDEX(Option2!O$106:O$117, MATCH($D37, Option2!$G$106:$G$117,0)))*conv_2026*O$7)</f>
        <v>1008543.1619685931</v>
      </c>
      <c r="P37" s="31">
        <f>IF($B37=0,0, (INDEX(Option2!P$106:P$117, MATCH($D37, Option2!$G$106:$G$117,0)))*conv_2026*P$7)</f>
        <v>1152278.0464890371</v>
      </c>
      <c r="Q37" s="31">
        <f>IF($B37=0,0, (INDEX(Option2!Q$106:Q$117, MATCH($D37, Option2!$G$106:$G$117,0)))*conv_2026*Q$7)</f>
        <v>1170999.2267094308</v>
      </c>
      <c r="R37" s="31">
        <f>IF($B37=0,0, (INDEX(Option2!R$106:R$117, MATCH($D37, Option2!$G$106:$G$117,0)))*conv_2026*R$7)</f>
        <v>1170999.2267094641</v>
      </c>
      <c r="S37" s="31">
        <f>IF($B37=0,0, (INDEX(Option2!S$106:S$117, MATCH($D37, Option2!$G$106:$G$117,0)))*conv_2026*S$7)</f>
        <v>1170999.2267093977</v>
      </c>
      <c r="T37" s="31">
        <f>IF($B37=0,0, (INDEX(Option2!T$106:T$117, MATCH($D37, Option2!$G$106:$G$117,0)))*conv_2026*T$7)</f>
        <v>1170999.2267095305</v>
      </c>
      <c r="U37" s="31">
        <f>IF($B37=0,0, (INDEX(Option2!U$106:U$117, MATCH($D37, Option2!$G$106:$G$117,0)))*conv_2026*U$7)</f>
        <v>1170999.2267094641</v>
      </c>
      <c r="V37" s="31">
        <f>IF($B37=0,0, (INDEX(Option2!V$106:V$117, MATCH($D37, Option2!$G$106:$G$117,0)))*conv_2026*V$7)</f>
        <v>1170999.2267094641</v>
      </c>
      <c r="W37" s="31">
        <f>IF($B37=0,0, (INDEX(Option2!W$106:W$117, MATCH($D37, Option2!$G$106:$G$117,0)))*conv_2026*W$7)</f>
        <v>1170999.2267094641</v>
      </c>
      <c r="X37" s="31">
        <f>IF($B37=0,0, (INDEX(Option2!X$106:X$117, MATCH($D37, Option2!$G$106:$G$117,0)))*conv_2026*X$7)</f>
        <v>1170999.2267093977</v>
      </c>
      <c r="Y37" s="31">
        <f>IF($B37=0,0, (INDEX(Option2!Y$106:Y$117, MATCH($D37, Option2!$G$106:$G$117,0)))*conv_2026*Y$7)</f>
        <v>1170999.2267093977</v>
      </c>
      <c r="Z37" s="31">
        <f>IF($B37=0,0, (INDEX(Option2!Z$106:Z$117, MATCH($D37, Option2!$G$106:$G$117,0)))*conv_2026*Z$7)</f>
        <v>1170999.2267094641</v>
      </c>
      <c r="AA37" s="31">
        <f>IF($B37=0,0, (INDEX(Option2!AA$106:AA$117, MATCH($D37, Option2!$G$106:$G$117,0)))*conv_2026*AA$7)</f>
        <v>1170999.2267093977</v>
      </c>
      <c r="AB37" s="31">
        <f>IF($B37=0,0, (INDEX(Option2!AB$106:AB$117, MATCH($D37, Option2!$G$106:$G$117,0)))*conv_2026*AB$7)</f>
        <v>1170999.2267093977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8"/>
      <c r="B38" s="258"/>
      <c r="C38" s="258"/>
      <c r="D38" s="258"/>
      <c r="E38" s="258"/>
      <c r="F38" s="31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</row>
    <row r="39" spans="1:35" s="8" customFormat="1" x14ac:dyDescent="0.2">
      <c r="A39" s="258"/>
      <c r="B39" s="258"/>
      <c r="C39" s="258"/>
      <c r="D39" s="258"/>
      <c r="E39" s="258"/>
      <c r="F39" s="31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</row>
    <row r="40" spans="1:35" s="8" customFormat="1" x14ac:dyDescent="0.2">
      <c r="A40" s="258"/>
      <c r="B40" s="258"/>
      <c r="C40" s="258"/>
      <c r="D40" s="258"/>
      <c r="E40" s="258"/>
      <c r="F40" s="31"/>
      <c r="H40" s="31">
        <f>Consol!H50</f>
        <v>0</v>
      </c>
      <c r="I40" s="31">
        <f>Consol!I50</f>
        <v>0</v>
      </c>
      <c r="J40" s="31">
        <f>Consol!J50</f>
        <v>17049.913898524304</v>
      </c>
      <c r="K40" s="31">
        <f>Consol!K50</f>
        <v>111696.21201218589</v>
      </c>
      <c r="L40" s="31">
        <f>Consol!L50</f>
        <v>313088.4531846951</v>
      </c>
      <c r="M40" s="31">
        <f>Consol!M50</f>
        <v>660660.16469437117</v>
      </c>
      <c r="N40" s="31">
        <f>Consol!N50</f>
        <v>1207665.1533634458</v>
      </c>
      <c r="O40" s="31">
        <f>Consol!O50</f>
        <v>1609398.2961289822</v>
      </c>
      <c r="P40" s="31">
        <f>Consol!P50</f>
        <v>1822656.1708664577</v>
      </c>
      <c r="Q40" s="31">
        <f>Consol!Q50</f>
        <v>1925408.4826539778</v>
      </c>
      <c r="R40" s="31">
        <f>Consol!R50</f>
        <v>1925972.6168350875</v>
      </c>
      <c r="S40" s="31">
        <f>Consol!S50</f>
        <v>1925972.6168350545</v>
      </c>
      <c r="T40" s="31">
        <f>Consol!T50</f>
        <v>1925972.6168350545</v>
      </c>
      <c r="U40" s="31">
        <f>Consol!U50</f>
        <v>1925972.6168350545</v>
      </c>
      <c r="V40" s="31">
        <f>Consol!V50</f>
        <v>1925972.6168350545</v>
      </c>
      <c r="W40" s="31">
        <f>Consol!W50</f>
        <v>1925972.6168350545</v>
      </c>
      <c r="X40" s="31">
        <f>Consol!X50</f>
        <v>1925972.6168349884</v>
      </c>
      <c r="Y40" s="31">
        <f>Consol!Y50</f>
        <v>1925972.6168350545</v>
      </c>
      <c r="Z40" s="31">
        <f>Consol!Z50</f>
        <v>1925972.6168350545</v>
      </c>
      <c r="AA40" s="31">
        <f>Consol!AA50</f>
        <v>1925972.6168350545</v>
      </c>
      <c r="AB40" s="31">
        <f>Consol!AB50</f>
        <v>1925972.6168350545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8"/>
      <c r="B41" s="258"/>
      <c r="C41" s="258"/>
      <c r="D41" s="258"/>
      <c r="E41" s="258"/>
      <c r="F41" s="31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</row>
    <row r="42" spans="1:35" s="8" customFormat="1" x14ac:dyDescent="0.2">
      <c r="A42" s="258" t="s">
        <v>132</v>
      </c>
      <c r="B42" s="258" t="s">
        <v>119</v>
      </c>
      <c r="C42" s="258" t="s">
        <v>188</v>
      </c>
      <c r="D42" s="258" t="str">
        <f>A42&amp;B42</f>
        <v>Option 3NPV</v>
      </c>
      <c r="E42" s="259"/>
      <c r="F42" s="31">
        <f t="shared" ref="F42:F51" si="4">SUMPRODUCT($H42:$AG42, $H$5:$AG$5)</f>
        <v>19035165.65560881</v>
      </c>
      <c r="G42" s="251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17049.913898524308</v>
      </c>
      <c r="K42" s="31">
        <f>(INDEX(Option3!K$106:K$117, MATCH($D42, Option3!$G$106:$G$117,0)))*conv_2026*K$7</f>
        <v>111696.21201218592</v>
      </c>
      <c r="L42" s="31">
        <f>(INDEX(Option3!L$106:L$117, MATCH($D42, Option3!$G$106:$G$117,0)))*conv_2026*L$7</f>
        <v>313088.45318469516</v>
      </c>
      <c r="M42" s="31">
        <f>(INDEX(Option3!M$106:M$117, MATCH($D42, Option3!$G$106:$G$117,0)))*conv_2026*M$7</f>
        <v>660660.16469437117</v>
      </c>
      <c r="N42" s="31">
        <f>(INDEX(Option3!N$106:N$117, MATCH($D42, Option3!$G$106:$G$117,0)))*conv_2026*N$7</f>
        <v>1207665.1533634458</v>
      </c>
      <c r="O42" s="31">
        <f>(INDEX(Option3!O$106:O$117, MATCH($D42, Option3!$G$106:$G$117,0)))*conv_2026*O$7</f>
        <v>1609398.2961289822</v>
      </c>
      <c r="P42" s="31">
        <f>(INDEX(Option3!P$106:P$117, MATCH($D42, Option3!$G$106:$G$117,0)))*conv_2026*P$7</f>
        <v>1822656.170866458</v>
      </c>
      <c r="Q42" s="31">
        <f>(INDEX(Option3!Q$106:Q$117, MATCH($D42, Option3!$G$106:$G$117,0)))*conv_2026*Q$7</f>
        <v>1925408.482653978</v>
      </c>
      <c r="R42" s="31">
        <f>(INDEX(Option3!R$106:R$117, MATCH($D42, Option3!$G$106:$G$117,0)))*conv_2026*R$7</f>
        <v>1925972.6168350875</v>
      </c>
      <c r="S42" s="31">
        <f>(INDEX(Option3!S$106:S$117, MATCH($D42, Option3!$G$106:$G$117,0)))*conv_2026*S$7</f>
        <v>1925972.6168350545</v>
      </c>
      <c r="T42" s="31">
        <f>(INDEX(Option3!T$106:T$117, MATCH($D42, Option3!$G$106:$G$117,0)))*conv_2026*T$7</f>
        <v>1925972.6168350545</v>
      </c>
      <c r="U42" s="31">
        <f>(INDEX(Option3!U$106:U$117, MATCH($D42, Option3!$G$106:$G$117,0)))*conv_2026*U$7</f>
        <v>1925972.6168350545</v>
      </c>
      <c r="V42" s="31">
        <f>(INDEX(Option3!V$106:V$117, MATCH($D42, Option3!$G$106:$G$117,0)))*conv_2026*V$7</f>
        <v>1925972.6168350545</v>
      </c>
      <c r="W42" s="31">
        <f>(INDEX(Option3!W$106:W$117, MATCH($D42, Option3!$G$106:$G$117,0)))*conv_2026*W$7</f>
        <v>1925972.6168350545</v>
      </c>
      <c r="X42" s="31">
        <f>(INDEX(Option3!X$106:X$117, MATCH($D42, Option3!$G$106:$G$117,0)))*conv_2026*X$7</f>
        <v>1925972.6168349881</v>
      </c>
      <c r="Y42" s="31">
        <f>(INDEX(Option3!Y$106:Y$117, MATCH($D42, Option3!$G$106:$G$117,0)))*conv_2026*Y$7</f>
        <v>1925972.6168350545</v>
      </c>
      <c r="Z42" s="31">
        <f>(INDEX(Option3!Z$106:Z$117, MATCH($D42, Option3!$G$106:$G$117,0)))*conv_2026*Z$7</f>
        <v>1925972.6168350545</v>
      </c>
      <c r="AA42" s="31">
        <f>(INDEX(Option3!AA$106:AA$117, MATCH($D42, Option3!$G$106:$G$117,0)))*conv_2026*AA$7</f>
        <v>1925972.6168350545</v>
      </c>
      <c r="AB42" s="31">
        <f>(INDEX(Option3!AB$106:AB$117, MATCH($D42, Option3!$G$106:$G$117,0)))*conv_2026*AB$7</f>
        <v>1925972.6168350545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50"/>
      <c r="B43" s="250"/>
      <c r="C43" s="250"/>
      <c r="D43" s="250"/>
      <c r="E43" s="250"/>
      <c r="F43" s="250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7"/>
      <c r="AI43" s="7"/>
    </row>
    <row r="44" spans="1:35" s="8" customFormat="1" x14ac:dyDescent="0.2">
      <c r="A44" s="258" t="s">
        <v>132</v>
      </c>
      <c r="B44" s="258" t="str">
        <f>Option3!A110</f>
        <v>sens1</v>
      </c>
      <c r="C44" s="258" t="str">
        <f>Option3!C110</f>
        <v>Capex 10% higher</v>
      </c>
      <c r="D44" s="258" t="str">
        <f t="shared" ref="D44:D51" si="5">A44&amp;B44</f>
        <v>Option 3sens1</v>
      </c>
      <c r="E44" s="259"/>
      <c r="F44" s="31">
        <f t="shared" si="4"/>
        <v>18256190.419122882</v>
      </c>
      <c r="G44" s="251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3665.2002178976136</v>
      </c>
      <c r="K44" s="31">
        <f>(INDEX(Option3!K$106:K$117, MATCH($D44, Option3!$G$106:$G$117,0)))*conv_2026*K$7</f>
        <v>84926.784650932532</v>
      </c>
      <c r="L44" s="31">
        <f>(INDEX(Option3!L$106:L$117, MATCH($D44, Option3!$G$106:$G$117,0)))*conv_2026*L$7</f>
        <v>272934.31214281509</v>
      </c>
      <c r="M44" s="31">
        <f>(INDEX(Option3!M$106:M$117, MATCH($D44, Option3!$G$106:$G$117,0)))*conv_2026*M$7</f>
        <v>607121.30997186445</v>
      </c>
      <c r="N44" s="31">
        <f>(INDEX(Option3!N$106:N$117, MATCH($D44, Option3!$G$106:$G$117,0)))*conv_2026*N$7</f>
        <v>1140741.5849603121</v>
      </c>
      <c r="O44" s="31">
        <f>(INDEX(Option3!O$106:O$117, MATCH($D44, Option3!$G$106:$G$117,0)))*conv_2026*O$7</f>
        <v>1542474.7277258488</v>
      </c>
      <c r="P44" s="31">
        <f>(INDEX(Option3!P$106:P$117, MATCH($D44, Option3!$G$106:$G$117,0)))*conv_2026*P$7</f>
        <v>1755732.6024633246</v>
      </c>
      <c r="Q44" s="31">
        <f>(INDEX(Option3!Q$106:Q$117, MATCH($D44, Option3!$G$106:$G$117,0)))*conv_2026*Q$7</f>
        <v>1858484.9142508446</v>
      </c>
      <c r="R44" s="31">
        <f>(INDEX(Option3!R$106:R$117, MATCH($D44, Option3!$G$106:$G$117,0)))*conv_2026*R$7</f>
        <v>1859049.0484319543</v>
      </c>
      <c r="S44" s="31">
        <f>(INDEX(Option3!S$106:S$117, MATCH($D44, Option3!$G$106:$G$117,0)))*conv_2026*S$7</f>
        <v>1859049.0484319211</v>
      </c>
      <c r="T44" s="31">
        <f>(INDEX(Option3!T$106:T$117, MATCH($D44, Option3!$G$106:$G$117,0)))*conv_2026*T$7</f>
        <v>1859049.0484319211</v>
      </c>
      <c r="U44" s="31">
        <f>(INDEX(Option3!U$106:U$117, MATCH($D44, Option3!$G$106:$G$117,0)))*conv_2026*U$7</f>
        <v>1859049.0484319211</v>
      </c>
      <c r="V44" s="31">
        <f>(INDEX(Option3!V$106:V$117, MATCH($D44, Option3!$G$106:$G$117,0)))*conv_2026*V$7</f>
        <v>1859049.0484319211</v>
      </c>
      <c r="W44" s="31">
        <f>(INDEX(Option3!W$106:W$117, MATCH($D44, Option3!$G$106:$G$117,0)))*conv_2026*W$7</f>
        <v>1859049.0484319211</v>
      </c>
      <c r="X44" s="31">
        <f>(INDEX(Option3!X$106:X$117, MATCH($D44, Option3!$G$106:$G$117,0)))*conv_2026*X$7</f>
        <v>1859049.0484318547</v>
      </c>
      <c r="Y44" s="31">
        <f>(INDEX(Option3!Y$106:Y$117, MATCH($D44, Option3!$G$106:$G$117,0)))*conv_2026*Y$7</f>
        <v>1859049.0484319211</v>
      </c>
      <c r="Z44" s="31">
        <f>(INDEX(Option3!Z$106:Z$117, MATCH($D44, Option3!$G$106:$G$117,0)))*conv_2026*Z$7</f>
        <v>1859049.0484319211</v>
      </c>
      <c r="AA44" s="31">
        <f>(INDEX(Option3!AA$106:AA$117, MATCH($D44, Option3!$G$106:$G$117,0)))*conv_2026*AA$7</f>
        <v>1859049.0484319211</v>
      </c>
      <c r="AB44" s="31">
        <f>(INDEX(Option3!AB$106:AB$117, MATCH($D44, Option3!$G$106:$G$117,0)))*conv_2026*AB$7</f>
        <v>1859049.0484319211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8" t="s">
        <v>132</v>
      </c>
      <c r="B45" s="258" t="str">
        <f>Option3!A111</f>
        <v>sens2</v>
      </c>
      <c r="C45" s="258" t="str">
        <f>Option3!C111</f>
        <v>Capex 10% lower</v>
      </c>
      <c r="D45" s="258" t="str">
        <f t="shared" si="5"/>
        <v>Option 3sens2</v>
      </c>
      <c r="E45" s="259"/>
      <c r="F45" s="31">
        <f t="shared" si="4"/>
        <v>19814140.892094728</v>
      </c>
      <c r="G45" s="258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30434.627579151005</v>
      </c>
      <c r="K45" s="31">
        <f>(INDEX(Option3!K$106:K$117, MATCH($D45, Option3!$G$106:$G$117,0)))*conv_2026*K$7</f>
        <v>138465.63937343931</v>
      </c>
      <c r="L45" s="31">
        <f>(INDEX(Option3!L$106:L$117, MATCH($D45, Option3!$G$106:$G$117,0)))*conv_2026*L$7</f>
        <v>353242.59422657522</v>
      </c>
      <c r="M45" s="31">
        <f>(INDEX(Option3!M$106:M$117, MATCH($D45, Option3!$G$106:$G$117,0)))*conv_2026*M$7</f>
        <v>714199.019416878</v>
      </c>
      <c r="N45" s="31">
        <f>(INDEX(Option3!N$106:N$117, MATCH($D45, Option3!$G$106:$G$117,0)))*conv_2026*N$7</f>
        <v>1274588.721766579</v>
      </c>
      <c r="O45" s="31">
        <f>(INDEX(Option3!O$106:O$117, MATCH($D45, Option3!$G$106:$G$117,0)))*conv_2026*O$7</f>
        <v>1676321.8645321156</v>
      </c>
      <c r="P45" s="31">
        <f>(INDEX(Option3!P$106:P$117, MATCH($D45, Option3!$G$106:$G$117,0)))*conv_2026*P$7</f>
        <v>1889579.7392695912</v>
      </c>
      <c r="Q45" s="31">
        <f>(INDEX(Option3!Q$106:Q$117, MATCH($D45, Option3!$G$106:$G$117,0)))*conv_2026*Q$7</f>
        <v>1992332.0510571112</v>
      </c>
      <c r="R45" s="31">
        <f>(INDEX(Option3!R$106:R$117, MATCH($D45, Option3!$G$106:$G$117,0)))*conv_2026*R$7</f>
        <v>1992896.185238221</v>
      </c>
      <c r="S45" s="31">
        <f>(INDEX(Option3!S$106:S$117, MATCH($D45, Option3!$G$106:$G$117,0)))*conv_2026*S$7</f>
        <v>1992896.1852381879</v>
      </c>
      <c r="T45" s="31">
        <f>(INDEX(Option3!T$106:T$117, MATCH($D45, Option3!$G$106:$G$117,0)))*conv_2026*T$7</f>
        <v>1992896.1852381879</v>
      </c>
      <c r="U45" s="31">
        <f>(INDEX(Option3!U$106:U$117, MATCH($D45, Option3!$G$106:$G$117,0)))*conv_2026*U$7</f>
        <v>1992896.1852381879</v>
      </c>
      <c r="V45" s="31">
        <f>(INDEX(Option3!V$106:V$117, MATCH($D45, Option3!$G$106:$G$117,0)))*conv_2026*V$7</f>
        <v>1992896.1852381879</v>
      </c>
      <c r="W45" s="31">
        <f>(INDEX(Option3!W$106:W$117, MATCH($D45, Option3!$G$106:$G$117,0)))*conv_2026*W$7</f>
        <v>1992896.1852381879</v>
      </c>
      <c r="X45" s="31">
        <f>(INDEX(Option3!X$106:X$117, MATCH($D45, Option3!$G$106:$G$117,0)))*conv_2026*X$7</f>
        <v>1992896.1852381215</v>
      </c>
      <c r="Y45" s="31">
        <f>(INDEX(Option3!Y$106:Y$117, MATCH($D45, Option3!$G$106:$G$117,0)))*conv_2026*Y$7</f>
        <v>1992896.1852381879</v>
      </c>
      <c r="Z45" s="31">
        <f>(INDEX(Option3!Z$106:Z$117, MATCH($D45, Option3!$G$106:$G$117,0)))*conv_2026*Z$7</f>
        <v>1992896.1852381879</v>
      </c>
      <c r="AA45" s="31">
        <f>(INDEX(Option3!AA$106:AA$117, MATCH($D45, Option3!$G$106:$G$117,0)))*conv_2026*AA$7</f>
        <v>1992896.1852381879</v>
      </c>
      <c r="AB45" s="31">
        <f>(INDEX(Option3!AB$106:AB$117, MATCH($D45, Option3!$G$106:$G$117,0)))*conv_2026*AB$7</f>
        <v>1992896.1852381879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8" t="s">
        <v>132</v>
      </c>
      <c r="B46" s="258" t="str">
        <f>Option3!A112</f>
        <v>sens3</v>
      </c>
      <c r="C46" s="258" t="str">
        <f>Option3!C112</f>
        <v>Total benefits 10% higher</v>
      </c>
      <c r="D46" s="258" t="str">
        <f t="shared" si="5"/>
        <v>Option 3sens3</v>
      </c>
      <c r="E46" s="259"/>
      <c r="F46" s="31">
        <f t="shared" si="4"/>
        <v>21717657.457655609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32139.618969003437</v>
      </c>
      <c r="K46" s="31">
        <f>(INDEX(Option3!K$106:K$117, MATCH($D46, Option3!$G$106:$G$117,0)))*conv_2026*K$7</f>
        <v>149635.26057465791</v>
      </c>
      <c r="L46" s="31">
        <f>(INDEX(Option3!L$106:L$117, MATCH($D46, Option3!$G$106:$G$117,0)))*conv_2026*L$7</f>
        <v>384551.43954504473</v>
      </c>
      <c r="M46" s="31">
        <f>(INDEX(Option3!M$106:M$117, MATCH($D46, Option3!$G$106:$G$117,0)))*conv_2026*M$7</f>
        <v>780265.03588631516</v>
      </c>
      <c r="N46" s="31">
        <f>(INDEX(Option3!N$106:N$117, MATCH($D46, Option3!$G$106:$G$117,0)))*conv_2026*N$7</f>
        <v>1395355.2371029237</v>
      </c>
      <c r="O46" s="31">
        <f>(INDEX(Option3!O$106:O$117, MATCH($D46, Option3!$G$106:$G$117,0)))*conv_2026*O$7</f>
        <v>1837261.694145014</v>
      </c>
      <c r="P46" s="31">
        <f>(INDEX(Option3!P$106:P$117, MATCH($D46, Option3!$G$106:$G$117,0)))*conv_2026*P$7</f>
        <v>2071845.3563562371</v>
      </c>
      <c r="Q46" s="31">
        <f>(INDEX(Option3!Q$106:Q$117, MATCH($D46, Option3!$G$106:$G$117,0)))*conv_2026*Q$7</f>
        <v>2184872.8993225093</v>
      </c>
      <c r="R46" s="31">
        <f>(INDEX(Option3!R$106:R$117, MATCH($D46, Option3!$G$106:$G$117,0)))*conv_2026*R$7</f>
        <v>2185493.4469217299</v>
      </c>
      <c r="S46" s="31">
        <f>(INDEX(Option3!S$106:S$117, MATCH($D46, Option3!$G$106:$G$117,0)))*conv_2026*S$7</f>
        <v>2185493.4469216932</v>
      </c>
      <c r="T46" s="31">
        <f>(INDEX(Option3!T$106:T$117, MATCH($D46, Option3!$G$106:$G$117,0)))*conv_2026*T$7</f>
        <v>2185493.4469216932</v>
      </c>
      <c r="U46" s="31">
        <f>(INDEX(Option3!U$106:U$117, MATCH($D46, Option3!$G$106:$G$117,0)))*conv_2026*U$7</f>
        <v>2185493.4469216932</v>
      </c>
      <c r="V46" s="31">
        <f>(INDEX(Option3!V$106:V$117, MATCH($D46, Option3!$G$106:$G$117,0)))*conv_2026*V$7</f>
        <v>2185493.4469216932</v>
      </c>
      <c r="W46" s="31">
        <f>(INDEX(Option3!W$106:W$117, MATCH($D46, Option3!$G$106:$G$117,0)))*conv_2026*W$7</f>
        <v>2185493.4469216932</v>
      </c>
      <c r="X46" s="31">
        <f>(INDEX(Option3!X$106:X$117, MATCH($D46, Option3!$G$106:$G$117,0)))*conv_2026*X$7</f>
        <v>2185493.4469216205</v>
      </c>
      <c r="Y46" s="31">
        <f>(INDEX(Option3!Y$106:Y$117, MATCH($D46, Option3!$G$106:$G$117,0)))*conv_2026*Y$7</f>
        <v>2185493.4469216932</v>
      </c>
      <c r="Z46" s="31">
        <f>(INDEX(Option3!Z$106:Z$117, MATCH($D46, Option3!$G$106:$G$117,0)))*conv_2026*Z$7</f>
        <v>2185493.4469216932</v>
      </c>
      <c r="AA46" s="31">
        <f>(INDEX(Option3!AA$106:AA$117, MATCH($D46, Option3!$G$106:$G$117,0)))*conv_2026*AA$7</f>
        <v>2185493.4469216932</v>
      </c>
      <c r="AB46" s="31">
        <f>(INDEX(Option3!AB$106:AB$117, MATCH($D46, Option3!$G$106:$G$117,0)))*conv_2026*AB$7</f>
        <v>2185493.4469216932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8" t="s">
        <v>132</v>
      </c>
      <c r="B47" s="258" t="str">
        <f>Option3!A113</f>
        <v>sens4</v>
      </c>
      <c r="C47" s="258" t="str">
        <f>Option3!C113</f>
        <v>Total benefits 10% lower</v>
      </c>
      <c r="D47" s="258" t="str">
        <f t="shared" si="5"/>
        <v>Option 3sens4</v>
      </c>
      <c r="E47" s="259"/>
      <c r="F47" s="31">
        <f t="shared" si="4"/>
        <v>16352673.853562001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1960.208828045181</v>
      </c>
      <c r="K47" s="31">
        <f>(INDEX(Option3!K$106:K$117, MATCH($D47, Option3!$G$106:$G$117,0)))*conv_2026*K$7</f>
        <v>73757.163449713931</v>
      </c>
      <c r="L47" s="31">
        <f>(INDEX(Option3!L$106:L$117, MATCH($D47, Option3!$G$106:$G$117,0)))*conv_2026*L$7</f>
        <v>241625.46682434555</v>
      </c>
      <c r="M47" s="31">
        <f>(INDEX(Option3!M$106:M$117, MATCH($D47, Option3!$G$106:$G$117,0)))*conv_2026*M$7</f>
        <v>541055.29350242729</v>
      </c>
      <c r="N47" s="31">
        <f>(INDEX(Option3!N$106:N$117, MATCH($D47, Option3!$G$106:$G$117,0)))*conv_2026*N$7</f>
        <v>1019975.0696239677</v>
      </c>
      <c r="O47" s="31">
        <f>(INDEX(Option3!O$106:O$117, MATCH($D47, Option3!$G$106:$G$117,0)))*conv_2026*O$7</f>
        <v>1381534.8981129506</v>
      </c>
      <c r="P47" s="31">
        <f>(INDEX(Option3!P$106:P$117, MATCH($D47, Option3!$G$106:$G$117,0)))*conv_2026*P$7</f>
        <v>1573466.9853766786</v>
      </c>
      <c r="Q47" s="31">
        <f>(INDEX(Option3!Q$106:Q$117, MATCH($D47, Option3!$G$106:$G$117,0)))*conv_2026*Q$7</f>
        <v>1665944.0659854466</v>
      </c>
      <c r="R47" s="31">
        <f>(INDEX(Option3!R$106:R$117, MATCH($D47, Option3!$G$106:$G$117,0)))*conv_2026*R$7</f>
        <v>1666451.7867484454</v>
      </c>
      <c r="S47" s="31">
        <f>(INDEX(Option3!S$106:S$117, MATCH($D47, Option3!$G$106:$G$117,0)))*conv_2026*S$7</f>
        <v>1666451.7867484156</v>
      </c>
      <c r="T47" s="31">
        <f>(INDEX(Option3!T$106:T$117, MATCH($D47, Option3!$G$106:$G$117,0)))*conv_2026*T$7</f>
        <v>1666451.7867484156</v>
      </c>
      <c r="U47" s="31">
        <f>(INDEX(Option3!U$106:U$117, MATCH($D47, Option3!$G$106:$G$117,0)))*conv_2026*U$7</f>
        <v>1666451.7867484156</v>
      </c>
      <c r="V47" s="31">
        <f>(INDEX(Option3!V$106:V$117, MATCH($D47, Option3!$G$106:$G$117,0)))*conv_2026*V$7</f>
        <v>1666451.7867484156</v>
      </c>
      <c r="W47" s="31">
        <f>(INDEX(Option3!W$106:W$117, MATCH($D47, Option3!$G$106:$G$117,0)))*conv_2026*W$7</f>
        <v>1666451.7867484156</v>
      </c>
      <c r="X47" s="31">
        <f>(INDEX(Option3!X$106:X$117, MATCH($D47, Option3!$G$106:$G$117,0)))*conv_2026*X$7</f>
        <v>1666451.7867483557</v>
      </c>
      <c r="Y47" s="31">
        <f>(INDEX(Option3!Y$106:Y$117, MATCH($D47, Option3!$G$106:$G$117,0)))*conv_2026*Y$7</f>
        <v>1666451.7867484156</v>
      </c>
      <c r="Z47" s="31">
        <f>(INDEX(Option3!Z$106:Z$117, MATCH($D47, Option3!$G$106:$G$117,0)))*conv_2026*Z$7</f>
        <v>1666451.7867484156</v>
      </c>
      <c r="AA47" s="31">
        <f>(INDEX(Option3!AA$106:AA$117, MATCH($D47, Option3!$G$106:$G$117,0)))*conv_2026*AA$7</f>
        <v>1666451.7867484156</v>
      </c>
      <c r="AB47" s="31">
        <f>(INDEX(Option3!AB$106:AB$117, MATCH($D47, Option3!$G$106:$G$117,0)))*conv_2026*AB$7</f>
        <v>1666451.7867484156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8" t="s">
        <v>132</v>
      </c>
      <c r="B48" s="258" t="str">
        <f>Option3!A114</f>
        <v>sens5</v>
      </c>
      <c r="C48" s="258" t="str">
        <f>Option3!C114</f>
        <v>Capex 10% higher &amp; total benefits 10% lower</v>
      </c>
      <c r="D48" s="258" t="str">
        <f t="shared" si="5"/>
        <v>Option 3sens5</v>
      </c>
      <c r="E48" s="259"/>
      <c r="F48" s="31">
        <f t="shared" si="4"/>
        <v>15573698.617076075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-11424.504852581515</v>
      </c>
      <c r="K48" s="31">
        <f>(INDEX(Option3!K$106:K$117, MATCH($D48, Option3!$G$106:$G$117,0)))*conv_2026*K$7</f>
        <v>46987.736088460544</v>
      </c>
      <c r="L48" s="31">
        <f>(INDEX(Option3!L$106:L$117, MATCH($D48, Option3!$G$106:$G$117,0)))*conv_2026*L$7</f>
        <v>201471.32578246546</v>
      </c>
      <c r="M48" s="31">
        <f>(INDEX(Option3!M$106:M$117, MATCH($D48, Option3!$G$106:$G$117,0)))*conv_2026*M$7</f>
        <v>487516.43877992051</v>
      </c>
      <c r="N48" s="31">
        <f>(INDEX(Option3!N$106:N$117, MATCH($D48, Option3!$G$106:$G$117,0)))*conv_2026*N$7</f>
        <v>953051.50122083421</v>
      </c>
      <c r="O48" s="31">
        <f>(INDEX(Option3!O$106:O$117, MATCH($D48, Option3!$G$106:$G$117,0)))*conv_2026*O$7</f>
        <v>1314611.3297098172</v>
      </c>
      <c r="P48" s="31">
        <f>(INDEX(Option3!P$106:P$117, MATCH($D48, Option3!$G$106:$G$117,0)))*conv_2026*P$7</f>
        <v>1506543.4169735452</v>
      </c>
      <c r="Q48" s="31">
        <f>(INDEX(Option3!Q$106:Q$117, MATCH($D48, Option3!$G$106:$G$117,0)))*conv_2026*Q$7</f>
        <v>1599020.4975823134</v>
      </c>
      <c r="R48" s="31">
        <f>(INDEX(Option3!R$106:R$117, MATCH($D48, Option3!$G$106:$G$117,0)))*conv_2026*R$7</f>
        <v>1599528.2183453117</v>
      </c>
      <c r="S48" s="31">
        <f>(INDEX(Option3!S$106:S$117, MATCH($D48, Option3!$G$106:$G$117,0)))*conv_2026*S$7</f>
        <v>1599528.2183452819</v>
      </c>
      <c r="T48" s="31">
        <f>(INDEX(Option3!T$106:T$117, MATCH($D48, Option3!$G$106:$G$117,0)))*conv_2026*T$7</f>
        <v>1599528.2183452819</v>
      </c>
      <c r="U48" s="31">
        <f>(INDEX(Option3!U$106:U$117, MATCH($D48, Option3!$G$106:$G$117,0)))*conv_2026*U$7</f>
        <v>1599528.2183452819</v>
      </c>
      <c r="V48" s="31">
        <f>(INDEX(Option3!V$106:V$117, MATCH($D48, Option3!$G$106:$G$117,0)))*conv_2026*V$7</f>
        <v>1599528.2183452819</v>
      </c>
      <c r="W48" s="31">
        <f>(INDEX(Option3!W$106:W$117, MATCH($D48, Option3!$G$106:$G$117,0)))*conv_2026*W$7</f>
        <v>1599528.2183452819</v>
      </c>
      <c r="X48" s="31">
        <f>(INDEX(Option3!X$106:X$117, MATCH($D48, Option3!$G$106:$G$117,0)))*conv_2026*X$7</f>
        <v>1599528.2183452223</v>
      </c>
      <c r="Y48" s="31">
        <f>(INDEX(Option3!Y$106:Y$117, MATCH($D48, Option3!$G$106:$G$117,0)))*conv_2026*Y$7</f>
        <v>1599528.2183452819</v>
      </c>
      <c r="Z48" s="31">
        <f>(INDEX(Option3!Z$106:Z$117, MATCH($D48, Option3!$G$106:$G$117,0)))*conv_2026*Z$7</f>
        <v>1599528.2183452819</v>
      </c>
      <c r="AA48" s="31">
        <f>(INDEX(Option3!AA$106:AA$117, MATCH($D48, Option3!$G$106:$G$117,0)))*conv_2026*AA$7</f>
        <v>1599528.2183452819</v>
      </c>
      <c r="AB48" s="31">
        <f>(INDEX(Option3!AB$106:AB$117, MATCH($D48, Option3!$G$106:$G$117,0)))*conv_2026*AB$7</f>
        <v>1599528.2183452819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8" t="s">
        <v>132</v>
      </c>
      <c r="B49" s="258" t="str">
        <f>Option3!A115</f>
        <v>sens</v>
      </c>
      <c r="C49" s="258">
        <f>Option3!C115</f>
        <v>0</v>
      </c>
      <c r="D49" s="258" t="str">
        <f t="shared" si="5"/>
        <v>Option 3sens</v>
      </c>
      <c r="E49" s="259"/>
      <c r="F49" s="31">
        <f t="shared" si="4"/>
        <v>19035165.65560881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17049.913898524308</v>
      </c>
      <c r="K49" s="31">
        <f>(INDEX(Option3!K$106:K$117, MATCH($D49, Option3!$G$106:$G$117,0)))*conv_2026*K$7</f>
        <v>111696.21201218592</v>
      </c>
      <c r="L49" s="31">
        <f>(INDEX(Option3!L$106:L$117, MATCH($D49, Option3!$G$106:$G$117,0)))*conv_2026*L$7</f>
        <v>313088.45318469516</v>
      </c>
      <c r="M49" s="31">
        <f>(INDEX(Option3!M$106:M$117, MATCH($D49, Option3!$G$106:$G$117,0)))*conv_2026*M$7</f>
        <v>660660.16469437117</v>
      </c>
      <c r="N49" s="31">
        <f>(INDEX(Option3!N$106:N$117, MATCH($D49, Option3!$G$106:$G$117,0)))*conv_2026*N$7</f>
        <v>1207665.1533634458</v>
      </c>
      <c r="O49" s="31">
        <f>(INDEX(Option3!O$106:O$117, MATCH($D49, Option3!$G$106:$G$117,0)))*conv_2026*O$7</f>
        <v>1609398.2961289822</v>
      </c>
      <c r="P49" s="31">
        <f>(INDEX(Option3!P$106:P$117, MATCH($D49, Option3!$G$106:$G$117,0)))*conv_2026*P$7</f>
        <v>1822656.170866458</v>
      </c>
      <c r="Q49" s="31">
        <f>(INDEX(Option3!Q$106:Q$117, MATCH($D49, Option3!$G$106:$G$117,0)))*conv_2026*Q$7</f>
        <v>1925408.482653978</v>
      </c>
      <c r="R49" s="31">
        <f>(INDEX(Option3!R$106:R$117, MATCH($D49, Option3!$G$106:$G$117,0)))*conv_2026*R$7</f>
        <v>1925972.6168350875</v>
      </c>
      <c r="S49" s="31">
        <f>(INDEX(Option3!S$106:S$117, MATCH($D49, Option3!$G$106:$G$117,0)))*conv_2026*S$7</f>
        <v>1925972.6168350545</v>
      </c>
      <c r="T49" s="31">
        <f>(INDEX(Option3!T$106:T$117, MATCH($D49, Option3!$G$106:$G$117,0)))*conv_2026*T$7</f>
        <v>1925972.6168350545</v>
      </c>
      <c r="U49" s="31">
        <f>(INDEX(Option3!U$106:U$117, MATCH($D49, Option3!$G$106:$G$117,0)))*conv_2026*U$7</f>
        <v>1925972.6168350545</v>
      </c>
      <c r="V49" s="31">
        <f>(INDEX(Option3!V$106:V$117, MATCH($D49, Option3!$G$106:$G$117,0)))*conv_2026*V$7</f>
        <v>1925972.6168350545</v>
      </c>
      <c r="W49" s="31">
        <f>(INDEX(Option3!W$106:W$117, MATCH($D49, Option3!$G$106:$G$117,0)))*conv_2026*W$7</f>
        <v>1925972.6168350545</v>
      </c>
      <c r="X49" s="31">
        <f>(INDEX(Option3!X$106:X$117, MATCH($D49, Option3!$G$106:$G$117,0)))*conv_2026*X$7</f>
        <v>1925972.6168349881</v>
      </c>
      <c r="Y49" s="31">
        <f>(INDEX(Option3!Y$106:Y$117, MATCH($D49, Option3!$G$106:$G$117,0)))*conv_2026*Y$7</f>
        <v>1925972.6168350545</v>
      </c>
      <c r="Z49" s="31">
        <f>(INDEX(Option3!Z$106:Z$117, MATCH($D49, Option3!$G$106:$G$117,0)))*conv_2026*Z$7</f>
        <v>1925972.6168350545</v>
      </c>
      <c r="AA49" s="31">
        <f>(INDEX(Option3!AA$106:AA$117, MATCH($D49, Option3!$G$106:$G$117,0)))*conv_2026*AA$7</f>
        <v>1925972.6168350545</v>
      </c>
      <c r="AB49" s="31">
        <f>(INDEX(Option3!AB$106:AB$117, MATCH($D49, Option3!$G$106:$G$117,0)))*conv_2026*AB$7</f>
        <v>1925972.6168350545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8" t="s">
        <v>132</v>
      </c>
      <c r="B50" s="258" t="str">
        <f>Option3!A116</f>
        <v>sens</v>
      </c>
      <c r="C50" s="258">
        <f>Option3!C116</f>
        <v>0</v>
      </c>
      <c r="D50" s="258" t="str">
        <f t="shared" si="5"/>
        <v>Option 3sens</v>
      </c>
      <c r="E50" s="259"/>
      <c r="F50" s="31">
        <f t="shared" si="4"/>
        <v>19035165.65560881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17049.913898524308</v>
      </c>
      <c r="K50" s="31">
        <f>(INDEX(Option3!K$106:K$117, MATCH($D50, Option3!$G$106:$G$117,0)))*conv_2026*K$7</f>
        <v>111696.21201218592</v>
      </c>
      <c r="L50" s="31">
        <f>(INDEX(Option3!L$106:L$117, MATCH($D50, Option3!$G$106:$G$117,0)))*conv_2026*L$7</f>
        <v>313088.45318469516</v>
      </c>
      <c r="M50" s="31">
        <f>(INDEX(Option3!M$106:M$117, MATCH($D50, Option3!$G$106:$G$117,0)))*conv_2026*M$7</f>
        <v>660660.16469437117</v>
      </c>
      <c r="N50" s="31">
        <f>(INDEX(Option3!N$106:N$117, MATCH($D50, Option3!$G$106:$G$117,0)))*conv_2026*N$7</f>
        <v>1207665.1533634458</v>
      </c>
      <c r="O50" s="31">
        <f>(INDEX(Option3!O$106:O$117, MATCH($D50, Option3!$G$106:$G$117,0)))*conv_2026*O$7</f>
        <v>1609398.2961289822</v>
      </c>
      <c r="P50" s="31">
        <f>(INDEX(Option3!P$106:P$117, MATCH($D50, Option3!$G$106:$G$117,0)))*conv_2026*P$7</f>
        <v>1822656.170866458</v>
      </c>
      <c r="Q50" s="31">
        <f>(INDEX(Option3!Q$106:Q$117, MATCH($D50, Option3!$G$106:$G$117,0)))*conv_2026*Q$7</f>
        <v>1925408.482653978</v>
      </c>
      <c r="R50" s="31">
        <f>(INDEX(Option3!R$106:R$117, MATCH($D50, Option3!$G$106:$G$117,0)))*conv_2026*R$7</f>
        <v>1925972.6168350875</v>
      </c>
      <c r="S50" s="31">
        <f>(INDEX(Option3!S$106:S$117, MATCH($D50, Option3!$G$106:$G$117,0)))*conv_2026*S$7</f>
        <v>1925972.6168350545</v>
      </c>
      <c r="T50" s="31">
        <f>(INDEX(Option3!T$106:T$117, MATCH($D50, Option3!$G$106:$G$117,0)))*conv_2026*T$7</f>
        <v>1925972.6168350545</v>
      </c>
      <c r="U50" s="31">
        <f>(INDEX(Option3!U$106:U$117, MATCH($D50, Option3!$G$106:$G$117,0)))*conv_2026*U$7</f>
        <v>1925972.6168350545</v>
      </c>
      <c r="V50" s="31">
        <f>(INDEX(Option3!V$106:V$117, MATCH($D50, Option3!$G$106:$G$117,0)))*conv_2026*V$7</f>
        <v>1925972.6168350545</v>
      </c>
      <c r="W50" s="31">
        <f>(INDEX(Option3!W$106:W$117, MATCH($D50, Option3!$G$106:$G$117,0)))*conv_2026*W$7</f>
        <v>1925972.6168350545</v>
      </c>
      <c r="X50" s="31">
        <f>(INDEX(Option3!X$106:X$117, MATCH($D50, Option3!$G$106:$G$117,0)))*conv_2026*X$7</f>
        <v>1925972.6168349881</v>
      </c>
      <c r="Y50" s="31">
        <f>(INDEX(Option3!Y$106:Y$117, MATCH($D50, Option3!$G$106:$G$117,0)))*conv_2026*Y$7</f>
        <v>1925972.6168350545</v>
      </c>
      <c r="Z50" s="31">
        <f>(INDEX(Option3!Z$106:Z$117, MATCH($D50, Option3!$G$106:$G$117,0)))*conv_2026*Z$7</f>
        <v>1925972.6168350545</v>
      </c>
      <c r="AA50" s="31">
        <f>(INDEX(Option3!AA$106:AA$117, MATCH($D50, Option3!$G$106:$G$117,0)))*conv_2026*AA$7</f>
        <v>1925972.6168350545</v>
      </c>
      <c r="AB50" s="31">
        <f>(INDEX(Option3!AB$106:AB$117, MATCH($D50, Option3!$G$106:$G$117,0)))*conv_2026*AB$7</f>
        <v>1925972.6168350545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8" t="s">
        <v>132</v>
      </c>
      <c r="B51" s="258" t="str">
        <f>Option3!A117</f>
        <v>sens</v>
      </c>
      <c r="C51" s="258">
        <f>Option3!C117</f>
        <v>0</v>
      </c>
      <c r="D51" s="258" t="str">
        <f t="shared" si="5"/>
        <v>Option 3sens</v>
      </c>
      <c r="E51" s="259"/>
      <c r="F51" s="31">
        <f t="shared" si="4"/>
        <v>19035165.65560881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17049.913898524308</v>
      </c>
      <c r="K51" s="31">
        <f>(INDEX(Option3!K$106:K$117, MATCH($D51, Option3!$G$106:$G$117,0)))*conv_2026*K$7</f>
        <v>111696.21201218592</v>
      </c>
      <c r="L51" s="31">
        <f>(INDEX(Option3!L$106:L$117, MATCH($D51, Option3!$G$106:$G$117,0)))*conv_2026*L$7</f>
        <v>313088.45318469516</v>
      </c>
      <c r="M51" s="31">
        <f>(INDEX(Option3!M$106:M$117, MATCH($D51, Option3!$G$106:$G$117,0)))*conv_2026*M$7</f>
        <v>660660.16469437117</v>
      </c>
      <c r="N51" s="31">
        <f>(INDEX(Option3!N$106:N$117, MATCH($D51, Option3!$G$106:$G$117,0)))*conv_2026*N$7</f>
        <v>1207665.1533634458</v>
      </c>
      <c r="O51" s="31">
        <f>(INDEX(Option3!O$106:O$117, MATCH($D51, Option3!$G$106:$G$117,0)))*conv_2026*O$7</f>
        <v>1609398.2961289822</v>
      </c>
      <c r="P51" s="31">
        <f>(INDEX(Option3!P$106:P$117, MATCH($D51, Option3!$G$106:$G$117,0)))*conv_2026*P$7</f>
        <v>1822656.170866458</v>
      </c>
      <c r="Q51" s="31">
        <f>(INDEX(Option3!Q$106:Q$117, MATCH($D51, Option3!$G$106:$G$117,0)))*conv_2026*Q$7</f>
        <v>1925408.482653978</v>
      </c>
      <c r="R51" s="31">
        <f>(INDEX(Option3!R$106:R$117, MATCH($D51, Option3!$G$106:$G$117,0)))*conv_2026*R$7</f>
        <v>1925972.6168350875</v>
      </c>
      <c r="S51" s="31">
        <f>(INDEX(Option3!S$106:S$117, MATCH($D51, Option3!$G$106:$G$117,0)))*conv_2026*S$7</f>
        <v>1925972.6168350545</v>
      </c>
      <c r="T51" s="31">
        <f>(INDEX(Option3!T$106:T$117, MATCH($D51, Option3!$G$106:$G$117,0)))*conv_2026*T$7</f>
        <v>1925972.6168350545</v>
      </c>
      <c r="U51" s="31">
        <f>(INDEX(Option3!U$106:U$117, MATCH($D51, Option3!$G$106:$G$117,0)))*conv_2026*U$7</f>
        <v>1925972.6168350545</v>
      </c>
      <c r="V51" s="31">
        <f>(INDEX(Option3!V$106:V$117, MATCH($D51, Option3!$G$106:$G$117,0)))*conv_2026*V$7</f>
        <v>1925972.6168350545</v>
      </c>
      <c r="W51" s="31">
        <f>(INDEX(Option3!W$106:W$117, MATCH($D51, Option3!$G$106:$G$117,0)))*conv_2026*W$7</f>
        <v>1925972.6168350545</v>
      </c>
      <c r="X51" s="31">
        <f>(INDEX(Option3!X$106:X$117, MATCH($D51, Option3!$G$106:$G$117,0)))*conv_2026*X$7</f>
        <v>1925972.6168349881</v>
      </c>
      <c r="Y51" s="31">
        <f>(INDEX(Option3!Y$106:Y$117, MATCH($D51, Option3!$G$106:$G$117,0)))*conv_2026*Y$7</f>
        <v>1925972.6168350545</v>
      </c>
      <c r="Z51" s="31">
        <f>(INDEX(Option3!Z$106:Z$117, MATCH($D51, Option3!$G$106:$G$117,0)))*conv_2026*Z$7</f>
        <v>1925972.6168350545</v>
      </c>
      <c r="AA51" s="31">
        <f>(INDEX(Option3!AA$106:AA$117, MATCH($D51, Option3!$G$106:$G$117,0)))*conv_2026*AA$7</f>
        <v>1925972.6168350545</v>
      </c>
      <c r="AB51" s="31">
        <f>(INDEX(Option3!AB$106:AB$117, MATCH($D51, Option3!$G$106:$G$117,0)))*conv_2026*AB$7</f>
        <v>1925972.6168350545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8"/>
      <c r="B52" s="258"/>
      <c r="C52" s="258"/>
      <c r="D52" s="258"/>
      <c r="E52" s="258"/>
      <c r="F52" s="31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</row>
    <row r="53" spans="1:35" s="8" customFormat="1" x14ac:dyDescent="0.2">
      <c r="A53" s="258"/>
      <c r="B53" s="258"/>
      <c r="C53" s="258"/>
      <c r="D53" s="258"/>
      <c r="E53" s="258"/>
      <c r="F53" s="31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</row>
    <row r="54" spans="1:35" s="8" customFormat="1" x14ac:dyDescent="0.2">
      <c r="A54" s="258"/>
      <c r="B54" s="258"/>
      <c r="C54" s="258"/>
      <c r="D54" s="258"/>
      <c r="E54" s="258"/>
      <c r="F54" s="31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</row>
    <row r="55" spans="1:35" s="8" customFormat="1" x14ac:dyDescent="0.2">
      <c r="A55" s="258"/>
      <c r="B55" s="258"/>
      <c r="C55" s="258"/>
      <c r="D55" s="258"/>
      <c r="E55" s="258"/>
      <c r="F55" s="31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</row>
    <row r="56" spans="1:35" s="8" customFormat="1" x14ac:dyDescent="0.2">
      <c r="A56" s="258" t="s">
        <v>133</v>
      </c>
      <c r="B56" s="258" t="s">
        <v>119</v>
      </c>
      <c r="C56" s="258" t="s">
        <v>188</v>
      </c>
      <c r="D56" s="258" t="str">
        <f>A56&amp;B56</f>
        <v>Option 4NPV</v>
      </c>
      <c r="E56" s="259"/>
      <c r="F56" s="31">
        <f t="shared" ref="F56:F65" si="6">SUMPRODUCT($H56:$AG56, $H$5:$AG$5)</f>
        <v>10513722.668693896</v>
      </c>
      <c r="G56" s="251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1695382.775940174</v>
      </c>
      <c r="J56" s="31">
        <f>(INDEX(Option4!J$106:J$117, MATCH($D56, Option4!$G$106:$G$117,0)))*conv_2026*J$7</f>
        <v>906893.54639054753</v>
      </c>
      <c r="K56" s="31">
        <f>(INDEX(Option4!K$106:K$117, MATCH($D56, Option4!$G$106:$G$117,0)))*conv_2026*K$7</f>
        <v>1305674.2209739245</v>
      </c>
      <c r="L56" s="31">
        <f>(INDEX(Option4!L$106:L$117, MATCH($D56, Option4!$G$106:$G$117,0)))*conv_2026*L$7</f>
        <v>1816095.787304051</v>
      </c>
      <c r="M56" s="31">
        <f>(INDEX(Option4!M$106:M$117, MATCH($D56, Option4!$G$106:$G$117,0)))*conv_2026*M$7</f>
        <v>2467489.3370405859</v>
      </c>
      <c r="N56" s="31">
        <f>(INDEX(Option4!N$106:N$117, MATCH($D56, Option4!$G$106:$G$117,0)))*conv_2026*N$7</f>
        <v>-925065.64078767819</v>
      </c>
      <c r="O56" s="31">
        <f>(INDEX(Option4!O$106:O$117, MATCH($D56, Option4!$G$106:$G$117,0)))*conv_2026*O$7</f>
        <v>324212.50678810204</v>
      </c>
      <c r="P56" s="31">
        <f>(INDEX(Option4!P$106:P$117, MATCH($D56, Option4!$G$106:$G$117,0)))*conv_2026*P$7</f>
        <v>382670.40978998196</v>
      </c>
      <c r="Q56" s="31">
        <f>(INDEX(Option4!Q$106:Q$117, MATCH($D56, Option4!$G$106:$G$117,0)))*conv_2026*Q$7</f>
        <v>418687.18930250907</v>
      </c>
      <c r="R56" s="31">
        <f>(INDEX(Option4!R$106:R$117, MATCH($D56, Option4!$G$106:$G$117,0)))*conv_2026*R$7</f>
        <v>423296.08203847031</v>
      </c>
      <c r="S56" s="31">
        <f>(INDEX(Option4!S$106:S$117, MATCH($D56, Option4!$G$106:$G$117,0)))*conv_2026*S$7</f>
        <v>426230.69516631792</v>
      </c>
      <c r="T56" s="31">
        <f>(INDEX(Option4!T$106:T$117, MATCH($D56, Option4!$G$106:$G$117,0)))*conv_2026*T$7</f>
        <v>429409.43776612694</v>
      </c>
      <c r="U56" s="31">
        <f>(INDEX(Option4!U$106:U$117, MATCH($D56, Option4!$G$106:$G$117,0)))*conv_2026*U$7</f>
        <v>432853.18924606155</v>
      </c>
      <c r="V56" s="31">
        <f>(INDEX(Option4!V$106:V$117, MATCH($D56, Option4!$G$106:$G$117,0)))*conv_2026*V$7</f>
        <v>436584.64526420832</v>
      </c>
      <c r="W56" s="31">
        <f>(INDEX(Option4!W$106:W$117, MATCH($D56, Option4!$G$106:$G$117,0)))*conv_2026*W$7</f>
        <v>440628.47743698087</v>
      </c>
      <c r="X56" s="31">
        <f>(INDEX(Option4!X$106:X$117, MATCH($D56, Option4!$G$106:$G$117,0)))*conv_2026*X$7</f>
        <v>445011.50719009573</v>
      </c>
      <c r="Y56" s="31">
        <f>(INDEX(Option4!Y$106:Y$117, MATCH($D56, Option4!$G$106:$G$117,0)))*conv_2026*Y$7</f>
        <v>449762.8950113192</v>
      </c>
      <c r="Z56" s="31">
        <f>(INDEX(Option4!Z$106:Z$117, MATCH($D56, Option4!$G$106:$G$117,0)))*conv_2026*Z$7</f>
        <v>454914.3464754289</v>
      </c>
      <c r="AA56" s="31">
        <f>(INDEX(Option4!AA$106:AA$117, MATCH($D56, Option4!$G$106:$G$117,0)))*conv_2026*AA$7</f>
        <v>460500.33653292595</v>
      </c>
      <c r="AB56" s="31">
        <f>(INDEX(Option4!AB$106:AB$117, MATCH($D56, Option4!$G$106:$G$117,0)))*conv_2026*AB$7</f>
        <v>466558.35369101714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50"/>
      <c r="B57" s="250"/>
      <c r="C57" s="250"/>
      <c r="D57" s="250"/>
      <c r="E57" s="250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7"/>
      <c r="AI57" s="7"/>
    </row>
    <row r="58" spans="1:35" s="8" customFormat="1" x14ac:dyDescent="0.2">
      <c r="A58" s="258" t="s">
        <v>133</v>
      </c>
      <c r="B58" s="258" t="str">
        <f>Option4!A110</f>
        <v>sens1</v>
      </c>
      <c r="C58" s="258" t="str">
        <f>Option4!C110</f>
        <v>Capex 10% higher</v>
      </c>
      <c r="D58" s="258" t="str">
        <f t="shared" ref="D58:D65" si="7">A58&amp;B58</f>
        <v>Option 4sens1</v>
      </c>
      <c r="E58" s="259"/>
      <c r="F58" s="31">
        <f t="shared" si="6"/>
        <v>9764755.0878552236</v>
      </c>
      <c r="G58" s="251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1695382.775940174</v>
      </c>
      <c r="J58" s="31">
        <f>(INDEX(Option4!J$106:J$117, MATCH($D58, Option4!$G$106:$G$117,0)))*conv_2026*J$7</f>
        <v>791707.08748642984</v>
      </c>
      <c r="K58" s="31">
        <f>(INDEX(Option4!K$106:K$117, MATCH($D58, Option4!$G$106:$G$117,0)))*conv_2026*K$7</f>
        <v>1185171.3771766834</v>
      </c>
      <c r="L58" s="31">
        <f>(INDEX(Option4!L$106:L$117, MATCH($D58, Option4!$G$106:$G$117,0)))*conv_2026*L$7</f>
        <v>1690276.5586136864</v>
      </c>
      <c r="M58" s="31">
        <f>(INDEX(Option4!M$106:M$117, MATCH($D58, Option4!$G$106:$G$117,0)))*conv_2026*M$7</f>
        <v>2336353.723457098</v>
      </c>
      <c r="N58" s="31">
        <f>(INDEX(Option4!N$106:N$117, MATCH($D58, Option4!$G$106:$G$117,0)))*conv_2026*N$7</f>
        <v>-1061517.6392642895</v>
      </c>
      <c r="O58" s="31">
        <f>(INDEX(Option4!O$106:O$117, MATCH($D58, Option4!$G$106:$G$117,0)))*conv_2026*O$7</f>
        <v>302946.96721560846</v>
      </c>
      <c r="P58" s="31">
        <f>(INDEX(Option4!P$106:P$117, MATCH($D58, Option4!$G$106:$G$117,0)))*conv_2026*P$7</f>
        <v>361404.87021748838</v>
      </c>
      <c r="Q58" s="31">
        <f>(INDEX(Option4!Q$106:Q$117, MATCH($D58, Option4!$G$106:$G$117,0)))*conv_2026*Q$7</f>
        <v>397421.64973001543</v>
      </c>
      <c r="R58" s="31">
        <f>(INDEX(Option4!R$106:R$117, MATCH($D58, Option4!$G$106:$G$117,0)))*conv_2026*R$7</f>
        <v>402030.54246597673</v>
      </c>
      <c r="S58" s="31">
        <f>(INDEX(Option4!S$106:S$117, MATCH($D58, Option4!$G$106:$G$117,0)))*conv_2026*S$7</f>
        <v>404965.15559382434</v>
      </c>
      <c r="T58" s="31">
        <f>(INDEX(Option4!T$106:T$117, MATCH($D58, Option4!$G$106:$G$117,0)))*conv_2026*T$7</f>
        <v>408143.89819363336</v>
      </c>
      <c r="U58" s="31">
        <f>(INDEX(Option4!U$106:U$117, MATCH($D58, Option4!$G$106:$G$117,0)))*conv_2026*U$7</f>
        <v>411587.64967356791</v>
      </c>
      <c r="V58" s="31">
        <f>(INDEX(Option4!V$106:V$117, MATCH($D58, Option4!$G$106:$G$117,0)))*conv_2026*V$7</f>
        <v>415319.10569171474</v>
      </c>
      <c r="W58" s="31">
        <f>(INDEX(Option4!W$106:W$117, MATCH($D58, Option4!$G$106:$G$117,0)))*conv_2026*W$7</f>
        <v>419362.93786448729</v>
      </c>
      <c r="X58" s="31">
        <f>(INDEX(Option4!X$106:X$117, MATCH($D58, Option4!$G$106:$G$117,0)))*conv_2026*X$7</f>
        <v>423745.96761760209</v>
      </c>
      <c r="Y58" s="31">
        <f>(INDEX(Option4!Y$106:Y$117, MATCH($D58, Option4!$G$106:$G$117,0)))*conv_2026*Y$7</f>
        <v>428497.35543882562</v>
      </c>
      <c r="Z58" s="31">
        <f>(INDEX(Option4!Z$106:Z$117, MATCH($D58, Option4!$G$106:$G$117,0)))*conv_2026*Z$7</f>
        <v>433648.80690293532</v>
      </c>
      <c r="AA58" s="31">
        <f>(INDEX(Option4!AA$106:AA$117, MATCH($D58, Option4!$G$106:$G$117,0)))*conv_2026*AA$7</f>
        <v>439234.79696043237</v>
      </c>
      <c r="AB58" s="31">
        <f>(INDEX(Option4!AB$106:AB$117, MATCH($D58, Option4!$G$106:$G$117,0)))*conv_2026*AB$7</f>
        <v>445292.8141185235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8" t="s">
        <v>133</v>
      </c>
      <c r="B59" s="258" t="str">
        <f>Option4!A111</f>
        <v>sens2</v>
      </c>
      <c r="C59" s="258" t="str">
        <f>Option4!C111</f>
        <v>Capex 10% lower</v>
      </c>
      <c r="D59" s="258" t="str">
        <f t="shared" si="7"/>
        <v>Option 4sens2</v>
      </c>
      <c r="E59" s="259"/>
      <c r="F59" s="31">
        <f t="shared" si="6"/>
        <v>11262690.249532571</v>
      </c>
      <c r="G59" s="258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1695382.775940174</v>
      </c>
      <c r="J59" s="31">
        <f>(INDEX(Option4!J$106:J$117, MATCH($D59, Option4!$G$106:$G$117,0)))*conv_2026*J$7</f>
        <v>1022080.0052946653</v>
      </c>
      <c r="K59" s="31">
        <f>(INDEX(Option4!K$106:K$117, MATCH($D59, Option4!$G$106:$G$117,0)))*conv_2026*K$7</f>
        <v>1426177.0647711656</v>
      </c>
      <c r="L59" s="31">
        <f>(INDEX(Option4!L$106:L$117, MATCH($D59, Option4!$G$106:$G$117,0)))*conv_2026*L$7</f>
        <v>1941915.0159944156</v>
      </c>
      <c r="M59" s="31">
        <f>(INDEX(Option4!M$106:M$117, MATCH($D59, Option4!$G$106:$G$117,0)))*conv_2026*M$7</f>
        <v>2598624.9506240739</v>
      </c>
      <c r="N59" s="31">
        <f>(INDEX(Option4!N$106:N$117, MATCH($D59, Option4!$G$106:$G$117,0)))*conv_2026*N$7</f>
        <v>-788613.64231106685</v>
      </c>
      <c r="O59" s="31">
        <f>(INDEX(Option4!O$106:O$117, MATCH($D59, Option4!$G$106:$G$117,0)))*conv_2026*O$7</f>
        <v>345478.04636059562</v>
      </c>
      <c r="P59" s="31">
        <f>(INDEX(Option4!P$106:P$117, MATCH($D59, Option4!$G$106:$G$117,0)))*conv_2026*P$7</f>
        <v>403935.9493624756</v>
      </c>
      <c r="Q59" s="31">
        <f>(INDEX(Option4!Q$106:Q$117, MATCH($D59, Option4!$G$106:$G$117,0)))*conv_2026*Q$7</f>
        <v>439952.72887500265</v>
      </c>
      <c r="R59" s="31">
        <f>(INDEX(Option4!R$106:R$117, MATCH($D59, Option4!$G$106:$G$117,0)))*conv_2026*R$7</f>
        <v>444561.62161096389</v>
      </c>
      <c r="S59" s="31">
        <f>(INDEX(Option4!S$106:S$117, MATCH($D59, Option4!$G$106:$G$117,0)))*conv_2026*S$7</f>
        <v>447496.2347388115</v>
      </c>
      <c r="T59" s="31">
        <f>(INDEX(Option4!T$106:T$117, MATCH($D59, Option4!$G$106:$G$117,0)))*conv_2026*T$7</f>
        <v>450674.97733862052</v>
      </c>
      <c r="U59" s="31">
        <f>(INDEX(Option4!U$106:U$117, MATCH($D59, Option4!$G$106:$G$117,0)))*conv_2026*U$7</f>
        <v>454118.72881855513</v>
      </c>
      <c r="V59" s="31">
        <f>(INDEX(Option4!V$106:V$117, MATCH($D59, Option4!$G$106:$G$117,0)))*conv_2026*V$7</f>
        <v>457850.1848367019</v>
      </c>
      <c r="W59" s="31">
        <f>(INDEX(Option4!W$106:W$117, MATCH($D59, Option4!$G$106:$G$117,0)))*conv_2026*W$7</f>
        <v>461894.01700947445</v>
      </c>
      <c r="X59" s="31">
        <f>(INDEX(Option4!X$106:X$117, MATCH($D59, Option4!$G$106:$G$117,0)))*conv_2026*X$7</f>
        <v>466277.04676258931</v>
      </c>
      <c r="Y59" s="31">
        <f>(INDEX(Option4!Y$106:Y$117, MATCH($D59, Option4!$G$106:$G$117,0)))*conv_2026*Y$7</f>
        <v>471028.43458381284</v>
      </c>
      <c r="Z59" s="31">
        <f>(INDEX(Option4!Z$106:Z$117, MATCH($D59, Option4!$G$106:$G$117,0)))*conv_2026*Z$7</f>
        <v>476179.88604792254</v>
      </c>
      <c r="AA59" s="31">
        <f>(INDEX(Option4!AA$106:AA$117, MATCH($D59, Option4!$G$106:$G$117,0)))*conv_2026*AA$7</f>
        <v>481765.87610541953</v>
      </c>
      <c r="AB59" s="31">
        <f>(INDEX(Option4!AB$106:AB$117, MATCH($D59, Option4!$G$106:$G$117,0)))*conv_2026*AB$7</f>
        <v>487823.89326351072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8" t="s">
        <v>133</v>
      </c>
      <c r="B60" s="258" t="str">
        <f>Option4!A112</f>
        <v>sens3</v>
      </c>
      <c r="C60" s="258" t="str">
        <f>Option4!C112</f>
        <v>Total benefits 10% higher</v>
      </c>
      <c r="D60" s="258" t="str">
        <f t="shared" si="7"/>
        <v>Option 4sens3</v>
      </c>
      <c r="E60" s="259"/>
      <c r="F60" s="31">
        <f t="shared" si="6"/>
        <v>12314062.516401963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1864921.0535341916</v>
      </c>
      <c r="J60" s="31">
        <f>(INDEX(Option4!J$106:J$117, MATCH($D60, Option4!$G$106:$G$117,0)))*conv_2026*J$7</f>
        <v>1112769.35993372</v>
      </c>
      <c r="K60" s="31">
        <f>(INDEX(Option4!K$106:K$117, MATCH($D60, Option4!$G$106:$G$117,0)))*conv_2026*K$7</f>
        <v>1556744.4868685582</v>
      </c>
      <c r="L60" s="31">
        <f>(INDEX(Option4!L$106:L$117, MATCH($D60, Option4!$G$106:$G$117,0)))*conv_2026*L$7</f>
        <v>2123524.5947248205</v>
      </c>
      <c r="M60" s="31">
        <f>(INDEX(Option4!M$106:M$117, MATCH($D60, Option4!$G$106:$G$117,0)))*conv_2026*M$7</f>
        <v>2845373.8843281325</v>
      </c>
      <c r="N60" s="31">
        <f>(INDEX(Option4!N$106:N$117, MATCH($D60, Option4!$G$106:$G$117,0)))*conv_2026*N$7</f>
        <v>-881120.20638983464</v>
      </c>
      <c r="O60" s="31">
        <f>(INDEX(Option4!O$106:O$117, MATCH($D60, Option4!$G$106:$G$117,0)))*conv_2026*O$7</f>
        <v>377899.29703940585</v>
      </c>
      <c r="P60" s="31">
        <f>(INDEX(Option4!P$106:P$117, MATCH($D60, Option4!$G$106:$G$117,0)))*conv_2026*P$7</f>
        <v>442202.99034147384</v>
      </c>
      <c r="Q60" s="31">
        <f>(INDEX(Option4!Q$106:Q$117, MATCH($D60, Option4!$G$106:$G$117,0)))*conv_2026*Q$7</f>
        <v>481821.44780525356</v>
      </c>
      <c r="R60" s="31">
        <f>(INDEX(Option4!R$106:R$117, MATCH($D60, Option4!$G$106:$G$117,0)))*conv_2026*R$7</f>
        <v>486891.22981481097</v>
      </c>
      <c r="S60" s="31">
        <f>(INDEX(Option4!S$106:S$117, MATCH($D60, Option4!$G$106:$G$117,0)))*conv_2026*S$7</f>
        <v>490119.30425544333</v>
      </c>
      <c r="T60" s="31">
        <f>(INDEX(Option4!T$106:T$117, MATCH($D60, Option4!$G$106:$G$117,0)))*conv_2026*T$7</f>
        <v>493615.92111523327</v>
      </c>
      <c r="U60" s="31">
        <f>(INDEX(Option4!U$106:U$117, MATCH($D60, Option4!$G$106:$G$117,0)))*conv_2026*U$7</f>
        <v>497404.04774316133</v>
      </c>
      <c r="V60" s="31">
        <f>(INDEX(Option4!V$106:V$117, MATCH($D60, Option4!$G$106:$G$117,0)))*conv_2026*V$7</f>
        <v>501508.64936312276</v>
      </c>
      <c r="W60" s="31">
        <f>(INDEX(Option4!W$106:W$117, MATCH($D60, Option4!$G$106:$G$117,0)))*conv_2026*W$7</f>
        <v>505956.86475317262</v>
      </c>
      <c r="X60" s="31">
        <f>(INDEX(Option4!X$106:X$117, MATCH($D60, Option4!$G$106:$G$117,0)))*conv_2026*X$7</f>
        <v>510778.19748159894</v>
      </c>
      <c r="Y60" s="31">
        <f>(INDEX(Option4!Y$106:Y$117, MATCH($D60, Option4!$G$106:$G$117,0)))*conv_2026*Y$7</f>
        <v>516004.72408494476</v>
      </c>
      <c r="Z60" s="31">
        <f>(INDEX(Option4!Z$106:Z$117, MATCH($D60, Option4!$G$106:$G$117,0)))*conv_2026*Z$7</f>
        <v>521671.32069546543</v>
      </c>
      <c r="AA60" s="31">
        <f>(INDEX(Option4!AA$106:AA$117, MATCH($D60, Option4!$G$106:$G$117,0)))*conv_2026*AA$7</f>
        <v>527815.90975871217</v>
      </c>
      <c r="AB60" s="31">
        <f>(INDEX(Option4!AB$106:AB$117, MATCH($D60, Option4!$G$106:$G$117,0)))*conv_2026*AB$7</f>
        <v>534479.72863261239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8" t="s">
        <v>133</v>
      </c>
      <c r="B61" s="258" t="str">
        <f>Option4!A113</f>
        <v>sens4</v>
      </c>
      <c r="C61" s="258" t="str">
        <f>Option4!C113</f>
        <v>Total benefits 10% lower</v>
      </c>
      <c r="D61" s="258" t="str">
        <f t="shared" si="7"/>
        <v>Option 4sens4</v>
      </c>
      <c r="E61" s="259"/>
      <c r="F61" s="31">
        <f t="shared" si="6"/>
        <v>8713382.8209858332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1525844.4983461567</v>
      </c>
      <c r="J61" s="31">
        <f>(INDEX(Option4!J$106:J$117, MATCH($D61, Option4!$G$106:$G$117,0)))*conv_2026*J$7</f>
        <v>701017.7328473751</v>
      </c>
      <c r="K61" s="31">
        <f>(INDEX(Option4!K$106:K$117, MATCH($D61, Option4!$G$106:$G$117,0)))*conv_2026*K$7</f>
        <v>1054603.9550792908</v>
      </c>
      <c r="L61" s="31">
        <f>(INDEX(Option4!L$106:L$117, MATCH($D61, Option4!$G$106:$G$117,0)))*conv_2026*L$7</f>
        <v>1508666.9798832815</v>
      </c>
      <c r="M61" s="31">
        <f>(INDEX(Option4!M$106:M$117, MATCH($D61, Option4!$G$106:$G$117,0)))*conv_2026*M$7</f>
        <v>2089604.7897530391</v>
      </c>
      <c r="N61" s="31">
        <f>(INDEX(Option4!N$106:N$117, MATCH($D61, Option4!$G$106:$G$117,0)))*conv_2026*N$7</f>
        <v>-969011.07518552186</v>
      </c>
      <c r="O61" s="31">
        <f>(INDEX(Option4!O$106:O$117, MATCH($D61, Option4!$G$106:$G$117,0)))*conv_2026*O$7</f>
        <v>270525.71653679822</v>
      </c>
      <c r="P61" s="31">
        <f>(INDEX(Option4!P$106:P$117, MATCH($D61, Option4!$G$106:$G$117,0)))*conv_2026*P$7</f>
        <v>323137.82923849014</v>
      </c>
      <c r="Q61" s="31">
        <f>(INDEX(Option4!Q$106:Q$117, MATCH($D61, Option4!$G$106:$G$117,0)))*conv_2026*Q$7</f>
        <v>355552.93079976452</v>
      </c>
      <c r="R61" s="31">
        <f>(INDEX(Option4!R$106:R$117, MATCH($D61, Option4!$G$106:$G$117,0)))*conv_2026*R$7</f>
        <v>359700.93426212965</v>
      </c>
      <c r="S61" s="31">
        <f>(INDEX(Option4!S$106:S$117, MATCH($D61, Option4!$G$106:$G$117,0)))*conv_2026*S$7</f>
        <v>362342.08607719251</v>
      </c>
      <c r="T61" s="31">
        <f>(INDEX(Option4!T$106:T$117, MATCH($D61, Option4!$G$106:$G$117,0)))*conv_2026*T$7</f>
        <v>365202.95441702061</v>
      </c>
      <c r="U61" s="31">
        <f>(INDEX(Option4!U$106:U$117, MATCH($D61, Option4!$G$106:$G$117,0)))*conv_2026*U$7</f>
        <v>368302.33074896177</v>
      </c>
      <c r="V61" s="31">
        <f>(INDEX(Option4!V$106:V$117, MATCH($D61, Option4!$G$106:$G$117,0)))*conv_2026*V$7</f>
        <v>371660.64116529387</v>
      </c>
      <c r="W61" s="31">
        <f>(INDEX(Option4!W$106:W$117, MATCH($D61, Option4!$G$106:$G$117,0)))*conv_2026*W$7</f>
        <v>375300.09012078919</v>
      </c>
      <c r="X61" s="31">
        <f>(INDEX(Option4!X$106:X$117, MATCH($D61, Option4!$G$106:$G$117,0)))*conv_2026*X$7</f>
        <v>379244.81689859251</v>
      </c>
      <c r="Y61" s="31">
        <f>(INDEX(Option4!Y$106:Y$117, MATCH($D61, Option4!$G$106:$G$117,0)))*conv_2026*Y$7</f>
        <v>383521.06593769364</v>
      </c>
      <c r="Z61" s="31">
        <f>(INDEX(Option4!Z$106:Z$117, MATCH($D61, Option4!$G$106:$G$117,0)))*conv_2026*Z$7</f>
        <v>388157.37225539237</v>
      </c>
      <c r="AA61" s="31">
        <f>(INDEX(Option4!AA$106:AA$117, MATCH($D61, Option4!$G$106:$G$117,0)))*conv_2026*AA$7</f>
        <v>393184.76330713968</v>
      </c>
      <c r="AB61" s="31">
        <f>(INDEX(Option4!AB$106:AB$117, MATCH($D61, Option4!$G$106:$G$117,0)))*conv_2026*AB$7</f>
        <v>398636.97874942183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8" t="s">
        <v>133</v>
      </c>
      <c r="B62" s="258" t="str">
        <f>Option4!A114</f>
        <v>sens5</v>
      </c>
      <c r="C62" s="258" t="str">
        <f>Option4!C114</f>
        <v>Capex 10% higher &amp; total benefits 10% lower</v>
      </c>
      <c r="D62" s="258" t="str">
        <f t="shared" si="7"/>
        <v>Option 4sens5</v>
      </c>
      <c r="E62" s="259"/>
      <c r="F62" s="31">
        <f t="shared" si="6"/>
        <v>7964415.2401471576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1525844.4983461567</v>
      </c>
      <c r="J62" s="31">
        <f>(INDEX(Option4!J$106:J$117, MATCH($D62, Option4!$G$106:$G$117,0)))*conv_2026*J$7</f>
        <v>585831.27394325717</v>
      </c>
      <c r="K62" s="31">
        <f>(INDEX(Option4!K$106:K$117, MATCH($D62, Option4!$G$106:$G$117,0)))*conv_2026*K$7</f>
        <v>934101.11128204968</v>
      </c>
      <c r="L62" s="31">
        <f>(INDEX(Option4!L$106:L$117, MATCH($D62, Option4!$G$106:$G$117,0)))*conv_2026*L$7</f>
        <v>1382847.7511929167</v>
      </c>
      <c r="M62" s="31">
        <f>(INDEX(Option4!M$106:M$117, MATCH($D62, Option4!$G$106:$G$117,0)))*conv_2026*M$7</f>
        <v>1958469.176169551</v>
      </c>
      <c r="N62" s="31">
        <f>(INDEX(Option4!N$106:N$117, MATCH($D62, Option4!$G$106:$G$117,0)))*conv_2026*N$7</f>
        <v>-1105463.0736621332</v>
      </c>
      <c r="O62" s="31">
        <f>(INDEX(Option4!O$106:O$117, MATCH($D62, Option4!$G$106:$G$117,0)))*conv_2026*O$7</f>
        <v>249260.17696430458</v>
      </c>
      <c r="P62" s="31">
        <f>(INDEX(Option4!P$106:P$117, MATCH($D62, Option4!$G$106:$G$117,0)))*conv_2026*P$7</f>
        <v>301872.28966599656</v>
      </c>
      <c r="Q62" s="31">
        <f>(INDEX(Option4!Q$106:Q$117, MATCH($D62, Option4!$G$106:$G$117,0)))*conv_2026*Q$7</f>
        <v>334287.39122727094</v>
      </c>
      <c r="R62" s="31">
        <f>(INDEX(Option4!R$106:R$117, MATCH($D62, Option4!$G$106:$G$117,0)))*conv_2026*R$7</f>
        <v>338435.39468963607</v>
      </c>
      <c r="S62" s="31">
        <f>(INDEX(Option4!S$106:S$117, MATCH($D62, Option4!$G$106:$G$117,0)))*conv_2026*S$7</f>
        <v>341076.54650469887</v>
      </c>
      <c r="T62" s="31">
        <f>(INDEX(Option4!T$106:T$117, MATCH($D62, Option4!$G$106:$G$117,0)))*conv_2026*T$7</f>
        <v>343937.41484452703</v>
      </c>
      <c r="U62" s="31">
        <f>(INDEX(Option4!U$106:U$117, MATCH($D62, Option4!$G$106:$G$117,0)))*conv_2026*U$7</f>
        <v>347036.79117646813</v>
      </c>
      <c r="V62" s="31">
        <f>(INDEX(Option4!V$106:V$117, MATCH($D62, Option4!$G$106:$G$117,0)))*conv_2026*V$7</f>
        <v>350395.10159280029</v>
      </c>
      <c r="W62" s="31">
        <f>(INDEX(Option4!W$106:W$117, MATCH($D62, Option4!$G$106:$G$117,0)))*conv_2026*W$7</f>
        <v>354034.55054829555</v>
      </c>
      <c r="X62" s="31">
        <f>(INDEX(Option4!X$106:X$117, MATCH($D62, Option4!$G$106:$G$117,0)))*conv_2026*X$7</f>
        <v>357979.27732609888</v>
      </c>
      <c r="Y62" s="31">
        <f>(INDEX(Option4!Y$106:Y$117, MATCH($D62, Option4!$G$106:$G$117,0)))*conv_2026*Y$7</f>
        <v>362255.52636520006</v>
      </c>
      <c r="Z62" s="31">
        <f>(INDEX(Option4!Z$106:Z$117, MATCH($D62, Option4!$G$106:$G$117,0)))*conv_2026*Z$7</f>
        <v>366891.83268289879</v>
      </c>
      <c r="AA62" s="31">
        <f>(INDEX(Option4!AA$106:AA$117, MATCH($D62, Option4!$G$106:$G$117,0)))*conv_2026*AA$7</f>
        <v>371919.2237346461</v>
      </c>
      <c r="AB62" s="31">
        <f>(INDEX(Option4!AB$106:AB$117, MATCH($D62, Option4!$G$106:$G$117,0)))*conv_2026*AB$7</f>
        <v>377371.43917692814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8" t="s">
        <v>133</v>
      </c>
      <c r="B63" s="258" t="str">
        <f>Option4!A115</f>
        <v>sens</v>
      </c>
      <c r="C63" s="258">
        <f>Option4!C115</f>
        <v>0</v>
      </c>
      <c r="D63" s="258" t="str">
        <f t="shared" si="7"/>
        <v>Option 4sens</v>
      </c>
      <c r="E63" s="259"/>
      <c r="F63" s="31">
        <f t="shared" si="6"/>
        <v>10513722.668693896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1695382.775940174</v>
      </c>
      <c r="J63" s="31">
        <f>(INDEX(Option4!J$106:J$117, MATCH($D63, Option4!$G$106:$G$117,0)))*conv_2026*J$7</f>
        <v>906893.54639054753</v>
      </c>
      <c r="K63" s="31">
        <f>(INDEX(Option4!K$106:K$117, MATCH($D63, Option4!$G$106:$G$117,0)))*conv_2026*K$7</f>
        <v>1305674.2209739245</v>
      </c>
      <c r="L63" s="31">
        <f>(INDEX(Option4!L$106:L$117, MATCH($D63, Option4!$G$106:$G$117,0)))*conv_2026*L$7</f>
        <v>1816095.787304051</v>
      </c>
      <c r="M63" s="31">
        <f>(INDEX(Option4!M$106:M$117, MATCH($D63, Option4!$G$106:$G$117,0)))*conv_2026*M$7</f>
        <v>2467489.3370405859</v>
      </c>
      <c r="N63" s="31">
        <f>(INDEX(Option4!N$106:N$117, MATCH($D63, Option4!$G$106:$G$117,0)))*conv_2026*N$7</f>
        <v>-925065.64078767819</v>
      </c>
      <c r="O63" s="31">
        <f>(INDEX(Option4!O$106:O$117, MATCH($D63, Option4!$G$106:$G$117,0)))*conv_2026*O$7</f>
        <v>324212.50678810204</v>
      </c>
      <c r="P63" s="31">
        <f>(INDEX(Option4!P$106:P$117, MATCH($D63, Option4!$G$106:$G$117,0)))*conv_2026*P$7</f>
        <v>382670.40978998196</v>
      </c>
      <c r="Q63" s="31">
        <f>(INDEX(Option4!Q$106:Q$117, MATCH($D63, Option4!$G$106:$G$117,0)))*conv_2026*Q$7</f>
        <v>418687.18930250907</v>
      </c>
      <c r="R63" s="31">
        <f>(INDEX(Option4!R$106:R$117, MATCH($D63, Option4!$G$106:$G$117,0)))*conv_2026*R$7</f>
        <v>423296.08203847031</v>
      </c>
      <c r="S63" s="31">
        <f>(INDEX(Option4!S$106:S$117, MATCH($D63, Option4!$G$106:$G$117,0)))*conv_2026*S$7</f>
        <v>426230.69516631792</v>
      </c>
      <c r="T63" s="31">
        <f>(INDEX(Option4!T$106:T$117, MATCH($D63, Option4!$G$106:$G$117,0)))*conv_2026*T$7</f>
        <v>429409.43776612694</v>
      </c>
      <c r="U63" s="31">
        <f>(INDEX(Option4!U$106:U$117, MATCH($D63, Option4!$G$106:$G$117,0)))*conv_2026*U$7</f>
        <v>432853.18924606155</v>
      </c>
      <c r="V63" s="31">
        <f>(INDEX(Option4!V$106:V$117, MATCH($D63, Option4!$G$106:$G$117,0)))*conv_2026*V$7</f>
        <v>436584.64526420832</v>
      </c>
      <c r="W63" s="31">
        <f>(INDEX(Option4!W$106:W$117, MATCH($D63, Option4!$G$106:$G$117,0)))*conv_2026*W$7</f>
        <v>440628.47743698087</v>
      </c>
      <c r="X63" s="31">
        <f>(INDEX(Option4!X$106:X$117, MATCH($D63, Option4!$G$106:$G$117,0)))*conv_2026*X$7</f>
        <v>445011.50719009573</v>
      </c>
      <c r="Y63" s="31">
        <f>(INDEX(Option4!Y$106:Y$117, MATCH($D63, Option4!$G$106:$G$117,0)))*conv_2026*Y$7</f>
        <v>449762.8950113192</v>
      </c>
      <c r="Z63" s="31">
        <f>(INDEX(Option4!Z$106:Z$117, MATCH($D63, Option4!$G$106:$G$117,0)))*conv_2026*Z$7</f>
        <v>454914.3464754289</v>
      </c>
      <c r="AA63" s="31">
        <f>(INDEX(Option4!AA$106:AA$117, MATCH($D63, Option4!$G$106:$G$117,0)))*conv_2026*AA$7</f>
        <v>460500.33653292595</v>
      </c>
      <c r="AB63" s="31">
        <f>(INDEX(Option4!AB$106:AB$117, MATCH($D63, Option4!$G$106:$G$117,0)))*conv_2026*AB$7</f>
        <v>466558.35369101714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8" t="s">
        <v>133</v>
      </c>
      <c r="B64" s="258" t="str">
        <f>Option4!A116</f>
        <v>sens</v>
      </c>
      <c r="C64" s="258">
        <f>Option4!C116</f>
        <v>0</v>
      </c>
      <c r="D64" s="258" t="str">
        <f t="shared" si="7"/>
        <v>Option 4sens</v>
      </c>
      <c r="E64" s="259"/>
      <c r="F64" s="31">
        <f t="shared" si="6"/>
        <v>10513722.668693896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1695382.775940174</v>
      </c>
      <c r="J64" s="31">
        <f>(INDEX(Option4!J$106:J$117, MATCH($D64, Option4!$G$106:$G$117,0)))*conv_2026*J$7</f>
        <v>906893.54639054753</v>
      </c>
      <c r="K64" s="31">
        <f>(INDEX(Option4!K$106:K$117, MATCH($D64, Option4!$G$106:$G$117,0)))*conv_2026*K$7</f>
        <v>1305674.2209739245</v>
      </c>
      <c r="L64" s="31">
        <f>(INDEX(Option4!L$106:L$117, MATCH($D64, Option4!$G$106:$G$117,0)))*conv_2026*L$7</f>
        <v>1816095.787304051</v>
      </c>
      <c r="M64" s="31">
        <f>(INDEX(Option4!M$106:M$117, MATCH($D64, Option4!$G$106:$G$117,0)))*conv_2026*M$7</f>
        <v>2467489.3370405859</v>
      </c>
      <c r="N64" s="31">
        <f>(INDEX(Option4!N$106:N$117, MATCH($D64, Option4!$G$106:$G$117,0)))*conv_2026*N$7</f>
        <v>-925065.64078767819</v>
      </c>
      <c r="O64" s="31">
        <f>(INDEX(Option4!O$106:O$117, MATCH($D64, Option4!$G$106:$G$117,0)))*conv_2026*O$7</f>
        <v>324212.50678810204</v>
      </c>
      <c r="P64" s="31">
        <f>(INDEX(Option4!P$106:P$117, MATCH($D64, Option4!$G$106:$G$117,0)))*conv_2026*P$7</f>
        <v>382670.40978998196</v>
      </c>
      <c r="Q64" s="31">
        <f>(INDEX(Option4!Q$106:Q$117, MATCH($D64, Option4!$G$106:$G$117,0)))*conv_2026*Q$7</f>
        <v>418687.18930250907</v>
      </c>
      <c r="R64" s="31">
        <f>(INDEX(Option4!R$106:R$117, MATCH($D64, Option4!$G$106:$G$117,0)))*conv_2026*R$7</f>
        <v>423296.08203847031</v>
      </c>
      <c r="S64" s="31">
        <f>(INDEX(Option4!S$106:S$117, MATCH($D64, Option4!$G$106:$G$117,0)))*conv_2026*S$7</f>
        <v>426230.69516631792</v>
      </c>
      <c r="T64" s="31">
        <f>(INDEX(Option4!T$106:T$117, MATCH($D64, Option4!$G$106:$G$117,0)))*conv_2026*T$7</f>
        <v>429409.43776612694</v>
      </c>
      <c r="U64" s="31">
        <f>(INDEX(Option4!U$106:U$117, MATCH($D64, Option4!$G$106:$G$117,0)))*conv_2026*U$7</f>
        <v>432853.18924606155</v>
      </c>
      <c r="V64" s="31">
        <f>(INDEX(Option4!V$106:V$117, MATCH($D64, Option4!$G$106:$G$117,0)))*conv_2026*V$7</f>
        <v>436584.64526420832</v>
      </c>
      <c r="W64" s="31">
        <f>(INDEX(Option4!W$106:W$117, MATCH($D64, Option4!$G$106:$G$117,0)))*conv_2026*W$7</f>
        <v>440628.47743698087</v>
      </c>
      <c r="X64" s="31">
        <f>(INDEX(Option4!X$106:X$117, MATCH($D64, Option4!$G$106:$G$117,0)))*conv_2026*X$7</f>
        <v>445011.50719009573</v>
      </c>
      <c r="Y64" s="31">
        <f>(INDEX(Option4!Y$106:Y$117, MATCH($D64, Option4!$G$106:$G$117,0)))*conv_2026*Y$7</f>
        <v>449762.8950113192</v>
      </c>
      <c r="Z64" s="31">
        <f>(INDEX(Option4!Z$106:Z$117, MATCH($D64, Option4!$G$106:$G$117,0)))*conv_2026*Z$7</f>
        <v>454914.3464754289</v>
      </c>
      <c r="AA64" s="31">
        <f>(INDEX(Option4!AA$106:AA$117, MATCH($D64, Option4!$G$106:$G$117,0)))*conv_2026*AA$7</f>
        <v>460500.33653292595</v>
      </c>
      <c r="AB64" s="31">
        <f>(INDEX(Option4!AB$106:AB$117, MATCH($D64, Option4!$G$106:$G$117,0)))*conv_2026*AB$7</f>
        <v>466558.35369101714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8" t="s">
        <v>133</v>
      </c>
      <c r="B65" s="258" t="str">
        <f>Option4!A117</f>
        <v>sens</v>
      </c>
      <c r="C65" s="258">
        <f>Option4!C117</f>
        <v>0</v>
      </c>
      <c r="D65" s="258" t="str">
        <f t="shared" si="7"/>
        <v>Option 4sens</v>
      </c>
      <c r="E65" s="259"/>
      <c r="F65" s="31">
        <f t="shared" si="6"/>
        <v>10513722.668693896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1695382.775940174</v>
      </c>
      <c r="J65" s="31">
        <f>(INDEX(Option4!J$106:J$117, MATCH($D65, Option4!$G$106:$G$117,0)))*conv_2026*J$7</f>
        <v>906893.54639054753</v>
      </c>
      <c r="K65" s="31">
        <f>(INDEX(Option4!K$106:K$117, MATCH($D65, Option4!$G$106:$G$117,0)))*conv_2026*K$7</f>
        <v>1305674.2209739245</v>
      </c>
      <c r="L65" s="31">
        <f>(INDEX(Option4!L$106:L$117, MATCH($D65, Option4!$G$106:$G$117,0)))*conv_2026*L$7</f>
        <v>1816095.787304051</v>
      </c>
      <c r="M65" s="31">
        <f>(INDEX(Option4!M$106:M$117, MATCH($D65, Option4!$G$106:$G$117,0)))*conv_2026*M$7</f>
        <v>2467489.3370405859</v>
      </c>
      <c r="N65" s="31">
        <f>(INDEX(Option4!N$106:N$117, MATCH($D65, Option4!$G$106:$G$117,0)))*conv_2026*N$7</f>
        <v>-925065.64078767819</v>
      </c>
      <c r="O65" s="31">
        <f>(INDEX(Option4!O$106:O$117, MATCH($D65, Option4!$G$106:$G$117,0)))*conv_2026*O$7</f>
        <v>324212.50678810204</v>
      </c>
      <c r="P65" s="31">
        <f>(INDEX(Option4!P$106:P$117, MATCH($D65, Option4!$G$106:$G$117,0)))*conv_2026*P$7</f>
        <v>382670.40978998196</v>
      </c>
      <c r="Q65" s="31">
        <f>(INDEX(Option4!Q$106:Q$117, MATCH($D65, Option4!$G$106:$G$117,0)))*conv_2026*Q$7</f>
        <v>418687.18930250907</v>
      </c>
      <c r="R65" s="31">
        <f>(INDEX(Option4!R$106:R$117, MATCH($D65, Option4!$G$106:$G$117,0)))*conv_2026*R$7</f>
        <v>423296.08203847031</v>
      </c>
      <c r="S65" s="31">
        <f>(INDEX(Option4!S$106:S$117, MATCH($D65, Option4!$G$106:$G$117,0)))*conv_2026*S$7</f>
        <v>426230.69516631792</v>
      </c>
      <c r="T65" s="31">
        <f>(INDEX(Option4!T$106:T$117, MATCH($D65, Option4!$G$106:$G$117,0)))*conv_2026*T$7</f>
        <v>429409.43776612694</v>
      </c>
      <c r="U65" s="31">
        <f>(INDEX(Option4!U$106:U$117, MATCH($D65, Option4!$G$106:$G$117,0)))*conv_2026*U$7</f>
        <v>432853.18924606155</v>
      </c>
      <c r="V65" s="31">
        <f>(INDEX(Option4!V$106:V$117, MATCH($D65, Option4!$G$106:$G$117,0)))*conv_2026*V$7</f>
        <v>436584.64526420832</v>
      </c>
      <c r="W65" s="31">
        <f>(INDEX(Option4!W$106:W$117, MATCH($D65, Option4!$G$106:$G$117,0)))*conv_2026*W$7</f>
        <v>440628.47743698087</v>
      </c>
      <c r="X65" s="31">
        <f>(INDEX(Option4!X$106:X$117, MATCH($D65, Option4!$G$106:$G$117,0)))*conv_2026*X$7</f>
        <v>445011.50719009573</v>
      </c>
      <c r="Y65" s="31">
        <f>(INDEX(Option4!Y$106:Y$117, MATCH($D65, Option4!$G$106:$G$117,0)))*conv_2026*Y$7</f>
        <v>449762.8950113192</v>
      </c>
      <c r="Z65" s="31">
        <f>(INDEX(Option4!Z$106:Z$117, MATCH($D65, Option4!$G$106:$G$117,0)))*conv_2026*Z$7</f>
        <v>454914.3464754289</v>
      </c>
      <c r="AA65" s="31">
        <f>(INDEX(Option4!AA$106:AA$117, MATCH($D65, Option4!$G$106:$G$117,0)))*conv_2026*AA$7</f>
        <v>460500.33653292595</v>
      </c>
      <c r="AB65" s="31">
        <f>(INDEX(Option4!AB$106:AB$117, MATCH($D65, Option4!$G$106:$G$117,0)))*conv_2026*AB$7</f>
        <v>466558.35369101714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8"/>
      <c r="B66" s="258"/>
      <c r="C66" s="258"/>
      <c r="D66" s="258"/>
      <c r="E66" s="258"/>
      <c r="F66" s="31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</row>
    <row r="67" spans="1:35" s="8" customFormat="1" x14ac:dyDescent="0.2">
      <c r="A67" s="258"/>
      <c r="B67" s="258"/>
      <c r="C67" s="258"/>
      <c r="D67" s="258"/>
      <c r="E67" s="258"/>
      <c r="F67" s="31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</row>
    <row r="68" spans="1:35" s="8" customFormat="1" x14ac:dyDescent="0.2">
      <c r="A68" s="258"/>
      <c r="B68" s="258"/>
      <c r="C68" s="258"/>
      <c r="D68" s="258"/>
      <c r="E68" s="258"/>
      <c r="F68" s="31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</row>
    <row r="69" spans="1:35" s="8" customFormat="1" x14ac:dyDescent="0.2">
      <c r="A69" s="258"/>
      <c r="B69" s="258"/>
      <c r="C69" s="258"/>
      <c r="D69" s="258"/>
      <c r="E69" s="258"/>
      <c r="F69" s="31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</row>
    <row r="70" spans="1:35" s="8" customFormat="1" x14ac:dyDescent="0.2">
      <c r="A70" s="258" t="s">
        <v>155</v>
      </c>
      <c r="B70" s="258" t="s">
        <v>119</v>
      </c>
      <c r="C70" s="258" t="s">
        <v>188</v>
      </c>
      <c r="D70" s="258" t="str">
        <f>A70&amp;B70</f>
        <v>Option 5NPV</v>
      </c>
      <c r="E70" s="259"/>
      <c r="F70" s="31">
        <f t="shared" ref="F70:F79" si="8">SUMPRODUCT($H70:$AG70, $H$5:$AG$5)</f>
        <v>16235379.910875648</v>
      </c>
      <c r="G70" s="251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557017.35804871959</v>
      </c>
      <c r="J70" s="31">
        <f>(INDEX(Option5!J$106:J$117, MATCH($D70, Option5!$G$106:$G$117,0)))*conv_2026*J$7</f>
        <v>425484.85654289561</v>
      </c>
      <c r="K70" s="31">
        <f>(INDEX(Option5!K$106:K$117, MATCH($D70, Option5!$G$106:$G$117,0)))*conv_2026*K$7</f>
        <v>658507.58508956968</v>
      </c>
      <c r="L70" s="31">
        <f>(INDEX(Option5!L$106:L$117, MATCH($D70, Option5!$G$106:$G$117,0)))*conv_2026*L$7</f>
        <v>992287.86408560118</v>
      </c>
      <c r="M70" s="31">
        <f>(INDEX(Option5!M$106:M$117, MATCH($D70, Option5!$G$106:$G$117,0)))*conv_2026*M$7</f>
        <v>1458974.2619722795</v>
      </c>
      <c r="N70" s="31">
        <f>(INDEX(Option5!N$106:N$117, MATCH($D70, Option5!$G$106:$G$117,0)))*conv_2026*N$7</f>
        <v>498741.46564151125</v>
      </c>
      <c r="O70" s="31">
        <f>(INDEX(Option5!O$106:O$117, MATCH($D70, Option5!$G$106:$G$117,0)))*conv_2026*O$7</f>
        <v>1160244.5664119003</v>
      </c>
      <c r="P70" s="31">
        <f>(INDEX(Option5!P$106:P$117, MATCH($D70, Option5!$G$106:$G$117,0)))*conv_2026*P$7</f>
        <v>1317462.4620821977</v>
      </c>
      <c r="Q70" s="31">
        <f>(INDEX(Option5!Q$106:Q$117, MATCH($D70, Option5!$G$106:$G$117,0)))*conv_2026*Q$7</f>
        <v>1346579.6850380138</v>
      </c>
      <c r="R70" s="31">
        <f>(INDEX(Option5!R$106:R$117, MATCH($D70, Option5!$G$106:$G$117,0)))*conv_2026*R$7</f>
        <v>1349377.7957777113</v>
      </c>
      <c r="S70" s="31">
        <f>(INDEX(Option5!S$106:S$117, MATCH($D70, Option5!$G$106:$G$117,0)))*conv_2026*S$7</f>
        <v>1352350.2908372134</v>
      </c>
      <c r="T70" s="31">
        <f>(INDEX(Option5!T$106:T$117, MATCH($D70, Option5!$G$106:$G$117,0)))*conv_2026*T$7</f>
        <v>1355570.0667536636</v>
      </c>
      <c r="U70" s="31">
        <f>(INDEX(Option5!U$106:U$117, MATCH($D70, Option5!$G$106:$G$117,0)))*conv_2026*U$7</f>
        <v>1359058.2724605319</v>
      </c>
      <c r="V70" s="31">
        <f>(INDEX(Option5!V$106:V$117, MATCH($D70, Option5!$G$106:$G$117,0)))*conv_2026*V$7</f>
        <v>1362837.896586603</v>
      </c>
      <c r="W70" s="31">
        <f>(INDEX(Option5!W$106:W$117, MATCH($D70, Option5!$G$106:$G$117,0)))*conv_2026*W$7</f>
        <v>1366933.9292256001</v>
      </c>
      <c r="X70" s="31">
        <f>(INDEX(Option5!X$106:X$117, MATCH($D70, Option5!$G$106:$G$117,0)))*conv_2026*X$7</f>
        <v>1371373.5380323608</v>
      </c>
      <c r="Y70" s="31">
        <f>(INDEX(Option5!Y$106:Y$117, MATCH($D70, Option5!$G$106:$G$117,0)))*conv_2026*Y$7</f>
        <v>1376186.2599174331</v>
      </c>
      <c r="Z70" s="31">
        <f>(INDEX(Option5!Z$106:Z$117, MATCH($D70, Option5!$G$106:$G$117,0)))*conv_2026*Z$7</f>
        <v>1381404.2097319278</v>
      </c>
      <c r="AA70" s="31">
        <f>(INDEX(Option5!AA$106:AA$117, MATCH($D70, Option5!$G$106:$G$117,0)))*conv_2026*AA$7</f>
        <v>1387062.3074519422</v>
      </c>
      <c r="AB70" s="31">
        <f>(INDEX(Option5!AB$106:AB$117, MATCH($D70, Option5!$G$106:$G$117,0)))*conv_2026*AB$7</f>
        <v>1393198.5255113728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50"/>
      <c r="B71" s="250"/>
      <c r="C71" s="250"/>
      <c r="D71" s="250"/>
      <c r="E71" s="250"/>
      <c r="F71" s="250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7"/>
      <c r="AI71" s="7"/>
    </row>
    <row r="72" spans="1:35" s="8" customFormat="1" x14ac:dyDescent="0.2">
      <c r="A72" s="258" t="s">
        <v>155</v>
      </c>
      <c r="B72" s="258" t="str">
        <f>Option5!A110</f>
        <v>sens1</v>
      </c>
      <c r="C72" s="258" t="str">
        <f>Option5!C110</f>
        <v>Capex 10% higher</v>
      </c>
      <c r="D72" s="258" t="str">
        <f t="shared" ref="D72:D79" si="9">A72&amp;B72</f>
        <v>Option 5sens1</v>
      </c>
      <c r="E72" s="259"/>
      <c r="F72" s="31">
        <f t="shared" si="8"/>
        <v>15652477.581863509</v>
      </c>
      <c r="G72" s="251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557017.35804871959</v>
      </c>
      <c r="J72" s="31">
        <f>(INDEX(Option5!J$106:J$117, MATCH($D72, Option5!$G$106:$G$117,0)))*conv_2026*J$7</f>
        <v>380585.64767823403</v>
      </c>
      <c r="K72" s="31">
        <f>(INDEX(Option5!K$106:K$117, MATCH($D72, Option5!$G$106:$G$117,0)))*conv_2026*K$7</f>
        <v>607104.65366161917</v>
      </c>
      <c r="L72" s="31">
        <f>(INDEX(Option5!L$106:L$117, MATCH($D72, Option5!$G$106:$G$117,0)))*conv_2026*L$7</f>
        <v>934381.2100943618</v>
      </c>
      <c r="M72" s="31">
        <f>(INDEX(Option5!M$106:M$117, MATCH($D72, Option5!$G$106:$G$117,0)))*conv_2026*M$7</f>
        <v>1394563.885417751</v>
      </c>
      <c r="N72" s="31">
        <f>(INDEX(Option5!N$106:N$117, MATCH($D72, Option5!$G$106:$G$117,0)))*conv_2026*N$7</f>
        <v>424381.88177700876</v>
      </c>
      <c r="O72" s="31">
        <f>(INDEX(Option5!O$106:O$117, MATCH($D72, Option5!$G$106:$G$117,0)))*conv_2026*O$7</f>
        <v>1124280.4688487705</v>
      </c>
      <c r="P72" s="31">
        <f>(INDEX(Option5!P$106:P$117, MATCH($D72, Option5!$G$106:$G$117,0)))*conv_2026*P$7</f>
        <v>1281498.3645190678</v>
      </c>
      <c r="Q72" s="31">
        <f>(INDEX(Option5!Q$106:Q$117, MATCH($D72, Option5!$G$106:$G$117,0)))*conv_2026*Q$7</f>
        <v>1310615.587474884</v>
      </c>
      <c r="R72" s="31">
        <f>(INDEX(Option5!R$106:R$117, MATCH($D72, Option5!$G$106:$G$117,0)))*conv_2026*R$7</f>
        <v>1313413.6982145817</v>
      </c>
      <c r="S72" s="31">
        <f>(INDEX(Option5!S$106:S$117, MATCH($D72, Option5!$G$106:$G$117,0)))*conv_2026*S$7</f>
        <v>1316386.1932740838</v>
      </c>
      <c r="T72" s="31">
        <f>(INDEX(Option5!T$106:T$117, MATCH($D72, Option5!$G$106:$G$117,0)))*conv_2026*T$7</f>
        <v>1319605.9691905337</v>
      </c>
      <c r="U72" s="31">
        <f>(INDEX(Option5!U$106:U$117, MATCH($D72, Option5!$G$106:$G$117,0)))*conv_2026*U$7</f>
        <v>1323094.1748974021</v>
      </c>
      <c r="V72" s="31">
        <f>(INDEX(Option5!V$106:V$117, MATCH($D72, Option5!$G$106:$G$117,0)))*conv_2026*V$7</f>
        <v>1326873.7990234732</v>
      </c>
      <c r="W72" s="31">
        <f>(INDEX(Option5!W$106:W$117, MATCH($D72, Option5!$G$106:$G$117,0)))*conv_2026*W$7</f>
        <v>1330969.8316624705</v>
      </c>
      <c r="X72" s="31">
        <f>(INDEX(Option5!X$106:X$117, MATCH($D72, Option5!$G$106:$G$117,0)))*conv_2026*X$7</f>
        <v>1335409.440469231</v>
      </c>
      <c r="Y72" s="31">
        <f>(INDEX(Option5!Y$106:Y$117, MATCH($D72, Option5!$G$106:$G$117,0)))*conv_2026*Y$7</f>
        <v>1340222.1623543035</v>
      </c>
      <c r="Z72" s="31">
        <f>(INDEX(Option5!Z$106:Z$117, MATCH($D72, Option5!$G$106:$G$117,0)))*conv_2026*Z$7</f>
        <v>1345440.112168798</v>
      </c>
      <c r="AA72" s="31">
        <f>(INDEX(Option5!AA$106:AA$117, MATCH($D72, Option5!$G$106:$G$117,0)))*conv_2026*AA$7</f>
        <v>1351098.2098888126</v>
      </c>
      <c r="AB72" s="31">
        <f>(INDEX(Option5!AB$106:AB$117, MATCH($D72, Option5!$G$106:$G$117,0)))*conv_2026*AB$7</f>
        <v>1357234.427948243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8" t="s">
        <v>155</v>
      </c>
      <c r="B73" s="258" t="str">
        <f>Option5!A111</f>
        <v>sens2</v>
      </c>
      <c r="C73" s="258" t="str">
        <f>Option5!C111</f>
        <v>Capex 10% lower</v>
      </c>
      <c r="D73" s="258" t="str">
        <f t="shared" si="9"/>
        <v>Option 5sens2</v>
      </c>
      <c r="E73" s="259"/>
      <c r="F73" s="31">
        <f t="shared" si="8"/>
        <v>16818282.239887793</v>
      </c>
      <c r="G73" s="258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557017.35804871959</v>
      </c>
      <c r="J73" s="31">
        <f>(INDEX(Option5!J$106:J$117, MATCH($D73, Option5!$G$106:$G$117,0)))*conv_2026*J$7</f>
        <v>470384.06540755712</v>
      </c>
      <c r="K73" s="31">
        <f>(INDEX(Option5!K$106:K$117, MATCH($D73, Option5!$G$106:$G$117,0)))*conv_2026*K$7</f>
        <v>709910.51651752007</v>
      </c>
      <c r="L73" s="31">
        <f>(INDEX(Option5!L$106:L$117, MATCH($D73, Option5!$G$106:$G$117,0)))*conv_2026*L$7</f>
        <v>1050194.5180768408</v>
      </c>
      <c r="M73" s="31">
        <f>(INDEX(Option5!M$106:M$117, MATCH($D73, Option5!$G$106:$G$117,0)))*conv_2026*M$7</f>
        <v>1523384.6385268078</v>
      </c>
      <c r="N73" s="31">
        <f>(INDEX(Option5!N$106:N$117, MATCH($D73, Option5!$G$106:$G$117,0)))*conv_2026*N$7</f>
        <v>573101.04950601375</v>
      </c>
      <c r="O73" s="31">
        <f>(INDEX(Option5!O$106:O$117, MATCH($D73, Option5!$G$106:$G$117,0)))*conv_2026*O$7</f>
        <v>1196208.6639750302</v>
      </c>
      <c r="P73" s="31">
        <f>(INDEX(Option5!P$106:P$117, MATCH($D73, Option5!$G$106:$G$117,0)))*conv_2026*P$7</f>
        <v>1353426.5596453273</v>
      </c>
      <c r="Q73" s="31">
        <f>(INDEX(Option5!Q$106:Q$117, MATCH($D73, Option5!$G$106:$G$117,0)))*conv_2026*Q$7</f>
        <v>1382543.7826011435</v>
      </c>
      <c r="R73" s="31">
        <f>(INDEX(Option5!R$106:R$117, MATCH($D73, Option5!$G$106:$G$117,0)))*conv_2026*R$7</f>
        <v>1385341.8933408412</v>
      </c>
      <c r="S73" s="31">
        <f>(INDEX(Option5!S$106:S$117, MATCH($D73, Option5!$G$106:$G$117,0)))*conv_2026*S$7</f>
        <v>1388314.3884003432</v>
      </c>
      <c r="T73" s="31">
        <f>(INDEX(Option5!T$106:T$117, MATCH($D73, Option5!$G$106:$G$117,0)))*conv_2026*T$7</f>
        <v>1391534.1643167932</v>
      </c>
      <c r="U73" s="31">
        <f>(INDEX(Option5!U$106:U$117, MATCH($D73, Option5!$G$106:$G$117,0)))*conv_2026*U$7</f>
        <v>1395022.3700236618</v>
      </c>
      <c r="V73" s="31">
        <f>(INDEX(Option5!V$106:V$117, MATCH($D73, Option5!$G$106:$G$117,0)))*conv_2026*V$7</f>
        <v>1398801.9941497329</v>
      </c>
      <c r="W73" s="31">
        <f>(INDEX(Option5!W$106:W$117, MATCH($D73, Option5!$G$106:$G$117,0)))*conv_2026*W$7</f>
        <v>1402898.0267887299</v>
      </c>
      <c r="X73" s="31">
        <f>(INDEX(Option5!X$106:X$117, MATCH($D73, Option5!$G$106:$G$117,0)))*conv_2026*X$7</f>
        <v>1407337.6355954907</v>
      </c>
      <c r="Y73" s="31">
        <f>(INDEX(Option5!Y$106:Y$117, MATCH($D73, Option5!$G$106:$G$117,0)))*conv_2026*Y$7</f>
        <v>1412150.357480563</v>
      </c>
      <c r="Z73" s="31">
        <f>(INDEX(Option5!Z$106:Z$117, MATCH($D73, Option5!$G$106:$G$117,0)))*conv_2026*Z$7</f>
        <v>1417368.3072950577</v>
      </c>
      <c r="AA73" s="31">
        <f>(INDEX(Option5!AA$106:AA$117, MATCH($D73, Option5!$G$106:$G$117,0)))*conv_2026*AA$7</f>
        <v>1423026.4050150721</v>
      </c>
      <c r="AB73" s="31">
        <f>(INDEX(Option5!AB$106:AB$117, MATCH($D73, Option5!$G$106:$G$117,0)))*conv_2026*AB$7</f>
        <v>1429162.6230745027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8" t="s">
        <v>155</v>
      </c>
      <c r="B74" s="258" t="str">
        <f>Option5!A112</f>
        <v>sens3</v>
      </c>
      <c r="C74" s="258" t="str">
        <f>Option5!C112</f>
        <v>Total benefits 10% higher</v>
      </c>
      <c r="D74" s="258" t="str">
        <f t="shared" si="9"/>
        <v>Option 5sens3</v>
      </c>
      <c r="E74" s="259"/>
      <c r="F74" s="31">
        <f t="shared" si="8"/>
        <v>18441820.230975356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612719.09385359148</v>
      </c>
      <c r="J74" s="31">
        <f>(INDEX(Option5!J$106:J$117, MATCH($D74, Option5!$G$106:$G$117,0)))*conv_2026*J$7</f>
        <v>512932.55106184672</v>
      </c>
      <c r="K74" s="31">
        <f>(INDEX(Option5!K$106:K$117, MATCH($D74, Option5!$G$106:$G$117,0)))*conv_2026*K$7</f>
        <v>775761.27502647717</v>
      </c>
      <c r="L74" s="31">
        <f>(INDEX(Option5!L$106:L$117, MATCH($D74, Option5!$G$106:$G$117,0)))*conv_2026*L$7</f>
        <v>1149423.3044854009</v>
      </c>
      <c r="M74" s="31">
        <f>(INDEX(Option5!M$106:M$117, MATCH($D74, Option5!$G$106:$G$117,0)))*conv_2026*M$7</f>
        <v>1669282.0647240358</v>
      </c>
      <c r="N74" s="31">
        <f>(INDEX(Option5!N$106:N$117, MATCH($D74, Option5!$G$106:$G$117,0)))*conv_2026*N$7</f>
        <v>622975.19607016479</v>
      </c>
      <c r="O74" s="31">
        <f>(INDEX(Option5!O$106:O$117, MATCH($D74, Option5!$G$106:$G$117,0)))*conv_2026*O$7</f>
        <v>1312233.1206162204</v>
      </c>
      <c r="P74" s="31">
        <f>(INDEX(Option5!P$106:P$117, MATCH($D74, Option5!$G$106:$G$117,0)))*conv_2026*P$7</f>
        <v>1485172.8058535473</v>
      </c>
      <c r="Q74" s="31">
        <f>(INDEX(Option5!Q$106:Q$117, MATCH($D74, Option5!$G$106:$G$117,0)))*conv_2026*Q$7</f>
        <v>1517201.7511049449</v>
      </c>
      <c r="R74" s="31">
        <f>(INDEX(Option5!R$106:R$117, MATCH($D74, Option5!$G$106:$G$117,0)))*conv_2026*R$7</f>
        <v>1520279.6729186126</v>
      </c>
      <c r="S74" s="31">
        <f>(INDEX(Option5!S$106:S$117, MATCH($D74, Option5!$G$106:$G$117,0)))*conv_2026*S$7</f>
        <v>1523549.4174840646</v>
      </c>
      <c r="T74" s="31">
        <f>(INDEX(Option5!T$106:T$117, MATCH($D74, Option5!$G$106:$G$117,0)))*conv_2026*T$7</f>
        <v>1527091.1709921598</v>
      </c>
      <c r="U74" s="31">
        <f>(INDEX(Option5!U$106:U$117, MATCH($D74, Option5!$G$106:$G$117,0)))*conv_2026*U$7</f>
        <v>1530928.1972697151</v>
      </c>
      <c r="V74" s="31">
        <f>(INDEX(Option5!V$106:V$117, MATCH($D74, Option5!$G$106:$G$117,0)))*conv_2026*V$7</f>
        <v>1535085.7838083932</v>
      </c>
      <c r="W74" s="31">
        <f>(INDEX(Option5!W$106:W$117, MATCH($D74, Option5!$G$106:$G$117,0)))*conv_2026*W$7</f>
        <v>1539591.4197112899</v>
      </c>
      <c r="X74" s="31">
        <f>(INDEX(Option5!X$106:X$117, MATCH($D74, Option5!$G$106:$G$117,0)))*conv_2026*X$7</f>
        <v>1544474.989398727</v>
      </c>
      <c r="Y74" s="31">
        <f>(INDEX(Option5!Y$106:Y$117, MATCH($D74, Option5!$G$106:$G$117,0)))*conv_2026*Y$7</f>
        <v>1549768.9834723063</v>
      </c>
      <c r="Z74" s="31">
        <f>(INDEX(Option5!Z$106:Z$117, MATCH($D74, Option5!$G$106:$G$117,0)))*conv_2026*Z$7</f>
        <v>1555508.7282682506</v>
      </c>
      <c r="AA74" s="31">
        <f>(INDEX(Option5!AA$106:AA$117, MATCH($D74, Option5!$G$106:$G$117,0)))*conv_2026*AA$7</f>
        <v>1561732.6357602663</v>
      </c>
      <c r="AB74" s="31">
        <f>(INDEX(Option5!AB$106:AB$117, MATCH($D74, Option5!$G$106:$G$117,0)))*conv_2026*AB$7</f>
        <v>1568482.4756256398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8" t="s">
        <v>155</v>
      </c>
      <c r="B75" s="258" t="str">
        <f>Option5!A113</f>
        <v>sens4</v>
      </c>
      <c r="C75" s="258" t="str">
        <f>Option5!C113</f>
        <v>Total benefits 10% lower</v>
      </c>
      <c r="D75" s="258" t="str">
        <f t="shared" si="9"/>
        <v>Option 5sens4</v>
      </c>
      <c r="E75" s="259"/>
      <c r="F75" s="31">
        <f t="shared" si="8"/>
        <v>14028939.590775941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501315.62224384758</v>
      </c>
      <c r="J75" s="31">
        <f>(INDEX(Option5!J$106:J$117, MATCH($D75, Option5!$G$106:$G$117,0)))*conv_2026*J$7</f>
        <v>338037.16202394443</v>
      </c>
      <c r="K75" s="31">
        <f>(INDEX(Option5!K$106:K$117, MATCH($D75, Option5!$G$106:$G$117,0)))*conv_2026*K$7</f>
        <v>541253.89515266218</v>
      </c>
      <c r="L75" s="31">
        <f>(INDEX(Option5!L$106:L$117, MATCH($D75, Option5!$G$106:$G$117,0)))*conv_2026*L$7</f>
        <v>835152.42368580156</v>
      </c>
      <c r="M75" s="31">
        <f>(INDEX(Option5!M$106:M$117, MATCH($D75, Option5!$G$106:$G$117,0)))*conv_2026*M$7</f>
        <v>1248666.4592205232</v>
      </c>
      <c r="N75" s="31">
        <f>(INDEX(Option5!N$106:N$117, MATCH($D75, Option5!$G$106:$G$117,0)))*conv_2026*N$7</f>
        <v>374507.7352128576</v>
      </c>
      <c r="O75" s="31">
        <f>(INDEX(Option5!O$106:O$117, MATCH($D75, Option5!$G$106:$G$117,0)))*conv_2026*O$7</f>
        <v>1008256.0122075804</v>
      </c>
      <c r="P75" s="31">
        <f>(INDEX(Option5!P$106:P$117, MATCH($D75, Option5!$G$106:$G$117,0)))*conv_2026*P$7</f>
        <v>1149752.118310848</v>
      </c>
      <c r="Q75" s="31">
        <f>(INDEX(Option5!Q$106:Q$117, MATCH($D75, Option5!$G$106:$G$117,0)))*conv_2026*Q$7</f>
        <v>1175957.6189710826</v>
      </c>
      <c r="R75" s="31">
        <f>(INDEX(Option5!R$106:R$117, MATCH($D75, Option5!$G$106:$G$117,0)))*conv_2026*R$7</f>
        <v>1178475.9186368103</v>
      </c>
      <c r="S75" s="31">
        <f>(INDEX(Option5!S$106:S$117, MATCH($D75, Option5!$G$106:$G$117,0)))*conv_2026*S$7</f>
        <v>1181151.1641903622</v>
      </c>
      <c r="T75" s="31">
        <f>(INDEX(Option5!T$106:T$117, MATCH($D75, Option5!$G$106:$G$117,0)))*conv_2026*T$7</f>
        <v>1184048.9625151674</v>
      </c>
      <c r="U75" s="31">
        <f>(INDEX(Option5!U$106:U$117, MATCH($D75, Option5!$G$106:$G$117,0)))*conv_2026*U$7</f>
        <v>1187188.3476513487</v>
      </c>
      <c r="V75" s="31">
        <f>(INDEX(Option5!V$106:V$117, MATCH($D75, Option5!$G$106:$G$117,0)))*conv_2026*V$7</f>
        <v>1190590.0093648129</v>
      </c>
      <c r="W75" s="31">
        <f>(INDEX(Option5!W$106:W$117, MATCH($D75, Option5!$G$106:$G$117,0)))*conv_2026*W$7</f>
        <v>1194276.4387399103</v>
      </c>
      <c r="X75" s="31">
        <f>(INDEX(Option5!X$106:X$117, MATCH($D75, Option5!$G$106:$G$117,0)))*conv_2026*X$7</f>
        <v>1198272.0866659947</v>
      </c>
      <c r="Y75" s="31">
        <f>(INDEX(Option5!Y$106:Y$117, MATCH($D75, Option5!$G$106:$G$117,0)))*conv_2026*Y$7</f>
        <v>1202603.53636256</v>
      </c>
      <c r="Z75" s="31">
        <f>(INDEX(Option5!Z$106:Z$117, MATCH($D75, Option5!$G$106:$G$117,0)))*conv_2026*Z$7</f>
        <v>1207299.6911956051</v>
      </c>
      <c r="AA75" s="31">
        <f>(INDEX(Option5!AA$106:AA$117, MATCH($D75, Option5!$G$106:$G$117,0)))*conv_2026*AA$7</f>
        <v>1212391.9791436184</v>
      </c>
      <c r="AB75" s="31">
        <f>(INDEX(Option5!AB$106:AB$117, MATCH($D75, Option5!$G$106:$G$117,0)))*conv_2026*AB$7</f>
        <v>1217914.5753971059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8" t="s">
        <v>155</v>
      </c>
      <c r="B76" s="258" t="str">
        <f>Option5!A114</f>
        <v>sens5</v>
      </c>
      <c r="C76" s="258" t="str">
        <f>Option5!C114</f>
        <v>Capex 10% higher &amp; total benefits 10% lower</v>
      </c>
      <c r="D76" s="258" t="str">
        <f t="shared" si="9"/>
        <v>Option 5sens5</v>
      </c>
      <c r="E76" s="259"/>
      <c r="F76" s="31">
        <f t="shared" si="8"/>
        <v>13446037.2617638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501315.62224384758</v>
      </c>
      <c r="J76" s="31">
        <f>(INDEX(Option5!J$106:J$117, MATCH($D76, Option5!$G$106:$G$117,0)))*conv_2026*J$7</f>
        <v>293137.95315928292</v>
      </c>
      <c r="K76" s="31">
        <f>(INDEX(Option5!K$106:K$117, MATCH($D76, Option5!$G$106:$G$117,0)))*conv_2026*K$7</f>
        <v>489850.96372471162</v>
      </c>
      <c r="L76" s="31">
        <f>(INDEX(Option5!L$106:L$117, MATCH($D76, Option5!$G$106:$G$117,0)))*conv_2026*L$7</f>
        <v>777245.76969456219</v>
      </c>
      <c r="M76" s="31">
        <f>(INDEX(Option5!M$106:M$117, MATCH($D76, Option5!$G$106:$G$117,0)))*conv_2026*M$7</f>
        <v>1184256.0826659945</v>
      </c>
      <c r="N76" s="31">
        <f>(INDEX(Option5!N$106:N$117, MATCH($D76, Option5!$G$106:$G$117,0)))*conv_2026*N$7</f>
        <v>300148.15134835517</v>
      </c>
      <c r="O76" s="31">
        <f>(INDEX(Option5!O$106:O$117, MATCH($D76, Option5!$G$106:$G$117,0)))*conv_2026*O$7</f>
        <v>972291.91464445053</v>
      </c>
      <c r="P76" s="31">
        <f>(INDEX(Option5!P$106:P$117, MATCH($D76, Option5!$G$106:$G$117,0)))*conv_2026*P$7</f>
        <v>1113788.0207477179</v>
      </c>
      <c r="Q76" s="31">
        <f>(INDEX(Option5!Q$106:Q$117, MATCH($D76, Option5!$G$106:$G$117,0)))*conv_2026*Q$7</f>
        <v>1139993.5214079525</v>
      </c>
      <c r="R76" s="31">
        <f>(INDEX(Option5!R$106:R$117, MATCH($D76, Option5!$G$106:$G$117,0)))*conv_2026*R$7</f>
        <v>1142511.8210736804</v>
      </c>
      <c r="S76" s="31">
        <f>(INDEX(Option5!S$106:S$117, MATCH($D76, Option5!$G$106:$G$117,0)))*conv_2026*S$7</f>
        <v>1145187.0666272324</v>
      </c>
      <c r="T76" s="31">
        <f>(INDEX(Option5!T$106:T$117, MATCH($D76, Option5!$G$106:$G$117,0)))*conv_2026*T$7</f>
        <v>1148084.8649520373</v>
      </c>
      <c r="U76" s="31">
        <f>(INDEX(Option5!U$106:U$117, MATCH($D76, Option5!$G$106:$G$117,0)))*conv_2026*U$7</f>
        <v>1151224.2500882191</v>
      </c>
      <c r="V76" s="31">
        <f>(INDEX(Option5!V$106:V$117, MATCH($D76, Option5!$G$106:$G$117,0)))*conv_2026*V$7</f>
        <v>1154625.9118016828</v>
      </c>
      <c r="W76" s="31">
        <f>(INDEX(Option5!W$106:W$117, MATCH($D76, Option5!$G$106:$G$117,0)))*conv_2026*W$7</f>
        <v>1158312.3411767804</v>
      </c>
      <c r="X76" s="31">
        <f>(INDEX(Option5!X$106:X$117, MATCH($D76, Option5!$G$106:$G$117,0)))*conv_2026*X$7</f>
        <v>1162307.9891028651</v>
      </c>
      <c r="Y76" s="31">
        <f>(INDEX(Option5!Y$106:Y$117, MATCH($D76, Option5!$G$106:$G$117,0)))*conv_2026*Y$7</f>
        <v>1166639.4387994302</v>
      </c>
      <c r="Z76" s="31">
        <f>(INDEX(Option5!Z$106:Z$117, MATCH($D76, Option5!$G$106:$G$117,0)))*conv_2026*Z$7</f>
        <v>1171335.5936324752</v>
      </c>
      <c r="AA76" s="31">
        <f>(INDEX(Option5!AA$106:AA$117, MATCH($D76, Option5!$G$106:$G$117,0)))*conv_2026*AA$7</f>
        <v>1176427.8815804883</v>
      </c>
      <c r="AB76" s="31">
        <f>(INDEX(Option5!AB$106:AB$117, MATCH($D76, Option5!$G$106:$G$117,0)))*conv_2026*AB$7</f>
        <v>1181950.4778339758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8" t="s">
        <v>155</v>
      </c>
      <c r="B77" s="258" t="str">
        <f>Option5!A115</f>
        <v>sens</v>
      </c>
      <c r="C77" s="258">
        <f>Option5!C115</f>
        <v>0</v>
      </c>
      <c r="D77" s="258" t="str">
        <f t="shared" si="9"/>
        <v>Option 5sens</v>
      </c>
      <c r="E77" s="259"/>
      <c r="F77" s="31">
        <f t="shared" si="8"/>
        <v>16235379.910875648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557017.35804871959</v>
      </c>
      <c r="J77" s="31">
        <f>(INDEX(Option5!J$106:J$117, MATCH($D77, Option5!$G$106:$G$117,0)))*conv_2026*J$7</f>
        <v>425484.85654289561</v>
      </c>
      <c r="K77" s="31">
        <f>(INDEX(Option5!K$106:K$117, MATCH($D77, Option5!$G$106:$G$117,0)))*conv_2026*K$7</f>
        <v>658507.58508956968</v>
      </c>
      <c r="L77" s="31">
        <f>(INDEX(Option5!L$106:L$117, MATCH($D77, Option5!$G$106:$G$117,0)))*conv_2026*L$7</f>
        <v>992287.86408560118</v>
      </c>
      <c r="M77" s="31">
        <f>(INDEX(Option5!M$106:M$117, MATCH($D77, Option5!$G$106:$G$117,0)))*conv_2026*M$7</f>
        <v>1458974.2619722795</v>
      </c>
      <c r="N77" s="31">
        <f>(INDEX(Option5!N$106:N$117, MATCH($D77, Option5!$G$106:$G$117,0)))*conv_2026*N$7</f>
        <v>498741.46564151125</v>
      </c>
      <c r="O77" s="31">
        <f>(INDEX(Option5!O$106:O$117, MATCH($D77, Option5!$G$106:$G$117,0)))*conv_2026*O$7</f>
        <v>1160244.5664119003</v>
      </c>
      <c r="P77" s="31">
        <f>(INDEX(Option5!P$106:P$117, MATCH($D77, Option5!$G$106:$G$117,0)))*conv_2026*P$7</f>
        <v>1317462.4620821977</v>
      </c>
      <c r="Q77" s="31">
        <f>(INDEX(Option5!Q$106:Q$117, MATCH($D77, Option5!$G$106:$G$117,0)))*conv_2026*Q$7</f>
        <v>1346579.6850380138</v>
      </c>
      <c r="R77" s="31">
        <f>(INDEX(Option5!R$106:R$117, MATCH($D77, Option5!$G$106:$G$117,0)))*conv_2026*R$7</f>
        <v>1349377.7957777113</v>
      </c>
      <c r="S77" s="31">
        <f>(INDEX(Option5!S$106:S$117, MATCH($D77, Option5!$G$106:$G$117,0)))*conv_2026*S$7</f>
        <v>1352350.2908372134</v>
      </c>
      <c r="T77" s="31">
        <f>(INDEX(Option5!T$106:T$117, MATCH($D77, Option5!$G$106:$G$117,0)))*conv_2026*T$7</f>
        <v>1355570.0667536636</v>
      </c>
      <c r="U77" s="31">
        <f>(INDEX(Option5!U$106:U$117, MATCH($D77, Option5!$G$106:$G$117,0)))*conv_2026*U$7</f>
        <v>1359058.2724605319</v>
      </c>
      <c r="V77" s="31">
        <f>(INDEX(Option5!V$106:V$117, MATCH($D77, Option5!$G$106:$G$117,0)))*conv_2026*V$7</f>
        <v>1362837.896586603</v>
      </c>
      <c r="W77" s="31">
        <f>(INDEX(Option5!W$106:W$117, MATCH($D77, Option5!$G$106:$G$117,0)))*conv_2026*W$7</f>
        <v>1366933.9292256001</v>
      </c>
      <c r="X77" s="31">
        <f>(INDEX(Option5!X$106:X$117, MATCH($D77, Option5!$G$106:$G$117,0)))*conv_2026*X$7</f>
        <v>1371373.5380323608</v>
      </c>
      <c r="Y77" s="31">
        <f>(INDEX(Option5!Y$106:Y$117, MATCH($D77, Option5!$G$106:$G$117,0)))*conv_2026*Y$7</f>
        <v>1376186.2599174331</v>
      </c>
      <c r="Z77" s="31">
        <f>(INDEX(Option5!Z$106:Z$117, MATCH($D77, Option5!$G$106:$G$117,0)))*conv_2026*Z$7</f>
        <v>1381404.2097319278</v>
      </c>
      <c r="AA77" s="31">
        <f>(INDEX(Option5!AA$106:AA$117, MATCH($D77, Option5!$G$106:$G$117,0)))*conv_2026*AA$7</f>
        <v>1387062.3074519422</v>
      </c>
      <c r="AB77" s="31">
        <f>(INDEX(Option5!AB$106:AB$117, MATCH($D77, Option5!$G$106:$G$117,0)))*conv_2026*AB$7</f>
        <v>1393198.5255113728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8" t="s">
        <v>155</v>
      </c>
      <c r="B78" s="258" t="str">
        <f>Option5!A116</f>
        <v>sens</v>
      </c>
      <c r="C78" s="258">
        <f>Option5!C116</f>
        <v>0</v>
      </c>
      <c r="D78" s="258" t="str">
        <f t="shared" si="9"/>
        <v>Option 5sens</v>
      </c>
      <c r="E78" s="259"/>
      <c r="F78" s="31">
        <f t="shared" si="8"/>
        <v>16235379.910875648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557017.35804871959</v>
      </c>
      <c r="J78" s="31">
        <f>(INDEX(Option5!J$106:J$117, MATCH($D78, Option5!$G$106:$G$117,0)))*conv_2026*J$7</f>
        <v>425484.85654289561</v>
      </c>
      <c r="K78" s="31">
        <f>(INDEX(Option5!K$106:K$117, MATCH($D78, Option5!$G$106:$G$117,0)))*conv_2026*K$7</f>
        <v>658507.58508956968</v>
      </c>
      <c r="L78" s="31">
        <f>(INDEX(Option5!L$106:L$117, MATCH($D78, Option5!$G$106:$G$117,0)))*conv_2026*L$7</f>
        <v>992287.86408560118</v>
      </c>
      <c r="M78" s="31">
        <f>(INDEX(Option5!M$106:M$117, MATCH($D78, Option5!$G$106:$G$117,0)))*conv_2026*M$7</f>
        <v>1458974.2619722795</v>
      </c>
      <c r="N78" s="31">
        <f>(INDEX(Option5!N$106:N$117, MATCH($D78, Option5!$G$106:$G$117,0)))*conv_2026*N$7</f>
        <v>498741.46564151125</v>
      </c>
      <c r="O78" s="31">
        <f>(INDEX(Option5!O$106:O$117, MATCH($D78, Option5!$G$106:$G$117,0)))*conv_2026*O$7</f>
        <v>1160244.5664119003</v>
      </c>
      <c r="P78" s="31">
        <f>(INDEX(Option5!P$106:P$117, MATCH($D78, Option5!$G$106:$G$117,0)))*conv_2026*P$7</f>
        <v>1317462.4620821977</v>
      </c>
      <c r="Q78" s="31">
        <f>(INDEX(Option5!Q$106:Q$117, MATCH($D78, Option5!$G$106:$G$117,0)))*conv_2026*Q$7</f>
        <v>1346579.6850380138</v>
      </c>
      <c r="R78" s="31">
        <f>(INDEX(Option5!R$106:R$117, MATCH($D78, Option5!$G$106:$G$117,0)))*conv_2026*R$7</f>
        <v>1349377.7957777113</v>
      </c>
      <c r="S78" s="31">
        <f>(INDEX(Option5!S$106:S$117, MATCH($D78, Option5!$G$106:$G$117,0)))*conv_2026*S$7</f>
        <v>1352350.2908372134</v>
      </c>
      <c r="T78" s="31">
        <f>(INDEX(Option5!T$106:T$117, MATCH($D78, Option5!$G$106:$G$117,0)))*conv_2026*T$7</f>
        <v>1355570.0667536636</v>
      </c>
      <c r="U78" s="31">
        <f>(INDEX(Option5!U$106:U$117, MATCH($D78, Option5!$G$106:$G$117,0)))*conv_2026*U$7</f>
        <v>1359058.2724605319</v>
      </c>
      <c r="V78" s="31">
        <f>(INDEX(Option5!V$106:V$117, MATCH($D78, Option5!$G$106:$G$117,0)))*conv_2026*V$7</f>
        <v>1362837.896586603</v>
      </c>
      <c r="W78" s="31">
        <f>(INDEX(Option5!W$106:W$117, MATCH($D78, Option5!$G$106:$G$117,0)))*conv_2026*W$7</f>
        <v>1366933.9292256001</v>
      </c>
      <c r="X78" s="31">
        <f>(INDEX(Option5!X$106:X$117, MATCH($D78, Option5!$G$106:$G$117,0)))*conv_2026*X$7</f>
        <v>1371373.5380323608</v>
      </c>
      <c r="Y78" s="31">
        <f>(INDEX(Option5!Y$106:Y$117, MATCH($D78, Option5!$G$106:$G$117,0)))*conv_2026*Y$7</f>
        <v>1376186.2599174331</v>
      </c>
      <c r="Z78" s="31">
        <f>(INDEX(Option5!Z$106:Z$117, MATCH($D78, Option5!$G$106:$G$117,0)))*conv_2026*Z$7</f>
        <v>1381404.2097319278</v>
      </c>
      <c r="AA78" s="31">
        <f>(INDEX(Option5!AA$106:AA$117, MATCH($D78, Option5!$G$106:$G$117,0)))*conv_2026*AA$7</f>
        <v>1387062.3074519422</v>
      </c>
      <c r="AB78" s="31">
        <f>(INDEX(Option5!AB$106:AB$117, MATCH($D78, Option5!$G$106:$G$117,0)))*conv_2026*AB$7</f>
        <v>1393198.5255113728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8" t="s">
        <v>155</v>
      </c>
      <c r="B79" s="258" t="str">
        <f>Option5!A117</f>
        <v>sens</v>
      </c>
      <c r="C79" s="258">
        <f>Option5!C117</f>
        <v>0</v>
      </c>
      <c r="D79" s="258" t="str">
        <f t="shared" si="9"/>
        <v>Option 5sens</v>
      </c>
      <c r="E79" s="259"/>
      <c r="F79" s="31">
        <f t="shared" si="8"/>
        <v>16235379.910875648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557017.35804871959</v>
      </c>
      <c r="J79" s="31">
        <f>(INDEX(Option5!J$106:J$117, MATCH($D79, Option5!$G$106:$G$117,0)))*conv_2026*J$7</f>
        <v>425484.85654289561</v>
      </c>
      <c r="K79" s="31">
        <f>(INDEX(Option5!K$106:K$117, MATCH($D79, Option5!$G$106:$G$117,0)))*conv_2026*K$7</f>
        <v>658507.58508956968</v>
      </c>
      <c r="L79" s="31">
        <f>(INDEX(Option5!L$106:L$117, MATCH($D79, Option5!$G$106:$G$117,0)))*conv_2026*L$7</f>
        <v>992287.86408560118</v>
      </c>
      <c r="M79" s="31">
        <f>(INDEX(Option5!M$106:M$117, MATCH($D79, Option5!$G$106:$G$117,0)))*conv_2026*M$7</f>
        <v>1458974.2619722795</v>
      </c>
      <c r="N79" s="31">
        <f>(INDEX(Option5!N$106:N$117, MATCH($D79, Option5!$G$106:$G$117,0)))*conv_2026*N$7</f>
        <v>498741.46564151125</v>
      </c>
      <c r="O79" s="31">
        <f>(INDEX(Option5!O$106:O$117, MATCH($D79, Option5!$G$106:$G$117,0)))*conv_2026*O$7</f>
        <v>1160244.5664119003</v>
      </c>
      <c r="P79" s="31">
        <f>(INDEX(Option5!P$106:P$117, MATCH($D79, Option5!$G$106:$G$117,0)))*conv_2026*P$7</f>
        <v>1317462.4620821977</v>
      </c>
      <c r="Q79" s="31">
        <f>(INDEX(Option5!Q$106:Q$117, MATCH($D79, Option5!$G$106:$G$117,0)))*conv_2026*Q$7</f>
        <v>1346579.6850380138</v>
      </c>
      <c r="R79" s="31">
        <f>(INDEX(Option5!R$106:R$117, MATCH($D79, Option5!$G$106:$G$117,0)))*conv_2026*R$7</f>
        <v>1349377.7957777113</v>
      </c>
      <c r="S79" s="31">
        <f>(INDEX(Option5!S$106:S$117, MATCH($D79, Option5!$G$106:$G$117,0)))*conv_2026*S$7</f>
        <v>1352350.2908372134</v>
      </c>
      <c r="T79" s="31">
        <f>(INDEX(Option5!T$106:T$117, MATCH($D79, Option5!$G$106:$G$117,0)))*conv_2026*T$7</f>
        <v>1355570.0667536636</v>
      </c>
      <c r="U79" s="31">
        <f>(INDEX(Option5!U$106:U$117, MATCH($D79, Option5!$G$106:$G$117,0)))*conv_2026*U$7</f>
        <v>1359058.2724605319</v>
      </c>
      <c r="V79" s="31">
        <f>(INDEX(Option5!V$106:V$117, MATCH($D79, Option5!$G$106:$G$117,0)))*conv_2026*V$7</f>
        <v>1362837.896586603</v>
      </c>
      <c r="W79" s="31">
        <f>(INDEX(Option5!W$106:W$117, MATCH($D79, Option5!$G$106:$G$117,0)))*conv_2026*W$7</f>
        <v>1366933.9292256001</v>
      </c>
      <c r="X79" s="31">
        <f>(INDEX(Option5!X$106:X$117, MATCH($D79, Option5!$G$106:$G$117,0)))*conv_2026*X$7</f>
        <v>1371373.5380323608</v>
      </c>
      <c r="Y79" s="31">
        <f>(INDEX(Option5!Y$106:Y$117, MATCH($D79, Option5!$G$106:$G$117,0)))*conv_2026*Y$7</f>
        <v>1376186.2599174331</v>
      </c>
      <c r="Z79" s="31">
        <f>(INDEX(Option5!Z$106:Z$117, MATCH($D79, Option5!$G$106:$G$117,0)))*conv_2026*Z$7</f>
        <v>1381404.2097319278</v>
      </c>
      <c r="AA79" s="31">
        <f>(INDEX(Option5!AA$106:AA$117, MATCH($D79, Option5!$G$106:$G$117,0)))*conv_2026*AA$7</f>
        <v>1387062.3074519422</v>
      </c>
      <c r="AB79" s="31">
        <f>(INDEX(Option5!AB$106:AB$117, MATCH($D79, Option5!$G$106:$G$117,0)))*conv_2026*AB$7</f>
        <v>1393198.5255113728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4"/>
    </row>
    <row r="81" spans="1:34" s="8" customFormat="1" x14ac:dyDescent="0.2">
      <c r="F81" s="254"/>
    </row>
    <row r="82" spans="1:34" s="8" customFormat="1" x14ac:dyDescent="0.2">
      <c r="F82" s="254"/>
    </row>
    <row r="83" spans="1:34" s="8" customFormat="1" x14ac:dyDescent="0.2">
      <c r="F83" s="254"/>
    </row>
    <row r="84" spans="1:34" s="8" customFormat="1" ht="15" x14ac:dyDescent="0.25">
      <c r="A84" s="206" t="s">
        <v>160</v>
      </c>
      <c r="B84" s="54"/>
      <c r="C84" s="19"/>
      <c r="D84" s="19"/>
      <c r="E84" s="83"/>
      <c r="F84" s="19"/>
      <c r="G84" s="227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10"/>
      <c r="AH84" s="10"/>
    </row>
    <row r="85" spans="1:34" s="8" customFormat="1" x14ac:dyDescent="0.2">
      <c r="F85" s="254"/>
    </row>
    <row r="86" spans="1:34" s="8" customFormat="1" x14ac:dyDescent="0.2">
      <c r="F86" s="254"/>
    </row>
    <row r="87" spans="1:34" s="8" customFormat="1" x14ac:dyDescent="0.2">
      <c r="E87" s="254"/>
    </row>
    <row r="88" spans="1:34" s="8" customFormat="1" x14ac:dyDescent="0.2">
      <c r="C88" s="280" t="b" cm="1">
        <f t="array" ref="C88:G88">TRANSPOSE(Data!F9:F13)</f>
        <v>0</v>
      </c>
      <c r="D88" s="280" t="b">
        <v>0</v>
      </c>
      <c r="E88" s="281" t="b">
        <v>0</v>
      </c>
      <c r="F88" s="280" t="b">
        <v>0</v>
      </c>
      <c r="G88" s="280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82" t="str" cm="1">
        <f t="array" ref="C89:G89">TRANSPOSE(options)</f>
        <v>Option 1 (base case)</v>
      </c>
      <c r="D89" s="282" t="str">
        <v>Option 2</v>
      </c>
      <c r="E89" s="282" t="str">
        <v>Option 3</v>
      </c>
      <c r="F89" s="282" t="str">
        <v>Option 4</v>
      </c>
      <c r="G89" s="282" t="str">
        <v>Option 5</v>
      </c>
      <c r="I89" s="282" t="s">
        <v>230</v>
      </c>
      <c r="K89" s="288" t="s">
        <v>231</v>
      </c>
    </row>
    <row r="90" spans="1:34" s="8" customFormat="1" x14ac:dyDescent="0.2">
      <c r="A90" s="266" t="s">
        <v>119</v>
      </c>
      <c r="B90" s="266" t="s">
        <v>221</v>
      </c>
      <c r="C90" s="105">
        <f t="shared" ref="C90:G98" si="10">IF(OR($B90=0,C$88),"", INDEX($F$14:$F$81, MATCH(C$89&amp;$A90,$D$14:$D$81,0))/10^6)</f>
        <v>0</v>
      </c>
      <c r="D90" s="105">
        <f t="shared" si="10"/>
        <v>11.767135913430653</v>
      </c>
      <c r="E90" s="105">
        <f t="shared" si="10"/>
        <v>19.035165655608811</v>
      </c>
      <c r="F90" s="105">
        <f t="shared" si="10"/>
        <v>10.513722668693896</v>
      </c>
      <c r="G90" s="105">
        <f t="shared" si="10"/>
        <v>16.235379910875647</v>
      </c>
      <c r="H90" s="190"/>
      <c r="I90" s="105">
        <f t="shared" ref="I90:I98" si="11">_xlfn.MAXIFS(C90:G90,_xlfn.ANCHORARRAY( C$88),FALSE)</f>
        <v>19.035165655608811</v>
      </c>
      <c r="K90" s="8" t="str">
        <f t="shared" ref="K90:K98" si="12">IF(OR(B90=0,$K$88),"", INDEX(_xlfn.ANCHORARRAY($C$89), MATCH(I90, $C90:$G90,0)))</f>
        <v>Option 3</v>
      </c>
    </row>
    <row r="91" spans="1:34" s="8" customFormat="1" x14ac:dyDescent="0.2">
      <c r="A91" s="266" t="str">
        <f>"sens"&amp;Assumptions!B111</f>
        <v>sens1</v>
      </c>
      <c r="B91" s="266" t="str">
        <f>Assumptions!C111</f>
        <v>Capex 10% higher</v>
      </c>
      <c r="C91" s="105">
        <f t="shared" si="10"/>
        <v>0</v>
      </c>
      <c r="D91" s="105">
        <f t="shared" si="10"/>
        <v>11.388626597306111</v>
      </c>
      <c r="E91" s="105">
        <f t="shared" si="10"/>
        <v>18.256190419122881</v>
      </c>
      <c r="F91" s="105">
        <f t="shared" si="10"/>
        <v>9.7647550878552227</v>
      </c>
      <c r="G91" s="105">
        <f t="shared" si="10"/>
        <v>15.65247758186351</v>
      </c>
      <c r="H91" s="190"/>
      <c r="I91" s="105">
        <f t="shared" si="11"/>
        <v>18.256190419122881</v>
      </c>
      <c r="K91" s="8" t="str">
        <f t="shared" si="12"/>
        <v>Option 3</v>
      </c>
    </row>
    <row r="92" spans="1:34" s="8" customFormat="1" x14ac:dyDescent="0.2">
      <c r="A92" s="266" t="str">
        <f>"sens"&amp;Assumptions!B112</f>
        <v>sens2</v>
      </c>
      <c r="B92" s="266" t="str">
        <f>Assumptions!C112</f>
        <v>Capex 10% lower</v>
      </c>
      <c r="C92" s="105">
        <f t="shared" si="10"/>
        <v>0</v>
      </c>
      <c r="D92" s="105">
        <f t="shared" si="10"/>
        <v>12.145645229555202</v>
      </c>
      <c r="E92" s="105">
        <f t="shared" si="10"/>
        <v>19.814140892094727</v>
      </c>
      <c r="F92" s="105">
        <f t="shared" si="10"/>
        <v>11.262690249532572</v>
      </c>
      <c r="G92" s="105">
        <f t="shared" si="10"/>
        <v>16.818282239887793</v>
      </c>
      <c r="H92" s="190"/>
      <c r="I92" s="105">
        <f t="shared" si="11"/>
        <v>19.814140892094727</v>
      </c>
      <c r="K92" s="8" t="str">
        <f t="shared" si="12"/>
        <v>Option 3</v>
      </c>
    </row>
    <row r="93" spans="1:34" s="8" customFormat="1" x14ac:dyDescent="0.2">
      <c r="A93" s="266" t="str">
        <f>"sens"&amp;Assumptions!B113</f>
        <v>sens3</v>
      </c>
      <c r="B93" s="266" t="str">
        <f>Assumptions!C113</f>
        <v>Total benefits 10% higher</v>
      </c>
      <c r="C93" s="105">
        <f t="shared" si="10"/>
        <v>0</v>
      </c>
      <c r="D93" s="105">
        <f t="shared" si="10"/>
        <v>13.322358820898268</v>
      </c>
      <c r="E93" s="105">
        <f t="shared" si="10"/>
        <v>21.717657457655609</v>
      </c>
      <c r="F93" s="105">
        <f t="shared" si="10"/>
        <v>12.314062516401963</v>
      </c>
      <c r="G93" s="105">
        <f t="shared" si="10"/>
        <v>18.441820230975356</v>
      </c>
      <c r="H93" s="190"/>
      <c r="I93" s="105">
        <f t="shared" si="11"/>
        <v>21.717657457655609</v>
      </c>
      <c r="K93" s="8" t="str">
        <f t="shared" si="12"/>
        <v>Option 3</v>
      </c>
    </row>
    <row r="94" spans="1:34" s="8" customFormat="1" x14ac:dyDescent="0.2">
      <c r="A94" s="266" t="str">
        <f>"sens"&amp;Assumptions!B114</f>
        <v>sens4</v>
      </c>
      <c r="B94" s="266" t="str">
        <f>Assumptions!C114</f>
        <v>Total benefits 10% lower</v>
      </c>
      <c r="C94" s="105">
        <f t="shared" si="10"/>
        <v>0</v>
      </c>
      <c r="D94" s="105">
        <f t="shared" si="10"/>
        <v>10.211913005963044</v>
      </c>
      <c r="E94" s="105">
        <f t="shared" si="10"/>
        <v>16.352673853562003</v>
      </c>
      <c r="F94" s="105">
        <f t="shared" si="10"/>
        <v>8.7133828209858333</v>
      </c>
      <c r="G94" s="105">
        <f t="shared" si="10"/>
        <v>14.028939590775941</v>
      </c>
      <c r="H94" s="190"/>
      <c r="I94" s="105">
        <f t="shared" si="11"/>
        <v>16.352673853562003</v>
      </c>
      <c r="K94" s="8" t="str">
        <f t="shared" si="12"/>
        <v>Option 3</v>
      </c>
    </row>
    <row r="95" spans="1:34" s="8" customFormat="1" x14ac:dyDescent="0.2">
      <c r="A95" s="266" t="str">
        <f>"sens"&amp;Assumptions!B115</f>
        <v>sens5</v>
      </c>
      <c r="B95" s="266" t="str">
        <f>Assumptions!C115</f>
        <v>Capex 10% higher &amp; total benefits 10% lower</v>
      </c>
      <c r="C95" s="105">
        <f t="shared" si="10"/>
        <v>0</v>
      </c>
      <c r="D95" s="105">
        <f t="shared" si="10"/>
        <v>9.8334036898384962</v>
      </c>
      <c r="E95" s="105">
        <f t="shared" si="10"/>
        <v>15.573698617076074</v>
      </c>
      <c r="F95" s="105">
        <f t="shared" si="10"/>
        <v>7.964415240147158</v>
      </c>
      <c r="G95" s="105">
        <f t="shared" si="10"/>
        <v>13.4460372617638</v>
      </c>
      <c r="H95" s="190"/>
      <c r="I95" s="105">
        <f t="shared" si="11"/>
        <v>15.573698617076074</v>
      </c>
      <c r="K95" s="8" t="str">
        <f t="shared" si="12"/>
        <v>Option 3</v>
      </c>
    </row>
    <row r="96" spans="1:34" s="8" customFormat="1" x14ac:dyDescent="0.2">
      <c r="A96" s="266" t="str">
        <f>"sens"&amp;Assumptions!B116</f>
        <v>sens</v>
      </c>
      <c r="B96" s="266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90"/>
      <c r="I96" s="105">
        <f t="shared" si="11"/>
        <v>0</v>
      </c>
      <c r="K96" s="8" t="str">
        <f t="shared" si="12"/>
        <v/>
      </c>
    </row>
    <row r="97" spans="1:11" x14ac:dyDescent="0.2">
      <c r="A97" s="266" t="str">
        <f>"sens"&amp;Assumptions!B117</f>
        <v>sens</v>
      </c>
      <c r="B97" s="266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7"/>
      <c r="I97" s="105">
        <f t="shared" si="11"/>
        <v>0</v>
      </c>
      <c r="K97" s="8" t="str">
        <f t="shared" si="12"/>
        <v/>
      </c>
    </row>
    <row r="98" spans="1:11" x14ac:dyDescent="0.2">
      <c r="A98" s="266" t="str">
        <f>"sens"&amp;Assumptions!B118</f>
        <v>sens</v>
      </c>
      <c r="B98" s="266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7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CBD9-F363-4E24-BEAB-BDFF24BA6265}">
  <sheetPr codeName="Sheet4">
    <tabColor rgb="FFFFFF00"/>
  </sheetPr>
  <dimension ref="A1:AS91"/>
  <sheetViews>
    <sheetView showGridLines="0" zoomScale="90" zoomScaleNormal="90" workbookViewId="0">
      <pane xSplit="4" ySplit="5" topLeftCell="E6" activePane="bottomRight" state="frozen"/>
      <selection activeCell="G6" sqref="G6"/>
      <selection pane="topRight" activeCell="G6" sqref="G6"/>
      <selection pane="bottomLeft" activeCell="G6" sqref="G6"/>
      <selection pane="bottomRight" activeCell="E6" sqref="E6"/>
    </sheetView>
  </sheetViews>
  <sheetFormatPr defaultColWidth="8" defaultRowHeight="12.75" x14ac:dyDescent="0.2"/>
  <cols>
    <col min="1" max="1" width="2.625" style="6" customWidth="1"/>
    <col min="2" max="2" width="8.625" style="6" customWidth="1"/>
    <col min="3" max="3" width="29.125" style="6" customWidth="1"/>
    <col min="4" max="4" width="7.625" style="6" customWidth="1"/>
    <col min="5" max="12" width="16.25" style="6" customWidth="1"/>
    <col min="13" max="13" width="10.75" style="6" customWidth="1"/>
    <col min="14" max="14" width="12.375" style="6" customWidth="1"/>
    <col min="15" max="15" width="13.75" style="6" customWidth="1"/>
    <col min="16" max="28" width="8.625" style="6" customWidth="1"/>
    <col min="29" max="16384" width="8" style="6"/>
  </cols>
  <sheetData>
    <row r="1" spans="1:42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2" ht="18.75" x14ac:dyDescent="0.3">
      <c r="A2" s="56" t="str">
        <f>proj</f>
        <v>HV cable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2" ht="18.75" x14ac:dyDescent="0.3">
      <c r="A3" s="5" t="s">
        <v>254</v>
      </c>
      <c r="B3" s="34"/>
      <c r="C3" s="5"/>
      <c r="D3" s="5"/>
    </row>
    <row r="5" spans="1:42" ht="15" x14ac:dyDescent="0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</row>
    <row r="6" spans="1:42" x14ac:dyDescent="0.2">
      <c r="A6" s="3"/>
      <c r="B6" s="327" t="s">
        <v>322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</row>
    <row r="7" spans="1:42" x14ac:dyDescent="0.2">
      <c r="A7" s="8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</row>
    <row r="8" spans="1:42" x14ac:dyDescent="0.2">
      <c r="B8" s="328" t="s">
        <v>255</v>
      </c>
      <c r="C8" s="354"/>
      <c r="D8" s="354" t="s">
        <v>256</v>
      </c>
      <c r="E8" s="357" t="s">
        <v>323</v>
      </c>
      <c r="F8" s="357" t="s">
        <v>324</v>
      </c>
      <c r="G8" s="357" t="s">
        <v>257</v>
      </c>
      <c r="H8" s="357" t="s">
        <v>258</v>
      </c>
      <c r="I8" s="357" t="s">
        <v>259</v>
      </c>
      <c r="J8" s="357" t="s">
        <v>260</v>
      </c>
      <c r="K8" s="357" t="s">
        <v>321</v>
      </c>
      <c r="L8" s="327"/>
      <c r="N8"/>
      <c r="O8"/>
      <c r="P8"/>
      <c r="Q8"/>
      <c r="R8"/>
      <c r="S8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</row>
    <row r="9" spans="1:42" x14ac:dyDescent="0.2">
      <c r="B9" s="327"/>
      <c r="C9" s="350" t="s">
        <v>261</v>
      </c>
      <c r="D9" s="350" t="s">
        <v>256</v>
      </c>
      <c r="E9" s="358">
        <v>87.5</v>
      </c>
      <c r="F9" s="359">
        <v>3050</v>
      </c>
      <c r="G9" s="359">
        <v>5</v>
      </c>
      <c r="H9" s="359">
        <v>0</v>
      </c>
      <c r="I9" s="359">
        <v>29650</v>
      </c>
      <c r="J9" s="376">
        <f>H9*F9</f>
        <v>0</v>
      </c>
      <c r="K9" s="376">
        <f>SUM(I9:J9)</f>
        <v>29650</v>
      </c>
      <c r="L9" s="327"/>
      <c r="M9" s="327"/>
      <c r="N9"/>
      <c r="O9"/>
      <c r="P9"/>
      <c r="Q9"/>
      <c r="R9"/>
      <c r="S9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</row>
    <row r="10" spans="1:42" x14ac:dyDescent="0.2">
      <c r="B10" s="327"/>
      <c r="C10" s="350" t="s">
        <v>262</v>
      </c>
      <c r="D10" s="350" t="s">
        <v>256</v>
      </c>
      <c r="E10" s="358">
        <v>194.3</v>
      </c>
      <c r="F10" s="359">
        <v>1677.1</v>
      </c>
      <c r="G10" s="359">
        <v>0</v>
      </c>
      <c r="H10" s="359">
        <v>4328.3319999999994</v>
      </c>
      <c r="I10" s="359">
        <v>0</v>
      </c>
      <c r="J10" s="376">
        <f t="shared" ref="J10:J12" si="0">H10*F10</f>
        <v>7259045.5971999988</v>
      </c>
      <c r="K10" s="376">
        <f t="shared" ref="K10:K12" si="1">SUM(I10:J10)</f>
        <v>7259045.5971999988</v>
      </c>
      <c r="L10" s="327"/>
      <c r="M10" s="327"/>
      <c r="N10"/>
      <c r="O10"/>
      <c r="P10"/>
      <c r="Q10"/>
      <c r="R10"/>
      <c r="S10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</row>
    <row r="11" spans="1:42" x14ac:dyDescent="0.2">
      <c r="B11" s="327"/>
      <c r="C11" s="350" t="s">
        <v>263</v>
      </c>
      <c r="D11" s="350" t="s">
        <v>256</v>
      </c>
      <c r="E11" s="358">
        <v>276.2</v>
      </c>
      <c r="F11" s="359">
        <v>1677.1</v>
      </c>
      <c r="G11" s="359">
        <v>0</v>
      </c>
      <c r="H11" s="359">
        <v>0</v>
      </c>
      <c r="I11" s="359">
        <v>0</v>
      </c>
      <c r="J11" s="376">
        <f t="shared" si="0"/>
        <v>0</v>
      </c>
      <c r="K11" s="376">
        <f t="shared" si="1"/>
        <v>0</v>
      </c>
      <c r="L11" s="327"/>
      <c r="M11" s="327"/>
      <c r="N11"/>
      <c r="O11"/>
      <c r="P11"/>
      <c r="Q11"/>
      <c r="R11"/>
      <c r="S11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</row>
    <row r="12" spans="1:42" x14ac:dyDescent="0.2">
      <c r="B12" s="327"/>
      <c r="C12" s="350" t="s">
        <v>331</v>
      </c>
      <c r="D12" s="350" t="s">
        <v>256</v>
      </c>
      <c r="E12" s="358">
        <v>194.3</v>
      </c>
      <c r="F12" s="359">
        <v>1677.1</v>
      </c>
      <c r="G12" s="359">
        <v>0</v>
      </c>
      <c r="H12" s="359">
        <v>0</v>
      </c>
      <c r="I12" s="359">
        <v>0</v>
      </c>
      <c r="J12" s="376">
        <f t="shared" si="0"/>
        <v>0</v>
      </c>
      <c r="K12" s="376">
        <f t="shared" si="1"/>
        <v>0</v>
      </c>
      <c r="L12" s="327"/>
      <c r="M12" s="327"/>
      <c r="N12"/>
      <c r="O12"/>
      <c r="P12"/>
      <c r="Q12"/>
      <c r="R12"/>
      <c r="S12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</row>
    <row r="13" spans="1:42" x14ac:dyDescent="0.2">
      <c r="B13" s="327"/>
      <c r="C13" s="350"/>
      <c r="D13" s="350"/>
      <c r="E13" s="358"/>
      <c r="F13" s="358"/>
      <c r="G13" s="358"/>
      <c r="H13" s="359"/>
      <c r="I13" s="359"/>
      <c r="J13" s="376"/>
      <c r="K13" s="376"/>
      <c r="L13" s="327"/>
      <c r="M13" s="327"/>
      <c r="N13"/>
      <c r="O13"/>
      <c r="P13"/>
      <c r="Q13"/>
      <c r="R13"/>
      <c r="S13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</row>
    <row r="14" spans="1:42" ht="15" x14ac:dyDescent="0.25">
      <c r="B14" s="327"/>
      <c r="C14" s="355" t="s">
        <v>141</v>
      </c>
      <c r="D14" s="355"/>
      <c r="E14" s="360"/>
      <c r="F14" s="360"/>
      <c r="G14" s="361">
        <f>SUM(G9:G13)</f>
        <v>5</v>
      </c>
      <c r="H14" s="361">
        <f>SUM(H9:H13)</f>
        <v>4328.3319999999994</v>
      </c>
      <c r="I14" s="362"/>
      <c r="J14" s="363"/>
      <c r="K14" s="363">
        <f>SUM(K9:K13)</f>
        <v>7288695.5971999988</v>
      </c>
      <c r="L14" s="327"/>
      <c r="M14" s="327"/>
      <c r="N14"/>
      <c r="O14"/>
      <c r="P14"/>
      <c r="Q14"/>
      <c r="R14"/>
      <c r="S14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</row>
    <row r="15" spans="1:42" x14ac:dyDescent="0.2">
      <c r="B15" s="327"/>
      <c r="C15" s="327"/>
      <c r="D15" s="327"/>
      <c r="E15" s="329"/>
      <c r="F15" s="329"/>
      <c r="G15" s="329"/>
      <c r="H15" s="364"/>
      <c r="I15" s="364"/>
      <c r="J15" s="364"/>
      <c r="K15" s="364"/>
      <c r="L15" s="327"/>
      <c r="M15" s="327"/>
      <c r="N15"/>
      <c r="O15"/>
      <c r="P15"/>
      <c r="Q15"/>
      <c r="R15"/>
      <c r="S15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</row>
    <row r="16" spans="1:42" x14ac:dyDescent="0.2">
      <c r="B16" s="327"/>
      <c r="C16" s="327"/>
      <c r="D16" s="327"/>
      <c r="E16" s="329"/>
      <c r="F16" s="329"/>
      <c r="G16" s="329"/>
      <c r="H16" s="364"/>
      <c r="I16" s="364"/>
      <c r="J16" s="364"/>
      <c r="K16" s="364"/>
      <c r="L16" s="327"/>
      <c r="M16" s="327"/>
      <c r="N16"/>
      <c r="O16"/>
      <c r="P16"/>
      <c r="Q16"/>
      <c r="R16"/>
      <c r="S16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</row>
    <row r="17" spans="2:42" x14ac:dyDescent="0.2">
      <c r="B17" s="327"/>
      <c r="C17" s="327"/>
      <c r="D17" s="327"/>
      <c r="E17" s="329"/>
      <c r="F17" s="329"/>
      <c r="G17" s="329"/>
      <c r="H17" s="364"/>
      <c r="I17" s="364"/>
      <c r="J17" s="364"/>
      <c r="K17" s="364"/>
      <c r="L17" s="327"/>
      <c r="M17" s="327"/>
      <c r="N17"/>
      <c r="O17"/>
      <c r="P17"/>
      <c r="Q17"/>
      <c r="R17"/>
      <c r="S1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</row>
    <row r="18" spans="2:42" x14ac:dyDescent="0.2">
      <c r="B18" s="328"/>
      <c r="C18" s="350"/>
      <c r="D18" s="350" t="s">
        <v>256</v>
      </c>
      <c r="E18" s="365"/>
      <c r="F18" s="365"/>
      <c r="G18" s="365"/>
      <c r="H18" s="366"/>
      <c r="I18" s="366"/>
      <c r="J18" s="366"/>
      <c r="K18" s="366"/>
      <c r="L18" s="327"/>
      <c r="M18" s="327"/>
      <c r="N18"/>
      <c r="O18"/>
      <c r="P18"/>
      <c r="Q18"/>
      <c r="R18"/>
      <c r="S18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</row>
    <row r="19" spans="2:42" x14ac:dyDescent="0.2">
      <c r="B19" s="328" t="s">
        <v>264</v>
      </c>
      <c r="C19" s="354"/>
      <c r="D19" s="354" t="s">
        <v>256</v>
      </c>
      <c r="E19" s="357" t="s">
        <v>323</v>
      </c>
      <c r="F19" s="357" t="s">
        <v>324</v>
      </c>
      <c r="G19" s="357" t="s">
        <v>257</v>
      </c>
      <c r="H19" s="357" t="s">
        <v>258</v>
      </c>
      <c r="I19" s="357" t="s">
        <v>259</v>
      </c>
      <c r="J19" s="357" t="s">
        <v>260</v>
      </c>
      <c r="K19" s="357" t="s">
        <v>321</v>
      </c>
      <c r="L19" s="327"/>
      <c r="M19" s="327"/>
      <c r="N19"/>
      <c r="O19"/>
      <c r="P19"/>
      <c r="Q19"/>
      <c r="R19"/>
      <c r="S19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</row>
    <row r="20" spans="2:42" x14ac:dyDescent="0.2">
      <c r="B20" s="327" t="s">
        <v>256</v>
      </c>
      <c r="C20" s="350" t="s">
        <v>261</v>
      </c>
      <c r="D20" s="350" t="s">
        <v>256</v>
      </c>
      <c r="E20" s="358">
        <v>87.5</v>
      </c>
      <c r="F20" s="359">
        <v>3050</v>
      </c>
      <c r="G20" s="359">
        <v>3</v>
      </c>
      <c r="H20" s="359">
        <v>1757.0140000000001</v>
      </c>
      <c r="I20" s="359">
        <v>59300</v>
      </c>
      <c r="J20" s="376">
        <f>H20*F20</f>
        <v>5358892.7</v>
      </c>
      <c r="K20" s="376">
        <f>SUM(I20:J20)</f>
        <v>5418192.7000000002</v>
      </c>
      <c r="L20" s="327"/>
      <c r="M20" s="327"/>
      <c r="N20"/>
      <c r="O20"/>
      <c r="P20"/>
      <c r="Q20"/>
      <c r="R20"/>
      <c r="S20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</row>
    <row r="21" spans="2:42" x14ac:dyDescent="0.2">
      <c r="B21" s="327" t="s">
        <v>256</v>
      </c>
      <c r="C21" s="350" t="s">
        <v>262</v>
      </c>
      <c r="D21" s="350" t="s">
        <v>256</v>
      </c>
      <c r="E21" s="358">
        <v>194.3</v>
      </c>
      <c r="F21" s="359">
        <v>1677.1</v>
      </c>
      <c r="G21" s="359">
        <v>6</v>
      </c>
      <c r="H21" s="359">
        <v>5006.0339999999997</v>
      </c>
      <c r="I21" s="359">
        <v>0</v>
      </c>
      <c r="J21" s="376">
        <f t="shared" ref="J21:J23" si="2">H21*F21</f>
        <v>8395619.6213999987</v>
      </c>
      <c r="K21" s="376">
        <f t="shared" ref="K21:K23" si="3">SUM(I21:J21)</f>
        <v>8395619.6213999987</v>
      </c>
      <c r="L21" s="327"/>
      <c r="M21" s="327"/>
      <c r="N21"/>
      <c r="O21"/>
      <c r="P21"/>
      <c r="Q21"/>
      <c r="R21"/>
      <c r="S21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</row>
    <row r="22" spans="2:42" x14ac:dyDescent="0.2">
      <c r="B22" s="327" t="s">
        <v>256</v>
      </c>
      <c r="C22" s="350" t="s">
        <v>263</v>
      </c>
      <c r="D22" s="350" t="s">
        <v>256</v>
      </c>
      <c r="E22" s="358">
        <v>276.2</v>
      </c>
      <c r="F22" s="359">
        <v>1677.1</v>
      </c>
      <c r="G22" s="359">
        <v>1</v>
      </c>
      <c r="H22" s="359">
        <v>707.40099999999995</v>
      </c>
      <c r="I22" s="359">
        <v>0</v>
      </c>
      <c r="J22" s="376">
        <f t="shared" si="2"/>
        <v>1186382.2170999998</v>
      </c>
      <c r="K22" s="376">
        <f t="shared" si="3"/>
        <v>1186382.2170999998</v>
      </c>
      <c r="L22" s="327"/>
      <c r="M22" s="327"/>
      <c r="N22"/>
      <c r="O22"/>
      <c r="P22"/>
      <c r="Q22"/>
      <c r="R22"/>
      <c r="S22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</row>
    <row r="23" spans="2:42" x14ac:dyDescent="0.2">
      <c r="B23" s="327" t="s">
        <v>256</v>
      </c>
      <c r="C23" s="350" t="s">
        <v>331</v>
      </c>
      <c r="D23" s="350" t="s">
        <v>256</v>
      </c>
      <c r="E23" s="358">
        <v>194.3</v>
      </c>
      <c r="F23" s="359">
        <v>1677.1</v>
      </c>
      <c r="G23" s="359">
        <v>0</v>
      </c>
      <c r="H23" s="359">
        <v>0</v>
      </c>
      <c r="I23" s="359">
        <v>0</v>
      </c>
      <c r="J23" s="376">
        <f t="shared" si="2"/>
        <v>0</v>
      </c>
      <c r="K23" s="376">
        <f t="shared" si="3"/>
        <v>0</v>
      </c>
      <c r="L23" s="327"/>
      <c r="M23" s="327"/>
      <c r="N23"/>
      <c r="O23"/>
      <c r="P23"/>
      <c r="Q23"/>
      <c r="R23"/>
      <c r="S23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</row>
    <row r="24" spans="2:42" x14ac:dyDescent="0.2">
      <c r="B24" s="327" t="s">
        <v>256</v>
      </c>
      <c r="C24" s="350"/>
      <c r="D24" s="350"/>
      <c r="E24" s="358"/>
      <c r="F24" s="358"/>
      <c r="G24" s="358"/>
      <c r="H24" s="359"/>
      <c r="I24" s="359"/>
      <c r="J24" s="376"/>
      <c r="K24" s="376"/>
      <c r="L24" s="327"/>
      <c r="M24" s="327"/>
      <c r="N24"/>
      <c r="O24"/>
      <c r="P24"/>
      <c r="Q24"/>
      <c r="R24"/>
      <c r="S24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</row>
    <row r="25" spans="2:42" ht="15" x14ac:dyDescent="0.25">
      <c r="B25" s="327" t="s">
        <v>256</v>
      </c>
      <c r="C25" s="355" t="s">
        <v>141</v>
      </c>
      <c r="D25" s="355"/>
      <c r="E25" s="360"/>
      <c r="F25" s="360"/>
      <c r="G25" s="361">
        <f>SUM(G20:G24)</f>
        <v>10</v>
      </c>
      <c r="H25" s="361">
        <f>SUM(H20:H24)</f>
        <v>7470.4489999999996</v>
      </c>
      <c r="I25" s="362"/>
      <c r="J25" s="363"/>
      <c r="K25" s="363">
        <f>SUM(K20:K24)</f>
        <v>15000194.538499998</v>
      </c>
      <c r="L25" s="327"/>
      <c r="M25" s="327"/>
      <c r="N25"/>
      <c r="O25"/>
      <c r="P25"/>
      <c r="Q25"/>
      <c r="R25"/>
      <c r="S25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</row>
    <row r="26" spans="2:42" x14ac:dyDescent="0.2">
      <c r="B26" s="353" t="s">
        <v>256</v>
      </c>
      <c r="C26" s="327"/>
      <c r="D26" s="327"/>
      <c r="E26" s="329"/>
      <c r="F26" s="329"/>
      <c r="G26" s="329"/>
      <c r="H26" s="364"/>
      <c r="I26" s="364"/>
      <c r="J26" s="364"/>
      <c r="K26" s="364"/>
      <c r="L26" s="327"/>
      <c r="M26" s="337"/>
      <c r="N26"/>
      <c r="O26"/>
      <c r="P26"/>
      <c r="Q26"/>
      <c r="R26"/>
      <c r="S26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</row>
    <row r="27" spans="2:42" x14ac:dyDescent="0.2">
      <c r="B27" s="353" t="s">
        <v>256</v>
      </c>
      <c r="C27" s="327"/>
      <c r="D27" s="327"/>
      <c r="E27" s="329"/>
      <c r="F27" s="329"/>
      <c r="G27" s="329"/>
      <c r="H27" s="364"/>
      <c r="I27" s="364"/>
      <c r="J27" s="364"/>
      <c r="K27" s="364"/>
      <c r="L27" s="327"/>
      <c r="M27" s="327"/>
      <c r="N27"/>
      <c r="O27"/>
      <c r="P27"/>
      <c r="Q27"/>
      <c r="R27"/>
      <c r="S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</row>
    <row r="28" spans="2:42" x14ac:dyDescent="0.2">
      <c r="B28" s="327"/>
      <c r="C28" s="327"/>
      <c r="D28" s="327"/>
      <c r="E28" s="329"/>
      <c r="F28" s="329"/>
      <c r="G28" s="329"/>
      <c r="H28" s="364"/>
      <c r="I28" s="364"/>
      <c r="J28" s="364"/>
      <c r="K28" s="364"/>
      <c r="L28" s="327"/>
      <c r="M28" s="327"/>
      <c r="N28"/>
      <c r="O28"/>
      <c r="P28"/>
      <c r="Q28"/>
      <c r="R28"/>
      <c r="S28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</row>
    <row r="29" spans="2:42" x14ac:dyDescent="0.2">
      <c r="B29" s="328"/>
      <c r="C29" s="350"/>
      <c r="D29" s="350" t="s">
        <v>256</v>
      </c>
      <c r="E29" s="365"/>
      <c r="F29" s="365"/>
      <c r="G29" s="365"/>
      <c r="H29" s="366"/>
      <c r="I29" s="366"/>
      <c r="J29" s="366"/>
      <c r="K29" s="366"/>
      <c r="L29" s="327"/>
      <c r="M29" s="327"/>
      <c r="N29"/>
      <c r="O29"/>
      <c r="P29"/>
      <c r="Q29"/>
      <c r="R29"/>
      <c r="S29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</row>
    <row r="30" spans="2:42" x14ac:dyDescent="0.2">
      <c r="B30" s="328" t="s">
        <v>265</v>
      </c>
      <c r="C30" s="354"/>
      <c r="D30" s="354" t="s">
        <v>256</v>
      </c>
      <c r="E30" s="357" t="s">
        <v>323</v>
      </c>
      <c r="F30" s="357" t="s">
        <v>324</v>
      </c>
      <c r="G30" s="357" t="s">
        <v>257</v>
      </c>
      <c r="H30" s="357" t="s">
        <v>258</v>
      </c>
      <c r="I30" s="357" t="s">
        <v>259</v>
      </c>
      <c r="J30" s="357" t="s">
        <v>260</v>
      </c>
      <c r="K30" s="357" t="s">
        <v>321</v>
      </c>
      <c r="L30" s="327"/>
      <c r="M30" s="327"/>
      <c r="N30"/>
      <c r="O30"/>
      <c r="P30"/>
      <c r="Q30"/>
      <c r="R30"/>
      <c r="S30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7"/>
      <c r="AG30" s="327"/>
      <c r="AH30" s="327"/>
      <c r="AI30" s="327"/>
      <c r="AJ30" s="327"/>
      <c r="AK30" s="327"/>
      <c r="AL30" s="327"/>
      <c r="AM30" s="327"/>
      <c r="AN30" s="327"/>
      <c r="AO30" s="327"/>
      <c r="AP30" s="327"/>
    </row>
    <row r="31" spans="2:42" x14ac:dyDescent="0.2">
      <c r="B31" s="327"/>
      <c r="C31" s="350" t="s">
        <v>261</v>
      </c>
      <c r="D31" s="350" t="s">
        <v>256</v>
      </c>
      <c r="E31" s="358">
        <v>87.5</v>
      </c>
      <c r="F31" s="359">
        <v>3050</v>
      </c>
      <c r="G31" s="359">
        <v>10</v>
      </c>
      <c r="H31" s="359">
        <v>5039.3359999999993</v>
      </c>
      <c r="I31" s="359">
        <v>118600</v>
      </c>
      <c r="J31" s="376">
        <f>H31*F31</f>
        <v>15369974.799999999</v>
      </c>
      <c r="K31" s="376">
        <f>SUM(I31:J31)</f>
        <v>15488574.799999999</v>
      </c>
      <c r="L31" s="327"/>
      <c r="M31" s="327"/>
      <c r="N31"/>
      <c r="O31"/>
      <c r="P31"/>
      <c r="Q31"/>
      <c r="R31"/>
      <c r="S31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</row>
    <row r="32" spans="2:42" x14ac:dyDescent="0.2">
      <c r="B32" s="327"/>
      <c r="C32" s="350" t="s">
        <v>262</v>
      </c>
      <c r="D32" s="350" t="s">
        <v>256</v>
      </c>
      <c r="E32" s="358">
        <v>194.3</v>
      </c>
      <c r="F32" s="359">
        <v>1677.1</v>
      </c>
      <c r="G32" s="359">
        <v>15</v>
      </c>
      <c r="H32" s="359">
        <v>10728.325000000003</v>
      </c>
      <c r="I32" s="359">
        <v>9740</v>
      </c>
      <c r="J32" s="376">
        <f t="shared" ref="J32:J34" si="4">H32*F32</f>
        <v>17992473.857500002</v>
      </c>
      <c r="K32" s="376">
        <f t="shared" ref="K32:K34" si="5">SUM(I32:J32)</f>
        <v>18002213.857500002</v>
      </c>
      <c r="L32" s="327"/>
      <c r="M32" s="327"/>
      <c r="N32"/>
      <c r="O32"/>
      <c r="P32"/>
      <c r="Q32"/>
      <c r="R32"/>
      <c r="S32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</row>
    <row r="33" spans="2:45" x14ac:dyDescent="0.2">
      <c r="B33" s="327"/>
      <c r="C33" s="350" t="s">
        <v>263</v>
      </c>
      <c r="D33" s="350" t="s">
        <v>256</v>
      </c>
      <c r="E33" s="358">
        <v>276.2</v>
      </c>
      <c r="F33" s="359">
        <v>1677.1</v>
      </c>
      <c r="G33" s="359">
        <v>5</v>
      </c>
      <c r="H33" s="359">
        <v>8451.2669999999998</v>
      </c>
      <c r="I33" s="359">
        <v>0</v>
      </c>
      <c r="J33" s="376">
        <f t="shared" si="4"/>
        <v>14173619.885699999</v>
      </c>
      <c r="K33" s="376">
        <f t="shared" si="5"/>
        <v>14173619.885699999</v>
      </c>
      <c r="L33" s="327"/>
      <c r="M33" s="327"/>
      <c r="N33"/>
      <c r="O33"/>
      <c r="P33"/>
      <c r="Q33"/>
      <c r="R33"/>
      <c r="S33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</row>
    <row r="34" spans="2:45" x14ac:dyDescent="0.2">
      <c r="B34" s="327"/>
      <c r="C34" s="350" t="s">
        <v>331</v>
      </c>
      <c r="D34" s="350" t="s">
        <v>256</v>
      </c>
      <c r="E34" s="358">
        <v>194.3</v>
      </c>
      <c r="F34" s="359">
        <v>1677.1</v>
      </c>
      <c r="G34" s="359">
        <v>0</v>
      </c>
      <c r="H34" s="359">
        <v>0</v>
      </c>
      <c r="I34" s="359">
        <v>0</v>
      </c>
      <c r="J34" s="376">
        <f t="shared" si="4"/>
        <v>0</v>
      </c>
      <c r="K34" s="376">
        <f t="shared" si="5"/>
        <v>0</v>
      </c>
      <c r="L34" s="327"/>
      <c r="M34" s="327"/>
      <c r="N34"/>
      <c r="O34"/>
      <c r="P34"/>
      <c r="Q34"/>
      <c r="R34"/>
      <c r="S34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</row>
    <row r="35" spans="2:45" x14ac:dyDescent="0.2">
      <c r="B35" s="327"/>
      <c r="C35" s="350"/>
      <c r="D35" s="350"/>
      <c r="E35" s="358"/>
      <c r="F35" s="358"/>
      <c r="G35" s="358"/>
      <c r="H35" s="359"/>
      <c r="I35" s="359"/>
      <c r="J35" s="376"/>
      <c r="K35" s="376"/>
      <c r="L35" s="327"/>
      <c r="M35" s="327"/>
      <c r="N35"/>
      <c r="O35"/>
      <c r="P35"/>
      <c r="Q35"/>
      <c r="R35"/>
      <c r="S35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</row>
    <row r="36" spans="2:45" ht="15" x14ac:dyDescent="0.25">
      <c r="B36" s="327"/>
      <c r="C36" s="355" t="s">
        <v>141</v>
      </c>
      <c r="D36" s="355"/>
      <c r="E36" s="360"/>
      <c r="F36" s="360"/>
      <c r="G36" s="361">
        <f>SUM(G31:G35)</f>
        <v>30</v>
      </c>
      <c r="H36" s="361">
        <f>SUM(H31:H35)</f>
        <v>24218.928</v>
      </c>
      <c r="I36" s="362"/>
      <c r="J36" s="363"/>
      <c r="K36" s="363">
        <f>SUM(K31:K35)</f>
        <v>47664408.543200001</v>
      </c>
      <c r="L36" s="327"/>
      <c r="M36" s="327"/>
      <c r="N36"/>
      <c r="O36"/>
      <c r="P36"/>
      <c r="Q36"/>
      <c r="R36"/>
      <c r="S36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</row>
    <row r="37" spans="2:45" x14ac:dyDescent="0.2">
      <c r="B37" s="327"/>
      <c r="C37" s="327"/>
      <c r="D37" s="327"/>
      <c r="E37" s="329"/>
      <c r="F37" s="329"/>
      <c r="G37" s="329"/>
      <c r="H37" s="364"/>
      <c r="I37" s="364"/>
      <c r="J37" s="364"/>
      <c r="K37" s="364"/>
      <c r="L37" s="327"/>
      <c r="M37" s="327"/>
      <c r="N37"/>
      <c r="O37"/>
      <c r="P37"/>
      <c r="Q37"/>
      <c r="R37"/>
      <c r="S3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</row>
    <row r="38" spans="2:45" x14ac:dyDescent="0.2"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/>
      <c r="P38"/>
      <c r="Q38"/>
      <c r="R38"/>
      <c r="S38"/>
      <c r="T38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</row>
    <row r="39" spans="2:45" x14ac:dyDescent="0.2"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/>
      <c r="P39"/>
      <c r="Q39"/>
      <c r="R39"/>
      <c r="S39"/>
      <c r="T39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</row>
    <row r="40" spans="2:45" x14ac:dyDescent="0.2"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/>
      <c r="P40"/>
      <c r="Q40"/>
      <c r="R40"/>
      <c r="S40"/>
      <c r="T40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</row>
    <row r="41" spans="2:45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/>
      <c r="P41"/>
      <c r="Q41"/>
      <c r="R41"/>
      <c r="S41"/>
      <c r="T41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</row>
    <row r="42" spans="2:45" ht="15" x14ac:dyDescent="0.25">
      <c r="B42" s="354" t="s">
        <v>325</v>
      </c>
      <c r="C42" s="354"/>
      <c r="D42" s="354"/>
      <c r="E42" s="356" t="s">
        <v>19</v>
      </c>
      <c r="F42" s="356" t="s">
        <v>21</v>
      </c>
      <c r="G42" s="356" t="s">
        <v>20</v>
      </c>
      <c r="H42" s="356" t="s">
        <v>22</v>
      </c>
      <c r="I42" s="356" t="s">
        <v>93</v>
      </c>
      <c r="J42" s="327"/>
      <c r="K42" s="327"/>
      <c r="L42" s="327"/>
      <c r="M42" s="327"/>
      <c r="N42" s="327"/>
      <c r="O42"/>
      <c r="P42"/>
      <c r="Q42"/>
      <c r="R42"/>
      <c r="S42"/>
      <c r="T42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</row>
    <row r="43" spans="2:45" x14ac:dyDescent="0.2">
      <c r="B43" s="327" t="s">
        <v>131</v>
      </c>
      <c r="C43" s="328" t="s">
        <v>245</v>
      </c>
      <c r="D43" s="327"/>
      <c r="E43" s="369">
        <f>$K14/5</f>
        <v>1457739.1194399998</v>
      </c>
      <c r="F43" s="369">
        <f>$K14/5</f>
        <v>1457739.1194399998</v>
      </c>
      <c r="G43" s="369">
        <f>$K14/5</f>
        <v>1457739.1194399998</v>
      </c>
      <c r="H43" s="369">
        <f>$K14/5</f>
        <v>1457739.1194399998</v>
      </c>
      <c r="I43" s="369">
        <f>$K14/5</f>
        <v>1457739.1194399998</v>
      </c>
      <c r="J43" s="327"/>
      <c r="K43" s="327"/>
      <c r="L43" s="327"/>
      <c r="M43" s="327"/>
      <c r="N43" s="327"/>
      <c r="O43"/>
      <c r="P43"/>
      <c r="Q43"/>
      <c r="R43"/>
      <c r="S43"/>
      <c r="T43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</row>
    <row r="44" spans="2:45" x14ac:dyDescent="0.2"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/>
      <c r="P44"/>
      <c r="Q44"/>
      <c r="R44"/>
      <c r="S44"/>
      <c r="T44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</row>
    <row r="45" spans="2:45" x14ac:dyDescent="0.2">
      <c r="B45" s="327" t="s">
        <v>132</v>
      </c>
      <c r="C45" s="328" t="s">
        <v>246</v>
      </c>
      <c r="D45" s="327"/>
      <c r="E45" s="369">
        <f>$K$25/5</f>
        <v>3000038.9076999994</v>
      </c>
      <c r="F45" s="369">
        <f t="shared" ref="F45:I45" si="6">$K$25/5</f>
        <v>3000038.9076999994</v>
      </c>
      <c r="G45" s="369">
        <f t="shared" si="6"/>
        <v>3000038.9076999994</v>
      </c>
      <c r="H45" s="369">
        <f t="shared" si="6"/>
        <v>3000038.9076999994</v>
      </c>
      <c r="I45" s="369">
        <f t="shared" si="6"/>
        <v>3000038.9076999994</v>
      </c>
      <c r="J45" s="327"/>
      <c r="K45" s="327"/>
      <c r="L45" s="327"/>
      <c r="M45" s="327"/>
      <c r="N45" s="327"/>
      <c r="O45"/>
      <c r="P45"/>
      <c r="Q45"/>
      <c r="R45"/>
      <c r="S45"/>
      <c r="T45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</row>
    <row r="46" spans="2:45" ht="15" x14ac:dyDescent="0.25">
      <c r="B46" s="327"/>
      <c r="C46" s="327"/>
      <c r="D46" s="327"/>
      <c r="E46" s="367"/>
      <c r="F46" s="367"/>
      <c r="G46" s="367"/>
      <c r="H46" s="367"/>
      <c r="I46" s="36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</row>
    <row r="47" spans="2:45" x14ac:dyDescent="0.2">
      <c r="B47" s="327" t="s">
        <v>133</v>
      </c>
      <c r="C47" s="328" t="s">
        <v>247</v>
      </c>
      <c r="D47" s="328"/>
      <c r="E47" s="328"/>
      <c r="F47" s="328"/>
      <c r="G47" s="328"/>
      <c r="H47" s="328"/>
      <c r="I47" s="328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</row>
    <row r="48" spans="2:45" x14ac:dyDescent="0.2">
      <c r="B48" s="327" t="s">
        <v>267</v>
      </c>
      <c r="C48" s="327"/>
      <c r="D48" s="368">
        <v>0.1</v>
      </c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</row>
    <row r="49" spans="1:45" x14ac:dyDescent="0.2"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</row>
    <row r="50" spans="1:45" x14ac:dyDescent="0.2">
      <c r="B50" s="327" t="s">
        <v>252</v>
      </c>
      <c r="D50" s="327"/>
      <c r="E50" s="32">
        <v>1000000</v>
      </c>
      <c r="F50" s="32">
        <v>1000000</v>
      </c>
      <c r="G50" s="32">
        <v>1000000</v>
      </c>
      <c r="H50" s="32">
        <v>1000000</v>
      </c>
      <c r="I50" s="32">
        <v>1000000</v>
      </c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</row>
    <row r="51" spans="1:45" x14ac:dyDescent="0.2">
      <c r="B51" s="327" t="s">
        <v>251</v>
      </c>
      <c r="C51" s="327"/>
      <c r="D51" s="327"/>
      <c r="E51" s="369"/>
      <c r="F51" s="369">
        <f>$D$48*$K$36/4</f>
        <v>1191610.21358</v>
      </c>
      <c r="G51" s="369">
        <f>$D$48*$K$36/4</f>
        <v>1191610.21358</v>
      </c>
      <c r="H51" s="369">
        <f>$D$48*$K$36/4</f>
        <v>1191610.21358</v>
      </c>
      <c r="I51" s="369">
        <f>$D$48*$K$36/4</f>
        <v>1191610.21358</v>
      </c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</row>
    <row r="52" spans="1:45" x14ac:dyDescent="0.2"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</row>
    <row r="53" spans="1:45" x14ac:dyDescent="0.2">
      <c r="B53" s="327" t="s">
        <v>155</v>
      </c>
      <c r="C53" s="328" t="s">
        <v>248</v>
      </c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</row>
    <row r="54" spans="1:45" x14ac:dyDescent="0.2">
      <c r="B54" s="327" t="s">
        <v>249</v>
      </c>
      <c r="C54" s="327"/>
      <c r="D54" s="327"/>
      <c r="E54" s="369">
        <f>E43</f>
        <v>1457739.1194399998</v>
      </c>
      <c r="F54" s="369">
        <f t="shared" ref="F54:I54" si="7">F43</f>
        <v>1457739.1194399998</v>
      </c>
      <c r="G54" s="369">
        <f t="shared" si="7"/>
        <v>1457739.1194399998</v>
      </c>
      <c r="H54" s="369">
        <f t="shared" si="7"/>
        <v>1457739.1194399998</v>
      </c>
      <c r="I54" s="369">
        <f t="shared" si="7"/>
        <v>1457739.1194399998</v>
      </c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</row>
    <row r="55" spans="1:45" x14ac:dyDescent="0.2">
      <c r="B55" s="327" t="s">
        <v>250</v>
      </c>
      <c r="C55" s="327"/>
      <c r="D55" s="327"/>
      <c r="E55" s="32">
        <v>333333.33333333331</v>
      </c>
      <c r="F55" s="32">
        <v>333333.33333333331</v>
      </c>
      <c r="G55" s="32">
        <v>333333.33333333331</v>
      </c>
      <c r="H55" s="32">
        <v>333333.33333333331</v>
      </c>
      <c r="I55" s="32">
        <v>333333.33333333331</v>
      </c>
      <c r="J55" s="327">
        <v>0</v>
      </c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</row>
    <row r="56" spans="1:45" x14ac:dyDescent="0.2">
      <c r="B56" s="327" t="s">
        <v>251</v>
      </c>
      <c r="C56" s="327"/>
      <c r="D56" s="327"/>
      <c r="E56" s="32"/>
      <c r="F56" s="32"/>
      <c r="G56" s="32"/>
      <c r="H56" s="32"/>
      <c r="I56" s="32">
        <v>772268.16670000006</v>
      </c>
      <c r="J56" s="327">
        <v>0</v>
      </c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</row>
    <row r="57" spans="1:45" x14ac:dyDescent="0.2"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327"/>
      <c r="Z57" s="327"/>
      <c r="AA57" s="327"/>
      <c r="AB57" s="327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</row>
    <row r="58" spans="1:45" x14ac:dyDescent="0.2"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</row>
    <row r="59" spans="1:45" x14ac:dyDescent="0.2"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</row>
    <row r="60" spans="1:45" x14ac:dyDescent="0.2"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</row>
    <row r="61" spans="1:45" x14ac:dyDescent="0.2"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</row>
    <row r="62" spans="1:45" x14ac:dyDescent="0.2">
      <c r="A62"/>
      <c r="B62"/>
      <c r="C62"/>
      <c r="D62"/>
      <c r="E62"/>
      <c r="F62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</row>
    <row r="63" spans="1:45" x14ac:dyDescent="0.2"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  <c r="AA63" s="327"/>
      <c r="AB63" s="327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</row>
    <row r="64" spans="1:45" x14ac:dyDescent="0.2"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</row>
    <row r="65" spans="2:43" x14ac:dyDescent="0.2"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7"/>
      <c r="AB65" s="327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</row>
    <row r="66" spans="2:43" x14ac:dyDescent="0.2"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</row>
    <row r="67" spans="2:43" x14ac:dyDescent="0.2"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</row>
    <row r="68" spans="2:43" x14ac:dyDescent="0.2"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</row>
    <row r="69" spans="2:43" x14ac:dyDescent="0.2"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</row>
    <row r="70" spans="2:43" x14ac:dyDescent="0.2"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</row>
    <row r="71" spans="2:43" x14ac:dyDescent="0.2"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</row>
    <row r="72" spans="2:43" x14ac:dyDescent="0.2"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</row>
    <row r="73" spans="2:43" x14ac:dyDescent="0.2"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</row>
    <row r="74" spans="2:43" x14ac:dyDescent="0.2">
      <c r="B74" s="327"/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</row>
    <row r="75" spans="2:43" x14ac:dyDescent="0.2"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327"/>
      <c r="AE75" s="327"/>
      <c r="AF75" s="327"/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</row>
    <row r="76" spans="2:43" x14ac:dyDescent="0.2"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</row>
    <row r="77" spans="2:43" x14ac:dyDescent="0.2"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</row>
    <row r="78" spans="2:43" x14ac:dyDescent="0.2"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</row>
    <row r="79" spans="2:43" x14ac:dyDescent="0.2"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</row>
    <row r="80" spans="2:43" x14ac:dyDescent="0.2"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27"/>
      <c r="U80" s="327"/>
      <c r="V80" s="327"/>
      <c r="W80" s="327"/>
      <c r="X80" s="327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</row>
    <row r="81" spans="9:43" x14ac:dyDescent="0.2"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27"/>
      <c r="U81" s="327"/>
      <c r="V81" s="327"/>
      <c r="W81" s="327"/>
      <c r="X81" s="327"/>
      <c r="Y81" s="327"/>
      <c r="Z81" s="327"/>
      <c r="AA81" s="327"/>
      <c r="AB81" s="327"/>
      <c r="AC81" s="327"/>
      <c r="AD81" s="327"/>
      <c r="AE81" s="327"/>
      <c r="AF81" s="327"/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</row>
    <row r="82" spans="9:43" x14ac:dyDescent="0.2"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</row>
    <row r="83" spans="9:43" x14ac:dyDescent="0.2"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</row>
    <row r="84" spans="9:43" x14ac:dyDescent="0.2"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</row>
    <row r="85" spans="9:43" x14ac:dyDescent="0.2"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</row>
    <row r="86" spans="9:43" x14ac:dyDescent="0.2"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7"/>
      <c r="AE86" s="327"/>
      <c r="AF86" s="327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</row>
    <row r="87" spans="9:43" x14ac:dyDescent="0.2">
      <c r="I87" s="327"/>
      <c r="J87" s="327"/>
      <c r="K87" s="327"/>
      <c r="L87" s="327"/>
      <c r="M87" s="327"/>
      <c r="N87" s="327"/>
      <c r="O87" s="327"/>
      <c r="P87" s="327"/>
      <c r="Q87" s="327"/>
      <c r="R87" s="327"/>
      <c r="S87" s="327"/>
      <c r="T87" s="327"/>
      <c r="U87" s="327"/>
      <c r="V87" s="327"/>
      <c r="W87" s="327"/>
      <c r="X87" s="327"/>
      <c r="Y87" s="327"/>
      <c r="Z87" s="327"/>
      <c r="AA87" s="327"/>
      <c r="AB87" s="327"/>
      <c r="AC87" s="327"/>
      <c r="AD87" s="327"/>
      <c r="AE87" s="327"/>
      <c r="AF87" s="327"/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</row>
    <row r="88" spans="9:43" x14ac:dyDescent="0.2">
      <c r="I88" s="327"/>
      <c r="J88" s="327"/>
      <c r="K88" s="327"/>
      <c r="L88" s="327"/>
      <c r="M88" s="327"/>
      <c r="N88" s="327"/>
      <c r="O88" s="327"/>
      <c r="P88" s="327"/>
      <c r="Q88" s="327"/>
      <c r="R88" s="327"/>
      <c r="S88" s="327"/>
      <c r="T88" s="327"/>
      <c r="U88" s="327"/>
      <c r="V88" s="327"/>
      <c r="W88" s="327"/>
      <c r="X88" s="327"/>
      <c r="Y88" s="327"/>
      <c r="Z88" s="327"/>
      <c r="AA88" s="327"/>
      <c r="AB88" s="327"/>
      <c r="AC88" s="327"/>
      <c r="AD88" s="327"/>
      <c r="AE88" s="327"/>
      <c r="AF88" s="327"/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</row>
    <row r="89" spans="9:43" x14ac:dyDescent="0.2"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</row>
    <row r="90" spans="9:43" x14ac:dyDescent="0.2"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</row>
    <row r="91" spans="9:43" x14ac:dyDescent="0.2"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CF76-40D9-4327-B336-D6C17BB109E2}">
  <sheetPr codeName="Sheet10">
    <tabColor rgb="FFFFFF00"/>
  </sheetPr>
  <dimension ref="A1:BI244"/>
  <sheetViews>
    <sheetView showGridLines="0" zoomScale="90" zoomScaleNormal="90" workbookViewId="0">
      <pane xSplit="4" ySplit="5" topLeftCell="E6" activePane="bottomRight" state="frozen"/>
      <selection activeCell="G6" sqref="G6"/>
      <selection pane="topRight" activeCell="G6" sqref="G6"/>
      <selection pane="bottomLeft" activeCell="G6" sqref="G6"/>
      <selection pane="bottomRight" activeCell="E6" sqref="E6"/>
    </sheetView>
  </sheetViews>
  <sheetFormatPr defaultColWidth="8" defaultRowHeight="12.75" outlineLevelRow="1" x14ac:dyDescent="0.2"/>
  <cols>
    <col min="1" max="1" width="2.625" style="6" customWidth="1"/>
    <col min="2" max="2" width="5.25" style="6" customWidth="1"/>
    <col min="3" max="3" width="10.75" style="6" customWidth="1"/>
    <col min="4" max="4" width="7.625" style="6" customWidth="1"/>
    <col min="5" max="5" width="16.125" style="6" customWidth="1"/>
    <col min="6" max="6" width="14.25" style="6" customWidth="1"/>
    <col min="7" max="7" width="7.625" style="6" customWidth="1"/>
    <col min="8" max="31" width="10" style="6" customWidth="1"/>
    <col min="32" max="32" width="11.5" style="6" bestFit="1" customWidth="1"/>
    <col min="33" max="16384" width="8" style="6"/>
  </cols>
  <sheetData>
    <row r="1" spans="1:61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61" ht="18.75" x14ac:dyDescent="0.3">
      <c r="A2" s="56" t="str">
        <f>proj</f>
        <v>HV cable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61" ht="18.75" x14ac:dyDescent="0.3">
      <c r="A3" s="5" t="s">
        <v>268</v>
      </c>
      <c r="B3" s="34"/>
      <c r="C3" s="5"/>
      <c r="D3" s="5"/>
      <c r="E3" s="5"/>
      <c r="F3" s="5"/>
      <c r="G3" s="5"/>
    </row>
    <row r="5" spans="1:61" ht="15" x14ac:dyDescent="0.2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</row>
    <row r="6" spans="1:61" x14ac:dyDescent="0.2">
      <c r="A6" s="327"/>
      <c r="B6" s="327"/>
      <c r="C6" s="327"/>
      <c r="D6" s="328"/>
      <c r="E6" s="328"/>
      <c r="F6" s="328"/>
      <c r="G6" s="328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</row>
    <row r="7" spans="1:61" x14ac:dyDescent="0.2">
      <c r="A7" s="327"/>
      <c r="B7" s="328" t="s">
        <v>270</v>
      </c>
      <c r="D7" s="328"/>
      <c r="E7" s="328"/>
      <c r="F7" s="328"/>
      <c r="G7" s="328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</row>
    <row r="9" spans="1:61" x14ac:dyDescent="0.2">
      <c r="A9" s="327"/>
      <c r="B9" s="327"/>
      <c r="C9" s="327"/>
      <c r="D9" s="328"/>
      <c r="E9" s="328"/>
      <c r="F9" s="328"/>
      <c r="G9" s="328"/>
      <c r="H9" s="329" t="s">
        <v>144</v>
      </c>
      <c r="I9" s="342" t="s">
        <v>131</v>
      </c>
      <c r="J9" s="342" t="s">
        <v>132</v>
      </c>
      <c r="K9" s="342" t="s">
        <v>133</v>
      </c>
      <c r="L9" s="342" t="s">
        <v>155</v>
      </c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/>
      <c r="BG9" s="327"/>
      <c r="BH9" s="327"/>
    </row>
    <row r="10" spans="1:61" x14ac:dyDescent="0.2">
      <c r="B10" s="30" t="s">
        <v>313</v>
      </c>
      <c r="C10" s="30"/>
      <c r="D10" s="30"/>
      <c r="E10" s="30"/>
      <c r="F10" s="30"/>
      <c r="G10" s="30"/>
      <c r="H10" s="343" t="s">
        <v>269</v>
      </c>
      <c r="I10" s="343" t="s">
        <v>309</v>
      </c>
      <c r="J10" s="343" t="s">
        <v>310</v>
      </c>
      <c r="K10" s="343" t="s">
        <v>311</v>
      </c>
      <c r="L10" s="343" t="s">
        <v>312</v>
      </c>
    </row>
    <row r="11" spans="1:61" x14ac:dyDescent="0.2">
      <c r="C11" s="6" t="s">
        <v>296</v>
      </c>
      <c r="H11" s="372">
        <v>16091.492073468818</v>
      </c>
      <c r="I11" s="372">
        <v>14195</v>
      </c>
      <c r="J11" s="372">
        <v>15447.5</v>
      </c>
      <c r="K11" s="372">
        <v>16004.166666666666</v>
      </c>
      <c r="L11" s="372">
        <v>15586.666666666666</v>
      </c>
    </row>
    <row r="12" spans="1:61" x14ac:dyDescent="0.2">
      <c r="C12" s="6" t="s">
        <v>116</v>
      </c>
      <c r="H12" s="372">
        <v>27436.685522732034</v>
      </c>
      <c r="I12" s="372">
        <v>97265</v>
      </c>
      <c r="J12" s="372">
        <v>60952.5</v>
      </c>
      <c r="K12" s="372">
        <v>37100</v>
      </c>
      <c r="L12" s="372">
        <v>50096.666666666664</v>
      </c>
    </row>
    <row r="13" spans="1:61" x14ac:dyDescent="0.2">
      <c r="C13" s="6" t="s">
        <v>297</v>
      </c>
      <c r="H13" s="372">
        <v>49411.553710830514</v>
      </c>
      <c r="I13" s="372">
        <v>56932.19556</v>
      </c>
      <c r="J13" s="372">
        <v>66979.053600000014</v>
      </c>
      <c r="K13" s="372">
        <v>64188.259700000053</v>
      </c>
      <c r="L13" s="372">
        <v>72560.641400000008</v>
      </c>
    </row>
    <row r="14" spans="1:61" x14ac:dyDescent="0.2">
      <c r="C14" s="6" t="s">
        <v>299</v>
      </c>
      <c r="H14" s="372">
        <v>2393.7740065647045</v>
      </c>
      <c r="I14" s="372">
        <v>550</v>
      </c>
      <c r="J14" s="372">
        <v>1825</v>
      </c>
      <c r="K14" s="372">
        <v>1966.6666666666667</v>
      </c>
      <c r="L14" s="372">
        <v>1683.3333333333333</v>
      </c>
    </row>
    <row r="15" spans="1:61" x14ac:dyDescent="0.2">
      <c r="A15" s="327"/>
      <c r="B15" s="327"/>
      <c r="C15" s="327"/>
      <c r="D15" s="328"/>
      <c r="E15" s="328"/>
      <c r="F15" s="328"/>
      <c r="G15" s="328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</row>
    <row r="16" spans="1:61" x14ac:dyDescent="0.2">
      <c r="A16" s="327"/>
      <c r="B16" s="327"/>
      <c r="C16" s="327"/>
      <c r="D16" s="328"/>
      <c r="E16" s="328"/>
      <c r="F16" s="328"/>
      <c r="G16" s="328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</row>
    <row r="17" spans="1:61" x14ac:dyDescent="0.2">
      <c r="A17" s="327"/>
      <c r="B17" s="327"/>
      <c r="C17" s="327"/>
      <c r="D17" s="327"/>
      <c r="E17" s="327"/>
      <c r="F17" s="327"/>
      <c r="G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7"/>
      <c r="BI17" s="327"/>
    </row>
    <row r="18" spans="1:61" x14ac:dyDescent="0.2">
      <c r="A18" s="327"/>
      <c r="B18" s="327"/>
      <c r="C18" s="327"/>
      <c r="D18" s="327"/>
      <c r="E18" s="327"/>
      <c r="F18" s="327"/>
      <c r="G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</row>
    <row r="19" spans="1:61" x14ac:dyDescent="0.2">
      <c r="B19" s="331" t="s">
        <v>298</v>
      </c>
      <c r="C19" s="331"/>
      <c r="D19" s="331"/>
      <c r="E19" s="331"/>
      <c r="F19" s="331"/>
      <c r="G19" s="331"/>
      <c r="H19" s="332" t="s">
        <v>271</v>
      </c>
      <c r="I19" s="332" t="s">
        <v>272</v>
      </c>
      <c r="J19" s="332" t="s">
        <v>273</v>
      </c>
      <c r="K19" s="332" t="s">
        <v>274</v>
      </c>
      <c r="L19" s="332" t="s">
        <v>275</v>
      </c>
      <c r="M19" s="332" t="s">
        <v>276</v>
      </c>
      <c r="N19" s="332" t="s">
        <v>277</v>
      </c>
      <c r="O19" s="332" t="s">
        <v>278</v>
      </c>
      <c r="P19" s="332" t="s">
        <v>279</v>
      </c>
      <c r="Q19" s="332" t="s">
        <v>280</v>
      </c>
      <c r="R19" s="332" t="s">
        <v>281</v>
      </c>
      <c r="S19" s="332" t="s">
        <v>282</v>
      </c>
      <c r="T19" s="332" t="s">
        <v>283</v>
      </c>
      <c r="U19" s="332" t="s">
        <v>284</v>
      </c>
      <c r="V19" s="332" t="s">
        <v>285</v>
      </c>
      <c r="W19" s="332" t="s">
        <v>286</v>
      </c>
      <c r="X19" s="332" t="s">
        <v>287</v>
      </c>
      <c r="Y19" s="332" t="s">
        <v>288</v>
      </c>
      <c r="Z19" s="332" t="s">
        <v>289</v>
      </c>
      <c r="AA19" s="332" t="s">
        <v>290</v>
      </c>
      <c r="AB19" s="332" t="s">
        <v>291</v>
      </c>
      <c r="AC19" s="332" t="s">
        <v>292</v>
      </c>
      <c r="AD19" s="332" t="s">
        <v>293</v>
      </c>
      <c r="AE19" s="332" t="s">
        <v>294</v>
      </c>
      <c r="AF19" s="332" t="s">
        <v>295</v>
      </c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/>
      <c r="BE19" s="327"/>
      <c r="BF19" s="327"/>
      <c r="BG19" s="327"/>
      <c r="BH19" s="327"/>
      <c r="BI19" s="327"/>
    </row>
    <row r="20" spans="1:61" ht="15" x14ac:dyDescent="0.25">
      <c r="A20" s="327"/>
      <c r="B20" s="327"/>
      <c r="C20" s="335" t="s">
        <v>144</v>
      </c>
      <c r="D20" s="327" t="str">
        <f>Assumptions!E14</f>
        <v>No change to existing practices</v>
      </c>
      <c r="E20" s="327"/>
      <c r="F20" s="327"/>
      <c r="G20" s="327"/>
      <c r="H20" s="373">
        <v>69.285314021261641</v>
      </c>
      <c r="I20" s="373">
        <v>82.880859599981733</v>
      </c>
      <c r="J20" s="373">
        <v>99.740616319760505</v>
      </c>
      <c r="K20" s="373">
        <v>120.64888891025001</v>
      </c>
      <c r="L20" s="373">
        <v>146.63479891408346</v>
      </c>
      <c r="M20" s="373">
        <v>178.98522848371186</v>
      </c>
      <c r="N20" s="373">
        <v>218.80329066594459</v>
      </c>
      <c r="O20" s="373">
        <v>259.05735693726336</v>
      </c>
      <c r="P20" s="373">
        <v>299.64864187465997</v>
      </c>
      <c r="Q20" s="373">
        <v>340.5592501063287</v>
      </c>
      <c r="R20" s="373">
        <v>390.86537116425899</v>
      </c>
      <c r="S20" s="373">
        <v>441.99415680609445</v>
      </c>
      <c r="T20" s="373">
        <v>489.66404401725617</v>
      </c>
      <c r="U20" s="373">
        <v>523.75843985790982</v>
      </c>
      <c r="V20" s="373">
        <v>550.09663403105822</v>
      </c>
      <c r="W20" s="373">
        <v>573.41973329250538</v>
      </c>
      <c r="X20" s="373">
        <v>587.37133482426816</v>
      </c>
      <c r="Y20" s="373">
        <v>599.22382260478946</v>
      </c>
      <c r="Z20" s="373">
        <v>609.1793729886881</v>
      </c>
      <c r="AA20" s="373">
        <v>618.11402708489561</v>
      </c>
      <c r="AB20" s="373">
        <v>626.35900810277917</v>
      </c>
      <c r="AC20" s="373">
        <v>632.21792579079522</v>
      </c>
      <c r="AD20" s="373">
        <v>636.77131621228909</v>
      </c>
      <c r="AE20" s="373">
        <v>640.74008815239813</v>
      </c>
      <c r="AF20" s="373">
        <v>644.52337716648083</v>
      </c>
      <c r="AG20" s="327"/>
      <c r="AH20" s="327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</row>
    <row r="21" spans="1:61" x14ac:dyDescent="0.2">
      <c r="A21" s="327"/>
      <c r="B21" s="327"/>
      <c r="C21" s="327" t="s">
        <v>131</v>
      </c>
      <c r="D21" s="327" t="str">
        <f>Assumptions!E15</f>
        <v>Replace highest 5 delta risk cable sections</v>
      </c>
      <c r="E21" s="327"/>
      <c r="F21" s="327"/>
      <c r="G21" s="327"/>
      <c r="H21" s="373">
        <v>0.34067733646151893</v>
      </c>
      <c r="I21" s="373">
        <v>0.41343517883361514</v>
      </c>
      <c r="J21" s="373">
        <v>0.50322034410139416</v>
      </c>
      <c r="K21" s="373">
        <v>0.61427233752893939</v>
      </c>
      <c r="L21" s="373">
        <v>0.75193420641491937</v>
      </c>
      <c r="M21" s="373">
        <v>0.92294913226432107</v>
      </c>
      <c r="N21" s="373">
        <v>1.1222125176296021</v>
      </c>
      <c r="O21" s="373">
        <v>1.2387391901101288</v>
      </c>
      <c r="P21" s="373">
        <v>1.2539165553216025</v>
      </c>
      <c r="Q21" s="373">
        <v>1.2539165553216025</v>
      </c>
      <c r="R21" s="373">
        <v>1.2539165553216025</v>
      </c>
      <c r="S21" s="373">
        <v>1.2539165553216025</v>
      </c>
      <c r="T21" s="373">
        <v>1.2539165553216025</v>
      </c>
      <c r="U21" s="373">
        <v>1.2539165553216025</v>
      </c>
      <c r="V21" s="373">
        <v>1.2539165553216025</v>
      </c>
      <c r="W21" s="373">
        <v>1.2539165553216025</v>
      </c>
      <c r="X21" s="373">
        <v>1.2539165553216025</v>
      </c>
      <c r="Y21" s="373">
        <v>1.2539165553216025</v>
      </c>
      <c r="Z21" s="373">
        <v>1.2539165553216025</v>
      </c>
      <c r="AA21" s="373">
        <v>1.2539165553216025</v>
      </c>
      <c r="AB21" s="373">
        <v>1.2539165553216025</v>
      </c>
      <c r="AC21" s="373">
        <v>1.2539165553216025</v>
      </c>
      <c r="AD21" s="373">
        <v>1.2539165553216025</v>
      </c>
      <c r="AE21" s="373">
        <v>1.2539165553216025</v>
      </c>
      <c r="AF21" s="373">
        <v>1.2539165553216025</v>
      </c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</row>
    <row r="22" spans="1:61" x14ac:dyDescent="0.2">
      <c r="A22" s="327"/>
      <c r="B22" s="327"/>
      <c r="C22" s="327" t="s">
        <v>132</v>
      </c>
      <c r="D22" s="327" t="str">
        <f>Assumptions!E16</f>
        <v>Replace highest 10 delta risk cable sections</v>
      </c>
      <c r="E22" s="327"/>
      <c r="F22" s="327"/>
      <c r="G22" s="327"/>
      <c r="H22" s="373">
        <v>0.55386619142453952</v>
      </c>
      <c r="I22" s="373">
        <v>0.67930842907748212</v>
      </c>
      <c r="J22" s="373">
        <v>0.83579748542055987</v>
      </c>
      <c r="K22" s="373">
        <v>1.031477259238514</v>
      </c>
      <c r="L22" s="373">
        <v>1.2767176184837488</v>
      </c>
      <c r="M22" s="373">
        <v>1.5847411103618168</v>
      </c>
      <c r="N22" s="373">
        <v>1.9088120889209028</v>
      </c>
      <c r="O22" s="373">
        <v>2.080843422148356</v>
      </c>
      <c r="P22" s="373">
        <v>2.1637318838793291</v>
      </c>
      <c r="Q22" s="373">
        <v>2.1641869608860209</v>
      </c>
      <c r="R22" s="373">
        <v>2.1641869608860209</v>
      </c>
      <c r="S22" s="373">
        <v>2.1641869608860209</v>
      </c>
      <c r="T22" s="373">
        <v>2.1641869608860209</v>
      </c>
      <c r="U22" s="373">
        <v>2.1641869608860209</v>
      </c>
      <c r="V22" s="373">
        <v>2.1641869608860209</v>
      </c>
      <c r="W22" s="373">
        <v>2.1641869608860209</v>
      </c>
      <c r="X22" s="373">
        <v>2.1641869608860209</v>
      </c>
      <c r="Y22" s="373">
        <v>2.1641869608860209</v>
      </c>
      <c r="Z22" s="373">
        <v>2.1641869608860209</v>
      </c>
      <c r="AA22" s="373">
        <v>2.1641869608860209</v>
      </c>
      <c r="AB22" s="373">
        <v>2.1641869608860209</v>
      </c>
      <c r="AC22" s="373">
        <v>2.1641869608860209</v>
      </c>
      <c r="AD22" s="373">
        <v>2.1641869608860209</v>
      </c>
      <c r="AE22" s="373">
        <v>2.1641869608860209</v>
      </c>
      <c r="AF22" s="373">
        <v>2.1641869608860209</v>
      </c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</row>
    <row r="23" spans="1:61" x14ac:dyDescent="0.2">
      <c r="A23" s="327"/>
      <c r="B23" s="327"/>
      <c r="C23" s="327" t="s">
        <v>133</v>
      </c>
      <c r="D23" s="327" t="str">
        <f>Assumptions!E17</f>
        <v>Monitor highest delta risk cable sections and replace those with high partial discharge</v>
      </c>
      <c r="E23" s="327"/>
      <c r="F23" s="327"/>
      <c r="G23" s="327"/>
      <c r="H23" s="373">
        <v>1.4624033924603936</v>
      </c>
      <c r="I23" s="373">
        <v>1.7758437352539402</v>
      </c>
      <c r="J23" s="373">
        <v>2.1656820736935365</v>
      </c>
      <c r="K23" s="373">
        <v>2.6518196202793645</v>
      </c>
      <c r="L23" s="373">
        <v>3.2595567900895643</v>
      </c>
      <c r="M23" s="373">
        <v>4.019783073089906</v>
      </c>
      <c r="N23" s="373">
        <v>4.860053013862407</v>
      </c>
      <c r="O23" s="373">
        <v>5.3642992341222833</v>
      </c>
      <c r="P23" s="373">
        <v>5.6749727958220699</v>
      </c>
      <c r="Q23" s="373">
        <v>5.7147281859805563</v>
      </c>
      <c r="R23" s="373">
        <v>5.7400415739341071</v>
      </c>
      <c r="S23" s="373">
        <v>5.7674607740558663</v>
      </c>
      <c r="T23" s="373">
        <v>5.7971658879599435</v>
      </c>
      <c r="U23" s="373">
        <v>5.8293526838699758</v>
      </c>
      <c r="V23" s="373">
        <v>5.8642339742307712</v>
      </c>
      <c r="W23" s="373">
        <v>5.902041115315134</v>
      </c>
      <c r="X23" s="373">
        <v>5.9430256396795684</v>
      </c>
      <c r="Y23" s="373">
        <v>5.9874610332911651</v>
      </c>
      <c r="Z23" s="373">
        <v>6.0356446702032454</v>
      </c>
      <c r="AA23" s="373">
        <v>6.087899918806885</v>
      </c>
      <c r="AB23" s="373">
        <v>6.1445784349379284</v>
      </c>
      <c r="AC23" s="373">
        <v>6.2060626584834822</v>
      </c>
      <c r="AD23" s="373">
        <v>6.2727685316184765</v>
      </c>
      <c r="AE23" s="373">
        <v>6.3451484584223685</v>
      </c>
      <c r="AF23" s="373">
        <v>6.4236945273905022</v>
      </c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</row>
    <row r="24" spans="1:61" x14ac:dyDescent="0.2">
      <c r="A24" s="327"/>
      <c r="B24" s="327"/>
      <c r="C24" s="327" t="s">
        <v>155</v>
      </c>
      <c r="D24" s="327" t="str">
        <f>Assumptions!E18</f>
        <v>Replace highest 5 delta risk cable sections and monitor further 10</v>
      </c>
      <c r="E24" s="327"/>
      <c r="F24" s="327"/>
      <c r="G24" s="327"/>
      <c r="H24" s="373">
        <v>0.89655520338596106</v>
      </c>
      <c r="I24" s="373">
        <v>1.0798750080094577</v>
      </c>
      <c r="J24" s="373">
        <v>1.3075055480900075</v>
      </c>
      <c r="K24" s="373">
        <v>1.5910780918863165</v>
      </c>
      <c r="L24" s="373">
        <v>1.9454194574180939</v>
      </c>
      <c r="M24" s="373">
        <v>2.3894548887464797</v>
      </c>
      <c r="N24" s="373">
        <v>2.8692150214547918</v>
      </c>
      <c r="O24" s="373">
        <v>3.1064374111795114</v>
      </c>
      <c r="P24" s="373">
        <v>3.2109114999552371</v>
      </c>
      <c r="Q24" s="373">
        <v>3.2347398533329614</v>
      </c>
      <c r="R24" s="373">
        <v>3.2600532412865126</v>
      </c>
      <c r="S24" s="373">
        <v>3.2874724414082701</v>
      </c>
      <c r="T24" s="373">
        <v>3.3171775553123481</v>
      </c>
      <c r="U24" s="373">
        <v>3.3493643512223805</v>
      </c>
      <c r="V24" s="373">
        <v>3.384245641583175</v>
      </c>
      <c r="W24" s="373">
        <v>3.4220527826675382</v>
      </c>
      <c r="X24" s="373">
        <v>3.4630373070319727</v>
      </c>
      <c r="Y24" s="373">
        <v>3.5074727006435698</v>
      </c>
      <c r="Z24" s="373">
        <v>3.5556563375556487</v>
      </c>
      <c r="AA24" s="373">
        <v>3.6079115861592892</v>
      </c>
      <c r="AB24" s="373">
        <v>3.6645901022903327</v>
      </c>
      <c r="AC24" s="373">
        <v>3.7260743258358864</v>
      </c>
      <c r="AD24" s="373">
        <v>3.7927801989708807</v>
      </c>
      <c r="AE24" s="373">
        <v>3.8651601257747732</v>
      </c>
      <c r="AF24" s="373">
        <v>3.9437061947429064</v>
      </c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</row>
    <row r="25" spans="1:61" x14ac:dyDescent="0.2">
      <c r="A25" s="327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</row>
    <row r="26" spans="1:61" x14ac:dyDescent="0.2">
      <c r="A26" s="327"/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</row>
    <row r="27" spans="1:61" x14ac:dyDescent="0.2">
      <c r="A27" s="327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</row>
    <row r="28" spans="1:61" x14ac:dyDescent="0.2">
      <c r="A28" s="327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</row>
    <row r="29" spans="1:61" x14ac:dyDescent="0.2">
      <c r="B29" s="331" t="s">
        <v>314</v>
      </c>
      <c r="C29" s="331"/>
      <c r="D29" s="331"/>
      <c r="E29" s="331"/>
      <c r="F29" s="331"/>
      <c r="G29" s="331"/>
      <c r="H29" s="332" t="s">
        <v>271</v>
      </c>
      <c r="I29" s="332" t="s">
        <v>272</v>
      </c>
      <c r="J29" s="332" t="s">
        <v>273</v>
      </c>
      <c r="K29" s="332" t="s">
        <v>274</v>
      </c>
      <c r="L29" s="332" t="s">
        <v>275</v>
      </c>
      <c r="M29" s="332" t="s">
        <v>276</v>
      </c>
      <c r="N29" s="332" t="s">
        <v>277</v>
      </c>
      <c r="O29" s="332" t="s">
        <v>278</v>
      </c>
      <c r="P29" s="332" t="s">
        <v>279</v>
      </c>
      <c r="Q29" s="332" t="s">
        <v>280</v>
      </c>
      <c r="R29" s="332" t="s">
        <v>281</v>
      </c>
      <c r="S29" s="332" t="s">
        <v>282</v>
      </c>
      <c r="T29" s="332" t="s">
        <v>283</v>
      </c>
      <c r="U29" s="332" t="s">
        <v>284</v>
      </c>
      <c r="V29" s="332" t="s">
        <v>285</v>
      </c>
      <c r="W29" s="332" t="s">
        <v>286</v>
      </c>
      <c r="X29" s="332" t="s">
        <v>287</v>
      </c>
      <c r="Y29" s="332" t="s">
        <v>288</v>
      </c>
      <c r="Z29" s="332" t="s">
        <v>289</v>
      </c>
      <c r="AA29" s="332" t="s">
        <v>290</v>
      </c>
      <c r="AB29" s="332" t="s">
        <v>291</v>
      </c>
      <c r="AC29" s="332" t="s">
        <v>292</v>
      </c>
      <c r="AD29" s="332" t="s">
        <v>293</v>
      </c>
      <c r="AE29" s="332" t="s">
        <v>294</v>
      </c>
      <c r="AF29" s="332" t="s">
        <v>295</v>
      </c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</row>
    <row r="30" spans="1:61" x14ac:dyDescent="0.2">
      <c r="A30" s="327"/>
      <c r="B30" s="327"/>
      <c r="C30" s="335" t="s">
        <v>144</v>
      </c>
      <c r="D30" s="327" t="s">
        <v>269</v>
      </c>
      <c r="E30" s="327"/>
      <c r="F30" s="32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327"/>
      <c r="AJ30" s="327"/>
      <c r="AK30" s="327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</row>
    <row r="31" spans="1:61" x14ac:dyDescent="0.2">
      <c r="A31" s="327"/>
      <c r="B31" s="327"/>
      <c r="C31" s="327" t="s">
        <v>131</v>
      </c>
      <c r="D31" s="327" t="s">
        <v>301</v>
      </c>
      <c r="E31" s="327"/>
      <c r="F31" s="327"/>
      <c r="G31" s="327"/>
      <c r="H31" s="374">
        <v>4.0950743999999997E-2</v>
      </c>
      <c r="I31" s="374">
        <v>4.0950743999999997E-2</v>
      </c>
      <c r="J31" s="374">
        <v>4.0950743999999997E-2</v>
      </c>
      <c r="K31" s="374">
        <v>4.0950743999999997E-2</v>
      </c>
      <c r="L31" s="374">
        <v>4.0950743999999997E-2</v>
      </c>
      <c r="M31" s="374">
        <v>4.0950743999999997E-2</v>
      </c>
      <c r="N31" s="374">
        <v>4.0950743999999997E-2</v>
      </c>
      <c r="O31" s="374">
        <v>4.0950743999999997E-2</v>
      </c>
      <c r="P31" s="374">
        <v>4.0950743999999997E-2</v>
      </c>
      <c r="Q31" s="374">
        <v>4.0950743999999997E-2</v>
      </c>
      <c r="R31" s="374">
        <v>4.0950743999999997E-2</v>
      </c>
      <c r="S31" s="374">
        <v>4.0950743999999997E-2</v>
      </c>
      <c r="T31" s="374">
        <v>4.0950743999999997E-2</v>
      </c>
      <c r="U31" s="374">
        <v>4.0950743999999997E-2</v>
      </c>
      <c r="V31" s="374">
        <v>4.0950743999999997E-2</v>
      </c>
      <c r="W31" s="374">
        <v>4.0950743999999997E-2</v>
      </c>
      <c r="X31" s="374">
        <v>4.0950743999999997E-2</v>
      </c>
      <c r="Y31" s="374">
        <v>4.0950743999999997E-2</v>
      </c>
      <c r="Z31" s="374">
        <v>4.0950743999999997E-2</v>
      </c>
      <c r="AA31" s="374">
        <v>4.0950743999999997E-2</v>
      </c>
      <c r="AB31" s="374">
        <v>4.0950743999999997E-2</v>
      </c>
      <c r="AC31" s="374">
        <v>4.0950743999999997E-2</v>
      </c>
      <c r="AD31" s="374">
        <v>4.0950743999999997E-2</v>
      </c>
      <c r="AE31" s="374">
        <v>4.0950743999999997E-2</v>
      </c>
      <c r="AF31" s="374">
        <v>4.0950743999999997E-2</v>
      </c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</row>
    <row r="32" spans="1:61" x14ac:dyDescent="0.2">
      <c r="A32" s="327"/>
      <c r="B32" s="327"/>
      <c r="C32" s="327" t="s">
        <v>132</v>
      </c>
      <c r="D32" s="327" t="s">
        <v>302</v>
      </c>
      <c r="E32" s="327"/>
      <c r="F32" s="327"/>
      <c r="G32" s="327"/>
      <c r="H32" s="374">
        <v>7.0678598999999995E-2</v>
      </c>
      <c r="I32" s="374">
        <v>7.0678598999999995E-2</v>
      </c>
      <c r="J32" s="374">
        <v>7.0678598999999995E-2</v>
      </c>
      <c r="K32" s="374">
        <v>7.0678598999999995E-2</v>
      </c>
      <c r="L32" s="374">
        <v>7.0678598999999995E-2</v>
      </c>
      <c r="M32" s="374">
        <v>7.0678598999999995E-2</v>
      </c>
      <c r="N32" s="374">
        <v>7.0678598999999995E-2</v>
      </c>
      <c r="O32" s="374">
        <v>7.0678598999999995E-2</v>
      </c>
      <c r="P32" s="374">
        <v>7.0678598999999995E-2</v>
      </c>
      <c r="Q32" s="374">
        <v>7.0678598999999995E-2</v>
      </c>
      <c r="R32" s="374">
        <v>7.0678598999999995E-2</v>
      </c>
      <c r="S32" s="374">
        <v>7.0678598999999995E-2</v>
      </c>
      <c r="T32" s="374">
        <v>7.0678598999999995E-2</v>
      </c>
      <c r="U32" s="374">
        <v>7.0678598999999995E-2</v>
      </c>
      <c r="V32" s="374">
        <v>7.0678598999999995E-2</v>
      </c>
      <c r="W32" s="374">
        <v>7.0678598999999995E-2</v>
      </c>
      <c r="X32" s="374">
        <v>7.0678598999999995E-2</v>
      </c>
      <c r="Y32" s="374">
        <v>7.0678598999999995E-2</v>
      </c>
      <c r="Z32" s="374">
        <v>7.0678598999999995E-2</v>
      </c>
      <c r="AA32" s="374">
        <v>7.0678598999999995E-2</v>
      </c>
      <c r="AB32" s="374">
        <v>7.0678598999999995E-2</v>
      </c>
      <c r="AC32" s="374">
        <v>7.0678598999999995E-2</v>
      </c>
      <c r="AD32" s="374">
        <v>7.0678598999999995E-2</v>
      </c>
      <c r="AE32" s="374">
        <v>7.0678598999999995E-2</v>
      </c>
      <c r="AF32" s="374">
        <v>7.0678598999999995E-2</v>
      </c>
      <c r="AG32" s="327"/>
      <c r="AH32" s="327"/>
      <c r="AI32" s="327"/>
      <c r="AJ32" s="327"/>
      <c r="AK32" s="327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</row>
    <row r="33" spans="1:61" x14ac:dyDescent="0.2">
      <c r="A33" s="327"/>
      <c r="B33" s="327"/>
      <c r="C33" s="327" t="s">
        <v>133</v>
      </c>
      <c r="D33" s="327" t="s">
        <v>303</v>
      </c>
      <c r="E33" s="327"/>
      <c r="F33" s="327"/>
      <c r="G33" s="327"/>
      <c r="H33" s="374">
        <v>0.229137488</v>
      </c>
      <c r="I33" s="374">
        <v>0.229137488</v>
      </c>
      <c r="J33" s="374">
        <v>0.229137488</v>
      </c>
      <c r="K33" s="374">
        <v>0.229137488</v>
      </c>
      <c r="L33" s="374">
        <v>0.229137488</v>
      </c>
      <c r="M33" s="374">
        <v>0.229137488</v>
      </c>
      <c r="N33" s="374">
        <v>0.229137488</v>
      </c>
      <c r="O33" s="374">
        <v>0.229137488</v>
      </c>
      <c r="P33" s="374">
        <v>0.229137488</v>
      </c>
      <c r="Q33" s="374">
        <v>0.229137488</v>
      </c>
      <c r="R33" s="374">
        <v>0.229137488</v>
      </c>
      <c r="S33" s="374">
        <v>0.229137488</v>
      </c>
      <c r="T33" s="374">
        <v>0.229137488</v>
      </c>
      <c r="U33" s="374">
        <v>0.229137488</v>
      </c>
      <c r="V33" s="374">
        <v>0.229137488</v>
      </c>
      <c r="W33" s="374">
        <v>0.229137488</v>
      </c>
      <c r="X33" s="374">
        <v>0.229137488</v>
      </c>
      <c r="Y33" s="374">
        <v>0.229137488</v>
      </c>
      <c r="Z33" s="374">
        <v>0.229137488</v>
      </c>
      <c r="AA33" s="374">
        <v>0.229137488</v>
      </c>
      <c r="AB33" s="374">
        <v>0.229137488</v>
      </c>
      <c r="AC33" s="374">
        <v>0.229137488</v>
      </c>
      <c r="AD33" s="374">
        <v>0.229137488</v>
      </c>
      <c r="AE33" s="374">
        <v>0.229137488</v>
      </c>
      <c r="AF33" s="374">
        <v>0.229137488</v>
      </c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</row>
    <row r="34" spans="1:61" x14ac:dyDescent="0.2">
      <c r="A34" s="327"/>
      <c r="B34" s="327"/>
      <c r="C34" s="327" t="s">
        <v>155</v>
      </c>
      <c r="D34" s="327" t="s">
        <v>304</v>
      </c>
      <c r="E34" s="327"/>
      <c r="F34" s="327"/>
      <c r="G34" s="327"/>
      <c r="H34" s="374">
        <v>0.148145362</v>
      </c>
      <c r="I34" s="374">
        <v>0.148145362</v>
      </c>
      <c r="J34" s="374">
        <v>0.148145362</v>
      </c>
      <c r="K34" s="374">
        <v>0.148145362</v>
      </c>
      <c r="L34" s="374">
        <v>0.148145362</v>
      </c>
      <c r="M34" s="374">
        <v>0.148145362</v>
      </c>
      <c r="N34" s="374">
        <v>0.148145362</v>
      </c>
      <c r="O34" s="374">
        <v>0.148145362</v>
      </c>
      <c r="P34" s="374">
        <v>0.148145362</v>
      </c>
      <c r="Q34" s="374">
        <v>0.148145362</v>
      </c>
      <c r="R34" s="374">
        <v>0.148145362</v>
      </c>
      <c r="S34" s="374">
        <v>0.148145362</v>
      </c>
      <c r="T34" s="374">
        <v>0.148145362</v>
      </c>
      <c r="U34" s="374">
        <v>0.148145362</v>
      </c>
      <c r="V34" s="374">
        <v>0.148145362</v>
      </c>
      <c r="W34" s="374">
        <v>0.148145362</v>
      </c>
      <c r="X34" s="374">
        <v>0.148145362</v>
      </c>
      <c r="Y34" s="374">
        <v>0.148145362</v>
      </c>
      <c r="Z34" s="374">
        <v>0.148145362</v>
      </c>
      <c r="AA34" s="374">
        <v>0.148145362</v>
      </c>
      <c r="AB34" s="374">
        <v>0.148145362</v>
      </c>
      <c r="AC34" s="374">
        <v>0.148145362</v>
      </c>
      <c r="AD34" s="374">
        <v>0.148145362</v>
      </c>
      <c r="AE34" s="374">
        <v>0.148145362</v>
      </c>
      <c r="AF34" s="374">
        <v>0.148145362</v>
      </c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</row>
    <row r="35" spans="1:61" x14ac:dyDescent="0.2">
      <c r="A35" s="327"/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</row>
    <row r="36" spans="1:61" x14ac:dyDescent="0.2">
      <c r="A36" s="327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</row>
    <row r="38" spans="1:61" x14ac:dyDescent="0.2">
      <c r="A38" s="327"/>
      <c r="B38" s="331" t="s">
        <v>300</v>
      </c>
      <c r="C38" s="331"/>
      <c r="D38" s="331"/>
      <c r="E38" s="331"/>
      <c r="F38" s="331"/>
      <c r="G38" s="331"/>
      <c r="H38" s="332" t="s">
        <v>271</v>
      </c>
      <c r="I38" s="332" t="s">
        <v>272</v>
      </c>
      <c r="J38" s="332" t="s">
        <v>273</v>
      </c>
      <c r="K38" s="332" t="s">
        <v>274</v>
      </c>
      <c r="L38" s="332" t="s">
        <v>275</v>
      </c>
      <c r="M38" s="332" t="s">
        <v>276</v>
      </c>
      <c r="N38" s="332" t="s">
        <v>277</v>
      </c>
      <c r="O38" s="332" t="s">
        <v>278</v>
      </c>
      <c r="P38" s="332" t="s">
        <v>279</v>
      </c>
      <c r="Q38" s="332" t="s">
        <v>280</v>
      </c>
      <c r="R38" s="332" t="s">
        <v>281</v>
      </c>
      <c r="S38" s="332" t="s">
        <v>282</v>
      </c>
      <c r="T38" s="332" t="s">
        <v>283</v>
      </c>
      <c r="U38" s="332" t="s">
        <v>284</v>
      </c>
      <c r="V38" s="332" t="s">
        <v>285</v>
      </c>
      <c r="W38" s="332" t="s">
        <v>286</v>
      </c>
      <c r="X38" s="332" t="s">
        <v>287</v>
      </c>
      <c r="Y38" s="332" t="s">
        <v>288</v>
      </c>
      <c r="Z38" s="332" t="s">
        <v>289</v>
      </c>
      <c r="AA38" s="332" t="s">
        <v>290</v>
      </c>
      <c r="AB38" s="332" t="s">
        <v>291</v>
      </c>
      <c r="AC38" s="332" t="s">
        <v>292</v>
      </c>
      <c r="AD38" s="332" t="s">
        <v>293</v>
      </c>
      <c r="AE38" s="332" t="s">
        <v>294</v>
      </c>
      <c r="AF38" s="332" t="s">
        <v>295</v>
      </c>
    </row>
    <row r="39" spans="1:61" x14ac:dyDescent="0.2">
      <c r="A39" s="327"/>
      <c r="B39" s="327"/>
      <c r="C39" s="335" t="s">
        <v>144</v>
      </c>
      <c r="F39" s="333"/>
      <c r="G39" s="333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34"/>
    </row>
    <row r="40" spans="1:61" x14ac:dyDescent="0.2">
      <c r="A40" s="327"/>
      <c r="B40" s="327"/>
      <c r="C40" s="327" t="s">
        <v>131</v>
      </c>
      <c r="D40" s="327" t="s">
        <v>301</v>
      </c>
      <c r="H40" s="344">
        <v>0</v>
      </c>
      <c r="I40" s="344">
        <v>0.2</v>
      </c>
      <c r="J40" s="344">
        <v>0.4</v>
      </c>
      <c r="K40" s="344">
        <v>0.6</v>
      </c>
      <c r="L40" s="344">
        <v>0.8</v>
      </c>
      <c r="M40" s="344">
        <v>1</v>
      </c>
      <c r="N40" s="344">
        <v>1</v>
      </c>
      <c r="O40" s="344">
        <v>1</v>
      </c>
      <c r="P40" s="344">
        <v>1</v>
      </c>
      <c r="Q40" s="344">
        <v>1</v>
      </c>
      <c r="R40" s="344">
        <v>1</v>
      </c>
      <c r="S40" s="344">
        <v>1</v>
      </c>
      <c r="T40" s="344">
        <v>1</v>
      </c>
      <c r="U40" s="344">
        <v>1</v>
      </c>
      <c r="V40" s="344">
        <v>1</v>
      </c>
      <c r="W40" s="344">
        <v>1</v>
      </c>
      <c r="X40" s="344">
        <v>1</v>
      </c>
      <c r="Y40" s="344">
        <v>1</v>
      </c>
      <c r="Z40" s="344">
        <v>1</v>
      </c>
      <c r="AA40" s="344">
        <v>1</v>
      </c>
      <c r="AB40" s="344">
        <v>1</v>
      </c>
      <c r="AC40" s="344">
        <v>1</v>
      </c>
      <c r="AD40" s="344">
        <v>1</v>
      </c>
      <c r="AE40" s="344">
        <v>1</v>
      </c>
      <c r="AF40" s="344">
        <v>1</v>
      </c>
    </row>
    <row r="41" spans="1:61" x14ac:dyDescent="0.2">
      <c r="C41" s="327" t="s">
        <v>132</v>
      </c>
      <c r="D41" s="327" t="s">
        <v>302</v>
      </c>
      <c r="H41" s="344">
        <v>0</v>
      </c>
      <c r="I41" s="344">
        <v>0.2</v>
      </c>
      <c r="J41" s="344">
        <v>0.4</v>
      </c>
      <c r="K41" s="344">
        <v>0.6</v>
      </c>
      <c r="L41" s="344">
        <v>0.8</v>
      </c>
      <c r="M41" s="344">
        <v>1</v>
      </c>
      <c r="N41" s="344">
        <v>1</v>
      </c>
      <c r="O41" s="344">
        <v>1</v>
      </c>
      <c r="P41" s="344">
        <v>1</v>
      </c>
      <c r="Q41" s="344">
        <v>1</v>
      </c>
      <c r="R41" s="344">
        <v>1</v>
      </c>
      <c r="S41" s="344">
        <v>1</v>
      </c>
      <c r="T41" s="344">
        <v>1</v>
      </c>
      <c r="U41" s="344">
        <v>1</v>
      </c>
      <c r="V41" s="344">
        <v>1</v>
      </c>
      <c r="W41" s="344">
        <v>1</v>
      </c>
      <c r="X41" s="344">
        <v>1</v>
      </c>
      <c r="Y41" s="344">
        <v>1</v>
      </c>
      <c r="Z41" s="344">
        <v>1</v>
      </c>
      <c r="AA41" s="344">
        <v>1</v>
      </c>
      <c r="AB41" s="344">
        <v>1</v>
      </c>
      <c r="AC41" s="344">
        <v>1</v>
      </c>
      <c r="AD41" s="344">
        <v>1</v>
      </c>
      <c r="AE41" s="344">
        <v>1</v>
      </c>
      <c r="AF41" s="344">
        <v>1</v>
      </c>
    </row>
    <row r="42" spans="1:61" x14ac:dyDescent="0.2">
      <c r="C42" s="327" t="s">
        <v>133</v>
      </c>
      <c r="D42" s="327" t="s">
        <v>303</v>
      </c>
      <c r="F42" s="235" t="s">
        <v>328</v>
      </c>
      <c r="H42" s="344">
        <v>1</v>
      </c>
      <c r="I42" s="344">
        <v>1</v>
      </c>
      <c r="J42" s="344">
        <v>1</v>
      </c>
      <c r="K42" s="344">
        <v>1</v>
      </c>
      <c r="L42" s="344">
        <v>1</v>
      </c>
      <c r="M42" s="344">
        <v>0.1</v>
      </c>
      <c r="N42" s="344">
        <v>0.1</v>
      </c>
      <c r="O42" s="344">
        <v>0.1</v>
      </c>
      <c r="P42" s="344">
        <v>0.1</v>
      </c>
      <c r="Q42" s="344">
        <v>0.1</v>
      </c>
      <c r="R42" s="344">
        <v>0.1</v>
      </c>
      <c r="S42" s="344">
        <v>0.1</v>
      </c>
      <c r="T42" s="344">
        <v>0.1</v>
      </c>
      <c r="U42" s="344">
        <v>0.1</v>
      </c>
      <c r="V42" s="344">
        <v>0.1</v>
      </c>
      <c r="W42" s="344">
        <v>0.1</v>
      </c>
      <c r="X42" s="344">
        <v>0.1</v>
      </c>
      <c r="Y42" s="344">
        <v>0.1</v>
      </c>
      <c r="Z42" s="344">
        <v>0.1</v>
      </c>
      <c r="AA42" s="344">
        <v>0.1</v>
      </c>
      <c r="AB42" s="344">
        <v>0.1</v>
      </c>
      <c r="AC42" s="344">
        <v>0.1</v>
      </c>
      <c r="AD42" s="344">
        <v>0.1</v>
      </c>
      <c r="AE42" s="344">
        <v>0.1</v>
      </c>
      <c r="AF42" s="344">
        <v>0.1</v>
      </c>
    </row>
    <row r="43" spans="1:61" x14ac:dyDescent="0.2">
      <c r="C43" s="327" t="s">
        <v>155</v>
      </c>
      <c r="D43" s="327" t="s">
        <v>304</v>
      </c>
      <c r="E43" s="6" t="s">
        <v>319</v>
      </c>
      <c r="F43" s="235"/>
      <c r="H43" s="344">
        <v>0</v>
      </c>
      <c r="I43" s="344">
        <v>0.2</v>
      </c>
      <c r="J43" s="344">
        <v>1</v>
      </c>
      <c r="K43" s="344">
        <v>1</v>
      </c>
      <c r="L43" s="344">
        <v>1</v>
      </c>
      <c r="M43" s="344">
        <v>1</v>
      </c>
      <c r="N43" s="344">
        <v>1</v>
      </c>
      <c r="O43" s="344">
        <v>1</v>
      </c>
      <c r="P43" s="344">
        <v>1</v>
      </c>
      <c r="Q43" s="344">
        <v>1</v>
      </c>
      <c r="R43" s="344">
        <v>1</v>
      </c>
      <c r="S43" s="344">
        <v>1</v>
      </c>
      <c r="T43" s="344">
        <v>1</v>
      </c>
      <c r="U43" s="344">
        <v>1</v>
      </c>
      <c r="V43" s="344">
        <v>1</v>
      </c>
      <c r="W43" s="344">
        <v>1</v>
      </c>
      <c r="X43" s="344">
        <v>1</v>
      </c>
      <c r="Y43" s="344">
        <v>1</v>
      </c>
      <c r="Z43" s="344">
        <v>1</v>
      </c>
      <c r="AA43" s="344">
        <v>1</v>
      </c>
      <c r="AB43" s="344">
        <v>1</v>
      </c>
      <c r="AC43" s="344">
        <v>1</v>
      </c>
      <c r="AD43" s="344">
        <v>1</v>
      </c>
      <c r="AE43" s="344">
        <v>1</v>
      </c>
      <c r="AF43" s="344">
        <v>1</v>
      </c>
    </row>
    <row r="44" spans="1:61" x14ac:dyDescent="0.2">
      <c r="E44" s="6" t="s">
        <v>266</v>
      </c>
      <c r="F44" s="235" t="s">
        <v>328</v>
      </c>
      <c r="H44" s="344">
        <v>1</v>
      </c>
      <c r="I44" s="344">
        <v>1</v>
      </c>
      <c r="J44" s="344">
        <v>1</v>
      </c>
      <c r="K44" s="344">
        <v>1</v>
      </c>
      <c r="L44" s="344">
        <v>1</v>
      </c>
      <c r="M44" s="344">
        <v>0.1</v>
      </c>
      <c r="N44" s="344">
        <v>0.1</v>
      </c>
      <c r="O44" s="344">
        <v>0.1</v>
      </c>
      <c r="P44" s="344">
        <v>0.1</v>
      </c>
      <c r="Q44" s="344">
        <v>0.1</v>
      </c>
      <c r="R44" s="344">
        <v>0.1</v>
      </c>
      <c r="S44" s="344">
        <v>0.1</v>
      </c>
      <c r="T44" s="344">
        <v>0.1</v>
      </c>
      <c r="U44" s="344">
        <v>0.1</v>
      </c>
      <c r="V44" s="344">
        <v>0.1</v>
      </c>
      <c r="W44" s="344">
        <v>0.1</v>
      </c>
      <c r="X44" s="344">
        <v>0.1</v>
      </c>
      <c r="Y44" s="344">
        <v>0.1</v>
      </c>
      <c r="Z44" s="344">
        <v>0.1</v>
      </c>
      <c r="AA44" s="344">
        <v>0.1</v>
      </c>
      <c r="AB44" s="344">
        <v>0.1</v>
      </c>
      <c r="AC44" s="344">
        <v>0.1</v>
      </c>
      <c r="AD44" s="344">
        <v>0.1</v>
      </c>
      <c r="AE44" s="344">
        <v>0.1</v>
      </c>
      <c r="AF44" s="344">
        <v>0.1</v>
      </c>
    </row>
    <row r="46" spans="1:61" x14ac:dyDescent="0.2">
      <c r="B46" s="331" t="s">
        <v>315</v>
      </c>
      <c r="C46" s="331"/>
      <c r="D46" s="331"/>
      <c r="E46" s="331"/>
      <c r="F46" s="331"/>
      <c r="G46" s="331"/>
      <c r="H46" s="332" t="s">
        <v>271</v>
      </c>
      <c r="I46" s="332" t="s">
        <v>272</v>
      </c>
      <c r="J46" s="332" t="s">
        <v>273</v>
      </c>
      <c r="K46" s="332" t="s">
        <v>274</v>
      </c>
      <c r="L46" s="332" t="s">
        <v>275</v>
      </c>
      <c r="M46" s="332" t="s">
        <v>276</v>
      </c>
      <c r="N46" s="332" t="s">
        <v>277</v>
      </c>
      <c r="O46" s="332" t="s">
        <v>278</v>
      </c>
      <c r="P46" s="332" t="s">
        <v>279</v>
      </c>
      <c r="Q46" s="332" t="s">
        <v>280</v>
      </c>
      <c r="R46" s="332" t="s">
        <v>281</v>
      </c>
      <c r="S46" s="332" t="s">
        <v>282</v>
      </c>
      <c r="T46" s="332" t="s">
        <v>283</v>
      </c>
      <c r="U46" s="332" t="s">
        <v>284</v>
      </c>
      <c r="V46" s="332" t="s">
        <v>285</v>
      </c>
      <c r="W46" s="332" t="s">
        <v>286</v>
      </c>
      <c r="X46" s="332" t="s">
        <v>287</v>
      </c>
      <c r="Y46" s="332" t="s">
        <v>288</v>
      </c>
      <c r="Z46" s="332" t="s">
        <v>289</v>
      </c>
      <c r="AA46" s="332" t="s">
        <v>290</v>
      </c>
      <c r="AB46" s="332" t="s">
        <v>291</v>
      </c>
      <c r="AC46" s="332" t="s">
        <v>292</v>
      </c>
      <c r="AD46" s="332" t="s">
        <v>293</v>
      </c>
      <c r="AE46" s="332" t="s">
        <v>294</v>
      </c>
      <c r="AF46" s="332" t="s">
        <v>295</v>
      </c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</row>
    <row r="47" spans="1:61" x14ac:dyDescent="0.2">
      <c r="A47" s="327"/>
      <c r="B47" s="327"/>
      <c r="C47" s="335" t="s">
        <v>144</v>
      </c>
      <c r="D47" s="327" t="s">
        <v>123</v>
      </c>
      <c r="E47" s="327"/>
      <c r="F47" s="327"/>
      <c r="G47"/>
      <c r="H47" s="375">
        <v>789.93234825298725</v>
      </c>
      <c r="I47" s="375">
        <v>944.93722044687274</v>
      </c>
      <c r="J47" s="375">
        <v>1137.1578577458827</v>
      </c>
      <c r="K47" s="375">
        <v>1375.5362370406724</v>
      </c>
      <c r="L47" s="375">
        <v>1671.8055287482887</v>
      </c>
      <c r="M47" s="375">
        <v>2040.6376709983399</v>
      </c>
      <c r="N47" s="375">
        <v>2494.609422542143</v>
      </c>
      <c r="O47" s="375">
        <v>2953.5521226744736</v>
      </c>
      <c r="P47" s="375">
        <v>3416.3395038410536</v>
      </c>
      <c r="Q47" s="375">
        <v>3882.7675382002981</v>
      </c>
      <c r="R47" s="375">
        <v>4456.3152358638372</v>
      </c>
      <c r="S47" s="375">
        <v>5039.2422569203436</v>
      </c>
      <c r="T47" s="375">
        <v>5582.7338536259967</v>
      </c>
      <c r="U47" s="375">
        <v>5971.449219199857</v>
      </c>
      <c r="V47" s="375">
        <v>6271.7349560235898</v>
      </c>
      <c r="W47" s="375">
        <v>6537.6451395652102</v>
      </c>
      <c r="X47" s="375">
        <v>6696.7094595521748</v>
      </c>
      <c r="Y47" s="375">
        <v>6831.8414660584003</v>
      </c>
      <c r="Z47" s="375">
        <v>6945.3462022928461</v>
      </c>
      <c r="AA47" s="375">
        <v>7047.2115454863479</v>
      </c>
      <c r="AB47" s="375">
        <v>7141.2138215640662</v>
      </c>
      <c r="AC47" s="375">
        <v>7208.0122285987118</v>
      </c>
      <c r="AD47" s="375">
        <v>7259.9261217371559</v>
      </c>
      <c r="AE47" s="375">
        <v>7305.1746911146265</v>
      </c>
      <c r="AF47" s="375">
        <v>7348.3085415882924</v>
      </c>
      <c r="AG47"/>
      <c r="AH4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</row>
    <row r="48" spans="1:61" x14ac:dyDescent="0.2">
      <c r="A48" s="327"/>
      <c r="B48" s="327"/>
      <c r="C48" s="327" t="s">
        <v>131</v>
      </c>
      <c r="D48" s="327" t="s">
        <v>123</v>
      </c>
      <c r="E48" s="345"/>
      <c r="F48" s="327"/>
      <c r="G48" s="327"/>
      <c r="H48" s="375">
        <v>789.93234825298725</v>
      </c>
      <c r="I48" s="375">
        <v>943.47375238839152</v>
      </c>
      <c r="J48" s="375">
        <v>1133.525401026141</v>
      </c>
      <c r="K48" s="375">
        <v>1368.7786029418787</v>
      </c>
      <c r="L48" s="375">
        <v>1660.6318904423831</v>
      </c>
      <c r="M48" s="375">
        <v>2023.3110883529021</v>
      </c>
      <c r="N48" s="375">
        <v>2473.3683729762661</v>
      </c>
      <c r="O48" s="375">
        <v>2930.021943051222</v>
      </c>
      <c r="P48" s="375">
        <v>3392.5111696223107</v>
      </c>
      <c r="Q48" s="375">
        <v>3858.9392039815552</v>
      </c>
      <c r="R48" s="375">
        <v>4432.4869016450948</v>
      </c>
      <c r="S48" s="375">
        <v>5015.4139227016012</v>
      </c>
      <c r="T48" s="375">
        <v>5558.9055194072544</v>
      </c>
      <c r="U48" s="375">
        <v>5947.6208849811146</v>
      </c>
      <c r="V48" s="375">
        <v>6247.9066218048483</v>
      </c>
      <c r="W48" s="375">
        <v>6513.8168053464678</v>
      </c>
      <c r="X48" s="375">
        <v>6672.8811253334334</v>
      </c>
      <c r="Y48" s="375">
        <v>6808.0131318396589</v>
      </c>
      <c r="Z48" s="375">
        <v>6921.5178680741037</v>
      </c>
      <c r="AA48" s="375">
        <v>7023.3832112676064</v>
      </c>
      <c r="AB48" s="375">
        <v>7117.3854873453247</v>
      </c>
      <c r="AC48" s="375">
        <v>7184.1838943799703</v>
      </c>
      <c r="AD48" s="375">
        <v>7236.0977875184144</v>
      </c>
      <c r="AE48" s="375">
        <v>7281.346356895885</v>
      </c>
      <c r="AF48" s="375">
        <v>7324.48020736955</v>
      </c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</row>
    <row r="49" spans="1:61" x14ac:dyDescent="0.2">
      <c r="A49" s="327"/>
      <c r="B49" s="327"/>
      <c r="C49" s="327" t="s">
        <v>132</v>
      </c>
      <c r="D49" s="327" t="s">
        <v>123</v>
      </c>
      <c r="E49" s="345"/>
      <c r="F49" s="327"/>
      <c r="G49" s="327"/>
      <c r="H49" s="375">
        <v>789.93234825298725</v>
      </c>
      <c r="I49" s="375">
        <v>942.47145466465724</v>
      </c>
      <c r="J49" s="375">
        <v>1130.9583457396359</v>
      </c>
      <c r="K49" s="375">
        <v>1363.8586737192379</v>
      </c>
      <c r="L49" s="375">
        <v>1652.2612369683004</v>
      </c>
      <c r="M49" s="375">
        <v>2009.9677683074387</v>
      </c>
      <c r="N49" s="375">
        <v>2457.3749128401269</v>
      </c>
      <c r="O49" s="375">
        <v>2912.8328267035431</v>
      </c>
      <c r="P49" s="375">
        <v>3373.9411615715649</v>
      </c>
      <c r="Q49" s="375">
        <v>3840.359977574627</v>
      </c>
      <c r="R49" s="375">
        <v>4413.9076752381661</v>
      </c>
      <c r="S49" s="375">
        <v>4996.8346962946734</v>
      </c>
      <c r="T49" s="375">
        <v>5540.3262930003257</v>
      </c>
      <c r="U49" s="375">
        <v>5929.0416585741859</v>
      </c>
      <c r="V49" s="375">
        <v>6229.3273953979187</v>
      </c>
      <c r="W49" s="375">
        <v>6495.2375789395392</v>
      </c>
      <c r="X49" s="375">
        <v>6654.3018989265047</v>
      </c>
      <c r="Y49" s="375">
        <v>6789.4339054327302</v>
      </c>
      <c r="Z49" s="375">
        <v>6902.938641667175</v>
      </c>
      <c r="AA49" s="375">
        <v>7004.8039848606768</v>
      </c>
      <c r="AB49" s="375">
        <v>7098.806260938396</v>
      </c>
      <c r="AC49" s="375">
        <v>7165.6046679730407</v>
      </c>
      <c r="AD49" s="375">
        <v>7217.5185611114848</v>
      </c>
      <c r="AE49" s="375">
        <v>7262.7671304889564</v>
      </c>
      <c r="AF49" s="375">
        <v>7305.9009809626214</v>
      </c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/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</row>
    <row r="50" spans="1:61" x14ac:dyDescent="0.2">
      <c r="A50" s="327"/>
      <c r="B50" s="327"/>
      <c r="C50" s="327" t="s">
        <v>133</v>
      </c>
      <c r="D50" s="327" t="s">
        <v>123</v>
      </c>
      <c r="E50" s="345"/>
      <c r="F50" s="327"/>
      <c r="G50" s="327"/>
      <c r="H50" s="375">
        <v>761.7229058080103</v>
      </c>
      <c r="I50" s="375">
        <v>910.68158216047846</v>
      </c>
      <c r="J50" s="375">
        <v>1095.3823229468335</v>
      </c>
      <c r="K50" s="375">
        <v>1324.3832150096753</v>
      </c>
      <c r="L50" s="375">
        <v>1608.9293892779981</v>
      </c>
      <c r="M50" s="375">
        <v>2033.3255983504505</v>
      </c>
      <c r="N50" s="375">
        <v>2485.6764875073995</v>
      </c>
      <c r="O50" s="375">
        <v>2943.646507680025</v>
      </c>
      <c r="P50" s="375">
        <v>3405.834606322841</v>
      </c>
      <c r="Q50" s="375">
        <v>3872.185953401658</v>
      </c>
      <c r="R50" s="375">
        <v>4445.6848220919983</v>
      </c>
      <c r="S50" s="375">
        <v>5028.5589521095681</v>
      </c>
      <c r="T50" s="375">
        <v>5571.9932482984605</v>
      </c>
      <c r="U50" s="375">
        <v>5960.6465262451038</v>
      </c>
      <c r="V50" s="375">
        <v>6260.8649778206009</v>
      </c>
      <c r="W50" s="375">
        <v>6526.70223221176</v>
      </c>
      <c r="X50" s="375">
        <v>6685.6874939452264</v>
      </c>
      <c r="Y50" s="375">
        <v>6820.7337855464484</v>
      </c>
      <c r="Z50" s="375">
        <v>6934.1455765963246</v>
      </c>
      <c r="AA50" s="375">
        <v>7035.9101205551196</v>
      </c>
      <c r="AB50" s="375">
        <v>7129.803065011557</v>
      </c>
      <c r="AC50" s="375">
        <v>7196.4828703201438</v>
      </c>
      <c r="AD50" s="375">
        <v>7248.2680892843728</v>
      </c>
      <c r="AE50" s="375">
        <v>7293.3770393618697</v>
      </c>
      <c r="AF50" s="375">
        <v>7336.3593761818302</v>
      </c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</row>
    <row r="51" spans="1:61" x14ac:dyDescent="0.2">
      <c r="A51" s="327"/>
      <c r="B51" s="327"/>
      <c r="C51" s="327" t="s">
        <v>155</v>
      </c>
      <c r="D51" s="327" t="s">
        <v>123</v>
      </c>
      <c r="E51" s="345"/>
      <c r="F51" s="327"/>
      <c r="G51" s="327"/>
      <c r="H51" s="375">
        <v>779.46588426325468</v>
      </c>
      <c r="I51" s="375">
        <v>930.71891381845273</v>
      </c>
      <c r="J51" s="375">
        <v>1118.1323715402664</v>
      </c>
      <c r="K51" s="375">
        <v>1350.0837423324474</v>
      </c>
      <c r="L51" s="375">
        <v>1637.7900507957738</v>
      </c>
      <c r="M51" s="375">
        <v>2020.7541558776081</v>
      </c>
      <c r="N51" s="375">
        <v>2470.2846853123519</v>
      </c>
      <c r="O51" s="375">
        <v>2926.7131539188722</v>
      </c>
      <c r="P51" s="375">
        <v>3389.0322453945255</v>
      </c>
      <c r="Q51" s="375">
        <v>3855.4146752164338</v>
      </c>
      <c r="R51" s="375">
        <v>4428.9139261691262</v>
      </c>
      <c r="S51" s="375">
        <v>5011.7884702493238</v>
      </c>
      <c r="T51" s="375">
        <v>5555.2232150208702</v>
      </c>
      <c r="U51" s="375">
        <v>5943.876979026526</v>
      </c>
      <c r="V51" s="375">
        <v>6244.0959573511145</v>
      </c>
      <c r="W51" s="375">
        <v>6509.9337826752007</v>
      </c>
      <c r="X51" s="375">
        <v>6668.9196633238716</v>
      </c>
      <c r="Y51" s="375">
        <v>6803.9666259525411</v>
      </c>
      <c r="Z51" s="375">
        <v>6917.3791446328096</v>
      </c>
      <c r="AA51" s="375">
        <v>7019.1444777081906</v>
      </c>
      <c r="AB51" s="375">
        <v>7113.0382780778273</v>
      </c>
      <c r="AC51" s="375">
        <v>7179.7190118715307</v>
      </c>
      <c r="AD51" s="375">
        <v>7231.5052381740115</v>
      </c>
      <c r="AE51" s="375">
        <v>7276.6152812747405</v>
      </c>
      <c r="AF51" s="375">
        <v>7319.5988042340323</v>
      </c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</row>
    <row r="52" spans="1:61" x14ac:dyDescent="0.2">
      <c r="A52" s="327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</row>
    <row r="53" spans="1:61" x14ac:dyDescent="0.2">
      <c r="A53" s="32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/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</row>
    <row r="56" spans="1:61" x14ac:dyDescent="0.2">
      <c r="A56" s="327"/>
      <c r="B56" s="327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</row>
    <row r="57" spans="1:61" x14ac:dyDescent="0.2">
      <c r="A57" s="327"/>
      <c r="B57" s="32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</row>
    <row r="58" spans="1:61" ht="15" x14ac:dyDescent="0.25">
      <c r="A58" s="206" t="str">
        <f>UPPER(B60)&amp; " RISK"</f>
        <v>OPTION 1 (BASE CASE) RISK</v>
      </c>
      <c r="B58" s="54"/>
      <c r="C58" s="19"/>
      <c r="D58" s="19"/>
      <c r="E58" s="83"/>
      <c r="F58" s="83"/>
      <c r="G58" s="19"/>
      <c r="H58" s="227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0"/>
      <c r="AI58" s="10"/>
      <c r="AJ58" s="8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</row>
    <row r="59" spans="1:61" x14ac:dyDescent="0.2">
      <c r="A59" s="327"/>
      <c r="B59" s="327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</row>
    <row r="60" spans="1:61" x14ac:dyDescent="0.2">
      <c r="A60" s="327"/>
      <c r="B60" s="331" t="s">
        <v>144</v>
      </c>
      <c r="C60" s="331"/>
      <c r="D60" s="331"/>
      <c r="E60" s="331"/>
      <c r="F60" s="331" t="s">
        <v>308</v>
      </c>
      <c r="G60" s="331"/>
      <c r="H60" s="332" t="s">
        <v>271</v>
      </c>
      <c r="I60" s="332" t="s">
        <v>272</v>
      </c>
      <c r="J60" s="332" t="s">
        <v>273</v>
      </c>
      <c r="K60" s="332" t="s">
        <v>274</v>
      </c>
      <c r="L60" s="332" t="s">
        <v>275</v>
      </c>
      <c r="M60" s="332" t="s">
        <v>276</v>
      </c>
      <c r="N60" s="332" t="s">
        <v>277</v>
      </c>
      <c r="O60" s="332" t="s">
        <v>278</v>
      </c>
      <c r="P60" s="332" t="s">
        <v>279</v>
      </c>
      <c r="Q60" s="332" t="s">
        <v>280</v>
      </c>
      <c r="R60" s="332" t="s">
        <v>281</v>
      </c>
      <c r="S60" s="332" t="s">
        <v>282</v>
      </c>
      <c r="T60" s="332" t="s">
        <v>283</v>
      </c>
      <c r="U60" s="332" t="s">
        <v>284</v>
      </c>
      <c r="V60" s="332" t="s">
        <v>285</v>
      </c>
      <c r="W60" s="332" t="s">
        <v>286</v>
      </c>
      <c r="X60" s="332" t="s">
        <v>287</v>
      </c>
      <c r="Y60" s="332" t="s">
        <v>288</v>
      </c>
      <c r="Z60" s="332" t="s">
        <v>289</v>
      </c>
      <c r="AA60" s="332" t="s">
        <v>290</v>
      </c>
      <c r="AB60" s="332" t="s">
        <v>291</v>
      </c>
      <c r="AC60" s="332" t="s">
        <v>292</v>
      </c>
      <c r="AD60" s="332" t="s">
        <v>293</v>
      </c>
      <c r="AE60" s="332" t="s">
        <v>294</v>
      </c>
      <c r="AF60" s="332" t="s">
        <v>295</v>
      </c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</row>
    <row r="61" spans="1:61" x14ac:dyDescent="0.2">
      <c r="A61" s="327"/>
      <c r="B61" s="327"/>
      <c r="C61" s="333"/>
      <c r="D61" s="333"/>
      <c r="E61" s="333"/>
      <c r="F61" s="333"/>
      <c r="G61" s="333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7"/>
      <c r="BG61" s="327"/>
    </row>
    <row r="62" spans="1:61" x14ac:dyDescent="0.2">
      <c r="A62" s="327"/>
      <c r="B62" s="327"/>
      <c r="C62" s="333"/>
      <c r="D62" s="333"/>
      <c r="E62" s="333"/>
      <c r="F62" s="333"/>
      <c r="G62" s="333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</row>
    <row r="63" spans="1:61" x14ac:dyDescent="0.2">
      <c r="A63" s="327"/>
      <c r="B63" s="327"/>
      <c r="C63" s="335" t="str">
        <f>$B$60</f>
        <v>Option 1 (base case)</v>
      </c>
      <c r="D63" s="6" t="str">
        <f>C11</f>
        <v>Response cost</v>
      </c>
      <c r="E63" s="345" t="str">
        <f>C63&amp;D63</f>
        <v>Option 1 (base case)Response cost</v>
      </c>
      <c r="F63" s="337" cm="1">
        <f t="array" ref="F63:F66">INDEX($H$11:$L$14,,MATCH($B60, $H$9:$L$9,0))</f>
        <v>16091.492073468818</v>
      </c>
      <c r="G63" s="337"/>
      <c r="H63" s="31">
        <f t="shared" ref="H63:Q66" si="0">$F63*H$20</f>
        <v>1114904.0813809298</v>
      </c>
      <c r="I63" s="31">
        <f t="shared" si="0"/>
        <v>1333676.6952953881</v>
      </c>
      <c r="J63" s="31">
        <f t="shared" si="0"/>
        <v>1604975.3369123209</v>
      </c>
      <c r="K63" s="31">
        <f t="shared" si="0"/>
        <v>1941420.6395721079</v>
      </c>
      <c r="L63" s="31">
        <f t="shared" si="0"/>
        <v>2359572.7044206681</v>
      </c>
      <c r="M63" s="31">
        <f t="shared" si="0"/>
        <v>2880139.3854136551</v>
      </c>
      <c r="N63" s="31">
        <f t="shared" si="0"/>
        <v>3520871.417399941</v>
      </c>
      <c r="O63" s="31">
        <f t="shared" si="0"/>
        <v>4168619.4057297558</v>
      </c>
      <c r="P63" s="31">
        <f t="shared" si="0"/>
        <v>4821793.7455517873</v>
      </c>
      <c r="Q63" s="31">
        <f t="shared" si="0"/>
        <v>5480106.4736324735</v>
      </c>
      <c r="R63" s="31">
        <f t="shared" ref="R63:AF66" si="1">$F63*R$20</f>
        <v>6289607.0218831208</v>
      </c>
      <c r="S63" s="31">
        <f t="shared" si="1"/>
        <v>7112345.4707648028</v>
      </c>
      <c r="T63" s="31">
        <f t="shared" si="1"/>
        <v>7879425.082966364</v>
      </c>
      <c r="U63" s="31">
        <f t="shared" si="1"/>
        <v>8428054.7833859511</v>
      </c>
      <c r="V63" s="31">
        <f t="shared" si="1"/>
        <v>8851875.6261526514</v>
      </c>
      <c r="W63" s="31">
        <f t="shared" si="1"/>
        <v>9227179.0930469539</v>
      </c>
      <c r="X63" s="31">
        <f t="shared" si="1"/>
        <v>9451681.1785075106</v>
      </c>
      <c r="Y63" s="31">
        <f t="shared" si="1"/>
        <v>9642405.3916786555</v>
      </c>
      <c r="Z63" s="31">
        <f t="shared" si="1"/>
        <v>9802605.05176818</v>
      </c>
      <c r="AA63" s="31">
        <f t="shared" si="1"/>
        <v>9946376.9673364889</v>
      </c>
      <c r="AB63" s="31">
        <f t="shared" si="1"/>
        <v>10079051.014031662</v>
      </c>
      <c r="AC63" s="31">
        <f t="shared" si="1"/>
        <v>10173329.741567479</v>
      </c>
      <c r="AD63" s="31">
        <f t="shared" si="1"/>
        <v>10246600.587442357</v>
      </c>
      <c r="AE63" s="31">
        <f t="shared" si="1"/>
        <v>10310464.049658027</v>
      </c>
      <c r="AF63" s="31">
        <f t="shared" si="1"/>
        <v>10371342.81483978</v>
      </c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7"/>
      <c r="BC63" s="327"/>
      <c r="BD63" s="327"/>
      <c r="BE63" s="327"/>
      <c r="BF63" s="327"/>
      <c r="BG63" s="327"/>
    </row>
    <row r="64" spans="1:61" x14ac:dyDescent="0.2">
      <c r="C64" s="335" t="str">
        <f>C63</f>
        <v>Option 1 (base case)</v>
      </c>
      <c r="D64" s="6" t="str">
        <f>C12</f>
        <v>Unplanned replacements</v>
      </c>
      <c r="E64" s="345" t="str">
        <f t="shared" ref="E64:E66" si="2">C64&amp;D64</f>
        <v>Option 1 (base case)Unplanned replacements</v>
      </c>
      <c r="F64" s="337">
        <v>27436.685522732034</v>
      </c>
      <c r="G64" s="337"/>
      <c r="H64" s="31">
        <f t="shared" si="0"/>
        <v>1900959.3721450921</v>
      </c>
      <c r="I64" s="31">
        <f t="shared" si="0"/>
        <v>2273976.0806984049</v>
      </c>
      <c r="J64" s="31">
        <f t="shared" si="0"/>
        <v>2736551.9238087437</v>
      </c>
      <c r="K64" s="31">
        <f t="shared" si="0"/>
        <v>3310205.6236975617</v>
      </c>
      <c r="L64" s="31">
        <f t="shared" si="0"/>
        <v>4023172.8644947568</v>
      </c>
      <c r="M64" s="31">
        <f t="shared" si="0"/>
        <v>4910761.4271219429</v>
      </c>
      <c r="N64" s="31">
        <f t="shared" si="0"/>
        <v>6003237.0773404511</v>
      </c>
      <c r="O64" s="31">
        <f t="shared" si="0"/>
        <v>7107675.2346378388</v>
      </c>
      <c r="P64" s="31">
        <f t="shared" si="0"/>
        <v>8221365.5544287991</v>
      </c>
      <c r="Q64" s="31">
        <f t="shared" si="0"/>
        <v>9343817.0470247865</v>
      </c>
      <c r="R64" s="31">
        <f t="shared" si="1"/>
        <v>10724050.270359708</v>
      </c>
      <c r="S64" s="31">
        <f t="shared" si="1"/>
        <v>12126854.683173925</v>
      </c>
      <c r="T64" s="31">
        <f t="shared" si="1"/>
        <v>13434758.387490673</v>
      </c>
      <c r="U64" s="31">
        <f t="shared" si="1"/>
        <v>14370195.604258232</v>
      </c>
      <c r="V64" s="31">
        <f t="shared" si="1"/>
        <v>15092828.355023557</v>
      </c>
      <c r="W64" s="31">
        <f t="shared" si="1"/>
        <v>15732736.894875346</v>
      </c>
      <c r="X64" s="31">
        <f t="shared" si="1"/>
        <v>16115522.598640788</v>
      </c>
      <c r="Y64" s="31">
        <f t="shared" si="1"/>
        <v>16440715.578536976</v>
      </c>
      <c r="Z64" s="31">
        <f t="shared" si="1"/>
        <v>16713862.883625716</v>
      </c>
      <c r="AA64" s="31">
        <f t="shared" si="1"/>
        <v>16959000.178317752</v>
      </c>
      <c r="AB64" s="31">
        <f t="shared" si="1"/>
        <v>17185215.129646316</v>
      </c>
      <c r="AC64" s="31">
        <f t="shared" si="1"/>
        <v>17345964.411755987</v>
      </c>
      <c r="AD64" s="31">
        <f t="shared" si="1"/>
        <v>17470894.352812734</v>
      </c>
      <c r="AE64" s="31">
        <f t="shared" si="1"/>
        <v>17579784.300444949</v>
      </c>
      <c r="AF64" s="31">
        <f t="shared" si="1"/>
        <v>17683585.211365942</v>
      </c>
    </row>
    <row r="65" spans="1:61" x14ac:dyDescent="0.2">
      <c r="C65" s="335" t="str">
        <f t="shared" ref="C65:C66" si="3">C64</f>
        <v>Option 1 (base case)</v>
      </c>
      <c r="D65" s="6" t="str">
        <f>C13</f>
        <v>Safety Consequence</v>
      </c>
      <c r="E65" s="345" t="str">
        <f t="shared" si="2"/>
        <v>Option 1 (base case)Safety Consequence</v>
      </c>
      <c r="F65" s="337">
        <v>49411.553710830514</v>
      </c>
      <c r="G65" s="337"/>
      <c r="H65" s="31">
        <f t="shared" si="0"/>
        <v>3423495.0151333283</v>
      </c>
      <c r="I65" s="31">
        <f t="shared" si="0"/>
        <v>4095272.0457243002</v>
      </c>
      <c r="J65" s="31">
        <f t="shared" si="0"/>
        <v>4928338.820435185</v>
      </c>
      <c r="K65" s="31">
        <f t="shared" si="0"/>
        <v>5961449.0545408418</v>
      </c>
      <c r="L65" s="31">
        <f t="shared" si="0"/>
        <v>7245453.2424200671</v>
      </c>
      <c r="M65" s="31">
        <f t="shared" si="0"/>
        <v>8843938.2306682002</v>
      </c>
      <c r="N65" s="31">
        <f t="shared" si="0"/>
        <v>10811410.548846781</v>
      </c>
      <c r="O65" s="31">
        <f t="shared" si="0"/>
        <v>12800426.50649138</v>
      </c>
      <c r="P65" s="31">
        <f t="shared" si="0"/>
        <v>14806104.962367179</v>
      </c>
      <c r="Q65" s="31">
        <f t="shared" si="0"/>
        <v>16827561.678349022</v>
      </c>
      <c r="R65" s="31">
        <f t="shared" si="1"/>
        <v>19313265.280986488</v>
      </c>
      <c r="S65" s="31">
        <f t="shared" si="1"/>
        <v>21839618.018897582</v>
      </c>
      <c r="T65" s="31">
        <f t="shared" si="1"/>
        <v>24195061.211221132</v>
      </c>
      <c r="U65" s="31">
        <f t="shared" si="1"/>
        <v>25879718.282539904</v>
      </c>
      <c r="V65" s="31">
        <f t="shared" si="1"/>
        <v>27181129.37857271</v>
      </c>
      <c r="W65" s="31">
        <f t="shared" si="1"/>
        <v>28333559.950432736</v>
      </c>
      <c r="X65" s="31">
        <f t="shared" si="1"/>
        <v>29022930.25887154</v>
      </c>
      <c r="Y65" s="31">
        <f t="shared" si="1"/>
        <v>29608580.09544573</v>
      </c>
      <c r="Z65" s="31">
        <f t="shared" si="1"/>
        <v>30100499.307960618</v>
      </c>
      <c r="AA65" s="31">
        <f t="shared" si="1"/>
        <v>30541974.448723067</v>
      </c>
      <c r="AB65" s="31">
        <f t="shared" si="1"/>
        <v>30949371.771132998</v>
      </c>
      <c r="AC65" s="31">
        <f t="shared" si="1"/>
        <v>31238869.997161739</v>
      </c>
      <c r="AD65" s="31">
        <f t="shared" si="1"/>
        <v>31463860.092539765</v>
      </c>
      <c r="AE65" s="31">
        <f t="shared" si="1"/>
        <v>31659963.280424498</v>
      </c>
      <c r="AF65" s="31">
        <f t="shared" si="1"/>
        <v>31846901.468747441</v>
      </c>
    </row>
    <row r="66" spans="1:61" x14ac:dyDescent="0.2">
      <c r="C66" s="335" t="str">
        <f t="shared" si="3"/>
        <v>Option 1 (base case)</v>
      </c>
      <c r="D66" s="6" t="str">
        <f>C14</f>
        <v>Environmental Consequence</v>
      </c>
      <c r="E66" s="345" t="str">
        <f t="shared" si="2"/>
        <v>Option 1 (base case)Environmental Consequence</v>
      </c>
      <c r="F66" s="337">
        <v>2393.7740065647045</v>
      </c>
      <c r="G66" s="337"/>
      <c r="H66" s="31">
        <f t="shared" si="0"/>
        <v>165853.38374076918</v>
      </c>
      <c r="I66" s="31">
        <f t="shared" si="0"/>
        <v>198398.04735217502</v>
      </c>
      <c r="J66" s="31">
        <f t="shared" si="0"/>
        <v>238756.49474498606</v>
      </c>
      <c r="K66" s="31">
        <f t="shared" si="0"/>
        <v>288806.17419426912</v>
      </c>
      <c r="L66" s="31">
        <f t="shared" si="0"/>
        <v>351010.57009837532</v>
      </c>
      <c r="M66" s="31">
        <f t="shared" si="0"/>
        <v>428450.18750335398</v>
      </c>
      <c r="N66" s="31">
        <f t="shared" si="0"/>
        <v>523765.62974695978</v>
      </c>
      <c r="O66" s="31">
        <f t="shared" si="0"/>
        <v>620124.76724577567</v>
      </c>
      <c r="P66" s="31">
        <f t="shared" si="0"/>
        <v>717291.13002197712</v>
      </c>
      <c r="Q66" s="31">
        <f t="shared" si="0"/>
        <v>815221.8805996977</v>
      </c>
      <c r="R66" s="31">
        <f t="shared" si="1"/>
        <v>935643.36555926851</v>
      </c>
      <c r="S66" s="31">
        <f t="shared" si="1"/>
        <v>1058034.1236159129</v>
      </c>
      <c r="T66" s="31">
        <f t="shared" si="1"/>
        <v>1172145.0605178631</v>
      </c>
      <c r="U66" s="31">
        <f t="shared" si="1"/>
        <v>1253759.3390507477</v>
      </c>
      <c r="V66" s="31">
        <f t="shared" si="1"/>
        <v>1316807.0236422841</v>
      </c>
      <c r="W66" s="31">
        <f t="shared" si="1"/>
        <v>1372637.2524068649</v>
      </c>
      <c r="X66" s="31">
        <f t="shared" si="1"/>
        <v>1406034.2335035468</v>
      </c>
      <c r="Y66" s="31">
        <f t="shared" si="1"/>
        <v>1434406.4106656846</v>
      </c>
      <c r="Z66" s="31">
        <f t="shared" si="1"/>
        <v>1458237.7483957065</v>
      </c>
      <c r="AA66" s="31">
        <f t="shared" si="1"/>
        <v>1479625.2911288547</v>
      </c>
      <c r="AB66" s="31">
        <f t="shared" si="1"/>
        <v>1499361.9123740839</v>
      </c>
      <c r="AC66" s="31">
        <f t="shared" si="1"/>
        <v>1513386.8372422589</v>
      </c>
      <c r="AD66" s="31">
        <f t="shared" si="1"/>
        <v>1524286.6248749716</v>
      </c>
      <c r="AE66" s="31">
        <f t="shared" si="1"/>
        <v>1533786.9679831879</v>
      </c>
      <c r="AF66" s="31">
        <f t="shared" si="1"/>
        <v>1542843.306884421</v>
      </c>
    </row>
    <row r="67" spans="1:61" x14ac:dyDescent="0.2">
      <c r="C67" s="335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61" x14ac:dyDescent="0.2">
      <c r="C68" s="335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61" x14ac:dyDescent="0.2">
      <c r="C69" s="335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61" ht="15" x14ac:dyDescent="0.25">
      <c r="A70" s="206" t="str">
        <f>UPPER(B72)&amp; " RISK"</f>
        <v>OPTION 2 RISK</v>
      </c>
      <c r="B70" s="54"/>
      <c r="C70" s="19"/>
      <c r="D70" s="19"/>
      <c r="E70" s="83"/>
      <c r="F70" s="19"/>
      <c r="G70" s="19"/>
      <c r="H70" s="227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10"/>
      <c r="AI70" s="10"/>
      <c r="AJ70" s="8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</row>
    <row r="71" spans="1:61" x14ac:dyDescent="0.2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</row>
    <row r="72" spans="1:61" x14ac:dyDescent="0.2">
      <c r="A72" s="327"/>
      <c r="B72" s="331" t="s">
        <v>131</v>
      </c>
      <c r="C72" s="331"/>
      <c r="D72" s="331"/>
      <c r="E72" s="331"/>
      <c r="F72" s="331" t="s">
        <v>308</v>
      </c>
      <c r="G72" s="331"/>
      <c r="H72" s="332" t="s">
        <v>271</v>
      </c>
      <c r="I72" s="332" t="s">
        <v>272</v>
      </c>
      <c r="J72" s="332" t="s">
        <v>273</v>
      </c>
      <c r="K72" s="332" t="s">
        <v>274</v>
      </c>
      <c r="L72" s="332" t="s">
        <v>275</v>
      </c>
      <c r="M72" s="332" t="s">
        <v>276</v>
      </c>
      <c r="N72" s="332" t="s">
        <v>277</v>
      </c>
      <c r="O72" s="332" t="s">
        <v>278</v>
      </c>
      <c r="P72" s="332" t="s">
        <v>279</v>
      </c>
      <c r="Q72" s="332" t="s">
        <v>280</v>
      </c>
      <c r="R72" s="332" t="s">
        <v>281</v>
      </c>
      <c r="S72" s="332" t="s">
        <v>282</v>
      </c>
      <c r="T72" s="332" t="s">
        <v>283</v>
      </c>
      <c r="U72" s="332" t="s">
        <v>284</v>
      </c>
      <c r="V72" s="332" t="s">
        <v>285</v>
      </c>
      <c r="W72" s="332" t="s">
        <v>286</v>
      </c>
      <c r="X72" s="332" t="s">
        <v>287</v>
      </c>
      <c r="Y72" s="332" t="s">
        <v>288</v>
      </c>
      <c r="Z72" s="332" t="s">
        <v>289</v>
      </c>
      <c r="AA72" s="332" t="s">
        <v>290</v>
      </c>
      <c r="AB72" s="332" t="s">
        <v>291</v>
      </c>
      <c r="AC72" s="332" t="s">
        <v>292</v>
      </c>
      <c r="AD72" s="332" t="s">
        <v>293</v>
      </c>
      <c r="AE72" s="332" t="s">
        <v>294</v>
      </c>
      <c r="AF72" s="332" t="s">
        <v>295</v>
      </c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</row>
    <row r="73" spans="1:61" x14ac:dyDescent="0.2">
      <c r="A73" s="327"/>
      <c r="B73" s="327"/>
      <c r="C73" s="339"/>
      <c r="D73" s="327"/>
      <c r="E73" s="327"/>
      <c r="F73" s="327"/>
      <c r="G73" s="327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</row>
    <row r="74" spans="1:61" x14ac:dyDescent="0.2">
      <c r="A74" s="327"/>
      <c r="B74" s="328" t="s">
        <v>306</v>
      </c>
      <c r="C74" s="340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</row>
    <row r="75" spans="1:61" x14ac:dyDescent="0.2">
      <c r="A75" s="327"/>
      <c r="B75" s="327"/>
      <c r="C75" s="339" t="str">
        <f>$B$72</f>
        <v>Option 2</v>
      </c>
      <c r="D75" s="6" t="s">
        <v>296</v>
      </c>
      <c r="E75" s="6" t="s">
        <v>305</v>
      </c>
      <c r="F75" s="337" cm="1">
        <f t="array" ref="F75:F78">INDEX($H$11:$L$14,,MATCH($B72, $H$9:$L$9,0))</f>
        <v>14195</v>
      </c>
      <c r="G75" s="337"/>
      <c r="H75" s="31">
        <f t="shared" ref="H75:Q78" si="4">INDEX(H$20:H$24, MATCH($C75, $C$20:$C$24,0))*$F75</f>
        <v>4835.9147910712609</v>
      </c>
      <c r="I75" s="31">
        <f t="shared" si="4"/>
        <v>5868.7123635431672</v>
      </c>
      <c r="J75" s="31">
        <f t="shared" si="4"/>
        <v>7143.2127845192899</v>
      </c>
      <c r="K75" s="31">
        <f t="shared" si="4"/>
        <v>8719.5958312232942</v>
      </c>
      <c r="L75" s="31">
        <f t="shared" si="4"/>
        <v>10673.70606005978</v>
      </c>
      <c r="M75" s="31">
        <f t="shared" si="4"/>
        <v>13101.262932492038</v>
      </c>
      <c r="N75" s="31">
        <f t="shared" si="4"/>
        <v>15929.806687752201</v>
      </c>
      <c r="O75" s="31">
        <f t="shared" si="4"/>
        <v>17583.902803613277</v>
      </c>
      <c r="P75" s="31">
        <f t="shared" si="4"/>
        <v>17799.345502790147</v>
      </c>
      <c r="Q75" s="31">
        <f t="shared" si="4"/>
        <v>17799.345502790147</v>
      </c>
      <c r="R75" s="31">
        <f t="shared" ref="R75:AF78" si="5">INDEX(R$20:R$24, MATCH($C75, $C$20:$C$24,0))*$F75</f>
        <v>17799.345502790147</v>
      </c>
      <c r="S75" s="31">
        <f t="shared" si="5"/>
        <v>17799.345502790147</v>
      </c>
      <c r="T75" s="31">
        <f t="shared" si="5"/>
        <v>17799.345502790147</v>
      </c>
      <c r="U75" s="31">
        <f t="shared" si="5"/>
        <v>17799.345502790147</v>
      </c>
      <c r="V75" s="31">
        <f t="shared" si="5"/>
        <v>17799.345502790147</v>
      </c>
      <c r="W75" s="31">
        <f t="shared" si="5"/>
        <v>17799.345502790147</v>
      </c>
      <c r="X75" s="31">
        <f t="shared" si="5"/>
        <v>17799.345502790147</v>
      </c>
      <c r="Y75" s="31">
        <f t="shared" si="5"/>
        <v>17799.345502790147</v>
      </c>
      <c r="Z75" s="31">
        <f t="shared" si="5"/>
        <v>17799.345502790147</v>
      </c>
      <c r="AA75" s="31">
        <f t="shared" si="5"/>
        <v>17799.345502790147</v>
      </c>
      <c r="AB75" s="31">
        <f t="shared" si="5"/>
        <v>17799.345502790147</v>
      </c>
      <c r="AC75" s="31">
        <f t="shared" si="5"/>
        <v>17799.345502790147</v>
      </c>
      <c r="AD75" s="31">
        <f t="shared" si="5"/>
        <v>17799.345502790147</v>
      </c>
      <c r="AE75" s="31">
        <f t="shared" si="5"/>
        <v>17799.345502790147</v>
      </c>
      <c r="AF75" s="31">
        <f t="shared" si="5"/>
        <v>17799.345502790147</v>
      </c>
      <c r="AG75" s="327"/>
      <c r="AH75" s="327"/>
      <c r="AI75" s="327"/>
      <c r="AJ75" s="327"/>
      <c r="AK75" s="327"/>
      <c r="AL75" s="327"/>
      <c r="AM75" s="327"/>
      <c r="AN75" s="327"/>
      <c r="AO75" s="327"/>
      <c r="AP75" s="327"/>
      <c r="AQ75" s="327"/>
      <c r="AR75" s="327"/>
      <c r="AS75" s="327"/>
      <c r="AT75" s="327"/>
      <c r="AU75" s="327"/>
      <c r="AV75" s="327"/>
      <c r="AW75" s="327"/>
      <c r="AX75" s="327"/>
      <c r="AY75" s="327"/>
      <c r="AZ75" s="327"/>
      <c r="BA75" s="327"/>
      <c r="BB75" s="327"/>
      <c r="BC75" s="327"/>
      <c r="BD75" s="327"/>
      <c r="BE75" s="327"/>
      <c r="BF75" s="327"/>
      <c r="BG75" s="327"/>
      <c r="BH75" s="327"/>
      <c r="BI75" s="327"/>
    </row>
    <row r="76" spans="1:61" x14ac:dyDescent="0.2">
      <c r="A76" s="327"/>
      <c r="B76" s="327"/>
      <c r="C76" s="339" t="str">
        <f>C75</f>
        <v>Option 2</v>
      </c>
      <c r="D76" s="6" t="s">
        <v>116</v>
      </c>
      <c r="F76" s="337">
        <v>97265</v>
      </c>
      <c r="G76" s="337"/>
      <c r="H76" s="31">
        <f t="shared" si="4"/>
        <v>33135.981130929642</v>
      </c>
      <c r="I76" s="31">
        <f t="shared" si="4"/>
        <v>40212.772669251579</v>
      </c>
      <c r="J76" s="31">
        <f t="shared" si="4"/>
        <v>48945.726769022105</v>
      </c>
      <c r="K76" s="31">
        <f t="shared" si="4"/>
        <v>59747.198909752289</v>
      </c>
      <c r="L76" s="31">
        <f t="shared" si="4"/>
        <v>73136.88058694714</v>
      </c>
      <c r="M76" s="31">
        <f t="shared" si="4"/>
        <v>89770.647349689185</v>
      </c>
      <c r="N76" s="31">
        <f t="shared" si="4"/>
        <v>109152.00052724325</v>
      </c>
      <c r="O76" s="31">
        <f t="shared" si="4"/>
        <v>120485.96732606167</v>
      </c>
      <c r="P76" s="31">
        <f t="shared" si="4"/>
        <v>121962.19375335566</v>
      </c>
      <c r="Q76" s="31">
        <f t="shared" si="4"/>
        <v>121962.19375335566</v>
      </c>
      <c r="R76" s="31">
        <f t="shared" si="5"/>
        <v>121962.19375335566</v>
      </c>
      <c r="S76" s="31">
        <f t="shared" si="5"/>
        <v>121962.19375335566</v>
      </c>
      <c r="T76" s="31">
        <f t="shared" si="5"/>
        <v>121962.19375335566</v>
      </c>
      <c r="U76" s="31">
        <f t="shared" si="5"/>
        <v>121962.19375335566</v>
      </c>
      <c r="V76" s="31">
        <f t="shared" si="5"/>
        <v>121962.19375335566</v>
      </c>
      <c r="W76" s="31">
        <f t="shared" si="5"/>
        <v>121962.19375335566</v>
      </c>
      <c r="X76" s="31">
        <f t="shared" si="5"/>
        <v>121962.19375335566</v>
      </c>
      <c r="Y76" s="31">
        <f t="shared" si="5"/>
        <v>121962.19375335566</v>
      </c>
      <c r="Z76" s="31">
        <f t="shared" si="5"/>
        <v>121962.19375335566</v>
      </c>
      <c r="AA76" s="31">
        <f t="shared" si="5"/>
        <v>121962.19375335566</v>
      </c>
      <c r="AB76" s="31">
        <f t="shared" si="5"/>
        <v>121962.19375335566</v>
      </c>
      <c r="AC76" s="31">
        <f t="shared" si="5"/>
        <v>121962.19375335566</v>
      </c>
      <c r="AD76" s="31">
        <f t="shared" si="5"/>
        <v>121962.19375335566</v>
      </c>
      <c r="AE76" s="31">
        <f t="shared" si="5"/>
        <v>121962.19375335566</v>
      </c>
      <c r="AF76" s="31">
        <f t="shared" si="5"/>
        <v>121962.19375335566</v>
      </c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327"/>
      <c r="BB76" s="327"/>
      <c r="BC76" s="327"/>
      <c r="BD76" s="327"/>
      <c r="BE76" s="327"/>
      <c r="BF76" s="327"/>
      <c r="BG76" s="327"/>
      <c r="BH76" s="327"/>
      <c r="BI76" s="327"/>
    </row>
    <row r="77" spans="1:61" x14ac:dyDescent="0.2">
      <c r="A77" s="327"/>
      <c r="B77" s="327"/>
      <c r="C77" s="339" t="str">
        <f t="shared" ref="C77:C78" si="6">C76</f>
        <v>Option 2</v>
      </c>
      <c r="D77" s="6" t="s">
        <v>297</v>
      </c>
      <c r="F77" s="337">
        <v>56932.19556</v>
      </c>
      <c r="G77" s="337"/>
      <c r="H77" s="31">
        <f t="shared" si="4"/>
        <v>19395.508742287115</v>
      </c>
      <c r="I77" s="31">
        <f t="shared" si="4"/>
        <v>23537.772452738951</v>
      </c>
      <c r="J77" s="31">
        <f t="shared" si="4"/>
        <v>28649.439040151065</v>
      </c>
      <c r="K77" s="31">
        <f t="shared" si="4"/>
        <v>34971.872847295905</v>
      </c>
      <c r="L77" s="31">
        <f t="shared" si="4"/>
        <v>42809.265287867594</v>
      </c>
      <c r="M77" s="31">
        <f t="shared" si="4"/>
        <v>52545.52049000463</v>
      </c>
      <c r="N77" s="31">
        <f t="shared" si="4"/>
        <v>63890.022513568452</v>
      </c>
      <c r="O77" s="31">
        <f t="shared" si="4"/>
        <v>70524.141819185868</v>
      </c>
      <c r="P77" s="31">
        <f t="shared" si="4"/>
        <v>71388.222543491036</v>
      </c>
      <c r="Q77" s="31">
        <f t="shared" si="4"/>
        <v>71388.222543491036</v>
      </c>
      <c r="R77" s="31">
        <f t="shared" si="5"/>
        <v>71388.222543491036</v>
      </c>
      <c r="S77" s="31">
        <f t="shared" si="5"/>
        <v>71388.222543491036</v>
      </c>
      <c r="T77" s="31">
        <f t="shared" si="5"/>
        <v>71388.222543491036</v>
      </c>
      <c r="U77" s="31">
        <f t="shared" si="5"/>
        <v>71388.222543491036</v>
      </c>
      <c r="V77" s="31">
        <f t="shared" si="5"/>
        <v>71388.222543491036</v>
      </c>
      <c r="W77" s="31">
        <f t="shared" si="5"/>
        <v>71388.222543491036</v>
      </c>
      <c r="X77" s="31">
        <f t="shared" si="5"/>
        <v>71388.222543491036</v>
      </c>
      <c r="Y77" s="31">
        <f t="shared" si="5"/>
        <v>71388.222543491036</v>
      </c>
      <c r="Z77" s="31">
        <f t="shared" si="5"/>
        <v>71388.222543491036</v>
      </c>
      <c r="AA77" s="31">
        <f t="shared" si="5"/>
        <v>71388.222543491036</v>
      </c>
      <c r="AB77" s="31">
        <f t="shared" si="5"/>
        <v>71388.222543491036</v>
      </c>
      <c r="AC77" s="31">
        <f t="shared" si="5"/>
        <v>71388.222543491036</v>
      </c>
      <c r="AD77" s="31">
        <f t="shared" si="5"/>
        <v>71388.222543491036</v>
      </c>
      <c r="AE77" s="31">
        <f t="shared" si="5"/>
        <v>71388.222543491036</v>
      </c>
      <c r="AF77" s="31">
        <f t="shared" si="5"/>
        <v>71388.222543491036</v>
      </c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</row>
    <row r="78" spans="1:61" x14ac:dyDescent="0.2">
      <c r="A78" s="327"/>
      <c r="B78" s="327"/>
      <c r="C78" s="339" t="str">
        <f t="shared" si="6"/>
        <v>Option 2</v>
      </c>
      <c r="D78" s="6" t="s">
        <v>299</v>
      </c>
      <c r="F78" s="337">
        <v>550</v>
      </c>
      <c r="G78" s="337"/>
      <c r="H78" s="31">
        <f t="shared" si="4"/>
        <v>187.37253505383541</v>
      </c>
      <c r="I78" s="31">
        <f t="shared" si="4"/>
        <v>227.38934835848832</v>
      </c>
      <c r="J78" s="31">
        <f t="shared" si="4"/>
        <v>276.77118925576679</v>
      </c>
      <c r="K78" s="31">
        <f t="shared" si="4"/>
        <v>337.84978564091665</v>
      </c>
      <c r="L78" s="31">
        <f t="shared" si="4"/>
        <v>413.56381352820563</v>
      </c>
      <c r="M78" s="31">
        <f t="shared" si="4"/>
        <v>507.62202274537657</v>
      </c>
      <c r="N78" s="31">
        <f t="shared" si="4"/>
        <v>617.21688469628111</v>
      </c>
      <c r="O78" s="31">
        <f t="shared" si="4"/>
        <v>681.30655456057082</v>
      </c>
      <c r="P78" s="31">
        <f t="shared" si="4"/>
        <v>689.65410542688142</v>
      </c>
      <c r="Q78" s="31">
        <f t="shared" si="4"/>
        <v>689.65410542688142</v>
      </c>
      <c r="R78" s="31">
        <f t="shared" si="5"/>
        <v>689.65410542688142</v>
      </c>
      <c r="S78" s="31">
        <f t="shared" si="5"/>
        <v>689.65410542688142</v>
      </c>
      <c r="T78" s="31">
        <f t="shared" si="5"/>
        <v>689.65410542688142</v>
      </c>
      <c r="U78" s="31">
        <f t="shared" si="5"/>
        <v>689.65410542688142</v>
      </c>
      <c r="V78" s="31">
        <f t="shared" si="5"/>
        <v>689.65410542688142</v>
      </c>
      <c r="W78" s="31">
        <f t="shared" si="5"/>
        <v>689.65410542688142</v>
      </c>
      <c r="X78" s="31">
        <f t="shared" si="5"/>
        <v>689.65410542688142</v>
      </c>
      <c r="Y78" s="31">
        <f t="shared" si="5"/>
        <v>689.65410542688142</v>
      </c>
      <c r="Z78" s="31">
        <f t="shared" si="5"/>
        <v>689.65410542688142</v>
      </c>
      <c r="AA78" s="31">
        <f t="shared" si="5"/>
        <v>689.65410542688142</v>
      </c>
      <c r="AB78" s="31">
        <f t="shared" si="5"/>
        <v>689.65410542688142</v>
      </c>
      <c r="AC78" s="31">
        <f t="shared" si="5"/>
        <v>689.65410542688142</v>
      </c>
      <c r="AD78" s="31">
        <f t="shared" si="5"/>
        <v>689.65410542688142</v>
      </c>
      <c r="AE78" s="31">
        <f t="shared" si="5"/>
        <v>689.65410542688142</v>
      </c>
      <c r="AF78" s="31">
        <f t="shared" si="5"/>
        <v>689.65410542688142</v>
      </c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327"/>
      <c r="BB78" s="327"/>
      <c r="BC78" s="327"/>
      <c r="BD78" s="327"/>
      <c r="BE78" s="327"/>
      <c r="BF78" s="327"/>
      <c r="BG78" s="327"/>
      <c r="BH78" s="327"/>
      <c r="BI78" s="327"/>
    </row>
    <row r="79" spans="1:61" x14ac:dyDescent="0.2">
      <c r="A79" s="327"/>
      <c r="B79" s="327"/>
      <c r="C79" s="339"/>
      <c r="D79" s="327"/>
      <c r="F79" s="327"/>
      <c r="G79" s="327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327"/>
      <c r="BB79" s="327"/>
      <c r="BC79" s="327"/>
      <c r="BD79" s="327"/>
      <c r="BE79" s="327"/>
      <c r="BF79" s="327"/>
      <c r="BG79" s="327"/>
      <c r="BH79" s="327"/>
      <c r="BI79" s="327"/>
    </row>
    <row r="80" spans="1:61" x14ac:dyDescent="0.2">
      <c r="A80" s="327"/>
      <c r="B80" s="328" t="s">
        <v>307</v>
      </c>
      <c r="C80" s="340"/>
      <c r="D80" s="327"/>
      <c r="F80" s="327"/>
      <c r="G80" s="327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</row>
    <row r="81" spans="1:61" x14ac:dyDescent="0.2">
      <c r="A81" s="327"/>
      <c r="B81" s="327"/>
      <c r="C81" s="339" t="str">
        <f>$C78</f>
        <v>Option 2</v>
      </c>
      <c r="D81" s="6" t="str">
        <f>D75</f>
        <v>Response cost</v>
      </c>
      <c r="F81" s="337">
        <f>F75</f>
        <v>14195</v>
      </c>
      <c r="G81" s="337"/>
      <c r="H81" s="31">
        <f>INDEX(H$30:H$34, MATCH($C81, $C$30:$C$34,0))*$F81</f>
        <v>581.29581107999991</v>
      </c>
      <c r="I81" s="31">
        <f t="shared" ref="H81:Q84" si="7">INDEX(I$30:I$34, MATCH($C81, $C$30:$C$34,0))*$F81</f>
        <v>581.29581107999991</v>
      </c>
      <c r="J81" s="31">
        <f t="shared" si="7"/>
        <v>581.29581107999991</v>
      </c>
      <c r="K81" s="31">
        <f t="shared" si="7"/>
        <v>581.29581107999991</v>
      </c>
      <c r="L81" s="31">
        <f t="shared" si="7"/>
        <v>581.29581107999991</v>
      </c>
      <c r="M81" s="31">
        <f t="shared" si="7"/>
        <v>581.29581107999991</v>
      </c>
      <c r="N81" s="31">
        <f t="shared" si="7"/>
        <v>581.29581107999991</v>
      </c>
      <c r="O81" s="31">
        <f t="shared" si="7"/>
        <v>581.29581107999991</v>
      </c>
      <c r="P81" s="31">
        <f t="shared" si="7"/>
        <v>581.29581107999991</v>
      </c>
      <c r="Q81" s="31">
        <f t="shared" si="7"/>
        <v>581.29581107999991</v>
      </c>
      <c r="R81" s="31">
        <f t="shared" ref="R81:AF84" si="8">INDEX(R$30:R$34, MATCH($C81, $C$30:$C$34,0))*$F81</f>
        <v>581.29581107999991</v>
      </c>
      <c r="S81" s="31">
        <f t="shared" si="8"/>
        <v>581.29581107999991</v>
      </c>
      <c r="T81" s="31">
        <f t="shared" si="8"/>
        <v>581.29581107999991</v>
      </c>
      <c r="U81" s="31">
        <f t="shared" si="8"/>
        <v>581.29581107999991</v>
      </c>
      <c r="V81" s="31">
        <f t="shared" si="8"/>
        <v>581.29581107999991</v>
      </c>
      <c r="W81" s="31">
        <f t="shared" si="8"/>
        <v>581.29581107999991</v>
      </c>
      <c r="X81" s="31">
        <f t="shared" si="8"/>
        <v>581.29581107999991</v>
      </c>
      <c r="Y81" s="31">
        <f t="shared" si="8"/>
        <v>581.29581107999991</v>
      </c>
      <c r="Z81" s="31">
        <f t="shared" si="8"/>
        <v>581.29581107999991</v>
      </c>
      <c r="AA81" s="31">
        <f t="shared" si="8"/>
        <v>581.29581107999991</v>
      </c>
      <c r="AB81" s="31">
        <f t="shared" si="8"/>
        <v>581.29581107999991</v>
      </c>
      <c r="AC81" s="31">
        <f t="shared" si="8"/>
        <v>581.29581107999991</v>
      </c>
      <c r="AD81" s="31">
        <f t="shared" si="8"/>
        <v>581.29581107999991</v>
      </c>
      <c r="AE81" s="31">
        <f t="shared" si="8"/>
        <v>581.29581107999991</v>
      </c>
      <c r="AF81" s="31">
        <f t="shared" si="8"/>
        <v>581.29581107999991</v>
      </c>
      <c r="AG81" s="327"/>
      <c r="AH81" s="327"/>
      <c r="AI81" s="327"/>
      <c r="AJ81" s="327"/>
      <c r="AK81" s="327"/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327"/>
      <c r="BB81" s="327"/>
      <c r="BC81" s="327"/>
      <c r="BD81" s="327"/>
      <c r="BE81" s="327"/>
      <c r="BF81" s="327"/>
      <c r="BG81" s="327"/>
      <c r="BH81" s="327"/>
      <c r="BI81" s="327"/>
    </row>
    <row r="82" spans="1:61" x14ac:dyDescent="0.2">
      <c r="A82" s="327"/>
      <c r="B82" s="327"/>
      <c r="C82" s="339" t="str">
        <f>C81</f>
        <v>Option 2</v>
      </c>
      <c r="D82" s="6" t="str">
        <f t="shared" ref="D82:D84" si="9">D76</f>
        <v>Unplanned replacements</v>
      </c>
      <c r="F82" s="337">
        <f>F76</f>
        <v>97265</v>
      </c>
      <c r="G82" s="337"/>
      <c r="H82" s="31">
        <f t="shared" si="7"/>
        <v>3983.0741151599996</v>
      </c>
      <c r="I82" s="31">
        <f t="shared" si="7"/>
        <v>3983.0741151599996</v>
      </c>
      <c r="J82" s="31">
        <f t="shared" si="7"/>
        <v>3983.0741151599996</v>
      </c>
      <c r="K82" s="31">
        <f t="shared" si="7"/>
        <v>3983.0741151599996</v>
      </c>
      <c r="L82" s="31">
        <f t="shared" si="7"/>
        <v>3983.0741151599996</v>
      </c>
      <c r="M82" s="31">
        <f t="shared" si="7"/>
        <v>3983.0741151599996</v>
      </c>
      <c r="N82" s="31">
        <f t="shared" si="7"/>
        <v>3983.0741151599996</v>
      </c>
      <c r="O82" s="31">
        <f t="shared" si="7"/>
        <v>3983.0741151599996</v>
      </c>
      <c r="P82" s="31">
        <f t="shared" si="7"/>
        <v>3983.0741151599996</v>
      </c>
      <c r="Q82" s="31">
        <f t="shared" si="7"/>
        <v>3983.0741151599996</v>
      </c>
      <c r="R82" s="31">
        <f t="shared" si="8"/>
        <v>3983.0741151599996</v>
      </c>
      <c r="S82" s="31">
        <f t="shared" si="8"/>
        <v>3983.0741151599996</v>
      </c>
      <c r="T82" s="31">
        <f t="shared" si="8"/>
        <v>3983.0741151599996</v>
      </c>
      <c r="U82" s="31">
        <f t="shared" si="8"/>
        <v>3983.0741151599996</v>
      </c>
      <c r="V82" s="31">
        <f t="shared" si="8"/>
        <v>3983.0741151599996</v>
      </c>
      <c r="W82" s="31">
        <f t="shared" si="8"/>
        <v>3983.0741151599996</v>
      </c>
      <c r="X82" s="31">
        <f t="shared" si="8"/>
        <v>3983.0741151599996</v>
      </c>
      <c r="Y82" s="31">
        <f t="shared" si="8"/>
        <v>3983.0741151599996</v>
      </c>
      <c r="Z82" s="31">
        <f t="shared" si="8"/>
        <v>3983.0741151599996</v>
      </c>
      <c r="AA82" s="31">
        <f t="shared" si="8"/>
        <v>3983.0741151599996</v>
      </c>
      <c r="AB82" s="31">
        <f t="shared" si="8"/>
        <v>3983.0741151599996</v>
      </c>
      <c r="AC82" s="31">
        <f t="shared" si="8"/>
        <v>3983.0741151599996</v>
      </c>
      <c r="AD82" s="31">
        <f t="shared" si="8"/>
        <v>3983.0741151599996</v>
      </c>
      <c r="AE82" s="31">
        <f t="shared" si="8"/>
        <v>3983.0741151599996</v>
      </c>
      <c r="AF82" s="31">
        <f t="shared" si="8"/>
        <v>3983.0741151599996</v>
      </c>
      <c r="AG82" s="327"/>
      <c r="AH82" s="327"/>
      <c r="AI82" s="327"/>
      <c r="AJ82" s="327"/>
      <c r="AK82" s="327"/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  <c r="BI82" s="327"/>
    </row>
    <row r="83" spans="1:61" x14ac:dyDescent="0.2">
      <c r="A83" s="327"/>
      <c r="B83" s="327"/>
      <c r="C83" s="339" t="str">
        <f t="shared" ref="C83:C84" si="10">C82</f>
        <v>Option 2</v>
      </c>
      <c r="D83" s="6" t="str">
        <f t="shared" si="9"/>
        <v>Safety Consequence</v>
      </c>
      <c r="F83" s="337">
        <f>F77</f>
        <v>56932.19556</v>
      </c>
      <c r="G83" s="337"/>
      <c r="H83" s="31">
        <f t="shared" si="7"/>
        <v>2331.4157657354963</v>
      </c>
      <c r="I83" s="31">
        <f t="shared" si="7"/>
        <v>2331.4157657354963</v>
      </c>
      <c r="J83" s="31">
        <f t="shared" si="7"/>
        <v>2331.4157657354963</v>
      </c>
      <c r="K83" s="31">
        <f t="shared" si="7"/>
        <v>2331.4157657354963</v>
      </c>
      <c r="L83" s="31">
        <f t="shared" si="7"/>
        <v>2331.4157657354963</v>
      </c>
      <c r="M83" s="31">
        <f t="shared" si="7"/>
        <v>2331.4157657354963</v>
      </c>
      <c r="N83" s="31">
        <f t="shared" si="7"/>
        <v>2331.4157657354963</v>
      </c>
      <c r="O83" s="31">
        <f t="shared" si="7"/>
        <v>2331.4157657354963</v>
      </c>
      <c r="P83" s="31">
        <f t="shared" si="7"/>
        <v>2331.4157657354963</v>
      </c>
      <c r="Q83" s="31">
        <f t="shared" si="7"/>
        <v>2331.4157657354963</v>
      </c>
      <c r="R83" s="31">
        <f t="shared" si="8"/>
        <v>2331.4157657354963</v>
      </c>
      <c r="S83" s="31">
        <f t="shared" si="8"/>
        <v>2331.4157657354963</v>
      </c>
      <c r="T83" s="31">
        <f t="shared" si="8"/>
        <v>2331.4157657354963</v>
      </c>
      <c r="U83" s="31">
        <f t="shared" si="8"/>
        <v>2331.4157657354963</v>
      </c>
      <c r="V83" s="31">
        <f t="shared" si="8"/>
        <v>2331.4157657354963</v>
      </c>
      <c r="W83" s="31">
        <f t="shared" si="8"/>
        <v>2331.4157657354963</v>
      </c>
      <c r="X83" s="31">
        <f t="shared" si="8"/>
        <v>2331.4157657354963</v>
      </c>
      <c r="Y83" s="31">
        <f t="shared" si="8"/>
        <v>2331.4157657354963</v>
      </c>
      <c r="Z83" s="31">
        <f t="shared" si="8"/>
        <v>2331.4157657354963</v>
      </c>
      <c r="AA83" s="31">
        <f t="shared" si="8"/>
        <v>2331.4157657354963</v>
      </c>
      <c r="AB83" s="31">
        <f t="shared" si="8"/>
        <v>2331.4157657354963</v>
      </c>
      <c r="AC83" s="31">
        <f t="shared" si="8"/>
        <v>2331.4157657354963</v>
      </c>
      <c r="AD83" s="31">
        <f t="shared" si="8"/>
        <v>2331.4157657354963</v>
      </c>
      <c r="AE83" s="31">
        <f t="shared" si="8"/>
        <v>2331.4157657354963</v>
      </c>
      <c r="AF83" s="31">
        <f t="shared" si="8"/>
        <v>2331.4157657354963</v>
      </c>
      <c r="AG83" s="327"/>
      <c r="AH83" s="327"/>
      <c r="AI83" s="327"/>
      <c r="AJ83" s="327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</row>
    <row r="84" spans="1:61" x14ac:dyDescent="0.2">
      <c r="A84" s="327"/>
      <c r="B84" s="327"/>
      <c r="C84" s="339" t="str">
        <f t="shared" si="10"/>
        <v>Option 2</v>
      </c>
      <c r="D84" s="6" t="str">
        <f t="shared" si="9"/>
        <v>Environmental Consequence</v>
      </c>
      <c r="F84" s="337">
        <f>F78</f>
        <v>550</v>
      </c>
      <c r="G84" s="337"/>
      <c r="H84" s="31">
        <f t="shared" si="7"/>
        <v>22.522909199999997</v>
      </c>
      <c r="I84" s="31">
        <f t="shared" si="7"/>
        <v>22.522909199999997</v>
      </c>
      <c r="J84" s="31">
        <f t="shared" si="7"/>
        <v>22.522909199999997</v>
      </c>
      <c r="K84" s="31">
        <f t="shared" si="7"/>
        <v>22.522909199999997</v>
      </c>
      <c r="L84" s="31">
        <f t="shared" si="7"/>
        <v>22.522909199999997</v>
      </c>
      <c r="M84" s="31">
        <f t="shared" si="7"/>
        <v>22.522909199999997</v>
      </c>
      <c r="N84" s="31">
        <f t="shared" si="7"/>
        <v>22.522909199999997</v>
      </c>
      <c r="O84" s="31">
        <f t="shared" si="7"/>
        <v>22.522909199999997</v>
      </c>
      <c r="P84" s="31">
        <f t="shared" si="7"/>
        <v>22.522909199999997</v>
      </c>
      <c r="Q84" s="31">
        <f t="shared" si="7"/>
        <v>22.522909199999997</v>
      </c>
      <c r="R84" s="31">
        <f t="shared" si="8"/>
        <v>22.522909199999997</v>
      </c>
      <c r="S84" s="31">
        <f t="shared" si="8"/>
        <v>22.522909199999997</v>
      </c>
      <c r="T84" s="31">
        <f t="shared" si="8"/>
        <v>22.522909199999997</v>
      </c>
      <c r="U84" s="31">
        <f t="shared" si="8"/>
        <v>22.522909199999997</v>
      </c>
      <c r="V84" s="31">
        <f t="shared" si="8"/>
        <v>22.522909199999997</v>
      </c>
      <c r="W84" s="31">
        <f t="shared" si="8"/>
        <v>22.522909199999997</v>
      </c>
      <c r="X84" s="31">
        <f t="shared" si="8"/>
        <v>22.522909199999997</v>
      </c>
      <c r="Y84" s="31">
        <f t="shared" si="8"/>
        <v>22.522909199999997</v>
      </c>
      <c r="Z84" s="31">
        <f t="shared" si="8"/>
        <v>22.522909199999997</v>
      </c>
      <c r="AA84" s="31">
        <f t="shared" si="8"/>
        <v>22.522909199999997</v>
      </c>
      <c r="AB84" s="31">
        <f t="shared" si="8"/>
        <v>22.522909199999997</v>
      </c>
      <c r="AC84" s="31">
        <f t="shared" si="8"/>
        <v>22.522909199999997</v>
      </c>
      <c r="AD84" s="31">
        <f t="shared" si="8"/>
        <v>22.522909199999997</v>
      </c>
      <c r="AE84" s="31">
        <f t="shared" si="8"/>
        <v>22.522909199999997</v>
      </c>
      <c r="AF84" s="31">
        <f t="shared" si="8"/>
        <v>22.522909199999997</v>
      </c>
      <c r="AG84" s="327"/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  <c r="BI84" s="327"/>
    </row>
    <row r="85" spans="1:61" x14ac:dyDescent="0.2">
      <c r="A85" s="327"/>
      <c r="B85" s="327"/>
      <c r="C85" s="339"/>
      <c r="D85" s="327"/>
      <c r="F85" s="327"/>
      <c r="G85" s="327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27"/>
      <c r="AH85" s="327"/>
      <c r="AI85" s="327"/>
      <c r="AJ85" s="327"/>
      <c r="AK85" s="327"/>
      <c r="AL85" s="327"/>
      <c r="AM85" s="327"/>
      <c r="AN85" s="327"/>
      <c r="AO85" s="327"/>
      <c r="AP85" s="327"/>
      <c r="AQ85" s="327"/>
      <c r="AR85" s="327"/>
      <c r="AS85" s="327"/>
      <c r="AT85" s="327"/>
      <c r="AU85" s="327"/>
      <c r="AV85" s="327"/>
      <c r="AW85" s="327"/>
      <c r="AX85" s="327"/>
      <c r="AY85" s="327"/>
      <c r="AZ85" s="327"/>
      <c r="BA85" s="327"/>
      <c r="BB85" s="327"/>
      <c r="BC85" s="327"/>
      <c r="BD85" s="327"/>
      <c r="BE85" s="327"/>
      <c r="BF85" s="327"/>
      <c r="BG85" s="327"/>
      <c r="BH85" s="327"/>
      <c r="BI85" s="327"/>
    </row>
    <row r="86" spans="1:61" x14ac:dyDescent="0.2">
      <c r="A86" s="327"/>
      <c r="B86" s="328" t="s">
        <v>318</v>
      </c>
      <c r="C86" s="340"/>
      <c r="D86" s="327"/>
      <c r="F86" s="327"/>
      <c r="G86" s="327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7"/>
      <c r="AH86" s="327"/>
      <c r="AI86" s="327"/>
      <c r="AJ86" s="327"/>
      <c r="AK86" s="327"/>
      <c r="AL86" s="327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  <c r="BI86" s="327"/>
    </row>
    <row r="87" spans="1:61" x14ac:dyDescent="0.2">
      <c r="A87" s="327"/>
      <c r="B87" s="327"/>
      <c r="C87" s="339" t="str">
        <f>$C84</f>
        <v>Option 2</v>
      </c>
      <c r="D87" s="327" t="str">
        <f>D75</f>
        <v>Response cost</v>
      </c>
      <c r="F87" s="327"/>
      <c r="G87" s="327"/>
      <c r="H87" s="31">
        <f>INDEX(H$40:H$43, MATCH($C87, $C$40:$C$43,0))*(H81-H75)</f>
        <v>0</v>
      </c>
      <c r="I87" s="31">
        <f>INDEX(I$40:I$43, MATCH($C87, $C$40:$C$43,0))*(I81-I75)</f>
        <v>-1057.4833104926336</v>
      </c>
      <c r="J87" s="31">
        <f t="shared" ref="J87:AE87" si="11">INDEX(J$40:J$43, MATCH($C87, $C$40:$C$43,0))*(J81-J75)</f>
        <v>-2624.7667893757161</v>
      </c>
      <c r="K87" s="31">
        <f t="shared" si="11"/>
        <v>-4882.9800120859763</v>
      </c>
      <c r="L87" s="31">
        <f t="shared" si="11"/>
        <v>-8073.9281991838252</v>
      </c>
      <c r="M87" s="31">
        <f t="shared" si="11"/>
        <v>-12519.967121412039</v>
      </c>
      <c r="N87" s="31">
        <f t="shared" si="11"/>
        <v>-15348.510876672202</v>
      </c>
      <c r="O87" s="31">
        <f t="shared" si="11"/>
        <v>-17002.606992533278</v>
      </c>
      <c r="P87" s="31">
        <f t="shared" si="11"/>
        <v>-17218.049691710148</v>
      </c>
      <c r="Q87" s="31">
        <f t="shared" si="11"/>
        <v>-17218.049691710148</v>
      </c>
      <c r="R87" s="31">
        <f t="shared" si="11"/>
        <v>-17218.049691710148</v>
      </c>
      <c r="S87" s="31">
        <f t="shared" si="11"/>
        <v>-17218.049691710148</v>
      </c>
      <c r="T87" s="31">
        <f t="shared" si="11"/>
        <v>-17218.049691710148</v>
      </c>
      <c r="U87" s="31">
        <f t="shared" si="11"/>
        <v>-17218.049691710148</v>
      </c>
      <c r="V87" s="31">
        <f t="shared" si="11"/>
        <v>-17218.049691710148</v>
      </c>
      <c r="W87" s="31">
        <f t="shared" si="11"/>
        <v>-17218.049691710148</v>
      </c>
      <c r="X87" s="31">
        <f t="shared" si="11"/>
        <v>-17218.049691710148</v>
      </c>
      <c r="Y87" s="31">
        <f t="shared" si="11"/>
        <v>-17218.049691710148</v>
      </c>
      <c r="Z87" s="31">
        <f t="shared" si="11"/>
        <v>-17218.049691710148</v>
      </c>
      <c r="AA87" s="31">
        <f t="shared" si="11"/>
        <v>-17218.049691710148</v>
      </c>
      <c r="AB87" s="31">
        <f t="shared" si="11"/>
        <v>-17218.049691710148</v>
      </c>
      <c r="AC87" s="31">
        <f t="shared" si="11"/>
        <v>-17218.049691710148</v>
      </c>
      <c r="AD87" s="31">
        <f t="shared" si="11"/>
        <v>-17218.049691710148</v>
      </c>
      <c r="AE87" s="31">
        <f t="shared" si="11"/>
        <v>-17218.049691710148</v>
      </c>
      <c r="AF87" s="31">
        <f t="shared" ref="AF87" si="12">INDEX(AF$40:AF$43, MATCH($C87, $C$40:$C$43,0))*(AF81-AF75)</f>
        <v>-17218.049691710148</v>
      </c>
      <c r="AG87" s="327"/>
      <c r="AH87" s="327"/>
      <c r="AI87" s="327"/>
      <c r="AJ87" s="327"/>
      <c r="AK87" s="327"/>
      <c r="AL87" s="327"/>
      <c r="AM87" s="327"/>
      <c r="AN87" s="327"/>
      <c r="AO87" s="327"/>
      <c r="AP87" s="327"/>
      <c r="AQ87" s="327"/>
      <c r="AR87" s="327"/>
      <c r="AS87" s="327"/>
      <c r="AT87" s="327"/>
      <c r="AU87" s="327"/>
      <c r="AV87" s="327"/>
      <c r="AW87" s="327"/>
      <c r="AX87" s="327"/>
      <c r="AY87" s="327"/>
      <c r="AZ87" s="327"/>
      <c r="BA87" s="327"/>
      <c r="BB87" s="327"/>
      <c r="BC87" s="327"/>
      <c r="BD87" s="327"/>
      <c r="BE87" s="327"/>
      <c r="BF87" s="327"/>
      <c r="BG87" s="327"/>
      <c r="BH87" s="327"/>
      <c r="BI87" s="327"/>
    </row>
    <row r="88" spans="1:61" x14ac:dyDescent="0.2">
      <c r="A88" s="327"/>
      <c r="B88" s="327"/>
      <c r="C88" s="339" t="str">
        <f>C87</f>
        <v>Option 2</v>
      </c>
      <c r="D88" s="327" t="str">
        <f t="shared" ref="D88:D90" si="13">D76</f>
        <v>Unplanned replacements</v>
      </c>
      <c r="F88" s="327"/>
      <c r="G88" s="327"/>
      <c r="H88" s="31">
        <f t="shared" ref="H88" si="14">INDEX(H$40:H$43, MATCH($C88, $C$40:$C$43,0))*(H82-H76)</f>
        <v>0</v>
      </c>
      <c r="I88" s="31">
        <f t="shared" ref="I88:I90" si="15">INDEX(I$40:I$43, MATCH($C88, $C$40:$C$43,0))*(I82-I76)</f>
        <v>-7245.9397108183157</v>
      </c>
      <c r="J88" s="31">
        <f t="shared" ref="J88:AE88" si="16">INDEX(J$40:J$43, MATCH($C88, $C$40:$C$43,0))*(J82-J76)</f>
        <v>-17985.061061544842</v>
      </c>
      <c r="K88" s="31">
        <f t="shared" si="16"/>
        <v>-33458.474876755368</v>
      </c>
      <c r="L88" s="31">
        <f t="shared" si="16"/>
        <v>-55323.045177429718</v>
      </c>
      <c r="M88" s="31">
        <f t="shared" si="16"/>
        <v>-85787.573234529191</v>
      </c>
      <c r="N88" s="31">
        <f t="shared" si="16"/>
        <v>-105168.92641208325</v>
      </c>
      <c r="O88" s="31">
        <f t="shared" si="16"/>
        <v>-116502.89321090168</v>
      </c>
      <c r="P88" s="31">
        <f t="shared" si="16"/>
        <v>-117979.11963819567</v>
      </c>
      <c r="Q88" s="31">
        <f t="shared" si="16"/>
        <v>-117979.11963819567</v>
      </c>
      <c r="R88" s="31">
        <f t="shared" si="16"/>
        <v>-117979.11963819567</v>
      </c>
      <c r="S88" s="31">
        <f t="shared" si="16"/>
        <v>-117979.11963819567</v>
      </c>
      <c r="T88" s="31">
        <f t="shared" si="16"/>
        <v>-117979.11963819567</v>
      </c>
      <c r="U88" s="31">
        <f t="shared" si="16"/>
        <v>-117979.11963819567</v>
      </c>
      <c r="V88" s="31">
        <f t="shared" si="16"/>
        <v>-117979.11963819567</v>
      </c>
      <c r="W88" s="31">
        <f t="shared" si="16"/>
        <v>-117979.11963819567</v>
      </c>
      <c r="X88" s="31">
        <f t="shared" si="16"/>
        <v>-117979.11963819567</v>
      </c>
      <c r="Y88" s="31">
        <f t="shared" si="16"/>
        <v>-117979.11963819567</v>
      </c>
      <c r="Z88" s="31">
        <f t="shared" si="16"/>
        <v>-117979.11963819567</v>
      </c>
      <c r="AA88" s="31">
        <f t="shared" si="16"/>
        <v>-117979.11963819567</v>
      </c>
      <c r="AB88" s="31">
        <f t="shared" si="16"/>
        <v>-117979.11963819567</v>
      </c>
      <c r="AC88" s="31">
        <f t="shared" si="16"/>
        <v>-117979.11963819567</v>
      </c>
      <c r="AD88" s="31">
        <f t="shared" si="16"/>
        <v>-117979.11963819567</v>
      </c>
      <c r="AE88" s="31">
        <f t="shared" si="16"/>
        <v>-117979.11963819567</v>
      </c>
      <c r="AF88" s="31">
        <f t="shared" ref="AF88" si="17">INDEX(AF$40:AF$43, MATCH($C88, $C$40:$C$43,0))*(AF82-AF76)</f>
        <v>-117979.11963819567</v>
      </c>
      <c r="AG88" s="327"/>
      <c r="AH88" s="327"/>
      <c r="AI88" s="327"/>
      <c r="AJ88" s="327"/>
      <c r="AK88" s="327"/>
      <c r="AL88" s="327"/>
      <c r="AM88" s="327"/>
      <c r="AN88" s="327"/>
      <c r="AO88" s="327"/>
      <c r="AP88" s="327"/>
      <c r="AQ88" s="327"/>
      <c r="AR88" s="327"/>
      <c r="AS88" s="327"/>
      <c r="AT88" s="327"/>
      <c r="AU88" s="327"/>
      <c r="AV88" s="327"/>
      <c r="AW88" s="327"/>
      <c r="AX88" s="327"/>
      <c r="AY88" s="327"/>
      <c r="AZ88" s="327"/>
      <c r="BA88" s="327"/>
      <c r="BB88" s="327"/>
      <c r="BC88" s="327"/>
      <c r="BD88" s="327"/>
      <c r="BE88" s="327"/>
      <c r="BF88" s="327"/>
      <c r="BG88" s="327"/>
      <c r="BH88" s="327"/>
      <c r="BI88" s="327"/>
    </row>
    <row r="89" spans="1:61" x14ac:dyDescent="0.2">
      <c r="A89" s="327"/>
      <c r="B89" s="327"/>
      <c r="C89" s="339" t="str">
        <f t="shared" ref="C89:C90" si="18">C88</f>
        <v>Option 2</v>
      </c>
      <c r="D89" s="327" t="str">
        <f t="shared" si="13"/>
        <v>Safety Consequence</v>
      </c>
      <c r="F89" s="327"/>
      <c r="G89" s="327"/>
      <c r="H89" s="31">
        <f t="shared" ref="H89" si="19">INDEX(H$40:H$43, MATCH($C89, $C$40:$C$43,0))*(H83-H77)</f>
        <v>0</v>
      </c>
      <c r="I89" s="31">
        <f t="shared" si="15"/>
        <v>-4241.2713374006917</v>
      </c>
      <c r="J89" s="31">
        <f t="shared" ref="J89:AE89" si="20">INDEX(J$40:J$43, MATCH($C89, $C$40:$C$43,0))*(J83-J77)</f>
        <v>-10527.209309766229</v>
      </c>
      <c r="K89" s="31">
        <f t="shared" si="20"/>
        <v>-19584.274248936246</v>
      </c>
      <c r="L89" s="31">
        <f t="shared" si="20"/>
        <v>-32382.279617705681</v>
      </c>
      <c r="M89" s="31">
        <f t="shared" si="20"/>
        <v>-50214.104724269135</v>
      </c>
      <c r="N89" s="31">
        <f t="shared" si="20"/>
        <v>-61558.606747832957</v>
      </c>
      <c r="O89" s="31">
        <f t="shared" si="20"/>
        <v>-68192.726053450373</v>
      </c>
      <c r="P89" s="31">
        <f t="shared" si="20"/>
        <v>-69056.806777755541</v>
      </c>
      <c r="Q89" s="31">
        <f t="shared" si="20"/>
        <v>-69056.806777755541</v>
      </c>
      <c r="R89" s="31">
        <f t="shared" si="20"/>
        <v>-69056.806777755541</v>
      </c>
      <c r="S89" s="31">
        <f t="shared" si="20"/>
        <v>-69056.806777755541</v>
      </c>
      <c r="T89" s="31">
        <f t="shared" si="20"/>
        <v>-69056.806777755541</v>
      </c>
      <c r="U89" s="31">
        <f t="shared" si="20"/>
        <v>-69056.806777755541</v>
      </c>
      <c r="V89" s="31">
        <f t="shared" si="20"/>
        <v>-69056.806777755541</v>
      </c>
      <c r="W89" s="31">
        <f t="shared" si="20"/>
        <v>-69056.806777755541</v>
      </c>
      <c r="X89" s="31">
        <f t="shared" si="20"/>
        <v>-69056.806777755541</v>
      </c>
      <c r="Y89" s="31">
        <f t="shared" si="20"/>
        <v>-69056.806777755541</v>
      </c>
      <c r="Z89" s="31">
        <f t="shared" si="20"/>
        <v>-69056.806777755541</v>
      </c>
      <c r="AA89" s="31">
        <f t="shared" si="20"/>
        <v>-69056.806777755541</v>
      </c>
      <c r="AB89" s="31">
        <f t="shared" si="20"/>
        <v>-69056.806777755541</v>
      </c>
      <c r="AC89" s="31">
        <f t="shared" si="20"/>
        <v>-69056.806777755541</v>
      </c>
      <c r="AD89" s="31">
        <f t="shared" si="20"/>
        <v>-69056.806777755541</v>
      </c>
      <c r="AE89" s="31">
        <f t="shared" si="20"/>
        <v>-69056.806777755541</v>
      </c>
      <c r="AF89" s="31">
        <f t="shared" ref="AF89" si="21">INDEX(AF$40:AF$43, MATCH($C89, $C$40:$C$43,0))*(AF83-AF77)</f>
        <v>-69056.806777755541</v>
      </c>
      <c r="AG89" s="327"/>
      <c r="AH89" s="327"/>
      <c r="AI89" s="327"/>
      <c r="AJ89" s="327"/>
      <c r="AK89" s="327"/>
      <c r="AL89" s="327"/>
      <c r="AM89" s="327"/>
      <c r="AN89" s="327"/>
      <c r="AO89" s="327"/>
      <c r="AP89" s="327"/>
      <c r="AQ89" s="327"/>
      <c r="AR89" s="327"/>
      <c r="AS89" s="327"/>
      <c r="AT89" s="327"/>
      <c r="AU89" s="327"/>
      <c r="AV89" s="327"/>
      <c r="AW89" s="327"/>
      <c r="AX89" s="327"/>
      <c r="AY89" s="327"/>
      <c r="AZ89" s="327"/>
      <c r="BA89" s="327"/>
      <c r="BB89" s="327"/>
      <c r="BC89" s="327"/>
      <c r="BD89" s="327"/>
      <c r="BE89" s="327"/>
      <c r="BF89" s="327"/>
      <c r="BG89" s="327"/>
      <c r="BH89" s="327"/>
      <c r="BI89" s="327"/>
    </row>
    <row r="90" spans="1:61" x14ac:dyDescent="0.2">
      <c r="A90" s="327"/>
      <c r="B90" s="327"/>
      <c r="C90" s="339" t="str">
        <f t="shared" si="18"/>
        <v>Option 2</v>
      </c>
      <c r="D90" s="327" t="str">
        <f t="shared" si="13"/>
        <v>Environmental Consequence</v>
      </c>
      <c r="F90" s="327"/>
      <c r="G90" s="327"/>
      <c r="H90" s="31">
        <f t="shared" ref="H90" si="22">INDEX(H$40:H$43, MATCH($C90, $C$40:$C$43,0))*(H84-H78)</f>
        <v>0</v>
      </c>
      <c r="I90" s="31">
        <f t="shared" si="15"/>
        <v>-40.973287831697668</v>
      </c>
      <c r="J90" s="31">
        <f t="shared" ref="J90:AE90" si="23">INDEX(J$40:J$43, MATCH($C90, $C$40:$C$43,0))*(J84-J78)</f>
        <v>-101.69931202230673</v>
      </c>
      <c r="K90" s="31">
        <f t="shared" si="23"/>
        <v>-189.19612586454997</v>
      </c>
      <c r="L90" s="31">
        <f t="shared" si="23"/>
        <v>-312.8327234625645</v>
      </c>
      <c r="M90" s="31">
        <f t="shared" si="23"/>
        <v>-485.09911354537655</v>
      </c>
      <c r="N90" s="31">
        <f t="shared" si="23"/>
        <v>-594.69397549628115</v>
      </c>
      <c r="O90" s="31">
        <f t="shared" si="23"/>
        <v>-658.78364536057086</v>
      </c>
      <c r="P90" s="31">
        <f t="shared" si="23"/>
        <v>-667.13119622688146</v>
      </c>
      <c r="Q90" s="31">
        <f t="shared" si="23"/>
        <v>-667.13119622688146</v>
      </c>
      <c r="R90" s="31">
        <f t="shared" si="23"/>
        <v>-667.13119622688146</v>
      </c>
      <c r="S90" s="31">
        <f t="shared" si="23"/>
        <v>-667.13119622688146</v>
      </c>
      <c r="T90" s="31">
        <f t="shared" si="23"/>
        <v>-667.13119622688146</v>
      </c>
      <c r="U90" s="31">
        <f t="shared" si="23"/>
        <v>-667.13119622688146</v>
      </c>
      <c r="V90" s="31">
        <f t="shared" si="23"/>
        <v>-667.13119622688146</v>
      </c>
      <c r="W90" s="31">
        <f t="shared" si="23"/>
        <v>-667.13119622688146</v>
      </c>
      <c r="X90" s="31">
        <f t="shared" si="23"/>
        <v>-667.13119622688146</v>
      </c>
      <c r="Y90" s="31">
        <f t="shared" si="23"/>
        <v>-667.13119622688146</v>
      </c>
      <c r="Z90" s="31">
        <f t="shared" si="23"/>
        <v>-667.13119622688146</v>
      </c>
      <c r="AA90" s="31">
        <f t="shared" si="23"/>
        <v>-667.13119622688146</v>
      </c>
      <c r="AB90" s="31">
        <f t="shared" si="23"/>
        <v>-667.13119622688146</v>
      </c>
      <c r="AC90" s="31">
        <f t="shared" si="23"/>
        <v>-667.13119622688146</v>
      </c>
      <c r="AD90" s="31">
        <f t="shared" si="23"/>
        <v>-667.13119622688146</v>
      </c>
      <c r="AE90" s="31">
        <f t="shared" si="23"/>
        <v>-667.13119622688146</v>
      </c>
      <c r="AF90" s="31">
        <f t="shared" ref="AF90" si="24">INDEX(AF$40:AF$43, MATCH($C90, $C$40:$C$43,0))*(AF84-AF78)</f>
        <v>-667.13119622688146</v>
      </c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327"/>
      <c r="BB90" s="327"/>
      <c r="BC90" s="327"/>
      <c r="BD90" s="327"/>
      <c r="BE90" s="327"/>
      <c r="BF90" s="327"/>
      <c r="BG90" s="327"/>
      <c r="BH90" s="327"/>
      <c r="BI90" s="327"/>
    </row>
    <row r="91" spans="1:61" x14ac:dyDescent="0.2">
      <c r="A91" s="327"/>
      <c r="B91" s="327"/>
      <c r="C91" s="339"/>
      <c r="D91" s="327"/>
      <c r="F91" s="327"/>
      <c r="G91" s="327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7"/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327"/>
      <c r="BB91" s="327"/>
      <c r="BC91" s="327"/>
      <c r="BD91" s="327"/>
      <c r="BE91" s="327"/>
      <c r="BF91" s="327"/>
      <c r="BG91" s="327"/>
      <c r="BH91" s="327"/>
      <c r="BI91" s="327"/>
    </row>
    <row r="92" spans="1:61" x14ac:dyDescent="0.2">
      <c r="A92" s="327"/>
      <c r="B92" s="328" t="s">
        <v>316</v>
      </c>
      <c r="C92" s="340"/>
      <c r="D92" s="327"/>
      <c r="F92" s="327"/>
      <c r="G92" s="327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7"/>
      <c r="AH92" s="327"/>
      <c r="AI92" s="327"/>
      <c r="AJ92" s="327"/>
      <c r="AK92" s="327"/>
      <c r="AL92" s="327"/>
      <c r="AM92" s="327"/>
      <c r="AN92" s="327"/>
      <c r="AO92" s="327"/>
      <c r="AP92" s="327"/>
      <c r="AQ92" s="327"/>
      <c r="AR92" s="327"/>
      <c r="AS92" s="327"/>
      <c r="AT92" s="327"/>
      <c r="AU92" s="327"/>
      <c r="AV92" s="327"/>
      <c r="AW92" s="327"/>
      <c r="AX92" s="327"/>
      <c r="AY92" s="327"/>
      <c r="AZ92" s="327"/>
      <c r="BA92" s="327"/>
      <c r="BB92" s="327"/>
      <c r="BC92" s="327"/>
      <c r="BD92" s="327"/>
      <c r="BE92" s="327"/>
      <c r="BF92" s="327"/>
      <c r="BG92" s="327"/>
      <c r="BH92" s="327"/>
      <c r="BI92" s="327"/>
    </row>
    <row r="93" spans="1:61" x14ac:dyDescent="0.2">
      <c r="A93" s="327"/>
      <c r="B93" s="327"/>
      <c r="C93" s="339" t="str">
        <f>$C90</f>
        <v>Option 2</v>
      </c>
      <c r="D93" s="327" t="str">
        <f>D75</f>
        <v>Response cost</v>
      </c>
      <c r="E93" s="345" t="str">
        <f>C93&amp;D93</f>
        <v>Option 2Response cost</v>
      </c>
      <c r="F93" s="327"/>
      <c r="G93" s="327"/>
      <c r="H93" s="31" cm="1">
        <f t="array" ref="H93:H96">H$63:H$66+H87:H90</f>
        <v>1114904.0813809298</v>
      </c>
      <c r="I93" s="31" cm="1">
        <f t="array" ref="I93:I96">I$63:I$66+I87:I90</f>
        <v>1332619.2119848954</v>
      </c>
      <c r="J93" s="31" cm="1">
        <f t="array" ref="J93:J96">J$63:J$66+J87:J90</f>
        <v>1602350.5701229451</v>
      </c>
      <c r="K93" s="31" cm="1">
        <f t="array" ref="K93:K96">K$63:K$66+K87:K90</f>
        <v>1936537.6595600219</v>
      </c>
      <c r="L93" s="31" cm="1">
        <f t="array" ref="L93:L96">L$63:L$66+L87:L90</f>
        <v>2351498.7762214844</v>
      </c>
      <c r="M93" s="31" cm="1">
        <f t="array" ref="M93:M96">M$63:M$66+M87:M90</f>
        <v>2867619.418292243</v>
      </c>
      <c r="N93" s="31" cm="1">
        <f t="array" ref="N93:N96">N$63:N$66+N87:N90</f>
        <v>3505522.9065232687</v>
      </c>
      <c r="O93" s="31" cm="1">
        <f t="array" ref="O93:O96">O$63:O$66+O87:O90</f>
        <v>4151616.7987372223</v>
      </c>
      <c r="P93" s="31" cm="1">
        <f t="array" ref="P93:P96">P$63:P$66+P87:P90</f>
        <v>4804575.6958600776</v>
      </c>
      <c r="Q93" s="31" cm="1">
        <f t="array" ref="Q93:Q96">Q$63:Q$66+Q87:Q90</f>
        <v>5462888.4239407638</v>
      </c>
      <c r="R93" s="31" cm="1">
        <f t="array" ref="R93:R96">R$63:R$66+R87:R90</f>
        <v>6272388.9721914111</v>
      </c>
      <c r="S93" s="31" cm="1">
        <f t="array" ref="S93:S96">S$63:S$66+S87:S90</f>
        <v>7095127.4210730931</v>
      </c>
      <c r="T93" s="31" cm="1">
        <f t="array" ref="T93:T96">T$63:T$66+T87:T90</f>
        <v>7862207.0332746543</v>
      </c>
      <c r="U93" s="31" cm="1">
        <f t="array" ref="U93:U96">U$63:U$66+U87:U90</f>
        <v>8410836.7336942405</v>
      </c>
      <c r="V93" s="31" cm="1">
        <f t="array" ref="V93:V96">V$63:V$66+V87:V90</f>
        <v>8834657.5764609408</v>
      </c>
      <c r="W93" s="31" cm="1">
        <f t="array" ref="W93:W96">W$63:W$66+W87:W90</f>
        <v>9209961.0433552433</v>
      </c>
      <c r="X93" s="31" cm="1">
        <f t="array" ref="X93:X96">X$63:X$66+X87:X90</f>
        <v>9434463.1288158</v>
      </c>
      <c r="Y93" s="31" cm="1">
        <f t="array" ref="Y93:Y96">Y$63:Y$66+Y87:Y90</f>
        <v>9625187.3419869449</v>
      </c>
      <c r="Z93" s="31" cm="1">
        <f t="array" ref="Z93:Z96">Z$63:Z$66+Z87:Z90</f>
        <v>9785387.0020764694</v>
      </c>
      <c r="AA93" s="31" cm="1">
        <f t="array" ref="AA93:AA96">AA$63:AA$66+AA87:AA90</f>
        <v>9929158.9176447783</v>
      </c>
      <c r="AB93" s="31" cm="1">
        <f t="array" ref="AB93:AB96">AB$63:AB$66+AB87:AB90</f>
        <v>10061832.964339951</v>
      </c>
      <c r="AC93" s="31" cm="1">
        <f t="array" ref="AC93:AC96">AC$63:AC$66+AC87:AC90</f>
        <v>10156111.691875769</v>
      </c>
      <c r="AD93" s="31" cm="1">
        <f t="array" ref="AD93:AD96">AD$63:AD$66+AD87:AD90</f>
        <v>10229382.537750646</v>
      </c>
      <c r="AE93" s="31" cm="1">
        <f t="array" ref="AE93:AE96">AE$63:AE$66+AE87:AE90</f>
        <v>10293245.999966316</v>
      </c>
      <c r="AF93" s="31" cm="1">
        <f t="array" ref="AF93:AF96">AF$63:AF$66+AF87:AF90</f>
        <v>10354124.76514807</v>
      </c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327"/>
      <c r="BI93" s="327"/>
    </row>
    <row r="94" spans="1:61" x14ac:dyDescent="0.2">
      <c r="A94" s="327"/>
      <c r="B94" s="327"/>
      <c r="C94" s="339" t="str">
        <f>C93</f>
        <v>Option 2</v>
      </c>
      <c r="D94" s="327" t="str">
        <f t="shared" ref="D94:D96" si="25">D76</f>
        <v>Unplanned replacements</v>
      </c>
      <c r="E94" s="345" t="str">
        <f t="shared" ref="E94:E96" si="26">C94&amp;D94</f>
        <v>Option 2Unplanned replacements</v>
      </c>
      <c r="F94" s="327"/>
      <c r="G94" s="327"/>
      <c r="H94" s="31">
        <v>1900959.3721450921</v>
      </c>
      <c r="I94" s="31">
        <v>2266730.1409875867</v>
      </c>
      <c r="J94" s="31">
        <v>2718566.8627471989</v>
      </c>
      <c r="K94" s="31">
        <v>3276747.1488208063</v>
      </c>
      <c r="L94" s="31">
        <v>3967849.8193173269</v>
      </c>
      <c r="M94" s="31">
        <v>4824973.8538874136</v>
      </c>
      <c r="N94" s="31">
        <v>5898068.1509283679</v>
      </c>
      <c r="O94" s="31">
        <v>6991172.3414269369</v>
      </c>
      <c r="P94" s="31">
        <v>8103386.4347906038</v>
      </c>
      <c r="Q94" s="31">
        <v>9225837.9273865912</v>
      </c>
      <c r="R94" s="31">
        <v>10606071.150721513</v>
      </c>
      <c r="S94" s="31">
        <v>12008875.563535729</v>
      </c>
      <c r="T94" s="31">
        <v>13316779.267852478</v>
      </c>
      <c r="U94" s="31">
        <v>14252216.484620037</v>
      </c>
      <c r="V94" s="31">
        <v>14974849.235385362</v>
      </c>
      <c r="W94" s="31">
        <v>15614757.77523715</v>
      </c>
      <c r="X94" s="31">
        <v>15997543.479002593</v>
      </c>
      <c r="Y94" s="31">
        <v>16322736.458898781</v>
      </c>
      <c r="Z94" s="31">
        <v>16595883.763987521</v>
      </c>
      <c r="AA94" s="31">
        <v>16841021.058679555</v>
      </c>
      <c r="AB94" s="31">
        <v>17067236.010008119</v>
      </c>
      <c r="AC94" s="31">
        <v>17227985.292117789</v>
      </c>
      <c r="AD94" s="31">
        <v>17352915.233174536</v>
      </c>
      <c r="AE94" s="31">
        <v>17461805.180806752</v>
      </c>
      <c r="AF94" s="31">
        <v>17565606.091727745</v>
      </c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327"/>
    </row>
    <row r="95" spans="1:61" x14ac:dyDescent="0.2">
      <c r="A95" s="327"/>
      <c r="B95" s="327"/>
      <c r="C95" s="339" t="str">
        <f t="shared" ref="C95:C96" si="27">C94</f>
        <v>Option 2</v>
      </c>
      <c r="D95" s="327" t="str">
        <f t="shared" si="25"/>
        <v>Safety Consequence</v>
      </c>
      <c r="E95" s="345" t="str">
        <f t="shared" si="26"/>
        <v>Option 2Safety Consequence</v>
      </c>
      <c r="F95" s="327"/>
      <c r="G95" s="327"/>
      <c r="H95" s="31">
        <v>3423495.0151333283</v>
      </c>
      <c r="I95" s="31">
        <v>4091030.7743868995</v>
      </c>
      <c r="J95" s="31">
        <v>4917811.6111254189</v>
      </c>
      <c r="K95" s="31">
        <v>5941864.7802919056</v>
      </c>
      <c r="L95" s="31">
        <v>7213070.9628023617</v>
      </c>
      <c r="M95" s="31">
        <v>8793724.1259439308</v>
      </c>
      <c r="N95" s="31">
        <v>10749851.942098949</v>
      </c>
      <c r="O95" s="31">
        <v>12732233.78043793</v>
      </c>
      <c r="P95" s="31">
        <v>14737048.155589424</v>
      </c>
      <c r="Q95" s="31">
        <v>16758504.871571267</v>
      </c>
      <c r="R95" s="31">
        <v>19244208.474208731</v>
      </c>
      <c r="S95" s="31">
        <v>21770561.212119825</v>
      </c>
      <c r="T95" s="31">
        <v>24126004.404443376</v>
      </c>
      <c r="U95" s="31">
        <v>25810661.475762147</v>
      </c>
      <c r="V95" s="31">
        <v>27112072.571794953</v>
      </c>
      <c r="W95" s="31">
        <v>28264503.14365498</v>
      </c>
      <c r="X95" s="31">
        <v>28953873.452093784</v>
      </c>
      <c r="Y95" s="31">
        <v>29539523.288667973</v>
      </c>
      <c r="Z95" s="31">
        <v>30031442.501182862</v>
      </c>
      <c r="AA95" s="31">
        <v>30472917.64194531</v>
      </c>
      <c r="AB95" s="31">
        <v>30880314.964355242</v>
      </c>
      <c r="AC95" s="31">
        <v>31169813.190383982</v>
      </c>
      <c r="AD95" s="31">
        <v>31394803.285762008</v>
      </c>
      <c r="AE95" s="31">
        <v>31590906.473646741</v>
      </c>
      <c r="AF95" s="31">
        <v>31777844.661969684</v>
      </c>
      <c r="AG95" s="327"/>
      <c r="AH95" s="327"/>
      <c r="AI95" s="327"/>
      <c r="AJ95" s="327"/>
      <c r="AK95" s="327"/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327"/>
      <c r="BB95" s="327"/>
      <c r="BC95" s="327"/>
      <c r="BD95" s="327"/>
      <c r="BE95" s="327"/>
      <c r="BF95" s="327"/>
      <c r="BG95" s="327"/>
      <c r="BH95" s="327"/>
      <c r="BI95" s="327"/>
    </row>
    <row r="96" spans="1:61" x14ac:dyDescent="0.2">
      <c r="A96" s="327"/>
      <c r="B96" s="327"/>
      <c r="C96" s="339" t="str">
        <f t="shared" si="27"/>
        <v>Option 2</v>
      </c>
      <c r="D96" s="327" t="str">
        <f t="shared" si="25"/>
        <v>Environmental Consequence</v>
      </c>
      <c r="E96" s="345" t="str">
        <f t="shared" si="26"/>
        <v>Option 2Environmental Consequence</v>
      </c>
      <c r="F96" s="327"/>
      <c r="G96" s="327"/>
      <c r="H96" s="31">
        <v>165853.38374076918</v>
      </c>
      <c r="I96" s="31">
        <v>198357.07406434332</v>
      </c>
      <c r="J96" s="31">
        <v>238654.79543296376</v>
      </c>
      <c r="K96" s="31">
        <v>288616.97806840454</v>
      </c>
      <c r="L96" s="31">
        <v>350697.73737491277</v>
      </c>
      <c r="M96" s="31">
        <v>427965.0883898086</v>
      </c>
      <c r="N96" s="31">
        <v>523170.9357714635</v>
      </c>
      <c r="O96" s="31">
        <v>619465.98360041506</v>
      </c>
      <c r="P96" s="31">
        <v>716623.9988257502</v>
      </c>
      <c r="Q96" s="31">
        <v>814554.74940347078</v>
      </c>
      <c r="R96" s="31">
        <v>934976.23436304159</v>
      </c>
      <c r="S96" s="31">
        <v>1057366.9924196859</v>
      </c>
      <c r="T96" s="31">
        <v>1171477.9293216362</v>
      </c>
      <c r="U96" s="31">
        <v>1253092.2078545208</v>
      </c>
      <c r="V96" s="31">
        <v>1316139.8924460572</v>
      </c>
      <c r="W96" s="31">
        <v>1371970.121210638</v>
      </c>
      <c r="X96" s="31">
        <v>1405367.1023073199</v>
      </c>
      <c r="Y96" s="31">
        <v>1433739.2794694577</v>
      </c>
      <c r="Z96" s="31">
        <v>1457570.6171994796</v>
      </c>
      <c r="AA96" s="31">
        <v>1478958.1599326278</v>
      </c>
      <c r="AB96" s="31">
        <v>1498694.781177857</v>
      </c>
      <c r="AC96" s="31">
        <v>1512719.706046032</v>
      </c>
      <c r="AD96" s="31">
        <v>1523619.4936787446</v>
      </c>
      <c r="AE96" s="31">
        <v>1533119.836786961</v>
      </c>
      <c r="AF96" s="31">
        <v>1542176.1756881941</v>
      </c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7"/>
      <c r="BF96" s="327"/>
      <c r="BG96" s="327"/>
      <c r="BH96" s="327"/>
      <c r="BI96" s="327"/>
    </row>
    <row r="97" spans="1:61" x14ac:dyDescent="0.2">
      <c r="A97" s="327"/>
      <c r="B97" s="327"/>
      <c r="C97" s="339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7"/>
      <c r="AK97" s="327"/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327"/>
      <c r="AW97" s="327"/>
      <c r="AX97" s="327"/>
      <c r="AY97" s="327"/>
      <c r="AZ97" s="327"/>
      <c r="BA97" s="327"/>
      <c r="BB97" s="327"/>
      <c r="BC97" s="327"/>
      <c r="BD97" s="327"/>
      <c r="BE97" s="327"/>
      <c r="BF97" s="327"/>
      <c r="BG97" s="327"/>
      <c r="BH97" s="327"/>
      <c r="BI97" s="327"/>
    </row>
    <row r="98" spans="1:61" x14ac:dyDescent="0.2">
      <c r="A98" s="327"/>
      <c r="B98" s="327"/>
      <c r="C98" s="341"/>
      <c r="D98"/>
      <c r="E98"/>
      <c r="F98"/>
      <c r="G98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/>
      <c r="Y98"/>
      <c r="Z98"/>
      <c r="AA98"/>
      <c r="AB98"/>
      <c r="AC98"/>
      <c r="AD98"/>
      <c r="AE98"/>
      <c r="AF98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7"/>
      <c r="BD98" s="327"/>
      <c r="BE98" s="327"/>
      <c r="BF98" s="327"/>
      <c r="BG98" s="327"/>
    </row>
    <row r="99" spans="1:61" x14ac:dyDescent="0.2">
      <c r="A99" s="327"/>
      <c r="B99" s="327"/>
      <c r="C99"/>
      <c r="D99"/>
      <c r="E99"/>
      <c r="F99"/>
      <c r="G99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/>
      <c r="Y99"/>
      <c r="Z99"/>
      <c r="AA99"/>
      <c r="AB99"/>
      <c r="AC99"/>
      <c r="AD99"/>
      <c r="AE99"/>
      <c r="AF99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27"/>
      <c r="AS99" s="327"/>
      <c r="AT99" s="327"/>
      <c r="AU99" s="327"/>
      <c r="AV99" s="327"/>
      <c r="AW99" s="327"/>
      <c r="AX99" s="327"/>
      <c r="AY99" s="327"/>
      <c r="AZ99" s="327"/>
      <c r="BA99" s="327"/>
      <c r="BB99" s="327"/>
      <c r="BC99" s="327"/>
      <c r="BD99" s="327"/>
      <c r="BE99" s="327"/>
      <c r="BF99" s="327"/>
      <c r="BG99" s="327"/>
    </row>
    <row r="100" spans="1:61" ht="15" x14ac:dyDescent="0.25">
      <c r="A100" s="206" t="str">
        <f>UPPER(B102)&amp; " RISK"</f>
        <v>OPTION 3 RISK</v>
      </c>
      <c r="B100" s="54"/>
      <c r="C100" s="19"/>
      <c r="D100" s="19"/>
      <c r="E100" s="83"/>
      <c r="F100" s="19"/>
      <c r="G100" s="19"/>
      <c r="H100" s="227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10"/>
      <c r="AI100" s="10"/>
      <c r="AJ100" s="8"/>
      <c r="AK100" s="327"/>
      <c r="AL100" s="327"/>
      <c r="AM100" s="327"/>
      <c r="AN100" s="327"/>
      <c r="AO100" s="327"/>
      <c r="AP100" s="327"/>
      <c r="AQ100" s="327"/>
      <c r="AR100" s="327"/>
      <c r="AS100" s="327"/>
      <c r="AT100" s="327"/>
      <c r="AU100" s="327"/>
      <c r="AV100" s="327"/>
      <c r="AW100" s="327"/>
      <c r="AX100" s="327"/>
      <c r="AY100" s="327"/>
      <c r="AZ100" s="327"/>
      <c r="BA100" s="327"/>
      <c r="BB100" s="327"/>
      <c r="BC100" s="327"/>
      <c r="BD100" s="327"/>
      <c r="BE100" s="327"/>
      <c r="BF100" s="327"/>
      <c r="BG100" s="327"/>
    </row>
    <row r="101" spans="1:61" x14ac:dyDescent="0.2">
      <c r="A101" s="327"/>
      <c r="B101" s="327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27"/>
      <c r="AS101" s="327"/>
      <c r="AT101" s="327"/>
      <c r="AU101" s="327"/>
      <c r="AV101" s="327"/>
      <c r="AW101" s="327"/>
      <c r="AX101" s="327"/>
      <c r="AY101" s="327"/>
      <c r="AZ101" s="327"/>
      <c r="BA101" s="327"/>
      <c r="BB101" s="327"/>
      <c r="BC101" s="327"/>
      <c r="BD101" s="327"/>
      <c r="BE101" s="327"/>
      <c r="BF101" s="327"/>
      <c r="BG101" s="327"/>
    </row>
    <row r="102" spans="1:61" x14ac:dyDescent="0.2">
      <c r="A102" s="327"/>
      <c r="B102" s="331" t="s">
        <v>132</v>
      </c>
      <c r="C102" s="331"/>
      <c r="D102" s="331"/>
      <c r="E102" s="331"/>
      <c r="F102" s="331" t="s">
        <v>308</v>
      </c>
      <c r="G102" s="331"/>
      <c r="H102" s="332" t="s">
        <v>271</v>
      </c>
      <c r="I102" s="332" t="s">
        <v>272</v>
      </c>
      <c r="J102" s="332" t="s">
        <v>273</v>
      </c>
      <c r="K102" s="332" t="s">
        <v>274</v>
      </c>
      <c r="L102" s="332" t="s">
        <v>275</v>
      </c>
      <c r="M102" s="332" t="s">
        <v>276</v>
      </c>
      <c r="N102" s="332" t="s">
        <v>277</v>
      </c>
      <c r="O102" s="332" t="s">
        <v>278</v>
      </c>
      <c r="P102" s="332" t="s">
        <v>279</v>
      </c>
      <c r="Q102" s="332" t="s">
        <v>280</v>
      </c>
      <c r="R102" s="332" t="s">
        <v>281</v>
      </c>
      <c r="S102" s="332" t="s">
        <v>282</v>
      </c>
      <c r="T102" s="332" t="s">
        <v>283</v>
      </c>
      <c r="U102" s="332" t="s">
        <v>284</v>
      </c>
      <c r="V102" s="332" t="s">
        <v>285</v>
      </c>
      <c r="W102" s="332" t="s">
        <v>286</v>
      </c>
      <c r="X102" s="332" t="s">
        <v>287</v>
      </c>
      <c r="Y102" s="332" t="s">
        <v>288</v>
      </c>
      <c r="Z102" s="332" t="s">
        <v>289</v>
      </c>
      <c r="AA102" s="332" t="s">
        <v>290</v>
      </c>
      <c r="AB102" s="332" t="s">
        <v>291</v>
      </c>
      <c r="AC102" s="332" t="s">
        <v>292</v>
      </c>
      <c r="AD102" s="332" t="s">
        <v>293</v>
      </c>
      <c r="AE102" s="332" t="s">
        <v>294</v>
      </c>
      <c r="AF102" s="332" t="s">
        <v>295</v>
      </c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327"/>
    </row>
    <row r="103" spans="1:61" x14ac:dyDescent="0.2">
      <c r="A103" s="327"/>
      <c r="B103" s="327"/>
      <c r="C103" s="339"/>
      <c r="D103" s="327"/>
      <c r="E103" s="327"/>
      <c r="F103" s="327"/>
      <c r="G103" s="327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27"/>
      <c r="AS103" s="327"/>
      <c r="AT103" s="327"/>
      <c r="AU103" s="327"/>
      <c r="AV103" s="327"/>
      <c r="AW103" s="327"/>
      <c r="AX103" s="327"/>
      <c r="AY103" s="327"/>
      <c r="AZ103" s="327"/>
      <c r="BA103" s="327"/>
      <c r="BB103" s="327"/>
      <c r="BC103" s="327"/>
      <c r="BD103" s="327"/>
      <c r="BE103" s="327"/>
      <c r="BF103" s="327"/>
      <c r="BG103" s="327"/>
      <c r="BH103" s="327"/>
      <c r="BI103" s="327"/>
    </row>
    <row r="104" spans="1:61" x14ac:dyDescent="0.2">
      <c r="A104" s="327"/>
      <c r="B104" s="328" t="s">
        <v>306</v>
      </c>
      <c r="C104" s="340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27"/>
      <c r="W104" s="327"/>
      <c r="X104" s="327"/>
      <c r="Y104" s="327"/>
      <c r="Z104" s="327"/>
      <c r="AA104" s="327"/>
      <c r="AB104" s="327"/>
      <c r="AC104" s="327"/>
      <c r="AD104" s="327"/>
      <c r="AE104" s="327"/>
      <c r="AF104" s="327"/>
      <c r="AG104" s="327"/>
      <c r="AH104" s="327"/>
      <c r="AI104" s="327"/>
      <c r="AJ104" s="327"/>
      <c r="AK104" s="327"/>
      <c r="AL104" s="327"/>
      <c r="AM104" s="327"/>
      <c r="AN104" s="327"/>
      <c r="AO104" s="327"/>
      <c r="AP104" s="327"/>
      <c r="AQ104" s="327"/>
      <c r="AR104" s="327"/>
      <c r="AS104" s="327"/>
      <c r="AT104" s="327"/>
      <c r="AU104" s="327"/>
      <c r="AV104" s="327"/>
      <c r="AW104" s="327"/>
      <c r="AX104" s="327"/>
      <c r="AY104" s="327"/>
      <c r="AZ104" s="327"/>
      <c r="BA104" s="327"/>
      <c r="BB104" s="327"/>
      <c r="BC104" s="327"/>
      <c r="BD104" s="327"/>
      <c r="BE104" s="327"/>
      <c r="BF104" s="327"/>
      <c r="BG104" s="327"/>
      <c r="BH104" s="327"/>
      <c r="BI104" s="327"/>
    </row>
    <row r="105" spans="1:61" x14ac:dyDescent="0.2">
      <c r="A105" s="327"/>
      <c r="B105" s="327"/>
      <c r="C105" s="339" t="str">
        <f>$B$102</f>
        <v>Option 3</v>
      </c>
      <c r="D105" s="6" t="s">
        <v>296</v>
      </c>
      <c r="E105" s="6" t="s">
        <v>305</v>
      </c>
      <c r="F105" s="337" cm="1">
        <f t="array" ref="F105:F108">INDEX($H$11:$L$14,,MATCH($B102, $H$9:$L$9,0))</f>
        <v>15447.5</v>
      </c>
      <c r="G105" s="337"/>
      <c r="H105" s="31">
        <f t="shared" ref="H105:Q108" si="28">INDEX(H$20:H$24, MATCH($C105, $C$20:$C$24,0))*$F105</f>
        <v>8555.8479920305745</v>
      </c>
      <c r="I105" s="31">
        <f t="shared" si="28"/>
        <v>10493.616958174405</v>
      </c>
      <c r="J105" s="31">
        <f t="shared" si="28"/>
        <v>12910.981656034099</v>
      </c>
      <c r="K105" s="31">
        <f t="shared" si="28"/>
        <v>15933.744962086945</v>
      </c>
      <c r="L105" s="31">
        <f t="shared" si="28"/>
        <v>19722.095411527709</v>
      </c>
      <c r="M105" s="31">
        <f t="shared" si="28"/>
        <v>24480.288302314166</v>
      </c>
      <c r="N105" s="31">
        <f t="shared" si="28"/>
        <v>29486.374743605647</v>
      </c>
      <c r="O105" s="31">
        <f t="shared" si="28"/>
        <v>32143.828763636731</v>
      </c>
      <c r="P105" s="31">
        <f t="shared" si="28"/>
        <v>33424.248276225939</v>
      </c>
      <c r="Q105" s="31">
        <f t="shared" si="28"/>
        <v>33431.278078286807</v>
      </c>
      <c r="R105" s="31">
        <f t="shared" ref="R105:AF108" si="29">INDEX(R$20:R$24, MATCH($C105, $C$20:$C$24,0))*$F105</f>
        <v>33431.278078286807</v>
      </c>
      <c r="S105" s="31">
        <f t="shared" si="29"/>
        <v>33431.278078286807</v>
      </c>
      <c r="T105" s="31">
        <f t="shared" si="29"/>
        <v>33431.278078286807</v>
      </c>
      <c r="U105" s="31">
        <f t="shared" si="29"/>
        <v>33431.278078286807</v>
      </c>
      <c r="V105" s="31">
        <f t="shared" si="29"/>
        <v>33431.278078286807</v>
      </c>
      <c r="W105" s="31">
        <f t="shared" si="29"/>
        <v>33431.278078286807</v>
      </c>
      <c r="X105" s="31">
        <f t="shared" si="29"/>
        <v>33431.278078286807</v>
      </c>
      <c r="Y105" s="31">
        <f t="shared" si="29"/>
        <v>33431.278078286807</v>
      </c>
      <c r="Z105" s="31">
        <f t="shared" si="29"/>
        <v>33431.278078286807</v>
      </c>
      <c r="AA105" s="31">
        <f t="shared" si="29"/>
        <v>33431.278078286807</v>
      </c>
      <c r="AB105" s="31">
        <f t="shared" si="29"/>
        <v>33431.278078286807</v>
      </c>
      <c r="AC105" s="31">
        <f t="shared" si="29"/>
        <v>33431.278078286807</v>
      </c>
      <c r="AD105" s="31">
        <f t="shared" si="29"/>
        <v>33431.278078286807</v>
      </c>
      <c r="AE105" s="31">
        <f t="shared" si="29"/>
        <v>33431.278078286807</v>
      </c>
      <c r="AF105" s="31">
        <f t="shared" si="29"/>
        <v>33431.278078286807</v>
      </c>
      <c r="AG105" s="327"/>
      <c r="AH105" s="327"/>
      <c r="AI105" s="327"/>
      <c r="AJ105" s="327"/>
      <c r="AK105" s="327"/>
      <c r="AL105" s="327"/>
      <c r="AM105" s="327"/>
      <c r="AN105" s="327"/>
      <c r="AO105" s="327"/>
      <c r="AP105" s="327"/>
      <c r="AQ105" s="327"/>
      <c r="AR105" s="327"/>
      <c r="AS105" s="327"/>
      <c r="AT105" s="327"/>
      <c r="AU105" s="327"/>
      <c r="AV105" s="327"/>
      <c r="AW105" s="327"/>
      <c r="AX105" s="327"/>
      <c r="AY105" s="327"/>
      <c r="AZ105" s="327"/>
      <c r="BA105" s="327"/>
      <c r="BB105" s="327"/>
      <c r="BC105" s="327"/>
      <c r="BD105" s="327"/>
      <c r="BE105" s="327"/>
      <c r="BF105" s="327"/>
      <c r="BG105" s="327"/>
      <c r="BH105" s="327"/>
      <c r="BI105" s="327"/>
    </row>
    <row r="106" spans="1:61" x14ac:dyDescent="0.2">
      <c r="A106" s="327"/>
      <c r="B106" s="327"/>
      <c r="C106" s="339" t="str">
        <f>C105</f>
        <v>Option 3</v>
      </c>
      <c r="D106" s="6" t="s">
        <v>116</v>
      </c>
      <c r="F106" s="337">
        <v>60952.5</v>
      </c>
      <c r="G106" s="337"/>
      <c r="H106" s="31">
        <f t="shared" si="28"/>
        <v>33759.529032804247</v>
      </c>
      <c r="I106" s="31">
        <f t="shared" si="28"/>
        <v>41405.547023345229</v>
      </c>
      <c r="J106" s="31">
        <f t="shared" si="28"/>
        <v>50943.946230096677</v>
      </c>
      <c r="K106" s="31">
        <f t="shared" si="28"/>
        <v>62871.117643735524</v>
      </c>
      <c r="L106" s="31">
        <f t="shared" si="28"/>
        <v>77819.130640630698</v>
      </c>
      <c r="M106" s="31">
        <f t="shared" si="28"/>
        <v>96593.932529328638</v>
      </c>
      <c r="N106" s="31">
        <f t="shared" si="28"/>
        <v>116346.86884995132</v>
      </c>
      <c r="O106" s="31">
        <f t="shared" si="28"/>
        <v>126832.60868849767</v>
      </c>
      <c r="P106" s="31">
        <f t="shared" si="28"/>
        <v>131884.86765215482</v>
      </c>
      <c r="Q106" s="31">
        <f t="shared" si="28"/>
        <v>131912.60573340519</v>
      </c>
      <c r="R106" s="31">
        <f t="shared" si="29"/>
        <v>131912.60573340519</v>
      </c>
      <c r="S106" s="31">
        <f t="shared" si="29"/>
        <v>131912.60573340519</v>
      </c>
      <c r="T106" s="31">
        <f t="shared" si="29"/>
        <v>131912.60573340519</v>
      </c>
      <c r="U106" s="31">
        <f t="shared" si="29"/>
        <v>131912.60573340519</v>
      </c>
      <c r="V106" s="31">
        <f t="shared" si="29"/>
        <v>131912.60573340519</v>
      </c>
      <c r="W106" s="31">
        <f t="shared" si="29"/>
        <v>131912.60573340519</v>
      </c>
      <c r="X106" s="31">
        <f t="shared" si="29"/>
        <v>131912.60573340519</v>
      </c>
      <c r="Y106" s="31">
        <f t="shared" si="29"/>
        <v>131912.60573340519</v>
      </c>
      <c r="Z106" s="31">
        <f t="shared" si="29"/>
        <v>131912.60573340519</v>
      </c>
      <c r="AA106" s="31">
        <f t="shared" si="29"/>
        <v>131912.60573340519</v>
      </c>
      <c r="AB106" s="31">
        <f t="shared" si="29"/>
        <v>131912.60573340519</v>
      </c>
      <c r="AC106" s="31">
        <f t="shared" si="29"/>
        <v>131912.60573340519</v>
      </c>
      <c r="AD106" s="31">
        <f t="shared" si="29"/>
        <v>131912.60573340519</v>
      </c>
      <c r="AE106" s="31">
        <f t="shared" si="29"/>
        <v>131912.60573340519</v>
      </c>
      <c r="AF106" s="31">
        <f t="shared" si="29"/>
        <v>131912.60573340519</v>
      </c>
      <c r="AG106" s="327"/>
      <c r="AH106" s="327"/>
      <c r="AI106" s="327"/>
      <c r="AJ106" s="327"/>
      <c r="AK106" s="327"/>
      <c r="AL106" s="327"/>
      <c r="AM106" s="327"/>
      <c r="AN106" s="327"/>
      <c r="AO106" s="327"/>
      <c r="AP106" s="327"/>
      <c r="AQ106" s="327"/>
      <c r="AR106" s="327"/>
      <c r="AS106" s="327"/>
      <c r="AT106" s="327"/>
      <c r="AU106" s="327"/>
      <c r="AV106" s="327"/>
      <c r="AW106" s="327"/>
      <c r="AX106" s="327"/>
      <c r="AY106" s="327"/>
      <c r="AZ106" s="327"/>
      <c r="BA106" s="327"/>
      <c r="BB106" s="327"/>
      <c r="BC106" s="327"/>
      <c r="BD106" s="327"/>
      <c r="BE106" s="327"/>
      <c r="BF106" s="327"/>
      <c r="BG106" s="327"/>
      <c r="BH106" s="327"/>
      <c r="BI106" s="327"/>
    </row>
    <row r="107" spans="1:61" x14ac:dyDescent="0.2">
      <c r="A107" s="327"/>
      <c r="B107" s="327"/>
      <c r="C107" s="339" t="str">
        <f t="shared" ref="C107:C108" si="30">C106</f>
        <v>Option 3</v>
      </c>
      <c r="D107" s="6" t="s">
        <v>297</v>
      </c>
      <c r="F107" s="337">
        <v>66979.053600000014</v>
      </c>
      <c r="G107" s="337"/>
      <c r="H107" s="31">
        <f t="shared" si="28"/>
        <v>37097.433322652098</v>
      </c>
      <c r="I107" s="31">
        <f t="shared" si="28"/>
        <v>45499.435682112482</v>
      </c>
      <c r="J107" s="31">
        <f t="shared" si="28"/>
        <v>55980.92457472891</v>
      </c>
      <c r="K107" s="31">
        <f t="shared" si="28"/>
        <v>69087.370633717539</v>
      </c>
      <c r="L107" s="31">
        <f t="shared" si="28"/>
        <v>85513.337800487381</v>
      </c>
      <c r="M107" s="31">
        <f t="shared" si="28"/>
        <v>106144.45977304767</v>
      </c>
      <c r="N107" s="31">
        <f t="shared" si="28"/>
        <v>127850.42721616114</v>
      </c>
      <c r="O107" s="31">
        <f t="shared" si="28"/>
        <v>139372.92310528219</v>
      </c>
      <c r="P107" s="31">
        <f t="shared" si="28"/>
        <v>144924.71382638259</v>
      </c>
      <c r="Q107" s="31">
        <f t="shared" si="28"/>
        <v>144955.19445360592</v>
      </c>
      <c r="R107" s="31">
        <f t="shared" si="29"/>
        <v>144955.19445360592</v>
      </c>
      <c r="S107" s="31">
        <f t="shared" si="29"/>
        <v>144955.19445360592</v>
      </c>
      <c r="T107" s="31">
        <f t="shared" si="29"/>
        <v>144955.19445360592</v>
      </c>
      <c r="U107" s="31">
        <f t="shared" si="29"/>
        <v>144955.19445360592</v>
      </c>
      <c r="V107" s="31">
        <f t="shared" si="29"/>
        <v>144955.19445360592</v>
      </c>
      <c r="W107" s="31">
        <f t="shared" si="29"/>
        <v>144955.19445360592</v>
      </c>
      <c r="X107" s="31">
        <f t="shared" si="29"/>
        <v>144955.19445360592</v>
      </c>
      <c r="Y107" s="31">
        <f t="shared" si="29"/>
        <v>144955.19445360592</v>
      </c>
      <c r="Z107" s="31">
        <f t="shared" si="29"/>
        <v>144955.19445360592</v>
      </c>
      <c r="AA107" s="31">
        <f t="shared" si="29"/>
        <v>144955.19445360592</v>
      </c>
      <c r="AB107" s="31">
        <f t="shared" si="29"/>
        <v>144955.19445360592</v>
      </c>
      <c r="AC107" s="31">
        <f t="shared" si="29"/>
        <v>144955.19445360592</v>
      </c>
      <c r="AD107" s="31">
        <f t="shared" si="29"/>
        <v>144955.19445360592</v>
      </c>
      <c r="AE107" s="31">
        <f t="shared" si="29"/>
        <v>144955.19445360592</v>
      </c>
      <c r="AF107" s="31">
        <f t="shared" si="29"/>
        <v>144955.19445360592</v>
      </c>
      <c r="AG107" s="327"/>
      <c r="AH107" s="327"/>
      <c r="AI107" s="327"/>
      <c r="AJ107" s="327"/>
      <c r="AK107" s="327"/>
      <c r="AL107" s="327"/>
      <c r="AM107" s="327"/>
      <c r="AN107" s="327"/>
      <c r="AO107" s="327"/>
      <c r="AP107" s="327"/>
      <c r="AQ107" s="327"/>
      <c r="AR107" s="327"/>
      <c r="AS107" s="327"/>
      <c r="AT107" s="327"/>
      <c r="AU107" s="327"/>
      <c r="AV107" s="327"/>
      <c r="AW107" s="327"/>
      <c r="AX107" s="327"/>
      <c r="AY107" s="327"/>
      <c r="AZ107" s="327"/>
      <c r="BA107" s="327"/>
      <c r="BB107" s="327"/>
      <c r="BC107" s="327"/>
      <c r="BD107" s="327"/>
      <c r="BE107" s="327"/>
      <c r="BF107" s="327"/>
      <c r="BG107" s="327"/>
      <c r="BH107" s="327"/>
      <c r="BI107" s="327"/>
    </row>
    <row r="108" spans="1:61" x14ac:dyDescent="0.2">
      <c r="A108" s="327"/>
      <c r="B108" s="327"/>
      <c r="C108" s="339" t="str">
        <f t="shared" si="30"/>
        <v>Option 3</v>
      </c>
      <c r="D108" s="6" t="s">
        <v>299</v>
      </c>
      <c r="F108" s="337">
        <v>1825</v>
      </c>
      <c r="G108" s="337"/>
      <c r="H108" s="31">
        <f t="shared" si="28"/>
        <v>1010.8057993497846</v>
      </c>
      <c r="I108" s="31">
        <f t="shared" si="28"/>
        <v>1239.7378830664049</v>
      </c>
      <c r="J108" s="31">
        <f t="shared" si="28"/>
        <v>1525.3304108925217</v>
      </c>
      <c r="K108" s="31">
        <f t="shared" si="28"/>
        <v>1882.445998110288</v>
      </c>
      <c r="L108" s="31">
        <f t="shared" si="28"/>
        <v>2330.0096537328413</v>
      </c>
      <c r="M108" s="31">
        <f t="shared" si="28"/>
        <v>2892.1525264103157</v>
      </c>
      <c r="N108" s="31">
        <f t="shared" si="28"/>
        <v>3483.5820622806477</v>
      </c>
      <c r="O108" s="31">
        <f t="shared" si="28"/>
        <v>3797.5392454207499</v>
      </c>
      <c r="P108" s="31">
        <f t="shared" si="28"/>
        <v>3948.8106880797754</v>
      </c>
      <c r="Q108" s="31">
        <f t="shared" si="28"/>
        <v>3949.6412036169882</v>
      </c>
      <c r="R108" s="31">
        <f t="shared" si="29"/>
        <v>3949.6412036169882</v>
      </c>
      <c r="S108" s="31">
        <f t="shared" si="29"/>
        <v>3949.6412036169882</v>
      </c>
      <c r="T108" s="31">
        <f t="shared" si="29"/>
        <v>3949.6412036169882</v>
      </c>
      <c r="U108" s="31">
        <f t="shared" si="29"/>
        <v>3949.6412036169882</v>
      </c>
      <c r="V108" s="31">
        <f t="shared" si="29"/>
        <v>3949.6412036169882</v>
      </c>
      <c r="W108" s="31">
        <f t="shared" si="29"/>
        <v>3949.6412036169882</v>
      </c>
      <c r="X108" s="31">
        <f t="shared" si="29"/>
        <v>3949.6412036169882</v>
      </c>
      <c r="Y108" s="31">
        <f t="shared" si="29"/>
        <v>3949.6412036169882</v>
      </c>
      <c r="Z108" s="31">
        <f t="shared" si="29"/>
        <v>3949.6412036169882</v>
      </c>
      <c r="AA108" s="31">
        <f t="shared" si="29"/>
        <v>3949.6412036169882</v>
      </c>
      <c r="AB108" s="31">
        <f t="shared" si="29"/>
        <v>3949.6412036169882</v>
      </c>
      <c r="AC108" s="31">
        <f t="shared" si="29"/>
        <v>3949.6412036169882</v>
      </c>
      <c r="AD108" s="31">
        <f t="shared" si="29"/>
        <v>3949.6412036169882</v>
      </c>
      <c r="AE108" s="31">
        <f t="shared" si="29"/>
        <v>3949.6412036169882</v>
      </c>
      <c r="AF108" s="31">
        <f t="shared" si="29"/>
        <v>3949.6412036169882</v>
      </c>
      <c r="AG108" s="327"/>
      <c r="AH108" s="327"/>
      <c r="AI108" s="327"/>
      <c r="AJ108" s="327"/>
      <c r="AK108" s="327"/>
      <c r="AL108" s="327"/>
      <c r="AM108" s="327"/>
      <c r="AN108" s="327"/>
      <c r="AO108" s="327"/>
      <c r="AP108" s="327"/>
      <c r="AQ108" s="327"/>
      <c r="AR108" s="327"/>
      <c r="AS108" s="327"/>
      <c r="AT108" s="327"/>
      <c r="AU108" s="327"/>
      <c r="AV108" s="327"/>
      <c r="AW108" s="327"/>
      <c r="AX108" s="327"/>
      <c r="AY108" s="327"/>
      <c r="AZ108" s="327"/>
      <c r="BA108" s="327"/>
      <c r="BB108" s="327"/>
      <c r="BC108" s="327"/>
      <c r="BD108" s="327"/>
      <c r="BE108" s="327"/>
      <c r="BF108" s="327"/>
      <c r="BG108" s="327"/>
      <c r="BH108" s="327"/>
      <c r="BI108" s="327"/>
    </row>
    <row r="109" spans="1:61" x14ac:dyDescent="0.2">
      <c r="A109" s="327"/>
      <c r="B109" s="327"/>
      <c r="C109" s="339"/>
      <c r="D109" s="327"/>
      <c r="F109" s="327"/>
      <c r="G109" s="327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27"/>
      <c r="AH109" s="327"/>
      <c r="AI109" s="327"/>
      <c r="AJ109" s="327"/>
      <c r="AK109" s="327"/>
      <c r="AL109" s="327"/>
      <c r="AM109" s="327"/>
      <c r="AN109" s="327"/>
      <c r="AO109" s="327"/>
      <c r="AP109" s="327"/>
      <c r="AQ109" s="327"/>
      <c r="AR109" s="327"/>
      <c r="AS109" s="327"/>
      <c r="AT109" s="327"/>
      <c r="AU109" s="327"/>
      <c r="AV109" s="327"/>
      <c r="AW109" s="327"/>
      <c r="AX109" s="327"/>
      <c r="AY109" s="327"/>
      <c r="AZ109" s="327"/>
      <c r="BA109" s="327"/>
      <c r="BB109" s="327"/>
      <c r="BC109" s="327"/>
      <c r="BD109" s="327"/>
      <c r="BE109" s="327"/>
      <c r="BF109" s="327"/>
      <c r="BG109" s="327"/>
      <c r="BH109" s="327"/>
      <c r="BI109" s="327"/>
    </row>
    <row r="110" spans="1:61" x14ac:dyDescent="0.2">
      <c r="A110" s="327"/>
      <c r="B110" s="328" t="s">
        <v>307</v>
      </c>
      <c r="C110" s="340"/>
      <c r="D110" s="327"/>
      <c r="F110" s="327"/>
      <c r="G110" s="327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27"/>
      <c r="AH110" s="327"/>
      <c r="AI110" s="327"/>
      <c r="AJ110" s="327"/>
      <c r="AK110" s="327"/>
      <c r="AL110" s="327"/>
      <c r="AM110" s="327"/>
      <c r="AN110" s="327"/>
      <c r="AO110" s="327"/>
      <c r="AP110" s="327"/>
      <c r="AQ110" s="327"/>
      <c r="AR110" s="327"/>
      <c r="AS110" s="327"/>
      <c r="AT110" s="327"/>
      <c r="AU110" s="327"/>
      <c r="AV110" s="327"/>
      <c r="AW110" s="327"/>
      <c r="AX110" s="327"/>
      <c r="AY110" s="327"/>
      <c r="AZ110" s="327"/>
      <c r="BA110" s="327"/>
      <c r="BB110" s="327"/>
      <c r="BC110" s="327"/>
      <c r="BD110" s="327"/>
      <c r="BE110" s="327"/>
      <c r="BF110" s="327"/>
      <c r="BG110" s="327"/>
      <c r="BH110" s="327"/>
      <c r="BI110" s="327"/>
    </row>
    <row r="111" spans="1:61" x14ac:dyDescent="0.2">
      <c r="A111" s="327"/>
      <c r="B111" s="327"/>
      <c r="C111" s="339" t="str">
        <f>$C108</f>
        <v>Option 3</v>
      </c>
      <c r="D111" s="6" t="str">
        <f>D105</f>
        <v>Response cost</v>
      </c>
      <c r="F111" s="337">
        <f>F105</f>
        <v>15447.5</v>
      </c>
      <c r="G111" s="337"/>
      <c r="H111" s="31">
        <f t="shared" ref="H111:Q114" si="31">INDEX(H$30:H$34, MATCH($C111, $C$30:$C$34,0))*$F111</f>
        <v>1091.8076580524998</v>
      </c>
      <c r="I111" s="31">
        <f t="shared" si="31"/>
        <v>1091.8076580524998</v>
      </c>
      <c r="J111" s="31">
        <f t="shared" si="31"/>
        <v>1091.8076580524998</v>
      </c>
      <c r="K111" s="31">
        <f t="shared" si="31"/>
        <v>1091.8076580524998</v>
      </c>
      <c r="L111" s="31">
        <f t="shared" si="31"/>
        <v>1091.8076580524998</v>
      </c>
      <c r="M111" s="31">
        <f t="shared" si="31"/>
        <v>1091.8076580524998</v>
      </c>
      <c r="N111" s="31">
        <f t="shared" si="31"/>
        <v>1091.8076580524998</v>
      </c>
      <c r="O111" s="31">
        <f t="shared" si="31"/>
        <v>1091.8076580524998</v>
      </c>
      <c r="P111" s="31">
        <f t="shared" si="31"/>
        <v>1091.8076580524998</v>
      </c>
      <c r="Q111" s="31">
        <f t="shared" si="31"/>
        <v>1091.8076580524998</v>
      </c>
      <c r="R111" s="31">
        <f t="shared" ref="R111:AF114" si="32">INDEX(R$30:R$34, MATCH($C111, $C$30:$C$34,0))*$F111</f>
        <v>1091.8076580524998</v>
      </c>
      <c r="S111" s="31">
        <f t="shared" si="32"/>
        <v>1091.8076580524998</v>
      </c>
      <c r="T111" s="31">
        <f t="shared" si="32"/>
        <v>1091.8076580524998</v>
      </c>
      <c r="U111" s="31">
        <f t="shared" si="32"/>
        <v>1091.8076580524998</v>
      </c>
      <c r="V111" s="31">
        <f t="shared" si="32"/>
        <v>1091.8076580524998</v>
      </c>
      <c r="W111" s="31">
        <f t="shared" si="32"/>
        <v>1091.8076580524998</v>
      </c>
      <c r="X111" s="31">
        <f t="shared" si="32"/>
        <v>1091.8076580524998</v>
      </c>
      <c r="Y111" s="31">
        <f t="shared" si="32"/>
        <v>1091.8076580524998</v>
      </c>
      <c r="Z111" s="31">
        <f t="shared" si="32"/>
        <v>1091.8076580524998</v>
      </c>
      <c r="AA111" s="31">
        <f t="shared" si="32"/>
        <v>1091.8076580524998</v>
      </c>
      <c r="AB111" s="31">
        <f t="shared" si="32"/>
        <v>1091.8076580524998</v>
      </c>
      <c r="AC111" s="31">
        <f t="shared" si="32"/>
        <v>1091.8076580524998</v>
      </c>
      <c r="AD111" s="31">
        <f t="shared" si="32"/>
        <v>1091.8076580524998</v>
      </c>
      <c r="AE111" s="31">
        <f t="shared" si="32"/>
        <v>1091.8076580524998</v>
      </c>
      <c r="AF111" s="31">
        <f t="shared" si="32"/>
        <v>1091.8076580524998</v>
      </c>
      <c r="AG111" s="327"/>
      <c r="AH111" s="327"/>
      <c r="AI111" s="327"/>
      <c r="AJ111" s="327"/>
      <c r="AK111" s="327"/>
      <c r="AL111" s="327"/>
      <c r="AM111" s="327"/>
      <c r="AN111" s="327"/>
      <c r="AO111" s="327"/>
      <c r="AP111" s="327"/>
      <c r="AQ111" s="327"/>
      <c r="AR111" s="327"/>
      <c r="AS111" s="327"/>
      <c r="AT111" s="327"/>
      <c r="AU111" s="327"/>
      <c r="AV111" s="327"/>
      <c r="AW111" s="327"/>
      <c r="AX111" s="327"/>
      <c r="AY111" s="327"/>
      <c r="AZ111" s="327"/>
      <c r="BA111" s="327"/>
      <c r="BB111" s="327"/>
      <c r="BC111" s="327"/>
      <c r="BD111" s="327"/>
      <c r="BE111" s="327"/>
      <c r="BF111" s="327"/>
      <c r="BG111" s="327"/>
      <c r="BH111" s="327"/>
      <c r="BI111" s="327"/>
    </row>
    <row r="112" spans="1:61" x14ac:dyDescent="0.2">
      <c r="A112" s="327"/>
      <c r="B112" s="327"/>
      <c r="C112" s="339" t="str">
        <f>C111</f>
        <v>Option 3</v>
      </c>
      <c r="D112" s="6" t="str">
        <f t="shared" ref="D112:D114" si="33">D106</f>
        <v>Unplanned replacements</v>
      </c>
      <c r="F112" s="337">
        <f>F106</f>
        <v>60952.5</v>
      </c>
      <c r="G112" s="337"/>
      <c r="H112" s="31">
        <f t="shared" si="31"/>
        <v>4308.0373055474993</v>
      </c>
      <c r="I112" s="31">
        <f t="shared" si="31"/>
        <v>4308.0373055474993</v>
      </c>
      <c r="J112" s="31">
        <f t="shared" si="31"/>
        <v>4308.0373055474993</v>
      </c>
      <c r="K112" s="31">
        <f t="shared" si="31"/>
        <v>4308.0373055474993</v>
      </c>
      <c r="L112" s="31">
        <f t="shared" si="31"/>
        <v>4308.0373055474993</v>
      </c>
      <c r="M112" s="31">
        <f t="shared" si="31"/>
        <v>4308.0373055474993</v>
      </c>
      <c r="N112" s="31">
        <f t="shared" si="31"/>
        <v>4308.0373055474993</v>
      </c>
      <c r="O112" s="31">
        <f t="shared" si="31"/>
        <v>4308.0373055474993</v>
      </c>
      <c r="P112" s="31">
        <f t="shared" si="31"/>
        <v>4308.0373055474993</v>
      </c>
      <c r="Q112" s="31">
        <f t="shared" si="31"/>
        <v>4308.0373055474993</v>
      </c>
      <c r="R112" s="31">
        <f t="shared" si="32"/>
        <v>4308.0373055474993</v>
      </c>
      <c r="S112" s="31">
        <f t="shared" si="32"/>
        <v>4308.0373055474993</v>
      </c>
      <c r="T112" s="31">
        <f t="shared" si="32"/>
        <v>4308.0373055474993</v>
      </c>
      <c r="U112" s="31">
        <f t="shared" si="32"/>
        <v>4308.0373055474993</v>
      </c>
      <c r="V112" s="31">
        <f t="shared" si="32"/>
        <v>4308.0373055474993</v>
      </c>
      <c r="W112" s="31">
        <f t="shared" si="32"/>
        <v>4308.0373055474993</v>
      </c>
      <c r="X112" s="31">
        <f t="shared" si="32"/>
        <v>4308.0373055474993</v>
      </c>
      <c r="Y112" s="31">
        <f t="shared" si="32"/>
        <v>4308.0373055474993</v>
      </c>
      <c r="Z112" s="31">
        <f t="shared" si="32"/>
        <v>4308.0373055474993</v>
      </c>
      <c r="AA112" s="31">
        <f t="shared" si="32"/>
        <v>4308.0373055474993</v>
      </c>
      <c r="AB112" s="31">
        <f t="shared" si="32"/>
        <v>4308.0373055474993</v>
      </c>
      <c r="AC112" s="31">
        <f t="shared" si="32"/>
        <v>4308.0373055474993</v>
      </c>
      <c r="AD112" s="31">
        <f t="shared" si="32"/>
        <v>4308.0373055474993</v>
      </c>
      <c r="AE112" s="31">
        <f t="shared" si="32"/>
        <v>4308.0373055474993</v>
      </c>
      <c r="AF112" s="31">
        <f t="shared" si="32"/>
        <v>4308.0373055474993</v>
      </c>
      <c r="AG112" s="327"/>
      <c r="AH112" s="327"/>
      <c r="AI112" s="327"/>
      <c r="AJ112" s="327"/>
      <c r="AK112" s="327"/>
      <c r="AL112" s="327"/>
      <c r="AM112" s="327"/>
      <c r="AN112" s="327"/>
      <c r="AO112" s="327"/>
      <c r="AP112" s="327"/>
      <c r="AQ112" s="327"/>
      <c r="AR112" s="327"/>
      <c r="AS112" s="327"/>
      <c r="AT112" s="327"/>
      <c r="AU112" s="327"/>
      <c r="AV112" s="327"/>
      <c r="AW112" s="327"/>
      <c r="AX112" s="327"/>
      <c r="AY112" s="327"/>
      <c r="AZ112" s="327"/>
      <c r="BA112" s="327"/>
      <c r="BB112" s="327"/>
      <c r="BC112" s="327"/>
      <c r="BD112" s="327"/>
      <c r="BE112" s="327"/>
      <c r="BF112" s="327"/>
      <c r="BG112" s="327"/>
      <c r="BH112" s="327"/>
      <c r="BI112" s="327"/>
    </row>
    <row r="113" spans="1:61" x14ac:dyDescent="0.2">
      <c r="A113" s="327"/>
      <c r="B113" s="327"/>
      <c r="C113" s="339" t="str">
        <f t="shared" ref="C113:C114" si="34">C112</f>
        <v>Option 3</v>
      </c>
      <c r="D113" s="6" t="str">
        <f t="shared" si="33"/>
        <v>Safety Consequence</v>
      </c>
      <c r="F113" s="337">
        <f>F107</f>
        <v>66979.053600000014</v>
      </c>
      <c r="G113" s="337"/>
      <c r="H113" s="31">
        <f t="shared" si="31"/>
        <v>4733.985670793907</v>
      </c>
      <c r="I113" s="31">
        <f t="shared" si="31"/>
        <v>4733.985670793907</v>
      </c>
      <c r="J113" s="31">
        <f t="shared" si="31"/>
        <v>4733.985670793907</v>
      </c>
      <c r="K113" s="31">
        <f t="shared" si="31"/>
        <v>4733.985670793907</v>
      </c>
      <c r="L113" s="31">
        <f t="shared" si="31"/>
        <v>4733.985670793907</v>
      </c>
      <c r="M113" s="31">
        <f t="shared" si="31"/>
        <v>4733.985670793907</v>
      </c>
      <c r="N113" s="31">
        <f t="shared" si="31"/>
        <v>4733.985670793907</v>
      </c>
      <c r="O113" s="31">
        <f t="shared" si="31"/>
        <v>4733.985670793907</v>
      </c>
      <c r="P113" s="31">
        <f t="shared" si="31"/>
        <v>4733.985670793907</v>
      </c>
      <c r="Q113" s="31">
        <f t="shared" si="31"/>
        <v>4733.985670793907</v>
      </c>
      <c r="R113" s="31">
        <f t="shared" si="32"/>
        <v>4733.985670793907</v>
      </c>
      <c r="S113" s="31">
        <f t="shared" si="32"/>
        <v>4733.985670793907</v>
      </c>
      <c r="T113" s="31">
        <f t="shared" si="32"/>
        <v>4733.985670793907</v>
      </c>
      <c r="U113" s="31">
        <f t="shared" si="32"/>
        <v>4733.985670793907</v>
      </c>
      <c r="V113" s="31">
        <f t="shared" si="32"/>
        <v>4733.985670793907</v>
      </c>
      <c r="W113" s="31">
        <f t="shared" si="32"/>
        <v>4733.985670793907</v>
      </c>
      <c r="X113" s="31">
        <f t="shared" si="32"/>
        <v>4733.985670793907</v>
      </c>
      <c r="Y113" s="31">
        <f t="shared" si="32"/>
        <v>4733.985670793907</v>
      </c>
      <c r="Z113" s="31">
        <f t="shared" si="32"/>
        <v>4733.985670793907</v>
      </c>
      <c r="AA113" s="31">
        <f t="shared" si="32"/>
        <v>4733.985670793907</v>
      </c>
      <c r="AB113" s="31">
        <f t="shared" si="32"/>
        <v>4733.985670793907</v>
      </c>
      <c r="AC113" s="31">
        <f t="shared" si="32"/>
        <v>4733.985670793907</v>
      </c>
      <c r="AD113" s="31">
        <f t="shared" si="32"/>
        <v>4733.985670793907</v>
      </c>
      <c r="AE113" s="31">
        <f t="shared" si="32"/>
        <v>4733.985670793907</v>
      </c>
      <c r="AF113" s="31">
        <f t="shared" si="32"/>
        <v>4733.985670793907</v>
      </c>
      <c r="AG113" s="327"/>
      <c r="AH113" s="327"/>
      <c r="AI113" s="327"/>
      <c r="AJ113" s="327"/>
      <c r="AK113" s="327"/>
      <c r="AL113" s="327"/>
      <c r="AM113" s="327"/>
      <c r="AN113" s="327"/>
      <c r="AO113" s="327"/>
      <c r="AP113" s="327"/>
      <c r="AQ113" s="327"/>
      <c r="AR113" s="327"/>
      <c r="AS113" s="327"/>
      <c r="AT113" s="327"/>
      <c r="AU113" s="327"/>
      <c r="AV113" s="327"/>
      <c r="AW113" s="327"/>
      <c r="AX113" s="327"/>
      <c r="AY113" s="327"/>
      <c r="AZ113" s="327"/>
      <c r="BA113" s="327"/>
      <c r="BB113" s="327"/>
      <c r="BC113" s="327"/>
      <c r="BD113" s="327"/>
      <c r="BE113" s="327"/>
      <c r="BF113" s="327"/>
      <c r="BG113" s="327"/>
      <c r="BH113" s="327"/>
      <c r="BI113" s="327"/>
    </row>
    <row r="114" spans="1:61" x14ac:dyDescent="0.2">
      <c r="A114" s="327"/>
      <c r="B114" s="327"/>
      <c r="C114" s="339" t="str">
        <f t="shared" si="34"/>
        <v>Option 3</v>
      </c>
      <c r="D114" s="6" t="str">
        <f t="shared" si="33"/>
        <v>Environmental Consequence</v>
      </c>
      <c r="F114" s="337">
        <f>F108</f>
        <v>1825</v>
      </c>
      <c r="G114" s="337"/>
      <c r="H114" s="31">
        <f t="shared" si="31"/>
        <v>128.98844317499999</v>
      </c>
      <c r="I114" s="31">
        <f t="shared" si="31"/>
        <v>128.98844317499999</v>
      </c>
      <c r="J114" s="31">
        <f t="shared" si="31"/>
        <v>128.98844317499999</v>
      </c>
      <c r="K114" s="31">
        <f t="shared" si="31"/>
        <v>128.98844317499999</v>
      </c>
      <c r="L114" s="31">
        <f t="shared" si="31"/>
        <v>128.98844317499999</v>
      </c>
      <c r="M114" s="31">
        <f t="shared" si="31"/>
        <v>128.98844317499999</v>
      </c>
      <c r="N114" s="31">
        <f t="shared" si="31"/>
        <v>128.98844317499999</v>
      </c>
      <c r="O114" s="31">
        <f t="shared" si="31"/>
        <v>128.98844317499999</v>
      </c>
      <c r="P114" s="31">
        <f t="shared" si="31"/>
        <v>128.98844317499999</v>
      </c>
      <c r="Q114" s="31">
        <f t="shared" si="31"/>
        <v>128.98844317499999</v>
      </c>
      <c r="R114" s="31">
        <f t="shared" si="32"/>
        <v>128.98844317499999</v>
      </c>
      <c r="S114" s="31">
        <f t="shared" si="32"/>
        <v>128.98844317499999</v>
      </c>
      <c r="T114" s="31">
        <f t="shared" si="32"/>
        <v>128.98844317499999</v>
      </c>
      <c r="U114" s="31">
        <f t="shared" si="32"/>
        <v>128.98844317499999</v>
      </c>
      <c r="V114" s="31">
        <f t="shared" si="32"/>
        <v>128.98844317499999</v>
      </c>
      <c r="W114" s="31">
        <f t="shared" si="32"/>
        <v>128.98844317499999</v>
      </c>
      <c r="X114" s="31">
        <f t="shared" si="32"/>
        <v>128.98844317499999</v>
      </c>
      <c r="Y114" s="31">
        <f t="shared" si="32"/>
        <v>128.98844317499999</v>
      </c>
      <c r="Z114" s="31">
        <f t="shared" si="32"/>
        <v>128.98844317499999</v>
      </c>
      <c r="AA114" s="31">
        <f t="shared" si="32"/>
        <v>128.98844317499999</v>
      </c>
      <c r="AB114" s="31">
        <f t="shared" si="32"/>
        <v>128.98844317499999</v>
      </c>
      <c r="AC114" s="31">
        <f t="shared" si="32"/>
        <v>128.98844317499999</v>
      </c>
      <c r="AD114" s="31">
        <f t="shared" si="32"/>
        <v>128.98844317499999</v>
      </c>
      <c r="AE114" s="31">
        <f t="shared" si="32"/>
        <v>128.98844317499999</v>
      </c>
      <c r="AF114" s="31">
        <f t="shared" si="32"/>
        <v>128.98844317499999</v>
      </c>
      <c r="AG114" s="327"/>
      <c r="AH114" s="327"/>
      <c r="AI114" s="327"/>
      <c r="AJ114" s="327"/>
      <c r="AK114" s="327"/>
      <c r="AL114" s="327"/>
      <c r="AM114" s="327"/>
      <c r="AN114" s="327"/>
      <c r="AO114" s="327"/>
      <c r="AP114" s="327"/>
      <c r="AQ114" s="327"/>
      <c r="AR114" s="327"/>
      <c r="AS114" s="327"/>
      <c r="AT114" s="327"/>
      <c r="AU114" s="327"/>
      <c r="AV114" s="327"/>
      <c r="AW114" s="327"/>
      <c r="AX114" s="327"/>
      <c r="AY114" s="327"/>
      <c r="AZ114" s="327"/>
      <c r="BA114" s="327"/>
      <c r="BB114" s="327"/>
      <c r="BC114" s="327"/>
      <c r="BD114" s="327"/>
      <c r="BE114" s="327"/>
      <c r="BF114" s="327"/>
      <c r="BG114" s="327"/>
      <c r="BH114" s="327"/>
      <c r="BI114" s="327"/>
    </row>
    <row r="115" spans="1:61" x14ac:dyDescent="0.2">
      <c r="A115" s="327"/>
      <c r="B115" s="327"/>
      <c r="C115" s="339"/>
      <c r="D115" s="327"/>
      <c r="F115" s="327"/>
      <c r="G115" s="327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27"/>
      <c r="AH115" s="327"/>
      <c r="AI115" s="327"/>
      <c r="AJ115" s="327"/>
      <c r="AK115" s="327"/>
      <c r="AL115" s="327"/>
      <c r="AM115" s="327"/>
      <c r="AN115" s="327"/>
      <c r="AO115" s="327"/>
      <c r="AP115" s="327"/>
      <c r="AQ115" s="327"/>
      <c r="AR115" s="327"/>
      <c r="AS115" s="327"/>
      <c r="AT115" s="327"/>
      <c r="AU115" s="327"/>
      <c r="AV115" s="327"/>
      <c r="AW115" s="327"/>
      <c r="AX115" s="327"/>
      <c r="AY115" s="327"/>
      <c r="AZ115" s="327"/>
      <c r="BA115" s="327"/>
      <c r="BB115" s="327"/>
      <c r="BC115" s="327"/>
      <c r="BD115" s="327"/>
      <c r="BE115" s="327"/>
      <c r="BF115" s="327"/>
      <c r="BG115" s="327"/>
      <c r="BH115" s="327"/>
      <c r="BI115" s="327"/>
    </row>
    <row r="116" spans="1:61" x14ac:dyDescent="0.2">
      <c r="A116" s="327"/>
      <c r="B116" s="328" t="s">
        <v>318</v>
      </c>
      <c r="C116" s="340"/>
      <c r="D116" s="327"/>
      <c r="F116" s="327"/>
      <c r="G116" s="327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27"/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7"/>
      <c r="AS116" s="327"/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7"/>
      <c r="BE116" s="327"/>
      <c r="BF116" s="327"/>
      <c r="BG116" s="327"/>
      <c r="BH116" s="327"/>
      <c r="BI116" s="327"/>
    </row>
    <row r="117" spans="1:61" x14ac:dyDescent="0.2">
      <c r="A117" s="327"/>
      <c r="B117" s="327"/>
      <c r="C117" s="339" t="str">
        <f>$C114</f>
        <v>Option 3</v>
      </c>
      <c r="D117" s="327" t="str">
        <f>D105</f>
        <v>Response cost</v>
      </c>
      <c r="F117" s="327"/>
      <c r="G117" s="327"/>
      <c r="H117" s="31">
        <f>INDEX(H$40:H$43, MATCH($C117, $C$40:$C$43,0))*(H111-H105)</f>
        <v>0</v>
      </c>
      <c r="I117" s="31">
        <f>INDEX(I$40:I$43, MATCH($C117, $C$40:$C$43,0))*(I111-I105)</f>
        <v>-1880.3618600243813</v>
      </c>
      <c r="J117" s="31">
        <f t="shared" ref="J117:AE117" si="35">INDEX(J$40:J$43, MATCH($C117, $C$40:$C$43,0))*(J111-J105)</f>
        <v>-4727.6695991926399</v>
      </c>
      <c r="K117" s="31">
        <f t="shared" si="35"/>
        <v>-8905.1623824206672</v>
      </c>
      <c r="L117" s="31">
        <f t="shared" si="35"/>
        <v>-14904.230202780167</v>
      </c>
      <c r="M117" s="31">
        <f t="shared" si="35"/>
        <v>-23388.480644261665</v>
      </c>
      <c r="N117" s="31">
        <f t="shared" si="35"/>
        <v>-28394.567085553146</v>
      </c>
      <c r="O117" s="31">
        <f t="shared" si="35"/>
        <v>-31052.02110558423</v>
      </c>
      <c r="P117" s="31">
        <f t="shared" si="35"/>
        <v>-32332.440618173438</v>
      </c>
      <c r="Q117" s="31">
        <f t="shared" si="35"/>
        <v>-32339.470420234305</v>
      </c>
      <c r="R117" s="31">
        <f t="shared" si="35"/>
        <v>-32339.470420234305</v>
      </c>
      <c r="S117" s="31">
        <f t="shared" si="35"/>
        <v>-32339.470420234305</v>
      </c>
      <c r="T117" s="31">
        <f t="shared" si="35"/>
        <v>-32339.470420234305</v>
      </c>
      <c r="U117" s="31">
        <f t="shared" si="35"/>
        <v>-32339.470420234305</v>
      </c>
      <c r="V117" s="31">
        <f t="shared" si="35"/>
        <v>-32339.470420234305</v>
      </c>
      <c r="W117" s="31">
        <f t="shared" si="35"/>
        <v>-32339.470420234305</v>
      </c>
      <c r="X117" s="31">
        <f t="shared" si="35"/>
        <v>-32339.470420234305</v>
      </c>
      <c r="Y117" s="31">
        <f t="shared" si="35"/>
        <v>-32339.470420234305</v>
      </c>
      <c r="Z117" s="31">
        <f t="shared" si="35"/>
        <v>-32339.470420234305</v>
      </c>
      <c r="AA117" s="31">
        <f t="shared" si="35"/>
        <v>-32339.470420234305</v>
      </c>
      <c r="AB117" s="31">
        <f t="shared" si="35"/>
        <v>-32339.470420234305</v>
      </c>
      <c r="AC117" s="31">
        <f t="shared" si="35"/>
        <v>-32339.470420234305</v>
      </c>
      <c r="AD117" s="31">
        <f t="shared" si="35"/>
        <v>-32339.470420234305</v>
      </c>
      <c r="AE117" s="31">
        <f t="shared" si="35"/>
        <v>-32339.470420234305</v>
      </c>
      <c r="AF117" s="31">
        <f t="shared" ref="AF117" si="36">INDEX(AF$40:AF$43, MATCH($C117, $C$40:$C$43,0))*(AF111-AF105)</f>
        <v>-32339.470420234305</v>
      </c>
      <c r="AG117" s="327"/>
      <c r="AH117" s="327"/>
      <c r="AI117" s="327"/>
      <c r="AJ117" s="327"/>
      <c r="AK117" s="327"/>
      <c r="AL117" s="327"/>
      <c r="AM117" s="327"/>
      <c r="AN117" s="327"/>
      <c r="AO117" s="327"/>
      <c r="AP117" s="327"/>
      <c r="AQ117" s="327"/>
      <c r="AR117" s="327"/>
      <c r="AS117" s="327"/>
      <c r="AT117" s="327"/>
      <c r="AU117" s="327"/>
      <c r="AV117" s="327"/>
      <c r="AW117" s="327"/>
      <c r="AX117" s="327"/>
      <c r="AY117" s="327"/>
      <c r="AZ117" s="327"/>
      <c r="BA117" s="327"/>
      <c r="BB117" s="327"/>
      <c r="BC117" s="327"/>
      <c r="BD117" s="327"/>
      <c r="BE117" s="327"/>
      <c r="BF117" s="327"/>
      <c r="BG117" s="327"/>
      <c r="BH117" s="327"/>
      <c r="BI117" s="327"/>
    </row>
    <row r="118" spans="1:61" x14ac:dyDescent="0.2">
      <c r="A118" s="327"/>
      <c r="B118" s="327"/>
      <c r="C118" s="339" t="str">
        <f>C117</f>
        <v>Option 3</v>
      </c>
      <c r="D118" s="327" t="str">
        <f t="shared" ref="D118:D120" si="37">D106</f>
        <v>Unplanned replacements</v>
      </c>
      <c r="F118" s="327"/>
      <c r="G118" s="327"/>
      <c r="H118" s="31">
        <f t="shared" ref="H118:AE120" si="38">INDEX(H$40:H$43, MATCH($C118, $C$40:$C$43,0))*(H112-H106)</f>
        <v>0</v>
      </c>
      <c r="I118" s="31">
        <f t="shared" si="38"/>
        <v>-7419.5019435595459</v>
      </c>
      <c r="J118" s="31">
        <f t="shared" si="38"/>
        <v>-18654.36356981967</v>
      </c>
      <c r="K118" s="31">
        <f t="shared" si="38"/>
        <v>-35137.848202912814</v>
      </c>
      <c r="L118" s="31">
        <f t="shared" si="38"/>
        <v>-58808.874668066557</v>
      </c>
      <c r="M118" s="31">
        <f t="shared" si="38"/>
        <v>-92285.895223781146</v>
      </c>
      <c r="N118" s="31">
        <f t="shared" si="38"/>
        <v>-112038.83154440383</v>
      </c>
      <c r="O118" s="31">
        <f t="shared" si="38"/>
        <v>-122524.57138295018</v>
      </c>
      <c r="P118" s="31">
        <f t="shared" si="38"/>
        <v>-127576.83034660731</v>
      </c>
      <c r="Q118" s="31">
        <f t="shared" si="38"/>
        <v>-127604.56842785768</v>
      </c>
      <c r="R118" s="31">
        <f t="shared" si="38"/>
        <v>-127604.56842785768</v>
      </c>
      <c r="S118" s="31">
        <f t="shared" si="38"/>
        <v>-127604.56842785768</v>
      </c>
      <c r="T118" s="31">
        <f t="shared" si="38"/>
        <v>-127604.56842785768</v>
      </c>
      <c r="U118" s="31">
        <f t="shared" si="38"/>
        <v>-127604.56842785768</v>
      </c>
      <c r="V118" s="31">
        <f t="shared" si="38"/>
        <v>-127604.56842785768</v>
      </c>
      <c r="W118" s="31">
        <f t="shared" si="38"/>
        <v>-127604.56842785768</v>
      </c>
      <c r="X118" s="31">
        <f t="shared" si="38"/>
        <v>-127604.56842785768</v>
      </c>
      <c r="Y118" s="31">
        <f t="shared" si="38"/>
        <v>-127604.56842785768</v>
      </c>
      <c r="Z118" s="31">
        <f t="shared" si="38"/>
        <v>-127604.56842785768</v>
      </c>
      <c r="AA118" s="31">
        <f t="shared" si="38"/>
        <v>-127604.56842785768</v>
      </c>
      <c r="AB118" s="31">
        <f t="shared" si="38"/>
        <v>-127604.56842785768</v>
      </c>
      <c r="AC118" s="31">
        <f t="shared" si="38"/>
        <v>-127604.56842785768</v>
      </c>
      <c r="AD118" s="31">
        <f t="shared" si="38"/>
        <v>-127604.56842785768</v>
      </c>
      <c r="AE118" s="31">
        <f t="shared" si="38"/>
        <v>-127604.56842785768</v>
      </c>
      <c r="AF118" s="31">
        <f t="shared" ref="AF118" si="39">INDEX(AF$40:AF$43, MATCH($C118, $C$40:$C$43,0))*(AF112-AF106)</f>
        <v>-127604.56842785768</v>
      </c>
      <c r="AG118" s="327"/>
      <c r="AH118" s="327"/>
      <c r="AI118" s="327"/>
      <c r="AJ118" s="327"/>
      <c r="AK118" s="327"/>
      <c r="AL118" s="327"/>
      <c r="AM118" s="327"/>
      <c r="AN118" s="327"/>
      <c r="AO118" s="327"/>
      <c r="AP118" s="327"/>
      <c r="AQ118" s="327"/>
      <c r="AR118" s="327"/>
      <c r="AS118" s="327"/>
      <c r="AT118" s="327"/>
      <c r="AU118" s="327"/>
      <c r="AV118" s="327"/>
      <c r="AW118" s="327"/>
      <c r="AX118" s="327"/>
      <c r="AY118" s="327"/>
      <c r="AZ118" s="327"/>
      <c r="BA118" s="327"/>
      <c r="BB118" s="327"/>
      <c r="BC118" s="327"/>
      <c r="BD118" s="327"/>
      <c r="BE118" s="327"/>
      <c r="BF118" s="327"/>
      <c r="BG118" s="327"/>
      <c r="BH118" s="327"/>
      <c r="BI118" s="327"/>
    </row>
    <row r="119" spans="1:61" x14ac:dyDescent="0.2">
      <c r="A119" s="327"/>
      <c r="B119" s="327"/>
      <c r="C119" s="339" t="str">
        <f t="shared" ref="C119:C120" si="40">C118</f>
        <v>Option 3</v>
      </c>
      <c r="D119" s="327" t="str">
        <f t="shared" si="37"/>
        <v>Safety Consequence</v>
      </c>
      <c r="F119" s="327"/>
      <c r="G119" s="327"/>
      <c r="H119" s="31">
        <f t="shared" si="38"/>
        <v>0</v>
      </c>
      <c r="I119" s="31">
        <f t="shared" si="38"/>
        <v>-8153.0900022637161</v>
      </c>
      <c r="J119" s="31">
        <f t="shared" si="38"/>
        <v>-20498.775561574002</v>
      </c>
      <c r="K119" s="31">
        <f t="shared" si="38"/>
        <v>-38612.030977754177</v>
      </c>
      <c r="L119" s="31">
        <f t="shared" si="38"/>
        <v>-64623.481703754784</v>
      </c>
      <c r="M119" s="31">
        <f t="shared" si="38"/>
        <v>-101410.47410225376</v>
      </c>
      <c r="N119" s="31">
        <f t="shared" si="38"/>
        <v>-123116.44154536724</v>
      </c>
      <c r="O119" s="31">
        <f t="shared" si="38"/>
        <v>-134638.93743448827</v>
      </c>
      <c r="P119" s="31">
        <f t="shared" si="38"/>
        <v>-140190.72815558867</v>
      </c>
      <c r="Q119" s="31">
        <f t="shared" si="38"/>
        <v>-140221.208782812</v>
      </c>
      <c r="R119" s="31">
        <f t="shared" si="38"/>
        <v>-140221.208782812</v>
      </c>
      <c r="S119" s="31">
        <f t="shared" si="38"/>
        <v>-140221.208782812</v>
      </c>
      <c r="T119" s="31">
        <f t="shared" si="38"/>
        <v>-140221.208782812</v>
      </c>
      <c r="U119" s="31">
        <f t="shared" si="38"/>
        <v>-140221.208782812</v>
      </c>
      <c r="V119" s="31">
        <f t="shared" si="38"/>
        <v>-140221.208782812</v>
      </c>
      <c r="W119" s="31">
        <f t="shared" si="38"/>
        <v>-140221.208782812</v>
      </c>
      <c r="X119" s="31">
        <f t="shared" si="38"/>
        <v>-140221.208782812</v>
      </c>
      <c r="Y119" s="31">
        <f t="shared" si="38"/>
        <v>-140221.208782812</v>
      </c>
      <c r="Z119" s="31">
        <f t="shared" si="38"/>
        <v>-140221.208782812</v>
      </c>
      <c r="AA119" s="31">
        <f t="shared" si="38"/>
        <v>-140221.208782812</v>
      </c>
      <c r="AB119" s="31">
        <f t="shared" si="38"/>
        <v>-140221.208782812</v>
      </c>
      <c r="AC119" s="31">
        <f t="shared" si="38"/>
        <v>-140221.208782812</v>
      </c>
      <c r="AD119" s="31">
        <f t="shared" si="38"/>
        <v>-140221.208782812</v>
      </c>
      <c r="AE119" s="31">
        <f t="shared" si="38"/>
        <v>-140221.208782812</v>
      </c>
      <c r="AF119" s="31">
        <f t="shared" ref="AF119" si="41">INDEX(AF$40:AF$43, MATCH($C119, $C$40:$C$43,0))*(AF113-AF107)</f>
        <v>-140221.208782812</v>
      </c>
      <c r="AG119" s="327"/>
      <c r="AH119" s="327"/>
      <c r="AI119" s="327"/>
      <c r="AJ119" s="327"/>
      <c r="AK119" s="327"/>
      <c r="AL119" s="327"/>
      <c r="AM119" s="327"/>
      <c r="AN119" s="327"/>
      <c r="AO119" s="327"/>
      <c r="AP119" s="327"/>
      <c r="AQ119" s="327"/>
      <c r="AR119" s="327"/>
      <c r="AS119" s="327"/>
      <c r="AT119" s="327"/>
      <c r="AU119" s="327"/>
      <c r="AV119" s="327"/>
      <c r="AW119" s="327"/>
      <c r="AX119" s="327"/>
      <c r="AY119" s="327"/>
      <c r="AZ119" s="327"/>
      <c r="BA119" s="327"/>
      <c r="BB119" s="327"/>
      <c r="BC119" s="327"/>
      <c r="BD119" s="327"/>
      <c r="BE119" s="327"/>
      <c r="BF119" s="327"/>
      <c r="BG119" s="327"/>
      <c r="BH119" s="327"/>
      <c r="BI119" s="327"/>
    </row>
    <row r="120" spans="1:61" x14ac:dyDescent="0.2">
      <c r="A120" s="327"/>
      <c r="B120" s="327"/>
      <c r="C120" s="339" t="str">
        <f t="shared" si="40"/>
        <v>Option 3</v>
      </c>
      <c r="D120" s="327" t="str">
        <f t="shared" si="37"/>
        <v>Environmental Consequence</v>
      </c>
      <c r="F120" s="327"/>
      <c r="G120" s="327"/>
      <c r="H120" s="31">
        <f t="shared" si="38"/>
        <v>0</v>
      </c>
      <c r="I120" s="31">
        <f t="shared" si="38"/>
        <v>-222.14988797828101</v>
      </c>
      <c r="J120" s="31">
        <f t="shared" si="38"/>
        <v>-558.53678708700875</v>
      </c>
      <c r="K120" s="31">
        <f t="shared" si="38"/>
        <v>-1052.0745329611727</v>
      </c>
      <c r="L120" s="31">
        <f t="shared" si="38"/>
        <v>-1760.816968446273</v>
      </c>
      <c r="M120" s="31">
        <f t="shared" si="38"/>
        <v>-2763.1640832353155</v>
      </c>
      <c r="N120" s="31">
        <f t="shared" si="38"/>
        <v>-3354.5936191056476</v>
      </c>
      <c r="O120" s="31">
        <f t="shared" si="38"/>
        <v>-3668.5508022457498</v>
      </c>
      <c r="P120" s="31">
        <f t="shared" si="38"/>
        <v>-3819.8222449047753</v>
      </c>
      <c r="Q120" s="31">
        <f t="shared" si="38"/>
        <v>-3820.652760441988</v>
      </c>
      <c r="R120" s="31">
        <f t="shared" si="38"/>
        <v>-3820.652760441988</v>
      </c>
      <c r="S120" s="31">
        <f t="shared" si="38"/>
        <v>-3820.652760441988</v>
      </c>
      <c r="T120" s="31">
        <f t="shared" si="38"/>
        <v>-3820.652760441988</v>
      </c>
      <c r="U120" s="31">
        <f t="shared" si="38"/>
        <v>-3820.652760441988</v>
      </c>
      <c r="V120" s="31">
        <f t="shared" si="38"/>
        <v>-3820.652760441988</v>
      </c>
      <c r="W120" s="31">
        <f t="shared" si="38"/>
        <v>-3820.652760441988</v>
      </c>
      <c r="X120" s="31">
        <f t="shared" si="38"/>
        <v>-3820.652760441988</v>
      </c>
      <c r="Y120" s="31">
        <f t="shared" si="38"/>
        <v>-3820.652760441988</v>
      </c>
      <c r="Z120" s="31">
        <f t="shared" si="38"/>
        <v>-3820.652760441988</v>
      </c>
      <c r="AA120" s="31">
        <f t="shared" si="38"/>
        <v>-3820.652760441988</v>
      </c>
      <c r="AB120" s="31">
        <f t="shared" si="38"/>
        <v>-3820.652760441988</v>
      </c>
      <c r="AC120" s="31">
        <f t="shared" si="38"/>
        <v>-3820.652760441988</v>
      </c>
      <c r="AD120" s="31">
        <f t="shared" si="38"/>
        <v>-3820.652760441988</v>
      </c>
      <c r="AE120" s="31">
        <f t="shared" si="38"/>
        <v>-3820.652760441988</v>
      </c>
      <c r="AF120" s="31">
        <f t="shared" ref="AF120" si="42">INDEX(AF$40:AF$43, MATCH($C120, $C$40:$C$43,0))*(AF114-AF108)</f>
        <v>-3820.652760441988</v>
      </c>
      <c r="AG120" s="327"/>
      <c r="AH120" s="327"/>
      <c r="AI120" s="327"/>
      <c r="AJ120" s="327"/>
      <c r="AK120" s="327"/>
      <c r="AL120" s="327"/>
      <c r="AM120" s="327"/>
      <c r="AN120" s="327"/>
      <c r="AO120" s="327"/>
      <c r="AP120" s="327"/>
      <c r="AQ120" s="327"/>
      <c r="AR120" s="327"/>
      <c r="AS120" s="327"/>
      <c r="AT120" s="327"/>
      <c r="AU120" s="327"/>
      <c r="AV120" s="327"/>
      <c r="AW120" s="327"/>
      <c r="AX120" s="327"/>
      <c r="AY120" s="327"/>
      <c r="AZ120" s="327"/>
      <c r="BA120" s="327"/>
      <c r="BB120" s="327"/>
      <c r="BC120" s="327"/>
      <c r="BD120" s="327"/>
      <c r="BE120" s="327"/>
      <c r="BF120" s="327"/>
      <c r="BG120" s="327"/>
      <c r="BH120" s="327"/>
      <c r="BI120" s="327"/>
    </row>
    <row r="121" spans="1:61" x14ac:dyDescent="0.2">
      <c r="A121" s="327"/>
      <c r="B121" s="327"/>
      <c r="C121" s="339"/>
      <c r="D121" s="327"/>
      <c r="F121" s="327"/>
      <c r="G121" s="327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27"/>
      <c r="AH121" s="327"/>
      <c r="AI121" s="327"/>
      <c r="AJ121" s="327"/>
      <c r="AK121" s="327"/>
      <c r="AL121" s="327"/>
      <c r="AM121" s="327"/>
      <c r="AN121" s="327"/>
      <c r="AO121" s="327"/>
      <c r="AP121" s="327"/>
      <c r="AQ121" s="327"/>
      <c r="AR121" s="327"/>
      <c r="AS121" s="327"/>
      <c r="AT121" s="327"/>
      <c r="AU121" s="327"/>
      <c r="AV121" s="327"/>
      <c r="AW121" s="327"/>
      <c r="AX121" s="327"/>
      <c r="AY121" s="327"/>
      <c r="AZ121" s="327"/>
      <c r="BA121" s="327"/>
      <c r="BB121" s="327"/>
      <c r="BC121" s="327"/>
      <c r="BD121" s="327"/>
      <c r="BE121" s="327"/>
      <c r="BF121" s="327"/>
      <c r="BG121" s="327"/>
      <c r="BH121" s="327"/>
      <c r="BI121" s="327"/>
    </row>
    <row r="122" spans="1:61" x14ac:dyDescent="0.2">
      <c r="A122" s="327"/>
      <c r="B122" s="328" t="s">
        <v>316</v>
      </c>
      <c r="C122" s="340"/>
      <c r="D122" s="327"/>
      <c r="F122" s="327"/>
      <c r="G122" s="327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27"/>
      <c r="AH122" s="327"/>
      <c r="AI122" s="327"/>
      <c r="AJ122" s="327"/>
      <c r="AK122" s="327"/>
      <c r="AL122" s="327"/>
      <c r="AM122" s="327"/>
      <c r="AN122" s="327"/>
      <c r="AO122" s="327"/>
      <c r="AP122" s="327"/>
      <c r="AQ122" s="327"/>
      <c r="AR122" s="327"/>
      <c r="AS122" s="327"/>
      <c r="AT122" s="327"/>
      <c r="AU122" s="327"/>
      <c r="AV122" s="327"/>
      <c r="AW122" s="327"/>
      <c r="AX122" s="327"/>
      <c r="AY122" s="327"/>
      <c r="AZ122" s="327"/>
      <c r="BA122" s="327"/>
      <c r="BB122" s="327"/>
      <c r="BC122" s="327"/>
      <c r="BD122" s="327"/>
      <c r="BE122" s="327"/>
      <c r="BF122" s="327"/>
      <c r="BG122" s="327"/>
      <c r="BH122" s="327"/>
      <c r="BI122" s="327"/>
    </row>
    <row r="123" spans="1:61" x14ac:dyDescent="0.2">
      <c r="A123" s="327"/>
      <c r="B123" s="327"/>
      <c r="C123" s="339" t="str">
        <f>$C120</f>
        <v>Option 3</v>
      </c>
      <c r="D123" s="327" t="str">
        <f>D105</f>
        <v>Response cost</v>
      </c>
      <c r="E123" s="345" t="str">
        <f>C123&amp;D123</f>
        <v>Option 3Response cost</v>
      </c>
      <c r="F123" s="327"/>
      <c r="G123" s="327"/>
      <c r="H123" s="31" cm="1">
        <f t="array" ref="H123:H126">H$63:H$66+H117:H120</f>
        <v>1114904.0813809298</v>
      </c>
      <c r="I123" s="31" cm="1">
        <f t="array" ref="I123:I126">I$63:I$66+I117:I120</f>
        <v>1331796.3334353638</v>
      </c>
      <c r="J123" s="31" cm="1">
        <f t="array" ref="J123:J126">J$63:J$66+J117:J120</f>
        <v>1600247.6673131282</v>
      </c>
      <c r="K123" s="31" cm="1">
        <f t="array" ref="K123:K126">K$63:K$66+K117:K120</f>
        <v>1932515.4771896873</v>
      </c>
      <c r="L123" s="31" cm="1">
        <f t="array" ref="L123:L126">L$63:L$66+L117:L120</f>
        <v>2344668.474217888</v>
      </c>
      <c r="M123" s="31" cm="1">
        <f t="array" ref="M123:M126">M$63:M$66+M117:M120</f>
        <v>2856750.9047693936</v>
      </c>
      <c r="N123" s="31" cm="1">
        <f t="array" ref="N123:N126">N$63:N$66+N117:N120</f>
        <v>3492476.8503143881</v>
      </c>
      <c r="O123" s="31" cm="1">
        <f t="array" ref="O123:O126">O$63:O$66+O117:O120</f>
        <v>4137567.3846241715</v>
      </c>
      <c r="P123" s="31" cm="1">
        <f t="array" ref="P123:P126">P$63:P$66+P117:P120</f>
        <v>4789461.3049336141</v>
      </c>
      <c r="Q123" s="31" cm="1">
        <f t="array" ref="Q123:Q126">Q$63:Q$66+Q117:Q120</f>
        <v>5447767.0032122396</v>
      </c>
      <c r="R123" s="31" cm="1">
        <f t="array" ref="R123:R126">R$63:R$66+R117:R120</f>
        <v>6257267.5514628869</v>
      </c>
      <c r="S123" s="31" cm="1">
        <f t="array" ref="S123:S126">S$63:S$66+S117:S120</f>
        <v>7080006.0003445689</v>
      </c>
      <c r="T123" s="31" cm="1">
        <f t="array" ref="T123:T126">T$63:T$66+T117:T120</f>
        <v>7847085.6125461301</v>
      </c>
      <c r="U123" s="31" cm="1">
        <f t="array" ref="U123:U126">U$63:U$66+U117:U120</f>
        <v>8395715.3129657172</v>
      </c>
      <c r="V123" s="31" cm="1">
        <f t="array" ref="V123:V126">V$63:V$66+V117:V120</f>
        <v>8819536.1557324175</v>
      </c>
      <c r="W123" s="31" cm="1">
        <f t="array" ref="W123:W126">W$63:W$66+W117:W120</f>
        <v>9194839.62262672</v>
      </c>
      <c r="X123" s="31" cm="1">
        <f t="array" ref="X123:X126">X$63:X$66+X117:X120</f>
        <v>9419341.7080872767</v>
      </c>
      <c r="Y123" s="31" cm="1">
        <f t="array" ref="Y123:Y126">Y$63:Y$66+Y117:Y120</f>
        <v>9610065.9212584216</v>
      </c>
      <c r="Z123" s="31" cm="1">
        <f t="array" ref="Z123:Z126">Z$63:Z$66+Z117:Z120</f>
        <v>9770265.5813479461</v>
      </c>
      <c r="AA123" s="31" cm="1">
        <f t="array" ref="AA123:AA126">AA$63:AA$66+AA117:AA120</f>
        <v>9914037.496916255</v>
      </c>
      <c r="AB123" s="31" cm="1">
        <f t="array" ref="AB123:AB126">AB$63:AB$66+AB117:AB120</f>
        <v>10046711.543611428</v>
      </c>
      <c r="AC123" s="31" cm="1">
        <f t="array" ref="AC123:AC126">AC$63:AC$66+AC117:AC120</f>
        <v>10140990.271147246</v>
      </c>
      <c r="AD123" s="31" cm="1">
        <f t="array" ref="AD123:AD126">AD$63:AD$66+AD117:AD120</f>
        <v>10214261.117022123</v>
      </c>
      <c r="AE123" s="31" cm="1">
        <f t="array" ref="AE123:AE126">AE$63:AE$66+AE117:AE120</f>
        <v>10278124.579237793</v>
      </c>
      <c r="AF123" s="31" cm="1">
        <f t="array" ref="AF123:AF126">AF$63:AF$66+AF117:AF120</f>
        <v>10339003.344419546</v>
      </c>
      <c r="AG123" s="327"/>
      <c r="AH123" s="327"/>
      <c r="AI123" s="327"/>
      <c r="AJ123" s="327"/>
      <c r="AK123" s="327"/>
      <c r="AL123" s="327"/>
      <c r="AM123" s="327"/>
      <c r="AN123" s="327"/>
      <c r="AO123" s="327"/>
      <c r="AP123" s="327"/>
      <c r="AQ123" s="327"/>
      <c r="AR123" s="327"/>
      <c r="AS123" s="327"/>
      <c r="AT123" s="327"/>
      <c r="AU123" s="327"/>
      <c r="AV123" s="327"/>
      <c r="AW123" s="327"/>
      <c r="AX123" s="327"/>
      <c r="AY123" s="327"/>
      <c r="AZ123" s="327"/>
      <c r="BA123" s="327"/>
      <c r="BB123" s="327"/>
      <c r="BC123" s="327"/>
      <c r="BD123" s="327"/>
      <c r="BE123" s="327"/>
      <c r="BF123" s="327"/>
      <c r="BG123" s="327"/>
      <c r="BH123" s="327"/>
      <c r="BI123" s="327"/>
    </row>
    <row r="124" spans="1:61" x14ac:dyDescent="0.2">
      <c r="A124" s="327"/>
      <c r="B124" s="327"/>
      <c r="C124" s="339" t="str">
        <f>C123</f>
        <v>Option 3</v>
      </c>
      <c r="D124" s="327" t="str">
        <f t="shared" ref="D124:D126" si="43">D106</f>
        <v>Unplanned replacements</v>
      </c>
      <c r="E124" s="345" t="str">
        <f t="shared" ref="E124:E126" si="44">C124&amp;D124</f>
        <v>Option 3Unplanned replacements</v>
      </c>
      <c r="F124" s="327"/>
      <c r="G124" s="327"/>
      <c r="H124" s="31">
        <v>1900959.3721450921</v>
      </c>
      <c r="I124" s="31">
        <v>2266556.5787548455</v>
      </c>
      <c r="J124" s="31">
        <v>2717897.5602389239</v>
      </c>
      <c r="K124" s="31">
        <v>3275067.7754946491</v>
      </c>
      <c r="L124" s="31">
        <v>3964363.9898266904</v>
      </c>
      <c r="M124" s="31">
        <v>4818475.5318981614</v>
      </c>
      <c r="N124" s="31">
        <v>5891198.2457960472</v>
      </c>
      <c r="O124" s="31">
        <v>6985150.6632548887</v>
      </c>
      <c r="P124" s="31">
        <v>8093788.7240821915</v>
      </c>
      <c r="Q124" s="31">
        <v>9216212.4785969295</v>
      </c>
      <c r="R124" s="31">
        <v>10596445.701931851</v>
      </c>
      <c r="S124" s="31">
        <v>11999250.114746068</v>
      </c>
      <c r="T124" s="31">
        <v>13307153.819062816</v>
      </c>
      <c r="U124" s="31">
        <v>14242591.035830375</v>
      </c>
      <c r="V124" s="31">
        <v>14965223.7865957</v>
      </c>
      <c r="W124" s="31">
        <v>15605132.326447489</v>
      </c>
      <c r="X124" s="31">
        <v>15987918.030212931</v>
      </c>
      <c r="Y124" s="31">
        <v>16313111.010109119</v>
      </c>
      <c r="Z124" s="31">
        <v>16586258.315197859</v>
      </c>
      <c r="AA124" s="31">
        <v>16831395.609889895</v>
      </c>
      <c r="AB124" s="31">
        <v>17057610.561218459</v>
      </c>
      <c r="AC124" s="31">
        <v>17218359.84332813</v>
      </c>
      <c r="AD124" s="31">
        <v>17343289.784384876</v>
      </c>
      <c r="AE124" s="31">
        <v>17452179.732017092</v>
      </c>
      <c r="AF124" s="31">
        <v>17555980.642938085</v>
      </c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327"/>
      <c r="AQ124" s="327"/>
      <c r="AR124" s="327"/>
      <c r="AS124" s="327"/>
      <c r="AT124" s="327"/>
      <c r="AU124" s="327"/>
      <c r="AV124" s="327"/>
      <c r="AW124" s="327"/>
      <c r="AX124" s="327"/>
      <c r="AY124" s="327"/>
      <c r="AZ124" s="327"/>
      <c r="BA124" s="327"/>
      <c r="BB124" s="327"/>
      <c r="BC124" s="327"/>
      <c r="BD124" s="327"/>
      <c r="BE124" s="327"/>
      <c r="BF124" s="327"/>
      <c r="BG124" s="327"/>
      <c r="BH124" s="327"/>
      <c r="BI124" s="327"/>
    </row>
    <row r="125" spans="1:61" x14ac:dyDescent="0.2">
      <c r="A125" s="327"/>
      <c r="B125" s="327"/>
      <c r="C125" s="339" t="str">
        <f t="shared" ref="C125:C126" si="45">C124</f>
        <v>Option 3</v>
      </c>
      <c r="D125" s="327" t="str">
        <f t="shared" si="43"/>
        <v>Safety Consequence</v>
      </c>
      <c r="E125" s="345" t="str">
        <f t="shared" si="44"/>
        <v>Option 3Safety Consequence</v>
      </c>
      <c r="F125" s="327"/>
      <c r="G125" s="327"/>
      <c r="H125" s="31">
        <v>3423495.0151333283</v>
      </c>
      <c r="I125" s="31">
        <v>4087118.9557220363</v>
      </c>
      <c r="J125" s="31">
        <v>4907840.0448736111</v>
      </c>
      <c r="K125" s="31">
        <v>5922837.0235630879</v>
      </c>
      <c r="L125" s="31">
        <v>7180829.7607163126</v>
      </c>
      <c r="M125" s="31">
        <v>8742527.7565659471</v>
      </c>
      <c r="N125" s="31">
        <v>10688294.107301414</v>
      </c>
      <c r="O125" s="31">
        <v>12665787.569056891</v>
      </c>
      <c r="P125" s="31">
        <v>14665914.23421159</v>
      </c>
      <c r="Q125" s="31">
        <v>16687340.469566209</v>
      </c>
      <c r="R125" s="31">
        <v>19173044.072203677</v>
      </c>
      <c r="S125" s="31">
        <v>21699396.810114771</v>
      </c>
      <c r="T125" s="31">
        <v>24054840.002438322</v>
      </c>
      <c r="U125" s="31">
        <v>25739497.073757093</v>
      </c>
      <c r="V125" s="31">
        <v>27040908.169789899</v>
      </c>
      <c r="W125" s="31">
        <v>28193338.741649926</v>
      </c>
      <c r="X125" s="31">
        <v>28882709.05008873</v>
      </c>
      <c r="Y125" s="31">
        <v>29468358.886662919</v>
      </c>
      <c r="Z125" s="31">
        <v>29960278.099177808</v>
      </c>
      <c r="AA125" s="31">
        <v>30401753.239940256</v>
      </c>
      <c r="AB125" s="31">
        <v>30809150.562350187</v>
      </c>
      <c r="AC125" s="31">
        <v>31098648.788378928</v>
      </c>
      <c r="AD125" s="31">
        <v>31323638.883756954</v>
      </c>
      <c r="AE125" s="31">
        <v>31519742.071641687</v>
      </c>
      <c r="AF125" s="31">
        <v>31706680.25996463</v>
      </c>
      <c r="AG125" s="327"/>
      <c r="AH125" s="327"/>
      <c r="AI125" s="327"/>
      <c r="AJ125" s="327"/>
      <c r="AK125" s="327"/>
      <c r="AL125" s="327"/>
      <c r="AM125" s="327"/>
      <c r="AN125" s="327"/>
      <c r="AO125" s="327"/>
      <c r="AP125" s="327"/>
      <c r="AQ125" s="327"/>
      <c r="AR125" s="327"/>
      <c r="AS125" s="327"/>
      <c r="AT125" s="327"/>
      <c r="AU125" s="327"/>
      <c r="AV125" s="327"/>
      <c r="AW125" s="327"/>
      <c r="AX125" s="327"/>
      <c r="AY125" s="327"/>
      <c r="AZ125" s="327"/>
      <c r="BA125" s="327"/>
      <c r="BB125" s="327"/>
      <c r="BC125" s="327"/>
      <c r="BD125" s="327"/>
      <c r="BE125" s="327"/>
      <c r="BF125" s="327"/>
      <c r="BG125" s="327"/>
      <c r="BH125" s="327"/>
      <c r="BI125" s="327"/>
    </row>
    <row r="126" spans="1:61" x14ac:dyDescent="0.2">
      <c r="A126" s="327"/>
      <c r="B126" s="327"/>
      <c r="C126" s="339" t="str">
        <f t="shared" si="45"/>
        <v>Option 3</v>
      </c>
      <c r="D126" s="327" t="str">
        <f t="shared" si="43"/>
        <v>Environmental Consequence</v>
      </c>
      <c r="E126" s="345" t="str">
        <f t="shared" si="44"/>
        <v>Option 3Environmental Consequence</v>
      </c>
      <c r="F126" s="327"/>
      <c r="G126" s="327"/>
      <c r="H126" s="31">
        <v>165853.38374076918</v>
      </c>
      <c r="I126" s="31">
        <v>198175.89746419675</v>
      </c>
      <c r="J126" s="31">
        <v>238197.95795789905</v>
      </c>
      <c r="K126" s="31">
        <v>287754.09966130793</v>
      </c>
      <c r="L126" s="31">
        <v>349249.75312992907</v>
      </c>
      <c r="M126" s="31">
        <v>425687.02342011867</v>
      </c>
      <c r="N126" s="31">
        <v>520411.03612785414</v>
      </c>
      <c r="O126" s="31">
        <v>616456.21644352993</v>
      </c>
      <c r="P126" s="31">
        <v>713471.3077770723</v>
      </c>
      <c r="Q126" s="31">
        <v>811401.22783925571</v>
      </c>
      <c r="R126" s="31">
        <v>931822.71279882651</v>
      </c>
      <c r="S126" s="31">
        <v>1054213.470855471</v>
      </c>
      <c r="T126" s="31">
        <v>1168324.4077574213</v>
      </c>
      <c r="U126" s="31">
        <v>1249938.6862903058</v>
      </c>
      <c r="V126" s="31">
        <v>1312986.3708818422</v>
      </c>
      <c r="W126" s="31">
        <v>1368816.599646423</v>
      </c>
      <c r="X126" s="31">
        <v>1402213.5807431049</v>
      </c>
      <c r="Y126" s="31">
        <v>1430585.7579052427</v>
      </c>
      <c r="Z126" s="31">
        <v>1454417.0956352646</v>
      </c>
      <c r="AA126" s="31">
        <v>1475804.6383684129</v>
      </c>
      <c r="AB126" s="31">
        <v>1495541.259613642</v>
      </c>
      <c r="AC126" s="31">
        <v>1509566.1844818171</v>
      </c>
      <c r="AD126" s="31">
        <v>1520465.9721145297</v>
      </c>
      <c r="AE126" s="31">
        <v>1529966.315222746</v>
      </c>
      <c r="AF126" s="31">
        <v>1539022.6541239792</v>
      </c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327"/>
      <c r="BB126" s="327"/>
      <c r="BC126" s="327"/>
      <c r="BD126" s="327"/>
      <c r="BE126" s="327"/>
      <c r="BF126" s="327"/>
      <c r="BG126" s="327"/>
      <c r="BH126" s="327"/>
      <c r="BI126" s="327"/>
    </row>
    <row r="127" spans="1:61" x14ac:dyDescent="0.2">
      <c r="A127" s="327"/>
      <c r="B127" s="327"/>
      <c r="C127" s="339"/>
      <c r="D127" s="327"/>
      <c r="E127" s="327"/>
      <c r="F127" s="327"/>
      <c r="G127" s="327"/>
      <c r="H127" s="327"/>
      <c r="I127" s="327"/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7"/>
      <c r="X127" s="327"/>
      <c r="Y127" s="327"/>
      <c r="Z127" s="327"/>
      <c r="AA127" s="327"/>
      <c r="AB127" s="327"/>
      <c r="AC127" s="327"/>
      <c r="AD127" s="327"/>
      <c r="AE127" s="327"/>
      <c r="AF127" s="327"/>
      <c r="AG127" s="327"/>
      <c r="AH127" s="327"/>
      <c r="AI127" s="327"/>
      <c r="AJ127" s="327"/>
      <c r="AK127" s="327"/>
      <c r="AL127" s="327"/>
      <c r="AM127" s="327"/>
      <c r="AN127" s="327"/>
      <c r="AO127" s="327"/>
      <c r="AP127" s="327"/>
      <c r="AQ127" s="327"/>
      <c r="AR127" s="327"/>
      <c r="AS127" s="327"/>
      <c r="AT127" s="327"/>
      <c r="AU127" s="327"/>
      <c r="AV127" s="327"/>
      <c r="AW127" s="327"/>
      <c r="AX127" s="327"/>
      <c r="AY127" s="327"/>
      <c r="AZ127" s="327"/>
      <c r="BA127" s="327"/>
      <c r="BB127" s="327"/>
      <c r="BC127" s="327"/>
      <c r="BD127" s="327"/>
      <c r="BE127" s="327"/>
      <c r="BF127" s="327"/>
      <c r="BG127" s="327"/>
      <c r="BH127" s="327"/>
      <c r="BI127" s="327"/>
    </row>
    <row r="128" spans="1:61" x14ac:dyDescent="0.2">
      <c r="A128" s="327"/>
      <c r="B128" s="327"/>
      <c r="C128" s="34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327"/>
      <c r="BB128" s="327"/>
      <c r="BC128" s="327"/>
      <c r="BD128" s="327"/>
      <c r="BE128" s="327"/>
      <c r="BF128" s="327"/>
      <c r="BG128" s="327"/>
    </row>
    <row r="129" spans="1:61" ht="15" x14ac:dyDescent="0.25">
      <c r="A129" s="206" t="str">
        <f>UPPER(B131)&amp; " RISK"</f>
        <v>OPTION 4 RISK</v>
      </c>
      <c r="B129" s="54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3"/>
      <c r="AG129" s="203"/>
      <c r="AH129" s="10"/>
      <c r="AI129" s="10"/>
      <c r="AJ129" s="8"/>
      <c r="AK129" s="327"/>
      <c r="AL129" s="327"/>
      <c r="AM129" s="327"/>
      <c r="AN129" s="327"/>
      <c r="AO129" s="327"/>
      <c r="AP129" s="327"/>
      <c r="AQ129" s="327"/>
      <c r="AR129" s="327"/>
      <c r="AS129" s="327"/>
      <c r="AT129" s="327"/>
      <c r="AU129" s="327"/>
      <c r="AV129" s="327"/>
      <c r="AW129" s="327"/>
      <c r="AX129" s="327"/>
      <c r="AY129" s="327"/>
      <c r="AZ129" s="327"/>
      <c r="BA129" s="327"/>
      <c r="BB129" s="327"/>
      <c r="BC129" s="327"/>
      <c r="BD129" s="327"/>
      <c r="BE129" s="327"/>
      <c r="BF129" s="327"/>
      <c r="BG129" s="327"/>
    </row>
    <row r="130" spans="1:61" x14ac:dyDescent="0.2">
      <c r="A130" s="327"/>
      <c r="B130" s="327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27"/>
      <c r="AH130" s="327"/>
      <c r="AI130" s="327"/>
      <c r="AJ130" s="327"/>
      <c r="AK130" s="327"/>
      <c r="AL130" s="327"/>
      <c r="AM130" s="327"/>
      <c r="AN130" s="327"/>
      <c r="AO130" s="327"/>
      <c r="AP130" s="327"/>
      <c r="AQ130" s="327"/>
      <c r="AR130" s="327"/>
      <c r="AS130" s="327"/>
      <c r="AT130" s="327"/>
      <c r="AU130" s="327"/>
      <c r="AV130" s="327"/>
      <c r="AW130" s="327"/>
      <c r="AX130" s="327"/>
      <c r="AY130" s="327"/>
      <c r="AZ130" s="327"/>
      <c r="BA130" s="327"/>
      <c r="BB130" s="327"/>
      <c r="BC130" s="327"/>
      <c r="BD130" s="327"/>
      <c r="BE130" s="327"/>
      <c r="BF130" s="327"/>
      <c r="BG130" s="327"/>
    </row>
    <row r="131" spans="1:61" x14ac:dyDescent="0.2">
      <c r="A131" s="327"/>
      <c r="B131" s="331" t="s">
        <v>133</v>
      </c>
      <c r="C131" s="331"/>
      <c r="D131" s="331"/>
      <c r="E131" s="331"/>
      <c r="F131" s="331" t="s">
        <v>308</v>
      </c>
      <c r="G131" s="331"/>
      <c r="H131" s="332" t="s">
        <v>271</v>
      </c>
      <c r="I131" s="332" t="s">
        <v>272</v>
      </c>
      <c r="J131" s="332" t="s">
        <v>273</v>
      </c>
      <c r="K131" s="332" t="s">
        <v>274</v>
      </c>
      <c r="L131" s="332" t="s">
        <v>275</v>
      </c>
      <c r="M131" s="332" t="s">
        <v>276</v>
      </c>
      <c r="N131" s="332" t="s">
        <v>277</v>
      </c>
      <c r="O131" s="332" t="s">
        <v>278</v>
      </c>
      <c r="P131" s="332" t="s">
        <v>279</v>
      </c>
      <c r="Q131" s="332" t="s">
        <v>280</v>
      </c>
      <c r="R131" s="332" t="s">
        <v>281</v>
      </c>
      <c r="S131" s="332" t="s">
        <v>282</v>
      </c>
      <c r="T131" s="332" t="s">
        <v>283</v>
      </c>
      <c r="U131" s="332" t="s">
        <v>284</v>
      </c>
      <c r="V131" s="332" t="s">
        <v>285</v>
      </c>
      <c r="W131" s="332" t="s">
        <v>286</v>
      </c>
      <c r="X131" s="332" t="s">
        <v>287</v>
      </c>
      <c r="Y131" s="332" t="s">
        <v>288</v>
      </c>
      <c r="Z131" s="332" t="s">
        <v>289</v>
      </c>
      <c r="AA131" s="332" t="s">
        <v>290</v>
      </c>
      <c r="AB131" s="332" t="s">
        <v>291</v>
      </c>
      <c r="AC131" s="332" t="s">
        <v>292</v>
      </c>
      <c r="AD131" s="332" t="s">
        <v>293</v>
      </c>
      <c r="AE131" s="332" t="s">
        <v>294</v>
      </c>
      <c r="AF131" s="332" t="s">
        <v>295</v>
      </c>
      <c r="AG131" s="327"/>
      <c r="AH131" s="327"/>
      <c r="AI131" s="327"/>
      <c r="AJ131" s="327"/>
      <c r="AK131" s="327"/>
      <c r="AL131" s="327"/>
      <c r="AM131" s="327"/>
      <c r="AN131" s="327"/>
      <c r="AO131" s="327"/>
      <c r="AP131" s="327"/>
      <c r="AQ131" s="327"/>
      <c r="AR131" s="327"/>
      <c r="AS131" s="327"/>
      <c r="AT131" s="327"/>
      <c r="AU131" s="327"/>
      <c r="AV131" s="327"/>
      <c r="AW131" s="327"/>
      <c r="AX131" s="327"/>
      <c r="AY131" s="327"/>
      <c r="AZ131" s="327"/>
      <c r="BA131" s="327"/>
      <c r="BB131" s="327"/>
      <c r="BC131" s="327"/>
      <c r="BD131" s="327"/>
      <c r="BE131" s="327"/>
      <c r="BF131" s="327"/>
      <c r="BG131" s="327"/>
      <c r="BH131" s="327"/>
      <c r="BI131" s="327"/>
    </row>
    <row r="132" spans="1:61" x14ac:dyDescent="0.2">
      <c r="A132" s="327"/>
      <c r="B132" s="327"/>
      <c r="C132" s="339"/>
      <c r="D132" s="327"/>
      <c r="E132" s="327"/>
      <c r="F132" s="327"/>
      <c r="G132" s="327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27"/>
      <c r="AH132" s="327"/>
      <c r="AI132" s="327"/>
      <c r="AJ132" s="327"/>
      <c r="AK132" s="327"/>
      <c r="AL132" s="327"/>
      <c r="AM132" s="327"/>
      <c r="AN132" s="327"/>
      <c r="AO132" s="327"/>
      <c r="AP132" s="327"/>
      <c r="AQ132" s="327"/>
      <c r="AR132" s="327"/>
      <c r="AS132" s="327"/>
      <c r="AT132" s="327"/>
      <c r="AU132" s="327"/>
      <c r="AV132" s="327"/>
      <c r="AW132" s="327"/>
      <c r="AX132" s="327"/>
      <c r="AY132" s="327"/>
      <c r="AZ132" s="327"/>
      <c r="BA132" s="327"/>
      <c r="BB132" s="327"/>
      <c r="BC132" s="327"/>
      <c r="BD132" s="327"/>
      <c r="BE132" s="327"/>
      <c r="BF132" s="327"/>
      <c r="BG132" s="327"/>
      <c r="BH132" s="327"/>
      <c r="BI132" s="327"/>
    </row>
    <row r="133" spans="1:61" x14ac:dyDescent="0.2">
      <c r="A133" s="327"/>
      <c r="B133" s="327"/>
      <c r="C133" s="339" t="s">
        <v>266</v>
      </c>
      <c r="D133" s="351"/>
      <c r="E133" s="351"/>
      <c r="F133" s="351"/>
      <c r="G133" s="351"/>
      <c r="H133" s="352" t="b">
        <v>1</v>
      </c>
      <c r="I133" s="352" t="b">
        <v>1</v>
      </c>
      <c r="J133" s="352" t="b">
        <v>1</v>
      </c>
      <c r="K133" s="352" t="b">
        <v>1</v>
      </c>
      <c r="L133" s="352" t="b">
        <v>1</v>
      </c>
      <c r="M133" s="352" t="b">
        <v>0</v>
      </c>
      <c r="N133" s="352" t="b">
        <v>0</v>
      </c>
      <c r="O133" s="352" t="b">
        <v>0</v>
      </c>
      <c r="P133" s="352" t="b">
        <v>0</v>
      </c>
      <c r="Q133" s="352" t="b">
        <v>0</v>
      </c>
      <c r="R133" s="352" t="b">
        <v>0</v>
      </c>
      <c r="S133" s="352" t="b">
        <v>0</v>
      </c>
      <c r="T133" s="352" t="b">
        <v>0</v>
      </c>
      <c r="U133" s="352" t="b">
        <v>0</v>
      </c>
      <c r="V133" s="352" t="b">
        <v>0</v>
      </c>
      <c r="W133" s="352" t="b">
        <v>0</v>
      </c>
      <c r="X133" s="352" t="b">
        <v>0</v>
      </c>
      <c r="Y133" s="352" t="b">
        <v>0</v>
      </c>
      <c r="Z133" s="352" t="b">
        <v>0</v>
      </c>
      <c r="AA133" s="352" t="b">
        <v>0</v>
      </c>
      <c r="AB133" s="352" t="b">
        <v>0</v>
      </c>
      <c r="AC133" s="352" t="b">
        <v>0</v>
      </c>
      <c r="AD133" s="352" t="b">
        <v>0</v>
      </c>
      <c r="AE133" s="352" t="b">
        <v>0</v>
      </c>
      <c r="AF133" s="352" t="b">
        <v>0</v>
      </c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327"/>
      <c r="BB133" s="327"/>
      <c r="BC133" s="327"/>
      <c r="BD133" s="327"/>
      <c r="BE133" s="327"/>
      <c r="BF133" s="327"/>
      <c r="BG133" s="327"/>
      <c r="BH133" s="327"/>
      <c r="BI133" s="327"/>
    </row>
    <row r="134" spans="1:61" x14ac:dyDescent="0.2">
      <c r="A134" s="327"/>
      <c r="B134" s="327"/>
      <c r="C134" s="339"/>
      <c r="D134" s="327"/>
      <c r="E134" s="327"/>
      <c r="F134" s="327"/>
      <c r="G134" s="327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327"/>
      <c r="BB134" s="327"/>
      <c r="BC134" s="327"/>
      <c r="BD134" s="327"/>
      <c r="BE134" s="327"/>
      <c r="BF134" s="327"/>
      <c r="BG134" s="327"/>
      <c r="BH134" s="327"/>
      <c r="BI134" s="327"/>
    </row>
    <row r="135" spans="1:61" x14ac:dyDescent="0.2">
      <c r="A135" s="327"/>
      <c r="B135" s="327"/>
      <c r="C135" s="339"/>
      <c r="D135" s="327"/>
      <c r="E135" s="327"/>
      <c r="F135" s="327"/>
      <c r="G135" s="327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327"/>
      <c r="BB135" s="327"/>
      <c r="BC135" s="327"/>
      <c r="BD135" s="327"/>
      <c r="BE135" s="327"/>
      <c r="BF135" s="327"/>
      <c r="BG135" s="327"/>
      <c r="BH135" s="327"/>
      <c r="BI135" s="327"/>
    </row>
    <row r="136" spans="1:61" x14ac:dyDescent="0.2">
      <c r="A136" s="327"/>
      <c r="B136" s="328" t="s">
        <v>306</v>
      </c>
      <c r="C136" s="340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>
        <f>0.1*M137-0.1*M143</f>
        <v>6066.6123718043036</v>
      </c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</row>
    <row r="137" spans="1:61" x14ac:dyDescent="0.2">
      <c r="A137" s="327"/>
      <c r="B137" s="327"/>
      <c r="C137" s="339" t="str">
        <f>$B$131</f>
        <v>Option 4</v>
      </c>
      <c r="D137" s="6" t="s">
        <v>296</v>
      </c>
      <c r="E137" s="6" t="s">
        <v>305</v>
      </c>
      <c r="F137" s="337" cm="1">
        <f t="array" ref="F137:F140">INDEX($H$11:$L$14,,MATCH($B131, $H$9:$L$9,0))</f>
        <v>16004.166666666666</v>
      </c>
      <c r="G137" s="337"/>
      <c r="H137" s="31">
        <f t="shared" ref="H137:Q140" si="46">INDEX(H$20:H$24, MATCH($C137, $C$20:$C$24,0))*$F137</f>
        <v>23404.547626834883</v>
      </c>
      <c r="I137" s="31">
        <f t="shared" si="46"/>
        <v>28420.899112959934</v>
      </c>
      <c r="J137" s="31">
        <f t="shared" si="46"/>
        <v>34659.936854403641</v>
      </c>
      <c r="K137" s="31">
        <f t="shared" si="46"/>
        <v>42440.16317288766</v>
      </c>
      <c r="L137" s="31">
        <f t="shared" si="46"/>
        <v>52166.490128058402</v>
      </c>
      <c r="M137" s="31">
        <f t="shared" si="46"/>
        <v>64333.278265576366</v>
      </c>
      <c r="N137" s="31">
        <f t="shared" si="46"/>
        <v>77781.098442689603</v>
      </c>
      <c r="O137" s="31">
        <f t="shared" si="46"/>
        <v>85851.138992765365</v>
      </c>
      <c r="P137" s="31">
        <f t="shared" si="46"/>
        <v>90823.210453135704</v>
      </c>
      <c r="Q137" s="31">
        <f t="shared" si="46"/>
        <v>91459.462343130479</v>
      </c>
      <c r="R137" s="31">
        <f t="shared" ref="R137:AF140" si="47">INDEX(R$20:R$24, MATCH($C137, $C$20:$C$24,0))*$F137</f>
        <v>91864.582022837101</v>
      </c>
      <c r="S137" s="31">
        <f t="shared" si="47"/>
        <v>92303.403471452417</v>
      </c>
      <c r="T137" s="31">
        <f t="shared" si="47"/>
        <v>92778.809065225592</v>
      </c>
      <c r="U137" s="31">
        <f t="shared" si="47"/>
        <v>93293.931911435735</v>
      </c>
      <c r="V137" s="31">
        <f t="shared" si="47"/>
        <v>93852.177895918299</v>
      </c>
      <c r="W137" s="31">
        <f t="shared" si="47"/>
        <v>94457.249683022615</v>
      </c>
      <c r="X137" s="31">
        <f t="shared" si="47"/>
        <v>95113.172841705091</v>
      </c>
      <c r="Y137" s="31">
        <f t="shared" si="47"/>
        <v>95824.324286964023</v>
      </c>
      <c r="Z137" s="31">
        <f t="shared" si="47"/>
        <v>96595.463242711106</v>
      </c>
      <c r="AA137" s="31">
        <f t="shared" si="47"/>
        <v>97431.764950571858</v>
      </c>
      <c r="AB137" s="31">
        <f t="shared" si="47"/>
        <v>98338.857369152422</v>
      </c>
      <c r="AC137" s="31">
        <f t="shared" si="47"/>
        <v>99322.861130146062</v>
      </c>
      <c r="AD137" s="31">
        <f t="shared" si="47"/>
        <v>100390.43304144403</v>
      </c>
      <c r="AE137" s="31">
        <f t="shared" si="47"/>
        <v>101548.81345333465</v>
      </c>
      <c r="AF137" s="31">
        <f t="shared" si="47"/>
        <v>102805.87783211216</v>
      </c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327"/>
      <c r="BB137" s="327"/>
      <c r="BC137" s="327"/>
      <c r="BD137" s="327"/>
      <c r="BE137" s="327"/>
      <c r="BF137" s="327"/>
      <c r="BG137" s="327"/>
      <c r="BH137" s="327"/>
      <c r="BI137" s="327"/>
    </row>
    <row r="138" spans="1:61" x14ac:dyDescent="0.2">
      <c r="A138" s="327"/>
      <c r="B138" s="327"/>
      <c r="C138" s="339" t="str">
        <f>C137</f>
        <v>Option 4</v>
      </c>
      <c r="D138" s="6" t="s">
        <v>116</v>
      </c>
      <c r="F138" s="337">
        <v>37100</v>
      </c>
      <c r="G138" s="337"/>
      <c r="H138" s="31">
        <f t="shared" si="46"/>
        <v>54255.165860280606</v>
      </c>
      <c r="I138" s="31">
        <f t="shared" si="46"/>
        <v>65883.802577921189</v>
      </c>
      <c r="J138" s="31">
        <f t="shared" si="46"/>
        <v>80346.80493403021</v>
      </c>
      <c r="K138" s="31">
        <f t="shared" si="46"/>
        <v>98382.507912364425</v>
      </c>
      <c r="L138" s="31">
        <f t="shared" si="46"/>
        <v>120929.55691232283</v>
      </c>
      <c r="M138" s="31">
        <f t="shared" si="46"/>
        <v>149133.95201163553</v>
      </c>
      <c r="N138" s="31">
        <f t="shared" si="46"/>
        <v>180307.9668142953</v>
      </c>
      <c r="O138" s="31">
        <f t="shared" si="46"/>
        <v>199015.5015859367</v>
      </c>
      <c r="P138" s="31">
        <f t="shared" si="46"/>
        <v>210541.49072499879</v>
      </c>
      <c r="Q138" s="31">
        <f t="shared" si="46"/>
        <v>212016.41569987865</v>
      </c>
      <c r="R138" s="31">
        <f t="shared" si="47"/>
        <v>212955.54239295537</v>
      </c>
      <c r="S138" s="31">
        <f t="shared" si="47"/>
        <v>213972.79471747263</v>
      </c>
      <c r="T138" s="31">
        <f t="shared" si="47"/>
        <v>215074.8544433139</v>
      </c>
      <c r="U138" s="31">
        <f t="shared" si="47"/>
        <v>216268.98457157612</v>
      </c>
      <c r="V138" s="31">
        <f t="shared" si="47"/>
        <v>217563.0804439616</v>
      </c>
      <c r="W138" s="31">
        <f t="shared" si="47"/>
        <v>218965.72537819148</v>
      </c>
      <c r="X138" s="31">
        <f t="shared" si="47"/>
        <v>220486.251232112</v>
      </c>
      <c r="Y138" s="31">
        <f t="shared" si="47"/>
        <v>222134.80433510224</v>
      </c>
      <c r="Z138" s="31">
        <f t="shared" si="47"/>
        <v>223922.41726454039</v>
      </c>
      <c r="AA138" s="31">
        <f t="shared" si="47"/>
        <v>225861.08698773544</v>
      </c>
      <c r="AB138" s="31">
        <f t="shared" si="47"/>
        <v>227963.85993619714</v>
      </c>
      <c r="AC138" s="31">
        <f t="shared" si="47"/>
        <v>230244.92462973719</v>
      </c>
      <c r="AD138" s="31">
        <f t="shared" si="47"/>
        <v>232719.71252304548</v>
      </c>
      <c r="AE138" s="31">
        <f t="shared" si="47"/>
        <v>235405.00780746987</v>
      </c>
      <c r="AF138" s="31">
        <f t="shared" si="47"/>
        <v>238319.06696618762</v>
      </c>
      <c r="AG138" s="327"/>
      <c r="AH138" s="327"/>
      <c r="AI138" s="327"/>
      <c r="AJ138" s="327"/>
      <c r="AK138" s="327"/>
      <c r="AL138" s="327"/>
      <c r="AM138" s="327"/>
      <c r="AN138" s="327"/>
      <c r="AO138" s="327"/>
      <c r="AP138" s="327"/>
      <c r="AQ138" s="327"/>
      <c r="AR138" s="327"/>
      <c r="AS138" s="327"/>
      <c r="AT138" s="327"/>
      <c r="AU138" s="327"/>
      <c r="AV138" s="327"/>
      <c r="AW138" s="327"/>
      <c r="AX138" s="327"/>
      <c r="AY138" s="327"/>
      <c r="AZ138" s="327"/>
      <c r="BA138" s="327"/>
      <c r="BB138" s="327"/>
      <c r="BC138" s="327"/>
      <c r="BD138" s="327"/>
      <c r="BE138" s="327"/>
      <c r="BF138" s="327"/>
      <c r="BG138" s="327"/>
      <c r="BH138" s="327"/>
      <c r="BI138" s="327"/>
    </row>
    <row r="139" spans="1:61" x14ac:dyDescent="0.2">
      <c r="A139" s="327"/>
      <c r="B139" s="327"/>
      <c r="C139" s="339" t="str">
        <f t="shared" ref="C139:C140" si="48">C138</f>
        <v>Option 4</v>
      </c>
      <c r="D139" s="6" t="s">
        <v>297</v>
      </c>
      <c r="F139" s="337">
        <v>64188.259700000053</v>
      </c>
      <c r="G139" s="337"/>
      <c r="H139" s="31">
        <f t="shared" si="46"/>
        <v>93869.128741408844</v>
      </c>
      <c r="I139" s="31">
        <f t="shared" si="46"/>
        <v>113988.31886509806</v>
      </c>
      <c r="J139" s="31">
        <f t="shared" si="46"/>
        <v>139011.36337387539</v>
      </c>
      <c r="K139" s="31">
        <f t="shared" si="46"/>
        <v>170215.68646404738</v>
      </c>
      <c r="L139" s="31">
        <f t="shared" si="46"/>
        <v>209225.27774916752</v>
      </c>
      <c r="M139" s="31">
        <f t="shared" si="46"/>
        <v>258022.87983315918</v>
      </c>
      <c r="N139" s="31">
        <f t="shared" si="46"/>
        <v>311958.34500956815</v>
      </c>
      <c r="O139" s="31">
        <f t="shared" si="46"/>
        <v>344325.03234835248</v>
      </c>
      <c r="P139" s="31">
        <f t="shared" si="46"/>
        <v>364266.62760866241</v>
      </c>
      <c r="Q139" s="31">
        <f t="shared" si="46"/>
        <v>366818.45691663015</v>
      </c>
      <c r="R139" s="31">
        <f t="shared" si="47"/>
        <v>368443.27923647955</v>
      </c>
      <c r="S139" s="31">
        <f t="shared" si="47"/>
        <v>370203.26997466129</v>
      </c>
      <c r="T139" s="31">
        <f t="shared" si="47"/>
        <v>372109.98954035429</v>
      </c>
      <c r="U139" s="31">
        <f t="shared" si="47"/>
        <v>374176.00395513832</v>
      </c>
      <c r="V139" s="31">
        <f t="shared" si="47"/>
        <v>376414.97327948816</v>
      </c>
      <c r="W139" s="31">
        <f t="shared" si="47"/>
        <v>378841.74786992581</v>
      </c>
      <c r="X139" s="31">
        <f t="shared" si="47"/>
        <v>381472.47316351108</v>
      </c>
      <c r="Y139" s="31">
        <f t="shared" si="47"/>
        <v>384324.70374852396</v>
      </c>
      <c r="Z139" s="31">
        <f t="shared" si="47"/>
        <v>387417.52754792711</v>
      </c>
      <c r="AA139" s="31">
        <f t="shared" si="47"/>
        <v>390771.70101598557</v>
      </c>
      <c r="AB139" s="31">
        <f t="shared" si="47"/>
        <v>394409.79632881563</v>
      </c>
      <c r="AC139" s="31">
        <f t="shared" si="47"/>
        <v>398356.36163721047</v>
      </c>
      <c r="AD139" s="31">
        <f t="shared" si="47"/>
        <v>402638.09554551478</v>
      </c>
      <c r="AE139" s="31">
        <f t="shared" si="47"/>
        <v>407284.03708426998</v>
      </c>
      <c r="AF139" s="31">
        <f t="shared" si="47"/>
        <v>412325.77255761065</v>
      </c>
      <c r="AG139" s="327"/>
      <c r="AH139" s="327"/>
      <c r="AI139" s="327"/>
      <c r="AJ139" s="327"/>
      <c r="AK139" s="327"/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327"/>
      <c r="BB139" s="327"/>
      <c r="BC139" s="327"/>
      <c r="BD139" s="327"/>
      <c r="BE139" s="327"/>
      <c r="BF139" s="327"/>
      <c r="BG139" s="327"/>
      <c r="BH139" s="327"/>
      <c r="BI139" s="327"/>
    </row>
    <row r="140" spans="1:61" x14ac:dyDescent="0.2">
      <c r="A140" s="327"/>
      <c r="B140" s="327"/>
      <c r="C140" s="339" t="str">
        <f t="shared" si="48"/>
        <v>Option 4</v>
      </c>
      <c r="D140" s="6" t="s">
        <v>299</v>
      </c>
      <c r="F140" s="337">
        <v>1966.6666666666667</v>
      </c>
      <c r="G140" s="337"/>
      <c r="H140" s="31">
        <f t="shared" si="46"/>
        <v>2876.0600051721076</v>
      </c>
      <c r="I140" s="31">
        <f t="shared" si="46"/>
        <v>3492.492679332749</v>
      </c>
      <c r="J140" s="31">
        <f t="shared" si="46"/>
        <v>4259.1747449306222</v>
      </c>
      <c r="K140" s="31">
        <f t="shared" si="46"/>
        <v>5215.2452532160833</v>
      </c>
      <c r="L140" s="31">
        <f t="shared" si="46"/>
        <v>6410.4616871761436</v>
      </c>
      <c r="M140" s="31">
        <f t="shared" si="46"/>
        <v>7905.5733770768156</v>
      </c>
      <c r="N140" s="31">
        <f t="shared" si="46"/>
        <v>9558.1042605960665</v>
      </c>
      <c r="O140" s="31">
        <f t="shared" si="46"/>
        <v>10549.788493773824</v>
      </c>
      <c r="P140" s="31">
        <f t="shared" si="46"/>
        <v>11160.779831783404</v>
      </c>
      <c r="Q140" s="31">
        <f t="shared" si="46"/>
        <v>11238.965432428427</v>
      </c>
      <c r="R140" s="31">
        <f t="shared" si="47"/>
        <v>11288.748428737077</v>
      </c>
      <c r="S140" s="31">
        <f t="shared" si="47"/>
        <v>11342.672855643204</v>
      </c>
      <c r="T140" s="31">
        <f t="shared" si="47"/>
        <v>11401.09291298789</v>
      </c>
      <c r="U140" s="31">
        <f t="shared" si="47"/>
        <v>11464.393611610953</v>
      </c>
      <c r="V140" s="31">
        <f t="shared" si="47"/>
        <v>11532.99348265385</v>
      </c>
      <c r="W140" s="31">
        <f t="shared" si="47"/>
        <v>11607.347526786431</v>
      </c>
      <c r="X140" s="31">
        <f t="shared" si="47"/>
        <v>11687.950424703151</v>
      </c>
      <c r="Y140" s="31">
        <f t="shared" si="47"/>
        <v>11775.340032139291</v>
      </c>
      <c r="Z140" s="31">
        <f t="shared" si="47"/>
        <v>11870.10118473305</v>
      </c>
      <c r="AA140" s="31">
        <f t="shared" si="47"/>
        <v>11972.869840320207</v>
      </c>
      <c r="AB140" s="31">
        <f t="shared" si="47"/>
        <v>12084.33758871126</v>
      </c>
      <c r="AC140" s="31">
        <f t="shared" si="47"/>
        <v>12205.256561684182</v>
      </c>
      <c r="AD140" s="31">
        <f t="shared" si="47"/>
        <v>12336.444778849671</v>
      </c>
      <c r="AE140" s="31">
        <f t="shared" si="47"/>
        <v>12478.791968230658</v>
      </c>
      <c r="AF140" s="31">
        <f t="shared" si="47"/>
        <v>12633.265903867989</v>
      </c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327"/>
      <c r="BB140" s="327"/>
      <c r="BC140" s="327"/>
      <c r="BD140" s="327"/>
      <c r="BE140" s="327"/>
      <c r="BF140" s="327"/>
      <c r="BG140" s="327"/>
      <c r="BH140" s="327"/>
      <c r="BI140" s="327"/>
    </row>
    <row r="141" spans="1:61" x14ac:dyDescent="0.2">
      <c r="A141" s="327"/>
      <c r="B141" s="327"/>
      <c r="C141" s="339"/>
      <c r="D141" s="327"/>
      <c r="F141" s="327"/>
      <c r="G141" s="327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7"/>
      <c r="BF141" s="327"/>
      <c r="BG141" s="327"/>
      <c r="BH141" s="327"/>
      <c r="BI141" s="327"/>
    </row>
    <row r="142" spans="1:61" x14ac:dyDescent="0.2">
      <c r="A142" s="327"/>
      <c r="B142" s="328" t="s">
        <v>307</v>
      </c>
      <c r="C142" s="340"/>
      <c r="D142" s="327"/>
      <c r="F142" s="327"/>
      <c r="G142" s="327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</row>
    <row r="143" spans="1:61" x14ac:dyDescent="0.2">
      <c r="A143" s="327"/>
      <c r="B143" s="327"/>
      <c r="C143" s="339" t="str">
        <f>$C140</f>
        <v>Option 4</v>
      </c>
      <c r="D143" s="6" t="str">
        <f>D137</f>
        <v>Response cost</v>
      </c>
      <c r="F143" s="337">
        <f>F137</f>
        <v>16004.166666666666</v>
      </c>
      <c r="G143" s="337"/>
      <c r="H143" s="31">
        <f>INDEX(H$30:H$34,MATCH($C143,$C$30:$C$34,0))*$F143*(1-H$133)</f>
        <v>0</v>
      </c>
      <c r="I143" s="31">
        <f t="shared" ref="I143:AF146" si="49">INDEX(I$30:I$34,MATCH($C143,$C$30:$C$34,0))*$F143*(1-I$133)</f>
        <v>0</v>
      </c>
      <c r="J143" s="31">
        <f t="shared" si="49"/>
        <v>0</v>
      </c>
      <c r="K143" s="31">
        <f t="shared" si="49"/>
        <v>0</v>
      </c>
      <c r="L143" s="31">
        <f t="shared" si="49"/>
        <v>0</v>
      </c>
      <c r="M143" s="31">
        <f t="shared" si="49"/>
        <v>3667.1545475333332</v>
      </c>
      <c r="N143" s="31">
        <f t="shared" si="49"/>
        <v>3667.1545475333332</v>
      </c>
      <c r="O143" s="31">
        <f t="shared" si="49"/>
        <v>3667.1545475333332</v>
      </c>
      <c r="P143" s="31">
        <f t="shared" si="49"/>
        <v>3667.1545475333332</v>
      </c>
      <c r="Q143" s="31">
        <f t="shared" si="49"/>
        <v>3667.1545475333332</v>
      </c>
      <c r="R143" s="31">
        <f t="shared" si="49"/>
        <v>3667.1545475333332</v>
      </c>
      <c r="S143" s="31">
        <f t="shared" si="49"/>
        <v>3667.1545475333332</v>
      </c>
      <c r="T143" s="31">
        <f t="shared" si="49"/>
        <v>3667.1545475333332</v>
      </c>
      <c r="U143" s="31">
        <f t="shared" si="49"/>
        <v>3667.1545475333332</v>
      </c>
      <c r="V143" s="31">
        <f t="shared" si="49"/>
        <v>3667.1545475333332</v>
      </c>
      <c r="W143" s="31">
        <f t="shared" si="49"/>
        <v>3667.1545475333332</v>
      </c>
      <c r="X143" s="31">
        <f t="shared" si="49"/>
        <v>3667.1545475333332</v>
      </c>
      <c r="Y143" s="31">
        <f t="shared" si="49"/>
        <v>3667.1545475333332</v>
      </c>
      <c r="Z143" s="31">
        <f t="shared" si="49"/>
        <v>3667.1545475333332</v>
      </c>
      <c r="AA143" s="31">
        <f t="shared" si="49"/>
        <v>3667.1545475333332</v>
      </c>
      <c r="AB143" s="31">
        <f t="shared" si="49"/>
        <v>3667.1545475333332</v>
      </c>
      <c r="AC143" s="31">
        <f t="shared" si="49"/>
        <v>3667.1545475333332</v>
      </c>
      <c r="AD143" s="31">
        <f t="shared" si="49"/>
        <v>3667.1545475333332</v>
      </c>
      <c r="AE143" s="31">
        <f t="shared" si="49"/>
        <v>3667.1545475333332</v>
      </c>
      <c r="AF143" s="31">
        <f t="shared" si="49"/>
        <v>3667.1545475333332</v>
      </c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</row>
    <row r="144" spans="1:61" x14ac:dyDescent="0.2">
      <c r="A144" s="327"/>
      <c r="B144" s="327"/>
      <c r="C144" s="339" t="str">
        <f>C143</f>
        <v>Option 4</v>
      </c>
      <c r="D144" s="6" t="str">
        <f t="shared" ref="D144:D146" si="50">D138</f>
        <v>Unplanned replacements</v>
      </c>
      <c r="F144" s="337">
        <f>F138</f>
        <v>37100</v>
      </c>
      <c r="G144" s="337"/>
      <c r="H144" s="31">
        <f t="shared" ref="H144:W146" si="51">INDEX(H$30:H$34,MATCH($C144,$C$30:$C$34,0))*$F144*(1-H$133)</f>
        <v>0</v>
      </c>
      <c r="I144" s="31">
        <f t="shared" si="51"/>
        <v>0</v>
      </c>
      <c r="J144" s="31">
        <f t="shared" si="51"/>
        <v>0</v>
      </c>
      <c r="K144" s="31">
        <f t="shared" si="51"/>
        <v>0</v>
      </c>
      <c r="L144" s="31">
        <f t="shared" si="51"/>
        <v>0</v>
      </c>
      <c r="M144" s="31">
        <f t="shared" si="51"/>
        <v>8501.0008048</v>
      </c>
      <c r="N144" s="31">
        <f t="shared" si="51"/>
        <v>8501.0008048</v>
      </c>
      <c r="O144" s="31">
        <f t="shared" si="51"/>
        <v>8501.0008048</v>
      </c>
      <c r="P144" s="31">
        <f t="shared" si="51"/>
        <v>8501.0008048</v>
      </c>
      <c r="Q144" s="31">
        <f t="shared" si="51"/>
        <v>8501.0008048</v>
      </c>
      <c r="R144" s="31">
        <f t="shared" si="51"/>
        <v>8501.0008048</v>
      </c>
      <c r="S144" s="31">
        <f t="shared" si="51"/>
        <v>8501.0008048</v>
      </c>
      <c r="T144" s="31">
        <f t="shared" si="51"/>
        <v>8501.0008048</v>
      </c>
      <c r="U144" s="31">
        <f t="shared" si="51"/>
        <v>8501.0008048</v>
      </c>
      <c r="V144" s="31">
        <f t="shared" si="51"/>
        <v>8501.0008048</v>
      </c>
      <c r="W144" s="31">
        <f t="shared" si="51"/>
        <v>8501.0008048</v>
      </c>
      <c r="X144" s="31">
        <f t="shared" si="49"/>
        <v>8501.0008048</v>
      </c>
      <c r="Y144" s="31">
        <f t="shared" si="49"/>
        <v>8501.0008048</v>
      </c>
      <c r="Z144" s="31">
        <f t="shared" si="49"/>
        <v>8501.0008048</v>
      </c>
      <c r="AA144" s="31">
        <f t="shared" si="49"/>
        <v>8501.0008048</v>
      </c>
      <c r="AB144" s="31">
        <f t="shared" si="49"/>
        <v>8501.0008048</v>
      </c>
      <c r="AC144" s="31">
        <f t="shared" si="49"/>
        <v>8501.0008048</v>
      </c>
      <c r="AD144" s="31">
        <f t="shared" si="49"/>
        <v>8501.0008048</v>
      </c>
      <c r="AE144" s="31">
        <f t="shared" si="49"/>
        <v>8501.0008048</v>
      </c>
      <c r="AF144" s="31">
        <f t="shared" si="49"/>
        <v>8501.0008048</v>
      </c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</row>
    <row r="145" spans="1:61" x14ac:dyDescent="0.2">
      <c r="A145" s="327"/>
      <c r="B145" s="327"/>
      <c r="C145" s="339" t="str">
        <f t="shared" ref="C145:C146" si="52">C144</f>
        <v>Option 4</v>
      </c>
      <c r="D145" s="6" t="str">
        <f t="shared" si="50"/>
        <v>Safety Consequence</v>
      </c>
      <c r="F145" s="337">
        <f>F139</f>
        <v>64188.259700000053</v>
      </c>
      <c r="G145" s="337"/>
      <c r="H145" s="31">
        <f t="shared" si="51"/>
        <v>0</v>
      </c>
      <c r="I145" s="31">
        <f t="shared" si="49"/>
        <v>0</v>
      </c>
      <c r="J145" s="31">
        <f t="shared" si="49"/>
        <v>0</v>
      </c>
      <c r="K145" s="31">
        <f t="shared" si="49"/>
        <v>0</v>
      </c>
      <c r="L145" s="31">
        <f t="shared" si="49"/>
        <v>0</v>
      </c>
      <c r="M145" s="31">
        <f t="shared" si="49"/>
        <v>14707.936586749645</v>
      </c>
      <c r="N145" s="31">
        <f t="shared" si="49"/>
        <v>14707.936586749645</v>
      </c>
      <c r="O145" s="31">
        <f t="shared" si="49"/>
        <v>14707.936586749645</v>
      </c>
      <c r="P145" s="31">
        <f t="shared" si="49"/>
        <v>14707.936586749645</v>
      </c>
      <c r="Q145" s="31">
        <f t="shared" si="49"/>
        <v>14707.936586749645</v>
      </c>
      <c r="R145" s="31">
        <f t="shared" si="49"/>
        <v>14707.936586749645</v>
      </c>
      <c r="S145" s="31">
        <f t="shared" si="49"/>
        <v>14707.936586749645</v>
      </c>
      <c r="T145" s="31">
        <f t="shared" si="49"/>
        <v>14707.936586749645</v>
      </c>
      <c r="U145" s="31">
        <f t="shared" si="49"/>
        <v>14707.936586749645</v>
      </c>
      <c r="V145" s="31">
        <f t="shared" si="49"/>
        <v>14707.936586749645</v>
      </c>
      <c r="W145" s="31">
        <f t="shared" si="49"/>
        <v>14707.936586749645</v>
      </c>
      <c r="X145" s="31">
        <f t="shared" si="49"/>
        <v>14707.936586749645</v>
      </c>
      <c r="Y145" s="31">
        <f t="shared" si="49"/>
        <v>14707.936586749645</v>
      </c>
      <c r="Z145" s="31">
        <f t="shared" si="49"/>
        <v>14707.936586749645</v>
      </c>
      <c r="AA145" s="31">
        <f t="shared" si="49"/>
        <v>14707.936586749645</v>
      </c>
      <c r="AB145" s="31">
        <f t="shared" si="49"/>
        <v>14707.936586749645</v>
      </c>
      <c r="AC145" s="31">
        <f t="shared" si="49"/>
        <v>14707.936586749645</v>
      </c>
      <c r="AD145" s="31">
        <f t="shared" si="49"/>
        <v>14707.936586749645</v>
      </c>
      <c r="AE145" s="31">
        <f t="shared" si="49"/>
        <v>14707.936586749645</v>
      </c>
      <c r="AF145" s="31">
        <f t="shared" si="49"/>
        <v>14707.936586749645</v>
      </c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</row>
    <row r="146" spans="1:61" x14ac:dyDescent="0.2">
      <c r="A146" s="327"/>
      <c r="B146" s="327"/>
      <c r="C146" s="339" t="str">
        <f t="shared" si="52"/>
        <v>Option 4</v>
      </c>
      <c r="D146" s="6" t="str">
        <f t="shared" si="50"/>
        <v>Environmental Consequence</v>
      </c>
      <c r="F146" s="337">
        <f>F140</f>
        <v>1966.6666666666667</v>
      </c>
      <c r="G146" s="337"/>
      <c r="H146" s="31">
        <f t="shared" si="51"/>
        <v>0</v>
      </c>
      <c r="I146" s="31">
        <f t="shared" si="49"/>
        <v>0</v>
      </c>
      <c r="J146" s="31">
        <f t="shared" si="49"/>
        <v>0</v>
      </c>
      <c r="K146" s="31">
        <f t="shared" si="49"/>
        <v>0</v>
      </c>
      <c r="L146" s="31">
        <f t="shared" si="49"/>
        <v>0</v>
      </c>
      <c r="M146" s="31">
        <f t="shared" si="49"/>
        <v>450.63705973333333</v>
      </c>
      <c r="N146" s="31">
        <f t="shared" si="49"/>
        <v>450.63705973333333</v>
      </c>
      <c r="O146" s="31">
        <f t="shared" si="49"/>
        <v>450.63705973333333</v>
      </c>
      <c r="P146" s="31">
        <f t="shared" si="49"/>
        <v>450.63705973333333</v>
      </c>
      <c r="Q146" s="31">
        <f t="shared" si="49"/>
        <v>450.63705973333333</v>
      </c>
      <c r="R146" s="31">
        <f t="shared" si="49"/>
        <v>450.63705973333333</v>
      </c>
      <c r="S146" s="31">
        <f t="shared" si="49"/>
        <v>450.63705973333333</v>
      </c>
      <c r="T146" s="31">
        <f t="shared" si="49"/>
        <v>450.63705973333333</v>
      </c>
      <c r="U146" s="31">
        <f t="shared" si="49"/>
        <v>450.63705973333333</v>
      </c>
      <c r="V146" s="31">
        <f t="shared" si="49"/>
        <v>450.63705973333333</v>
      </c>
      <c r="W146" s="31">
        <f t="shared" si="49"/>
        <v>450.63705973333333</v>
      </c>
      <c r="X146" s="31">
        <f t="shared" si="49"/>
        <v>450.63705973333333</v>
      </c>
      <c r="Y146" s="31">
        <f t="shared" si="49"/>
        <v>450.63705973333333</v>
      </c>
      <c r="Z146" s="31">
        <f t="shared" si="49"/>
        <v>450.63705973333333</v>
      </c>
      <c r="AA146" s="31">
        <f t="shared" si="49"/>
        <v>450.63705973333333</v>
      </c>
      <c r="AB146" s="31">
        <f t="shared" si="49"/>
        <v>450.63705973333333</v>
      </c>
      <c r="AC146" s="31">
        <f t="shared" si="49"/>
        <v>450.63705973333333</v>
      </c>
      <c r="AD146" s="31">
        <f t="shared" si="49"/>
        <v>450.63705973333333</v>
      </c>
      <c r="AE146" s="31">
        <f t="shared" si="49"/>
        <v>450.63705973333333</v>
      </c>
      <c r="AF146" s="31">
        <f t="shared" si="49"/>
        <v>450.63705973333333</v>
      </c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  <c r="AW146" s="327"/>
      <c r="AX146" s="327"/>
      <c r="AY146" s="327"/>
      <c r="AZ146" s="327"/>
      <c r="BA146" s="327"/>
      <c r="BB146" s="327"/>
      <c r="BC146" s="327"/>
      <c r="BD146" s="327"/>
      <c r="BE146" s="327"/>
      <c r="BF146" s="327"/>
      <c r="BG146" s="327"/>
      <c r="BH146" s="327"/>
      <c r="BI146" s="327"/>
    </row>
    <row r="147" spans="1:61" x14ac:dyDescent="0.2">
      <c r="A147" s="327"/>
      <c r="B147" s="328"/>
      <c r="C147" s="340"/>
      <c r="D147" s="327"/>
      <c r="F147" s="327"/>
      <c r="G147" s="327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7"/>
      <c r="BH147" s="327"/>
      <c r="BI147" s="327"/>
    </row>
    <row r="148" spans="1:61" x14ac:dyDescent="0.2">
      <c r="A148" s="327"/>
      <c r="B148" s="328" t="s">
        <v>318</v>
      </c>
      <c r="C148" s="340"/>
      <c r="D148" s="327"/>
      <c r="F148" s="327"/>
      <c r="G148" s="327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/>
    </row>
    <row r="149" spans="1:61" x14ac:dyDescent="0.2">
      <c r="A149" s="327"/>
      <c r="B149" s="327"/>
      <c r="C149" s="339" t="str">
        <f>$C146</f>
        <v>Option 4</v>
      </c>
      <c r="D149" s="327" t="str">
        <f>D137</f>
        <v>Response cost</v>
      </c>
      <c r="F149" s="327"/>
      <c r="G149" s="327"/>
      <c r="H149" s="31">
        <f t="shared" ref="H149:K149" si="53">INDEX(H$40:H$43, MATCH($C149, $C$40:$C$43,0))*(H143-H137)</f>
        <v>-23404.547626834883</v>
      </c>
      <c r="I149" s="31">
        <f t="shared" si="53"/>
        <v>-28420.899112959934</v>
      </c>
      <c r="J149" s="31">
        <f t="shared" si="53"/>
        <v>-34659.936854403641</v>
      </c>
      <c r="K149" s="31">
        <f t="shared" si="53"/>
        <v>-42440.16317288766</v>
      </c>
      <c r="L149" s="31">
        <f>INDEX(L$40:L$43, MATCH($C149, $C$40:$C$43,0))*(L143-L137)</f>
        <v>-52166.490128058402</v>
      </c>
      <c r="M149" s="31">
        <f t="shared" ref="M149:AE149" si="54">INDEX(M$40:M$43, MATCH($C149, $C$40:$C$43,0))*(M143-M137)</f>
        <v>-6066.6123718043036</v>
      </c>
      <c r="N149" s="31">
        <f t="shared" si="54"/>
        <v>-7411.3943895156262</v>
      </c>
      <c r="O149" s="31">
        <f t="shared" si="54"/>
        <v>-8218.3984445232036</v>
      </c>
      <c r="P149" s="31">
        <f t="shared" si="54"/>
        <v>-8715.6055905602389</v>
      </c>
      <c r="Q149" s="31">
        <f t="shared" si="54"/>
        <v>-8779.2307795597153</v>
      </c>
      <c r="R149" s="31">
        <f t="shared" si="54"/>
        <v>-8819.7427475303757</v>
      </c>
      <c r="S149" s="31">
        <f t="shared" si="54"/>
        <v>-8863.6248923919084</v>
      </c>
      <c r="T149" s="31">
        <f t="shared" si="54"/>
        <v>-8911.1654517692259</v>
      </c>
      <c r="U149" s="31">
        <f t="shared" si="54"/>
        <v>-8962.6777363902402</v>
      </c>
      <c r="V149" s="31">
        <f t="shared" si="54"/>
        <v>-9018.5023348384984</v>
      </c>
      <c r="W149" s="31">
        <f t="shared" si="54"/>
        <v>-9079.0095135489282</v>
      </c>
      <c r="X149" s="31">
        <f t="shared" si="54"/>
        <v>-9144.6018294171754</v>
      </c>
      <c r="Y149" s="31">
        <f t="shared" si="54"/>
        <v>-9215.7169739430683</v>
      </c>
      <c r="Z149" s="31">
        <f t="shared" si="54"/>
        <v>-9292.8308695177784</v>
      </c>
      <c r="AA149" s="31">
        <f t="shared" si="54"/>
        <v>-9376.4610403038532</v>
      </c>
      <c r="AB149" s="31">
        <f t="shared" si="54"/>
        <v>-9467.1702821619092</v>
      </c>
      <c r="AC149" s="31">
        <f t="shared" si="54"/>
        <v>-9565.5706582612747</v>
      </c>
      <c r="AD149" s="31">
        <f t="shared" si="54"/>
        <v>-9672.3278493910711</v>
      </c>
      <c r="AE149" s="31">
        <f t="shared" si="54"/>
        <v>-9788.1658905801305</v>
      </c>
      <c r="AF149" s="31">
        <f t="shared" ref="AF149" si="55">INDEX(AF$40:AF$43, MATCH($C149, $C$40:$C$43,0))*(AF143-AF137)</f>
        <v>-9913.8723284578828</v>
      </c>
      <c r="AG149" s="327"/>
      <c r="AH149" s="327"/>
      <c r="AI149" s="327"/>
      <c r="AJ149" s="327"/>
      <c r="AK149" s="327"/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</row>
    <row r="150" spans="1:61" x14ac:dyDescent="0.2">
      <c r="A150" s="327"/>
      <c r="B150" s="327"/>
      <c r="C150" s="339" t="str">
        <f>C149</f>
        <v>Option 4</v>
      </c>
      <c r="D150" s="327" t="str">
        <f>D138</f>
        <v>Unplanned replacements</v>
      </c>
      <c r="F150" s="327"/>
      <c r="G150" s="327"/>
      <c r="H150" s="31">
        <f t="shared" ref="H150:K150" si="56">INDEX(H$40:H$43, MATCH($C150, $C$40:$C$43,0))*(H144-H138)</f>
        <v>-54255.165860280606</v>
      </c>
      <c r="I150" s="31">
        <f t="shared" si="56"/>
        <v>-65883.802577921189</v>
      </c>
      <c r="J150" s="31">
        <f t="shared" si="56"/>
        <v>-80346.80493403021</v>
      </c>
      <c r="K150" s="31">
        <f t="shared" si="56"/>
        <v>-98382.507912364425</v>
      </c>
      <c r="L150" s="31">
        <f>INDEX(L$40:L$43, MATCH($C150, $C$40:$C$43,0))*(L144-L138)</f>
        <v>-120929.55691232283</v>
      </c>
      <c r="M150" s="31">
        <f t="shared" ref="M150:AE150" si="57">INDEX(M$40:M$43, MATCH($C150, $C$40:$C$43,0))*(M144-M138)</f>
        <v>-14063.295120683555</v>
      </c>
      <c r="N150" s="31">
        <f t="shared" si="57"/>
        <v>-17180.696600949534</v>
      </c>
      <c r="O150" s="31">
        <f t="shared" si="57"/>
        <v>-19051.45007811367</v>
      </c>
      <c r="P150" s="31">
        <f t="shared" si="57"/>
        <v>-20204.048992019882</v>
      </c>
      <c r="Q150" s="31">
        <f t="shared" si="57"/>
        <v>-20351.541489507868</v>
      </c>
      <c r="R150" s="31">
        <f t="shared" si="57"/>
        <v>-20445.454158815541</v>
      </c>
      <c r="S150" s="31">
        <f t="shared" si="57"/>
        <v>-20547.179391267266</v>
      </c>
      <c r="T150" s="31">
        <f t="shared" si="57"/>
        <v>-20657.385363851394</v>
      </c>
      <c r="U150" s="31">
        <f t="shared" si="57"/>
        <v>-20776.798376677616</v>
      </c>
      <c r="V150" s="31">
        <f t="shared" si="57"/>
        <v>-20906.207963916164</v>
      </c>
      <c r="W150" s="31">
        <f t="shared" si="57"/>
        <v>-21046.47245733915</v>
      </c>
      <c r="X150" s="31">
        <f t="shared" si="57"/>
        <v>-21198.525042731202</v>
      </c>
      <c r="Y150" s="31">
        <f t="shared" si="57"/>
        <v>-21363.380353030225</v>
      </c>
      <c r="Z150" s="31">
        <f t="shared" si="57"/>
        <v>-21542.141645974043</v>
      </c>
      <c r="AA150" s="31">
        <f t="shared" si="57"/>
        <v>-21736.008618293548</v>
      </c>
      <c r="AB150" s="31">
        <f t="shared" si="57"/>
        <v>-21946.285913139716</v>
      </c>
      <c r="AC150" s="31">
        <f t="shared" si="57"/>
        <v>-22174.392382493723</v>
      </c>
      <c r="AD150" s="31">
        <f t="shared" si="57"/>
        <v>-22421.87117182455</v>
      </c>
      <c r="AE150" s="31">
        <f t="shared" si="57"/>
        <v>-22690.40070026699</v>
      </c>
      <c r="AF150" s="31">
        <f t="shared" ref="AF150" si="58">INDEX(AF$40:AF$43, MATCH($C150, $C$40:$C$43,0))*(AF144-AF138)</f>
        <v>-22981.806616138765</v>
      </c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27"/>
      <c r="BG150" s="327"/>
      <c r="BH150" s="327"/>
      <c r="BI150" s="327"/>
    </row>
    <row r="151" spans="1:61" x14ac:dyDescent="0.2">
      <c r="A151" s="327"/>
      <c r="B151" s="327"/>
      <c r="C151" s="339" t="str">
        <f t="shared" ref="C151:C152" si="59">C150</f>
        <v>Option 4</v>
      </c>
      <c r="D151" s="327" t="str">
        <f>D139</f>
        <v>Safety Consequence</v>
      </c>
      <c r="F151" s="327"/>
      <c r="G151" s="327"/>
      <c r="H151" s="31">
        <f t="shared" ref="H151:K151" si="60">INDEX(H$40:H$43, MATCH($C151, $C$40:$C$43,0))*(H145-H139)</f>
        <v>-93869.128741408844</v>
      </c>
      <c r="I151" s="31">
        <f t="shared" si="60"/>
        <v>-113988.31886509806</v>
      </c>
      <c r="J151" s="31">
        <f t="shared" si="60"/>
        <v>-139011.36337387539</v>
      </c>
      <c r="K151" s="31">
        <f t="shared" si="60"/>
        <v>-170215.68646404738</v>
      </c>
      <c r="L151" s="31">
        <f>INDEX(L$40:L$43, MATCH($C151, $C$40:$C$43,0))*(L145-L139)</f>
        <v>-209225.27774916752</v>
      </c>
      <c r="M151" s="31">
        <f t="shared" ref="M151:AE151" si="61">INDEX(M$40:M$43, MATCH($C151, $C$40:$C$43,0))*(M145-M139)</f>
        <v>-24331.494324640953</v>
      </c>
      <c r="N151" s="31">
        <f t="shared" si="61"/>
        <v>-29725.040842281855</v>
      </c>
      <c r="O151" s="31">
        <f t="shared" si="61"/>
        <v>-32961.70957616029</v>
      </c>
      <c r="P151" s="31">
        <f t="shared" si="61"/>
        <v>-34955.869102191282</v>
      </c>
      <c r="Q151" s="31">
        <f t="shared" si="61"/>
        <v>-35211.052032988053</v>
      </c>
      <c r="R151" s="31">
        <f t="shared" si="61"/>
        <v>-35373.534264972994</v>
      </c>
      <c r="S151" s="31">
        <f t="shared" si="61"/>
        <v>-35549.533338791167</v>
      </c>
      <c r="T151" s="31">
        <f t="shared" si="61"/>
        <v>-35740.205295360465</v>
      </c>
      <c r="U151" s="31">
        <f t="shared" si="61"/>
        <v>-35946.806736838873</v>
      </c>
      <c r="V151" s="31">
        <f t="shared" si="61"/>
        <v>-36170.703669273855</v>
      </c>
      <c r="W151" s="31">
        <f t="shared" si="61"/>
        <v>-36413.381128317618</v>
      </c>
      <c r="X151" s="31">
        <f t="shared" si="61"/>
        <v>-36676.453657676146</v>
      </c>
      <c r="Y151" s="31">
        <f t="shared" si="61"/>
        <v>-36961.676716177433</v>
      </c>
      <c r="Z151" s="31">
        <f t="shared" si="61"/>
        <v>-37270.959096117753</v>
      </c>
      <c r="AA151" s="31">
        <f t="shared" si="61"/>
        <v>-37606.376442923596</v>
      </c>
      <c r="AB151" s="31">
        <f t="shared" si="61"/>
        <v>-37970.185974206601</v>
      </c>
      <c r="AC151" s="31">
        <f t="shared" si="61"/>
        <v>-38364.842505046086</v>
      </c>
      <c r="AD151" s="31">
        <f t="shared" si="61"/>
        <v>-38793.015895876517</v>
      </c>
      <c r="AE151" s="31">
        <f t="shared" si="61"/>
        <v>-39257.610049752038</v>
      </c>
      <c r="AF151" s="31">
        <f t="shared" ref="AF151" si="62">INDEX(AF$40:AF$43, MATCH($C151, $C$40:$C$43,0))*(AF145-AF139)</f>
        <v>-39761.783597086105</v>
      </c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7"/>
      <c r="BH151" s="327"/>
      <c r="BI151" s="327"/>
    </row>
    <row r="152" spans="1:61" x14ac:dyDescent="0.2">
      <c r="A152" s="327"/>
      <c r="B152" s="327"/>
      <c r="C152" s="339" t="str">
        <f t="shared" si="59"/>
        <v>Option 4</v>
      </c>
      <c r="D152" s="327" t="str">
        <f>D140</f>
        <v>Environmental Consequence</v>
      </c>
      <c r="F152" s="327"/>
      <c r="G152" s="327"/>
      <c r="H152" s="31">
        <f t="shared" ref="H152:K152" si="63">INDEX(H$40:H$43, MATCH($C152, $C$40:$C$43,0))*(H146-H140)</f>
        <v>-2876.0600051721076</v>
      </c>
      <c r="I152" s="31">
        <f t="shared" si="63"/>
        <v>-3492.492679332749</v>
      </c>
      <c r="J152" s="31">
        <f t="shared" si="63"/>
        <v>-4259.1747449306222</v>
      </c>
      <c r="K152" s="31">
        <f t="shared" si="63"/>
        <v>-5215.2452532160833</v>
      </c>
      <c r="L152" s="31">
        <f>INDEX(L$40:L$43, MATCH($C152, $C$40:$C$43,0))*(L146-L140)</f>
        <v>-6410.4616871761436</v>
      </c>
      <c r="M152" s="31">
        <f t="shared" ref="M152:AE152" si="64">INDEX(M$40:M$43, MATCH($C152, $C$40:$C$43,0))*(M146-M140)</f>
        <v>-745.49363173434824</v>
      </c>
      <c r="N152" s="31">
        <f t="shared" si="64"/>
        <v>-910.7467200862734</v>
      </c>
      <c r="O152" s="31">
        <f t="shared" si="64"/>
        <v>-1009.9151434040491</v>
      </c>
      <c r="P152" s="31">
        <f t="shared" si="64"/>
        <v>-1071.0142772050071</v>
      </c>
      <c r="Q152" s="31">
        <f t="shared" si="64"/>
        <v>-1078.8328372695094</v>
      </c>
      <c r="R152" s="31">
        <f t="shared" si="64"/>
        <v>-1083.8111369003743</v>
      </c>
      <c r="S152" s="31">
        <f t="shared" si="64"/>
        <v>-1089.2035795909871</v>
      </c>
      <c r="T152" s="31">
        <f t="shared" si="64"/>
        <v>-1095.0455853254557</v>
      </c>
      <c r="U152" s="31">
        <f t="shared" si="64"/>
        <v>-1101.375655187762</v>
      </c>
      <c r="V152" s="31">
        <f t="shared" si="64"/>
        <v>-1108.2356422920518</v>
      </c>
      <c r="W152" s="31">
        <f t="shared" si="64"/>
        <v>-1115.6710467053097</v>
      </c>
      <c r="X152" s="31">
        <f t="shared" si="64"/>
        <v>-1123.7313364969818</v>
      </c>
      <c r="Y152" s="31">
        <f t="shared" si="64"/>
        <v>-1132.4702972405958</v>
      </c>
      <c r="Z152" s="31">
        <f t="shared" si="64"/>
        <v>-1141.9464124999718</v>
      </c>
      <c r="AA152" s="31">
        <f t="shared" si="64"/>
        <v>-1152.2232780586874</v>
      </c>
      <c r="AB152" s="31">
        <f t="shared" si="64"/>
        <v>-1163.3700528977927</v>
      </c>
      <c r="AC152" s="31">
        <f t="shared" si="64"/>
        <v>-1175.4619501950849</v>
      </c>
      <c r="AD152" s="31">
        <f t="shared" si="64"/>
        <v>-1188.5807719116337</v>
      </c>
      <c r="AE152" s="31">
        <f t="shared" si="64"/>
        <v>-1202.8154908497324</v>
      </c>
      <c r="AF152" s="31">
        <f t="shared" ref="AF152" si="65">INDEX(AF$40:AF$43, MATCH($C152, $C$40:$C$43,0))*(AF146-AF140)</f>
        <v>-1218.2628844134656</v>
      </c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</row>
    <row r="153" spans="1:61" x14ac:dyDescent="0.2">
      <c r="A153" s="327"/>
      <c r="B153" s="327"/>
      <c r="C153" s="339"/>
      <c r="D153" s="327"/>
      <c r="F153" s="327"/>
      <c r="G153" s="327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</row>
    <row r="154" spans="1:61" x14ac:dyDescent="0.2">
      <c r="A154" s="327"/>
      <c r="B154" s="328" t="s">
        <v>329</v>
      </c>
      <c r="C154" s="340"/>
      <c r="D154" s="327"/>
      <c r="F154" s="327"/>
      <c r="G154" s="327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</row>
    <row r="155" spans="1:61" x14ac:dyDescent="0.2">
      <c r="A155" s="327"/>
      <c r="B155" s="327"/>
      <c r="C155" s="339" t="str">
        <f>$C152</f>
        <v>Option 4</v>
      </c>
      <c r="D155" s="327" t="str">
        <f>D137</f>
        <v>Response cost</v>
      </c>
      <c r="E155" s="345" t="str">
        <f>C155&amp;D155</f>
        <v>Option 4Response cost</v>
      </c>
      <c r="F155" s="327"/>
      <c r="G155" s="327"/>
      <c r="H155" s="31" cm="1">
        <f t="array" ref="H155:H158">H$63:H$66+H149:H152</f>
        <v>1091499.533754095</v>
      </c>
      <c r="I155" s="31" cm="1">
        <f t="array" ref="I155:I158">I$63:I$66+I149:I152</f>
        <v>1305255.7961824283</v>
      </c>
      <c r="J155" s="31" cm="1">
        <f t="array" ref="J155:J158">J$63:J$66+J149:J152</f>
        <v>1570315.4000579172</v>
      </c>
      <c r="K155" s="31" cm="1">
        <f t="array" ref="K155:K158">K$63:K$66+K149:K152</f>
        <v>1898980.4763992203</v>
      </c>
      <c r="L155" s="31" cm="1">
        <f t="array" ref="L155:L158">L$63:L$66+L149:L152</f>
        <v>2307406.2142926096</v>
      </c>
      <c r="M155" s="31" cm="1">
        <f t="array" ref="M155:M158">M$63:M$66+M149:M152</f>
        <v>2874072.7730418509</v>
      </c>
      <c r="N155" s="31" cm="1">
        <f t="array" ref="N155:N158">N$63:N$66+N149:N152</f>
        <v>3513460.0230104253</v>
      </c>
      <c r="O155" s="31" cm="1">
        <f t="array" ref="O155:O158">O$63:O$66+O149:O152</f>
        <v>4160401.0072852327</v>
      </c>
      <c r="P155" s="31" cm="1">
        <f t="array" ref="P155:P158">P$63:P$66+P149:P152</f>
        <v>4813078.1399612268</v>
      </c>
      <c r="Q155" s="31" cm="1">
        <f t="array" ref="Q155:Q158">Q$63:Q$66+Q149:Q152</f>
        <v>5471327.2428529141</v>
      </c>
      <c r="R155" s="31" cm="1">
        <f t="array" ref="R155:R158">R$63:R$66+R149:R152</f>
        <v>6280787.2791355904</v>
      </c>
      <c r="S155" s="31" cm="1">
        <f t="array" ref="S155:S158">S$63:S$66+S149:S152</f>
        <v>7103481.8458724106</v>
      </c>
      <c r="T155" s="31" cm="1">
        <f t="array" ref="T155:T158">T$63:T$66+T149:T152</f>
        <v>7870513.9175145952</v>
      </c>
      <c r="U155" s="31" cm="1">
        <f t="array" ref="U155:U158">U$63:U$66+U149:U152</f>
        <v>8419092.1056495607</v>
      </c>
      <c r="V155" s="31" cm="1">
        <f t="array" ref="V155:V158">V$63:V$66+V149:V152</f>
        <v>8842857.1238178127</v>
      </c>
      <c r="W155" s="31" cm="1">
        <f t="array" ref="W155:W158">W$63:W$66+W149:W152</f>
        <v>9218100.0835334044</v>
      </c>
      <c r="X155" s="31" cm="1">
        <f t="array" ref="X155:X158">X$63:X$66+X149:X152</f>
        <v>9442536.5766780935</v>
      </c>
      <c r="Y155" s="31" cm="1">
        <f t="array" ref="Y155:Y158">Y$63:Y$66+Y149:Y152</f>
        <v>9633189.6747047119</v>
      </c>
      <c r="Z155" s="31" cm="1">
        <f t="array" ref="Z155:Z158">Z$63:Z$66+Z149:Z152</f>
        <v>9793312.2208986618</v>
      </c>
      <c r="AA155" s="31" cm="1">
        <f t="array" ref="AA155:AA158">AA$63:AA$66+AA149:AA152</f>
        <v>9937000.5062961858</v>
      </c>
      <c r="AB155" s="31" cm="1">
        <f t="array" ref="AB155:AB158">AB$63:AB$66+AB149:AB152</f>
        <v>10069583.843749499</v>
      </c>
      <c r="AC155" s="31" cm="1">
        <f t="array" ref="AC155:AC158">AC$63:AC$66+AC149:AC152</f>
        <v>10163764.170909218</v>
      </c>
      <c r="AD155" s="31" cm="1">
        <f t="array" ref="AD155:AD158">AD$63:AD$66+AD149:AD152</f>
        <v>10236928.259592965</v>
      </c>
      <c r="AE155" s="31" cm="1">
        <f t="array" ref="AE155:AE158">AE$63:AE$66+AE149:AE152</f>
        <v>10300675.883767447</v>
      </c>
      <c r="AF155" s="31" cm="1">
        <f t="array" ref="AF155:AF158">AF$63:AF$66+AF149:AF152</f>
        <v>10361428.942511322</v>
      </c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</row>
    <row r="156" spans="1:61" x14ac:dyDescent="0.2">
      <c r="A156" s="327"/>
      <c r="B156" s="327"/>
      <c r="C156" s="339" t="str">
        <f>C155</f>
        <v>Option 4</v>
      </c>
      <c r="D156" s="327" t="str">
        <f>D138</f>
        <v>Unplanned replacements</v>
      </c>
      <c r="E156" s="345" t="str">
        <f t="shared" ref="E156:E158" si="66">C156&amp;D156</f>
        <v>Option 4Unplanned replacements</v>
      </c>
      <c r="F156" s="327"/>
      <c r="G156" s="327"/>
      <c r="H156" s="31">
        <v>1846704.2062848115</v>
      </c>
      <c r="I156" s="31">
        <v>2208092.2781204837</v>
      </c>
      <c r="J156" s="31">
        <v>2656205.1188747133</v>
      </c>
      <c r="K156" s="31">
        <v>3211823.1157851974</v>
      </c>
      <c r="L156" s="31">
        <v>3902243.3075824338</v>
      </c>
      <c r="M156" s="31">
        <v>4896698.1320012594</v>
      </c>
      <c r="N156" s="31">
        <v>5986056.3807395017</v>
      </c>
      <c r="O156" s="31">
        <v>7088623.7845597249</v>
      </c>
      <c r="P156" s="31">
        <v>8201161.505436779</v>
      </c>
      <c r="Q156" s="31">
        <v>9323465.5055352785</v>
      </c>
      <c r="R156" s="31">
        <v>10703604.816200893</v>
      </c>
      <c r="S156" s="31">
        <v>12106307.503782658</v>
      </c>
      <c r="T156" s="31">
        <v>13414101.002126822</v>
      </c>
      <c r="U156" s="31">
        <v>14349418.805881554</v>
      </c>
      <c r="V156" s="31">
        <v>15071922.147059642</v>
      </c>
      <c r="W156" s="31">
        <v>15711690.422418006</v>
      </c>
      <c r="X156" s="31">
        <v>16094324.073598057</v>
      </c>
      <c r="Y156" s="31">
        <v>16419352.198183946</v>
      </c>
      <c r="Z156" s="31">
        <v>16692320.741979742</v>
      </c>
      <c r="AA156" s="31">
        <v>16937264.169699457</v>
      </c>
      <c r="AB156" s="31">
        <v>17163268.843733177</v>
      </c>
      <c r="AC156" s="31">
        <v>17323790.019373491</v>
      </c>
      <c r="AD156" s="31">
        <v>17448472.481640909</v>
      </c>
      <c r="AE156" s="31">
        <v>17557093.899744682</v>
      </c>
      <c r="AF156" s="31">
        <v>17660603.404749803</v>
      </c>
      <c r="AG156" s="327"/>
      <c r="AH156" s="327"/>
      <c r="AI156" s="327"/>
      <c r="AJ156" s="327"/>
      <c r="AK156" s="327"/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327"/>
      <c r="BB156" s="327"/>
      <c r="BC156" s="327"/>
      <c r="BD156" s="327"/>
      <c r="BE156" s="327"/>
      <c r="BF156" s="327"/>
      <c r="BG156" s="327"/>
      <c r="BH156" s="327"/>
      <c r="BI156" s="327"/>
    </row>
    <row r="157" spans="1:61" x14ac:dyDescent="0.2">
      <c r="A157" s="327"/>
      <c r="B157" s="327"/>
      <c r="C157" s="339" t="str">
        <f t="shared" ref="C157:C158" si="67">C156</f>
        <v>Option 4</v>
      </c>
      <c r="D157" s="327" t="str">
        <f>D139</f>
        <v>Safety Consequence</v>
      </c>
      <c r="E157" s="345" t="str">
        <f t="shared" si="66"/>
        <v>Option 4Safety Consequence</v>
      </c>
      <c r="F157" s="327"/>
      <c r="G157" s="327"/>
      <c r="H157" s="31">
        <v>3329625.8863919196</v>
      </c>
      <c r="I157" s="31">
        <v>3981283.7268592021</v>
      </c>
      <c r="J157" s="31">
        <v>4789327.4570613094</v>
      </c>
      <c r="K157" s="31">
        <v>5791233.3680767948</v>
      </c>
      <c r="L157" s="31">
        <v>7036227.9646708993</v>
      </c>
      <c r="M157" s="31">
        <v>8819606.7363435589</v>
      </c>
      <c r="N157" s="31">
        <v>10781685.5080045</v>
      </c>
      <c r="O157" s="31">
        <v>12767464.79691522</v>
      </c>
      <c r="P157" s="31">
        <v>14771149.093264988</v>
      </c>
      <c r="Q157" s="31">
        <v>16792350.626316033</v>
      </c>
      <c r="R157" s="31">
        <v>19277891.746721514</v>
      </c>
      <c r="S157" s="31">
        <v>21804068.485558789</v>
      </c>
      <c r="T157" s="31">
        <v>24159321.005925771</v>
      </c>
      <c r="U157" s="31">
        <v>25843771.475803066</v>
      </c>
      <c r="V157" s="31">
        <v>27144958.674903437</v>
      </c>
      <c r="W157" s="31">
        <v>28297146.569304418</v>
      </c>
      <c r="X157" s="31">
        <v>28986253.805213865</v>
      </c>
      <c r="Y157" s="31">
        <v>29571618.418729551</v>
      </c>
      <c r="Z157" s="31">
        <v>30063228.348864499</v>
      </c>
      <c r="AA157" s="31">
        <v>30504368.072280142</v>
      </c>
      <c r="AB157" s="31">
        <v>30911401.585158791</v>
      </c>
      <c r="AC157" s="31">
        <v>31200505.154656693</v>
      </c>
      <c r="AD157" s="31">
        <v>31425067.076643888</v>
      </c>
      <c r="AE157" s="31">
        <v>31620705.670374747</v>
      </c>
      <c r="AF157" s="31">
        <v>31807139.685150355</v>
      </c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</row>
    <row r="158" spans="1:61" x14ac:dyDescent="0.2">
      <c r="A158" s="327"/>
      <c r="B158" s="327"/>
      <c r="C158" s="339" t="str">
        <f t="shared" si="67"/>
        <v>Option 4</v>
      </c>
      <c r="D158" s="327" t="str">
        <f>D140</f>
        <v>Environmental Consequence</v>
      </c>
      <c r="E158" s="345" t="str">
        <f t="shared" si="66"/>
        <v>Option 4Environmental Consequence</v>
      </c>
      <c r="F158" s="327"/>
      <c r="G158" s="327"/>
      <c r="H158" s="31">
        <v>162977.32373559708</v>
      </c>
      <c r="I158" s="31">
        <v>194905.55467284226</v>
      </c>
      <c r="J158" s="31">
        <v>234497.32000005545</v>
      </c>
      <c r="K158" s="31">
        <v>283590.92894105305</v>
      </c>
      <c r="L158" s="31">
        <v>344600.10841119918</v>
      </c>
      <c r="M158" s="31">
        <v>427704.69387161965</v>
      </c>
      <c r="N158" s="31">
        <v>522854.88302687352</v>
      </c>
      <c r="O158" s="31">
        <v>619114.85210237163</v>
      </c>
      <c r="P158" s="31">
        <v>716220.11574477213</v>
      </c>
      <c r="Q158" s="31">
        <v>814143.04776242818</v>
      </c>
      <c r="R158" s="31">
        <v>934559.55442236818</v>
      </c>
      <c r="S158" s="31">
        <v>1056944.920036322</v>
      </c>
      <c r="T158" s="31">
        <v>1171050.0149325377</v>
      </c>
      <c r="U158" s="31">
        <v>1252657.9633955599</v>
      </c>
      <c r="V158" s="31">
        <v>1315698.787999992</v>
      </c>
      <c r="W158" s="31">
        <v>1371521.5813601597</v>
      </c>
      <c r="X158" s="31">
        <v>1404910.5021670498</v>
      </c>
      <c r="Y158" s="31">
        <v>1433273.940368444</v>
      </c>
      <c r="Z158" s="31">
        <v>1457095.8019832065</v>
      </c>
      <c r="AA158" s="31">
        <v>1478473.067850796</v>
      </c>
      <c r="AB158" s="31">
        <v>1498198.542321186</v>
      </c>
      <c r="AC158" s="31">
        <v>1512211.3752920639</v>
      </c>
      <c r="AD158" s="31">
        <v>1523098.0441030599</v>
      </c>
      <c r="AE158" s="31">
        <v>1532584.1524923381</v>
      </c>
      <c r="AF158" s="31">
        <v>1541625.0440000077</v>
      </c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</row>
    <row r="159" spans="1:61" x14ac:dyDescent="0.2">
      <c r="A159" s="327"/>
      <c r="B159" s="327"/>
      <c r="C159" s="339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</row>
    <row r="160" spans="1:61" x14ac:dyDescent="0.2"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</row>
    <row r="161" spans="1:61" x14ac:dyDescent="0.2"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1:61" x14ac:dyDescent="0.2">
      <c r="C162" s="327"/>
      <c r="H162" s="336"/>
      <c r="I162" s="336"/>
      <c r="J162" s="336"/>
      <c r="K162" s="336"/>
    </row>
    <row r="163" spans="1:61" ht="15" x14ac:dyDescent="0.25">
      <c r="A163" s="206" t="str">
        <f>UPPER(B165)&amp; " RISK"</f>
        <v>OPTION 5 RISK</v>
      </c>
      <c r="B163" s="54"/>
      <c r="C163" s="19"/>
      <c r="D163" s="19"/>
      <c r="E163" s="83"/>
      <c r="F163" s="19"/>
      <c r="G163" s="19"/>
      <c r="H163" s="227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10"/>
      <c r="AI163" s="10"/>
      <c r="AJ163" s="8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7"/>
      <c r="BC163" s="327"/>
      <c r="BD163" s="327"/>
      <c r="BE163" s="327"/>
      <c r="BF163" s="327"/>
      <c r="BG163" s="327"/>
    </row>
    <row r="164" spans="1:61" x14ac:dyDescent="0.2">
      <c r="A164" s="327"/>
      <c r="B164" s="327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7"/>
      <c r="BG164" s="327"/>
    </row>
    <row r="165" spans="1:61" x14ac:dyDescent="0.2">
      <c r="A165" s="327"/>
      <c r="B165" s="331" t="s">
        <v>155</v>
      </c>
      <c r="C165" s="331"/>
      <c r="D165" s="331"/>
      <c r="E165" s="331"/>
      <c r="F165" s="331" t="s">
        <v>308</v>
      </c>
      <c r="G165" s="331"/>
      <c r="H165" s="332" t="s">
        <v>271</v>
      </c>
      <c r="I165" s="332" t="s">
        <v>272</v>
      </c>
      <c r="J165" s="332" t="s">
        <v>273</v>
      </c>
      <c r="K165" s="332" t="s">
        <v>274</v>
      </c>
      <c r="L165" s="332" t="s">
        <v>275</v>
      </c>
      <c r="M165" s="332" t="s">
        <v>276</v>
      </c>
      <c r="N165" s="332" t="s">
        <v>277</v>
      </c>
      <c r="O165" s="332" t="s">
        <v>278</v>
      </c>
      <c r="P165" s="332" t="s">
        <v>279</v>
      </c>
      <c r="Q165" s="332" t="s">
        <v>280</v>
      </c>
      <c r="R165" s="332" t="s">
        <v>281</v>
      </c>
      <c r="S165" s="332" t="s">
        <v>282</v>
      </c>
      <c r="T165" s="332" t="s">
        <v>283</v>
      </c>
      <c r="U165" s="332" t="s">
        <v>284</v>
      </c>
      <c r="V165" s="332" t="s">
        <v>285</v>
      </c>
      <c r="W165" s="332" t="s">
        <v>286</v>
      </c>
      <c r="X165" s="332" t="s">
        <v>287</v>
      </c>
      <c r="Y165" s="332" t="s">
        <v>288</v>
      </c>
      <c r="Z165" s="332" t="s">
        <v>289</v>
      </c>
      <c r="AA165" s="332" t="s">
        <v>290</v>
      </c>
      <c r="AB165" s="332" t="s">
        <v>291</v>
      </c>
      <c r="AC165" s="332" t="s">
        <v>292</v>
      </c>
      <c r="AD165" s="332" t="s">
        <v>293</v>
      </c>
      <c r="AE165" s="332" t="s">
        <v>294</v>
      </c>
      <c r="AF165" s="332" t="s">
        <v>294</v>
      </c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</row>
    <row r="166" spans="1:61" x14ac:dyDescent="0.2">
      <c r="A166" s="327"/>
      <c r="B166" s="327"/>
      <c r="C166" s="339"/>
      <c r="D166" s="327"/>
      <c r="E166" s="327"/>
      <c r="F166" s="327"/>
      <c r="G166" s="327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7"/>
      <c r="BF166" s="327"/>
      <c r="BG166" s="327"/>
      <c r="BH166" s="327"/>
      <c r="BI166" s="327"/>
    </row>
    <row r="167" spans="1:61" x14ac:dyDescent="0.2">
      <c r="A167" s="327"/>
      <c r="B167" s="327" t="s">
        <v>266</v>
      </c>
      <c r="C167" s="339"/>
      <c r="D167" s="327"/>
      <c r="E167" s="327"/>
      <c r="F167" s="327"/>
      <c r="G167" s="327"/>
      <c r="H167" s="338" t="b">
        <v>1</v>
      </c>
      <c r="I167" s="338" t="b">
        <v>0</v>
      </c>
      <c r="J167" s="338" t="b">
        <v>0</v>
      </c>
      <c r="K167" s="338" t="b">
        <v>0</v>
      </c>
      <c r="L167" s="338" t="b">
        <v>0</v>
      </c>
      <c r="M167" s="338" t="b">
        <v>1</v>
      </c>
      <c r="N167" s="338" t="b">
        <v>1</v>
      </c>
      <c r="O167" s="338" t="b">
        <v>1</v>
      </c>
      <c r="P167" s="338" t="b">
        <v>1</v>
      </c>
      <c r="Q167" s="338" t="b">
        <v>1</v>
      </c>
      <c r="R167" s="338" t="b">
        <v>1</v>
      </c>
      <c r="S167" s="338" t="b">
        <v>1</v>
      </c>
      <c r="T167" s="338" t="b">
        <v>1</v>
      </c>
      <c r="U167" s="338" t="b">
        <v>1</v>
      </c>
      <c r="V167" s="338" t="b">
        <v>1</v>
      </c>
      <c r="W167" s="338" t="b">
        <v>1</v>
      </c>
      <c r="X167" s="338" t="b">
        <v>1</v>
      </c>
      <c r="Y167" s="338" t="b">
        <v>1</v>
      </c>
      <c r="Z167" s="338" t="b">
        <v>1</v>
      </c>
      <c r="AA167" s="338" t="b">
        <v>1</v>
      </c>
      <c r="AB167" s="338" t="b">
        <v>1</v>
      </c>
      <c r="AC167" s="338" t="b">
        <v>1</v>
      </c>
      <c r="AD167" s="338" t="b">
        <v>1</v>
      </c>
      <c r="AE167" s="338" t="b">
        <v>1</v>
      </c>
      <c r="AF167" s="338" t="b">
        <v>1</v>
      </c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7"/>
      <c r="BF167" s="327"/>
      <c r="BG167" s="327"/>
      <c r="BH167" s="327"/>
      <c r="BI167" s="327"/>
    </row>
    <row r="168" spans="1:61" x14ac:dyDescent="0.2">
      <c r="A168" s="327"/>
      <c r="B168" s="327"/>
      <c r="C168" s="339"/>
      <c r="D168" s="327"/>
      <c r="E168" s="327"/>
      <c r="F168" s="327"/>
      <c r="G168" s="327"/>
      <c r="H168" s="338"/>
      <c r="I168" s="338"/>
      <c r="J168" s="338"/>
      <c r="K168" s="338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7"/>
      <c r="BF168" s="327"/>
      <c r="BG168" s="327"/>
      <c r="BH168" s="327"/>
      <c r="BI168" s="327"/>
    </row>
    <row r="169" spans="1:61" x14ac:dyDescent="0.2">
      <c r="A169" s="327"/>
      <c r="B169" s="327"/>
      <c r="C169" s="339"/>
      <c r="D169" s="327"/>
      <c r="E169" s="327"/>
      <c r="F169" s="327"/>
      <c r="G169" s="327"/>
      <c r="H169" s="338"/>
      <c r="I169" s="338"/>
      <c r="J169" s="338"/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327"/>
      <c r="BF169" s="327"/>
      <c r="BG169" s="327"/>
      <c r="BH169" s="327"/>
      <c r="BI169" s="327"/>
    </row>
    <row r="170" spans="1:61" x14ac:dyDescent="0.2">
      <c r="A170" s="327"/>
      <c r="B170" s="348" t="s">
        <v>320</v>
      </c>
      <c r="C170" s="349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/>
      <c r="AK170" s="327"/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327"/>
      <c r="BB170" s="327"/>
      <c r="BC170" s="327"/>
      <c r="BD170" s="327"/>
      <c r="BE170" s="327"/>
      <c r="BF170" s="327"/>
      <c r="BG170" s="327"/>
      <c r="BH170" s="327"/>
      <c r="BI170" s="327"/>
    </row>
    <row r="171" spans="1:61" x14ac:dyDescent="0.2">
      <c r="A171" s="327"/>
      <c r="B171" s="350"/>
      <c r="C171" s="347" t="str">
        <f>$B$165</f>
        <v>Option 5</v>
      </c>
      <c r="D171" s="6" t="s">
        <v>296</v>
      </c>
      <c r="E171" s="6" t="s">
        <v>305</v>
      </c>
      <c r="F171" s="337" cm="1">
        <f t="array" ref="F171:F174">INDEX($H$11:$L$14,,MATCH($B165, $H$9:$L$9,0))</f>
        <v>15586.666666666666</v>
      </c>
      <c r="G171" s="337"/>
      <c r="H171" s="31">
        <f>INDEX(H$20:H$24, MATCH($C171, $C$20:$C$24,0))*$F171</f>
        <v>13974.307103442512</v>
      </c>
      <c r="I171" s="31">
        <f t="shared" ref="I171:AF174" si="68">INDEX(I$20:I$24, MATCH($C171, $C$20:$C$24,0))*$F171</f>
        <v>16831.651791507415</v>
      </c>
      <c r="J171" s="31">
        <f t="shared" si="68"/>
        <v>20379.653142896248</v>
      </c>
      <c r="K171" s="31">
        <f t="shared" si="68"/>
        <v>24799.603858868053</v>
      </c>
      <c r="L171" s="31">
        <f t="shared" si="68"/>
        <v>30322.604609623355</v>
      </c>
      <c r="M171" s="31">
        <f t="shared" si="68"/>
        <v>37243.636865928464</v>
      </c>
      <c r="N171" s="31">
        <f t="shared" si="68"/>
        <v>44721.498134408685</v>
      </c>
      <c r="O171" s="31">
        <f t="shared" si="68"/>
        <v>48419.004448917985</v>
      </c>
      <c r="P171" s="31">
        <f t="shared" si="68"/>
        <v>50047.407245968963</v>
      </c>
      <c r="Q171" s="31">
        <f t="shared" si="68"/>
        <v>50418.81184728309</v>
      </c>
      <c r="R171" s="31">
        <f t="shared" si="68"/>
        <v>50813.363187519106</v>
      </c>
      <c r="S171" s="31">
        <f t="shared" si="68"/>
        <v>51240.73712008357</v>
      </c>
      <c r="T171" s="31">
        <f t="shared" si="68"/>
        <v>51703.740828801798</v>
      </c>
      <c r="U171" s="31">
        <f t="shared" si="68"/>
        <v>52205.4256877195</v>
      </c>
      <c r="V171" s="31">
        <f t="shared" si="68"/>
        <v>52749.108733476416</v>
      </c>
      <c r="W171" s="31">
        <f t="shared" si="68"/>
        <v>53338.396039178027</v>
      </c>
      <c r="X171" s="31">
        <f t="shared" si="68"/>
        <v>53977.208158938345</v>
      </c>
      <c r="Y171" s="31">
        <f t="shared" si="68"/>
        <v>54669.807827364435</v>
      </c>
      <c r="Z171" s="31">
        <f t="shared" si="68"/>
        <v>55420.830114700708</v>
      </c>
      <c r="AA171" s="31">
        <f t="shared" si="68"/>
        <v>56235.315256269452</v>
      </c>
      <c r="AB171" s="31">
        <f t="shared" si="68"/>
        <v>57118.74439436532</v>
      </c>
      <c r="AC171" s="31">
        <f t="shared" si="68"/>
        <v>58077.078492028682</v>
      </c>
      <c r="AD171" s="31">
        <f t="shared" si="68"/>
        <v>59116.800701292792</v>
      </c>
      <c r="AE171" s="31">
        <f t="shared" si="68"/>
        <v>60244.962493742794</v>
      </c>
      <c r="AF171" s="31">
        <f t="shared" si="68"/>
        <v>61469.233888726099</v>
      </c>
      <c r="AG171" s="327"/>
      <c r="AH171" s="327"/>
      <c r="AI171" s="327"/>
      <c r="AJ171" s="327"/>
      <c r="AK171" s="327"/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327"/>
      <c r="BB171" s="327"/>
      <c r="BC171" s="327"/>
      <c r="BD171" s="327"/>
      <c r="BE171" s="327"/>
      <c r="BF171" s="327"/>
      <c r="BG171" s="327"/>
      <c r="BH171" s="327"/>
      <c r="BI171" s="327"/>
    </row>
    <row r="172" spans="1:61" x14ac:dyDescent="0.2">
      <c r="A172" s="327"/>
      <c r="B172" s="350"/>
      <c r="C172" s="347" t="str">
        <f>C171</f>
        <v>Option 5</v>
      </c>
      <c r="D172" s="6" t="s">
        <v>116</v>
      </c>
      <c r="F172" s="337">
        <v>50096.666666666664</v>
      </c>
      <c r="G172" s="337"/>
      <c r="H172" s="31">
        <f t="shared" ref="H172:W174" si="69">INDEX(H$20:H$24, MATCH($C172, $C$20:$C$24,0))*$F172</f>
        <v>44914.427172292024</v>
      </c>
      <c r="I172" s="31">
        <f t="shared" si="69"/>
        <v>54098.138317913799</v>
      </c>
      <c r="J172" s="31">
        <f t="shared" si="69"/>
        <v>65501.669607482407</v>
      </c>
      <c r="K172" s="31">
        <f t="shared" si="69"/>
        <v>79707.708809864838</v>
      </c>
      <c r="L172" s="31">
        <f t="shared" si="69"/>
        <v>97459.030085121776</v>
      </c>
      <c r="M172" s="31">
        <f t="shared" si="69"/>
        <v>119703.72507656948</v>
      </c>
      <c r="N172" s="31">
        <f t="shared" si="69"/>
        <v>143738.10852481355</v>
      </c>
      <c r="O172" s="31">
        <f t="shared" si="69"/>
        <v>155622.15950872292</v>
      </c>
      <c r="P172" s="31">
        <f t="shared" si="69"/>
        <v>160855.96310942419</v>
      </c>
      <c r="Q172" s="31">
        <f t="shared" si="69"/>
        <v>162049.68418580358</v>
      </c>
      <c r="R172" s="31">
        <f t="shared" si="69"/>
        <v>163317.80054431665</v>
      </c>
      <c r="S172" s="31">
        <f t="shared" si="69"/>
        <v>164691.41107308297</v>
      </c>
      <c r="T172" s="31">
        <f t="shared" si="69"/>
        <v>166179.53826263093</v>
      </c>
      <c r="U172" s="31">
        <f t="shared" si="69"/>
        <v>167791.98944840385</v>
      </c>
      <c r="V172" s="31">
        <f t="shared" si="69"/>
        <v>169539.42582451177</v>
      </c>
      <c r="W172" s="31">
        <f t="shared" si="69"/>
        <v>171433.43756903475</v>
      </c>
      <c r="X172" s="31">
        <f t="shared" si="68"/>
        <v>173486.62562461171</v>
      </c>
      <c r="Y172" s="31">
        <f t="shared" si="68"/>
        <v>175712.69072657402</v>
      </c>
      <c r="Z172" s="31">
        <f t="shared" si="68"/>
        <v>178126.53032374615</v>
      </c>
      <c r="AA172" s="31">
        <f t="shared" si="68"/>
        <v>180744.34409462652</v>
      </c>
      <c r="AB172" s="31">
        <f t="shared" si="68"/>
        <v>183583.7488244047</v>
      </c>
      <c r="AC172" s="31">
        <f t="shared" si="68"/>
        <v>186663.9034766251</v>
      </c>
      <c r="AD172" s="31">
        <f t="shared" si="68"/>
        <v>190005.64536777788</v>
      </c>
      <c r="AE172" s="31">
        <f t="shared" si="68"/>
        <v>193631.6384342302</v>
      </c>
      <c r="AF172" s="31">
        <f t="shared" si="68"/>
        <v>197566.5346693038</v>
      </c>
      <c r="AG172" s="327"/>
      <c r="AH172" s="327"/>
      <c r="AI172" s="327"/>
      <c r="AJ172" s="327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27"/>
      <c r="AX172" s="327"/>
      <c r="AY172" s="327"/>
      <c r="AZ172" s="327"/>
      <c r="BA172" s="327"/>
      <c r="BB172" s="327"/>
      <c r="BC172" s="327"/>
      <c r="BD172" s="327"/>
      <c r="BE172" s="327"/>
      <c r="BF172" s="327"/>
      <c r="BG172" s="327"/>
      <c r="BH172" s="327"/>
      <c r="BI172" s="327"/>
    </row>
    <row r="173" spans="1:61" x14ac:dyDescent="0.2">
      <c r="A173" s="327"/>
      <c r="B173" s="350"/>
      <c r="C173" s="347" t="str">
        <f t="shared" ref="C173:C174" si="70">C172</f>
        <v>Option 5</v>
      </c>
      <c r="D173" s="6" t="s">
        <v>297</v>
      </c>
      <c r="F173" s="337">
        <v>72560.641400000008</v>
      </c>
      <c r="G173" s="337"/>
      <c r="H173" s="31">
        <f t="shared" si="69"/>
        <v>65054.620608192796</v>
      </c>
      <c r="I173" s="31">
        <f t="shared" si="69"/>
        <v>78356.423212996393</v>
      </c>
      <c r="J173" s="31">
        <f t="shared" si="68"/>
        <v>94873.441203469498</v>
      </c>
      <c r="K173" s="31">
        <f t="shared" si="68"/>
        <v>115449.64686475927</v>
      </c>
      <c r="L173" s="31">
        <f t="shared" si="68"/>
        <v>141160.88362229688</v>
      </c>
      <c r="M173" s="31">
        <f t="shared" si="68"/>
        <v>173380.37932381022</v>
      </c>
      <c r="N173" s="31">
        <f t="shared" si="68"/>
        <v>208192.08227127447</v>
      </c>
      <c r="O173" s="31">
        <f t="shared" si="68"/>
        <v>225405.09102414091</v>
      </c>
      <c r="P173" s="31">
        <f t="shared" si="68"/>
        <v>232985.7979153881</v>
      </c>
      <c r="Q173" s="31">
        <f t="shared" si="68"/>
        <v>234714.79851998165</v>
      </c>
      <c r="R173" s="31">
        <f t="shared" si="68"/>
        <v>236551.55418589833</v>
      </c>
      <c r="S173" s="31">
        <f t="shared" si="68"/>
        <v>238541.10893340802</v>
      </c>
      <c r="T173" s="31">
        <f t="shared" si="68"/>
        <v>240696.53105114799</v>
      </c>
      <c r="U173" s="31">
        <f t="shared" si="68"/>
        <v>243032.02560699082</v>
      </c>
      <c r="V173" s="31">
        <f t="shared" si="68"/>
        <v>245563.03440842972</v>
      </c>
      <c r="W173" s="31">
        <f t="shared" si="68"/>
        <v>248306.3448150114</v>
      </c>
      <c r="X173" s="31">
        <f t="shared" si="68"/>
        <v>251280.20819036869</v>
      </c>
      <c r="Y173" s="31">
        <f t="shared" si="68"/>
        <v>254504.46885168765</v>
      </c>
      <c r="Z173" s="31">
        <f t="shared" si="68"/>
        <v>258000.7044510128</v>
      </c>
      <c r="AA173" s="31">
        <f t="shared" si="68"/>
        <v>261792.37880620942</v>
      </c>
      <c r="AB173" s="31">
        <f t="shared" si="68"/>
        <v>265905.0082902782</v>
      </c>
      <c r="AC173" s="31">
        <f t="shared" si="68"/>
        <v>270366.34298672451</v>
      </c>
      <c r="AD173" s="31">
        <f t="shared" si="68"/>
        <v>275206.56392654678</v>
      </c>
      <c r="AE173" s="31">
        <f t="shared" si="68"/>
        <v>280458.49783992226</v>
      </c>
      <c r="AF173" s="31">
        <f t="shared" si="68"/>
        <v>286157.85098369862</v>
      </c>
      <c r="AG173" s="327"/>
      <c r="AH173" s="327"/>
      <c r="AI173" s="327"/>
      <c r="AJ173" s="327"/>
      <c r="AK173" s="327"/>
      <c r="AL173" s="327"/>
      <c r="AM173" s="327"/>
      <c r="AN173" s="327"/>
      <c r="AO173" s="327"/>
      <c r="AP173" s="327"/>
      <c r="AQ173" s="327"/>
      <c r="AR173" s="327"/>
      <c r="AS173" s="327"/>
      <c r="AT173" s="327"/>
      <c r="AU173" s="327"/>
      <c r="AV173" s="327"/>
      <c r="AW173" s="327"/>
      <c r="AX173" s="327"/>
      <c r="AY173" s="327"/>
      <c r="AZ173" s="327"/>
      <c r="BA173" s="327"/>
      <c r="BB173" s="327"/>
      <c r="BC173" s="327"/>
      <c r="BD173" s="327"/>
      <c r="BE173" s="327"/>
      <c r="BF173" s="327"/>
      <c r="BG173" s="327"/>
      <c r="BH173" s="327"/>
      <c r="BI173" s="327"/>
    </row>
    <row r="174" spans="1:61" x14ac:dyDescent="0.2">
      <c r="A174" s="327"/>
      <c r="B174" s="350"/>
      <c r="C174" s="347" t="str">
        <f t="shared" si="70"/>
        <v>Option 5</v>
      </c>
      <c r="D174" s="6" t="s">
        <v>299</v>
      </c>
      <c r="F174" s="337">
        <v>1683.3333333333333</v>
      </c>
      <c r="G174" s="337"/>
      <c r="H174" s="31">
        <f t="shared" si="69"/>
        <v>1509.2012590330344</v>
      </c>
      <c r="I174" s="31">
        <f t="shared" si="69"/>
        <v>1817.7895968159203</v>
      </c>
      <c r="J174" s="31">
        <f t="shared" si="68"/>
        <v>2200.9676726181792</v>
      </c>
      <c r="K174" s="31">
        <f t="shared" si="68"/>
        <v>2678.3147880086326</v>
      </c>
      <c r="L174" s="31">
        <f t="shared" si="68"/>
        <v>3274.7894199871243</v>
      </c>
      <c r="M174" s="31">
        <f t="shared" si="68"/>
        <v>4022.2490627232405</v>
      </c>
      <c r="N174" s="31">
        <f t="shared" si="68"/>
        <v>4829.8452861155656</v>
      </c>
      <c r="O174" s="31">
        <f t="shared" si="68"/>
        <v>5229.1696421521774</v>
      </c>
      <c r="P174" s="31">
        <f t="shared" si="68"/>
        <v>5405.0343582579817</v>
      </c>
      <c r="Q174" s="31">
        <f t="shared" si="68"/>
        <v>5445.1454197771518</v>
      </c>
      <c r="R174" s="31">
        <f t="shared" si="68"/>
        <v>5487.7562894989624</v>
      </c>
      <c r="S174" s="31">
        <f t="shared" si="68"/>
        <v>5533.9119430372548</v>
      </c>
      <c r="T174" s="31">
        <f t="shared" si="68"/>
        <v>5583.9155514424529</v>
      </c>
      <c r="U174" s="31">
        <f t="shared" si="68"/>
        <v>5638.0966578910065</v>
      </c>
      <c r="V174" s="31">
        <f t="shared" si="68"/>
        <v>5696.8134966650114</v>
      </c>
      <c r="W174" s="31">
        <f t="shared" si="68"/>
        <v>5760.4555174903553</v>
      </c>
      <c r="X174" s="31">
        <f t="shared" si="68"/>
        <v>5829.4461335038204</v>
      </c>
      <c r="Y174" s="31">
        <f t="shared" si="68"/>
        <v>5904.2457127500093</v>
      </c>
      <c r="Z174" s="31">
        <f t="shared" si="68"/>
        <v>5985.3548348853419</v>
      </c>
      <c r="AA174" s="31">
        <f t="shared" si="68"/>
        <v>6073.3178367014698</v>
      </c>
      <c r="AB174" s="31">
        <f t="shared" si="68"/>
        <v>6168.7266721887263</v>
      </c>
      <c r="AC174" s="31">
        <f t="shared" si="68"/>
        <v>6272.2251151570754</v>
      </c>
      <c r="AD174" s="31">
        <f t="shared" si="68"/>
        <v>6384.5133349343159</v>
      </c>
      <c r="AE174" s="31">
        <f t="shared" si="68"/>
        <v>6506.3528783875345</v>
      </c>
      <c r="AF174" s="31">
        <f t="shared" si="68"/>
        <v>6638.5720944838922</v>
      </c>
      <c r="AG174" s="327"/>
      <c r="AH174" s="327"/>
      <c r="AI174" s="327"/>
      <c r="AJ174" s="327"/>
      <c r="AK174" s="327"/>
      <c r="AL174" s="327"/>
      <c r="AM174" s="327"/>
      <c r="AN174" s="327"/>
      <c r="AO174" s="327"/>
      <c r="AP174" s="327"/>
      <c r="AQ174" s="327"/>
      <c r="AR174" s="327"/>
      <c r="AS174" s="327"/>
      <c r="AT174" s="327"/>
      <c r="AU174" s="327"/>
      <c r="AV174" s="327"/>
      <c r="AW174" s="327"/>
      <c r="AX174" s="327"/>
      <c r="AY174" s="327"/>
      <c r="AZ174" s="327"/>
      <c r="BA174" s="327"/>
      <c r="BB174" s="327"/>
      <c r="BC174" s="327"/>
      <c r="BD174" s="327"/>
      <c r="BE174" s="327"/>
      <c r="BF174" s="327"/>
      <c r="BG174" s="327"/>
      <c r="BH174" s="327"/>
      <c r="BI174" s="327"/>
    </row>
    <row r="175" spans="1:61" x14ac:dyDescent="0.2">
      <c r="A175" s="327"/>
      <c r="B175" s="350"/>
      <c r="C175" s="347"/>
      <c r="D175" s="327"/>
      <c r="F175" s="327"/>
      <c r="G175" s="327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27"/>
      <c r="AH175" s="327"/>
      <c r="AI175" s="327"/>
      <c r="AJ175" s="327"/>
      <c r="AK175" s="327"/>
      <c r="AL175" s="327"/>
      <c r="AM175" s="327"/>
      <c r="AN175" s="327"/>
      <c r="AO175" s="327"/>
      <c r="AP175" s="327"/>
      <c r="AQ175" s="327"/>
      <c r="AR175" s="327"/>
      <c r="AS175" s="327"/>
      <c r="AT175" s="327"/>
      <c r="AU175" s="327"/>
      <c r="AV175" s="327"/>
      <c r="AW175" s="327"/>
      <c r="AX175" s="327"/>
      <c r="AY175" s="327"/>
      <c r="AZ175" s="327"/>
      <c r="BA175" s="327"/>
      <c r="BB175" s="327"/>
      <c r="BC175" s="327"/>
      <c r="BD175" s="327"/>
      <c r="BE175" s="327"/>
      <c r="BF175" s="327"/>
      <c r="BG175" s="327"/>
      <c r="BH175" s="327"/>
      <c r="BI175" s="327"/>
    </row>
    <row r="176" spans="1:61" hidden="1" outlineLevel="1" x14ac:dyDescent="0.2">
      <c r="A176" s="327"/>
      <c r="B176" s="348" t="s">
        <v>326</v>
      </c>
      <c r="C176" s="347"/>
      <c r="D176" s="327"/>
      <c r="F176" s="327"/>
      <c r="G176" s="327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27"/>
      <c r="AH176" s="327"/>
      <c r="AI176" s="327"/>
      <c r="AJ176" s="327"/>
      <c r="AK176" s="327"/>
      <c r="AL176" s="327"/>
      <c r="AM176" s="327"/>
      <c r="AN176" s="327"/>
      <c r="AO176" s="327"/>
      <c r="AP176" s="327"/>
      <c r="AQ176" s="327"/>
      <c r="AR176" s="327"/>
      <c r="AS176" s="327"/>
      <c r="AT176" s="327"/>
      <c r="AU176" s="327"/>
      <c r="AV176" s="327"/>
      <c r="AW176" s="327"/>
      <c r="AX176" s="327"/>
      <c r="AY176" s="327"/>
      <c r="AZ176" s="327"/>
      <c r="BA176" s="327"/>
      <c r="BB176" s="327"/>
      <c r="BC176" s="327"/>
      <c r="BD176" s="327"/>
      <c r="BE176" s="327"/>
      <c r="BF176" s="327"/>
      <c r="BG176" s="327"/>
      <c r="BH176" s="327"/>
      <c r="BI176" s="327"/>
    </row>
    <row r="177" spans="1:61" hidden="1" outlineLevel="1" x14ac:dyDescent="0.2">
      <c r="A177" s="327"/>
      <c r="B177" s="350"/>
      <c r="C177" s="347" t="s">
        <v>317</v>
      </c>
      <c r="D177" s="327"/>
      <c r="F177" s="337">
        <f>F171</f>
        <v>15586.666666666666</v>
      </c>
      <c r="G177" s="327"/>
      <c r="H177" s="31">
        <f t="shared" ref="H177:AF180" si="71">-INDEX(H$20:H$24, MATCH($C177, $C$20:$C$24,0))*$F177</f>
        <v>-5310.0240843135416</v>
      </c>
      <c r="I177" s="31">
        <f t="shared" si="71"/>
        <v>-6444.0763207532809</v>
      </c>
      <c r="J177" s="31">
        <f t="shared" si="71"/>
        <v>-7843.5277633937303</v>
      </c>
      <c r="K177" s="31">
        <f t="shared" si="71"/>
        <v>-9574.4581676177349</v>
      </c>
      <c r="L177" s="31">
        <f t="shared" si="71"/>
        <v>-11720.147830653876</v>
      </c>
      <c r="M177" s="31">
        <f t="shared" si="71"/>
        <v>-14385.700474893218</v>
      </c>
      <c r="N177" s="31">
        <f t="shared" si="71"/>
        <v>-17491.552441453397</v>
      </c>
      <c r="O177" s="31">
        <f t="shared" si="71"/>
        <v>-19307.814843183205</v>
      </c>
      <c r="P177" s="31">
        <f t="shared" si="71"/>
        <v>-19544.379375612709</v>
      </c>
      <c r="Q177" s="31">
        <f t="shared" si="71"/>
        <v>-19544.379375612709</v>
      </c>
      <c r="R177" s="31">
        <f t="shared" si="71"/>
        <v>-19544.379375612709</v>
      </c>
      <c r="S177" s="31">
        <f t="shared" si="71"/>
        <v>-19544.379375612709</v>
      </c>
      <c r="T177" s="31">
        <f t="shared" si="71"/>
        <v>-19544.379375612709</v>
      </c>
      <c r="U177" s="31">
        <f t="shared" si="71"/>
        <v>-19544.379375612709</v>
      </c>
      <c r="V177" s="31">
        <f t="shared" si="71"/>
        <v>-19544.379375612709</v>
      </c>
      <c r="W177" s="31">
        <f t="shared" si="71"/>
        <v>-19544.379375612709</v>
      </c>
      <c r="X177" s="31">
        <f t="shared" si="71"/>
        <v>-19544.379375612709</v>
      </c>
      <c r="Y177" s="31">
        <f t="shared" si="71"/>
        <v>-19544.379375612709</v>
      </c>
      <c r="Z177" s="31">
        <f t="shared" si="71"/>
        <v>-19544.379375612709</v>
      </c>
      <c r="AA177" s="31">
        <f t="shared" si="71"/>
        <v>-19544.379375612709</v>
      </c>
      <c r="AB177" s="31">
        <f t="shared" si="71"/>
        <v>-19544.379375612709</v>
      </c>
      <c r="AC177" s="31">
        <f t="shared" si="71"/>
        <v>-19544.379375612709</v>
      </c>
      <c r="AD177" s="31">
        <f t="shared" si="71"/>
        <v>-19544.379375612709</v>
      </c>
      <c r="AE177" s="31">
        <f t="shared" si="71"/>
        <v>-19544.379375612709</v>
      </c>
      <c r="AF177" s="31">
        <f t="shared" si="71"/>
        <v>-19544.379375612709</v>
      </c>
      <c r="AG177" s="327"/>
      <c r="AH177" s="327"/>
      <c r="AI177" s="327"/>
      <c r="AJ177" s="327"/>
      <c r="AK177" s="327"/>
      <c r="AL177" s="327"/>
      <c r="AM177" s="327"/>
      <c r="AN177" s="327"/>
      <c r="AO177" s="327"/>
      <c r="AP177" s="327"/>
      <c r="AQ177" s="327"/>
      <c r="AR177" s="327"/>
      <c r="AS177" s="327"/>
      <c r="AT177" s="327"/>
      <c r="AU177" s="327"/>
      <c r="AV177" s="327"/>
      <c r="AW177" s="327"/>
      <c r="AX177" s="327"/>
      <c r="AY177" s="327"/>
      <c r="AZ177" s="327"/>
      <c r="BA177" s="327"/>
      <c r="BB177" s="327"/>
      <c r="BC177" s="327"/>
      <c r="BD177" s="327"/>
      <c r="BE177" s="327"/>
      <c r="BF177" s="327"/>
      <c r="BG177" s="327"/>
      <c r="BH177" s="327"/>
      <c r="BI177" s="327"/>
    </row>
    <row r="178" spans="1:61" hidden="1" outlineLevel="1" x14ac:dyDescent="0.2">
      <c r="A178" s="327"/>
      <c r="B178" s="350"/>
      <c r="C178" s="347" t="s">
        <v>317</v>
      </c>
      <c r="D178" s="327"/>
      <c r="F178" s="337">
        <f>F172</f>
        <v>50096.666666666664</v>
      </c>
      <c r="G178" s="327"/>
      <c r="H178" s="31">
        <f t="shared" ref="H178:W180" si="72">-INDEX(H$20:H$24, MATCH($C178, $C$20:$C$24,0))*$F178</f>
        <v>-17066.798965600559</v>
      </c>
      <c r="I178" s="31">
        <f t="shared" si="72"/>
        <v>-20711.724342301339</v>
      </c>
      <c r="J178" s="31">
        <f t="shared" si="72"/>
        <v>-25209.661838332842</v>
      </c>
      <c r="K178" s="31">
        <f t="shared" si="72"/>
        <v>-30772.996535741433</v>
      </c>
      <c r="L178" s="31">
        <f t="shared" si="72"/>
        <v>-37669.397294032744</v>
      </c>
      <c r="M178" s="31">
        <f t="shared" si="72"/>
        <v>-46236.675029334932</v>
      </c>
      <c r="N178" s="31">
        <f t="shared" si="72"/>
        <v>-56219.106424850965</v>
      </c>
      <c r="O178" s="31">
        <f t="shared" si="72"/>
        <v>-62056.704293883748</v>
      </c>
      <c r="P178" s="31">
        <f t="shared" si="72"/>
        <v>-62817.039699761212</v>
      </c>
      <c r="Q178" s="31">
        <f t="shared" si="72"/>
        <v>-62817.039699761212</v>
      </c>
      <c r="R178" s="31">
        <f t="shared" si="72"/>
        <v>-62817.039699761212</v>
      </c>
      <c r="S178" s="31">
        <f t="shared" si="72"/>
        <v>-62817.039699761212</v>
      </c>
      <c r="T178" s="31">
        <f t="shared" si="72"/>
        <v>-62817.039699761212</v>
      </c>
      <c r="U178" s="31">
        <f t="shared" si="72"/>
        <v>-62817.039699761212</v>
      </c>
      <c r="V178" s="31">
        <f t="shared" si="72"/>
        <v>-62817.039699761212</v>
      </c>
      <c r="W178" s="31">
        <f t="shared" si="72"/>
        <v>-62817.039699761212</v>
      </c>
      <c r="X178" s="31">
        <f t="shared" si="71"/>
        <v>-62817.039699761212</v>
      </c>
      <c r="Y178" s="31">
        <f t="shared" si="71"/>
        <v>-62817.039699761212</v>
      </c>
      <c r="Z178" s="31">
        <f t="shared" si="71"/>
        <v>-62817.039699761212</v>
      </c>
      <c r="AA178" s="31">
        <f t="shared" si="71"/>
        <v>-62817.039699761212</v>
      </c>
      <c r="AB178" s="31">
        <f t="shared" si="71"/>
        <v>-62817.039699761212</v>
      </c>
      <c r="AC178" s="31">
        <f t="shared" si="71"/>
        <v>-62817.039699761212</v>
      </c>
      <c r="AD178" s="31">
        <f t="shared" si="71"/>
        <v>-62817.039699761212</v>
      </c>
      <c r="AE178" s="31">
        <f t="shared" si="71"/>
        <v>-62817.039699761212</v>
      </c>
      <c r="AF178" s="31">
        <f t="shared" si="71"/>
        <v>-62817.039699761212</v>
      </c>
      <c r="AG178" s="327"/>
      <c r="AH178" s="327"/>
      <c r="AI178" s="327"/>
      <c r="AJ178" s="327"/>
      <c r="AK178" s="327"/>
      <c r="AL178" s="327"/>
      <c r="AM178" s="327"/>
      <c r="AN178" s="327"/>
      <c r="AO178" s="327"/>
      <c r="AP178" s="327"/>
      <c r="AQ178" s="327"/>
      <c r="AR178" s="327"/>
      <c r="AS178" s="327"/>
      <c r="AT178" s="327"/>
      <c r="AU178" s="327"/>
      <c r="AV178" s="327"/>
      <c r="AW178" s="327"/>
      <c r="AX178" s="327"/>
      <c r="AY178" s="327"/>
      <c r="AZ178" s="327"/>
      <c r="BA178" s="327"/>
      <c r="BB178" s="327"/>
      <c r="BC178" s="327"/>
      <c r="BD178" s="327"/>
      <c r="BE178" s="327"/>
      <c r="BF178" s="327"/>
      <c r="BG178" s="327"/>
      <c r="BH178" s="327"/>
      <c r="BI178" s="327"/>
    </row>
    <row r="179" spans="1:61" hidden="1" outlineLevel="1" x14ac:dyDescent="0.2">
      <c r="A179" s="327"/>
      <c r="B179" s="350"/>
      <c r="C179" s="347" t="s">
        <v>317</v>
      </c>
      <c r="D179" s="327"/>
      <c r="F179" s="337">
        <f>F173</f>
        <v>72560.641400000008</v>
      </c>
      <c r="G179" s="327"/>
      <c r="H179" s="31">
        <f t="shared" si="72"/>
        <v>-24719.766044091422</v>
      </c>
      <c r="I179" s="31">
        <f t="shared" si="72"/>
        <v>-29999.121753490821</v>
      </c>
      <c r="J179" s="31">
        <f t="shared" si="72"/>
        <v>-36513.990933525871</v>
      </c>
      <c r="K179" s="31">
        <f t="shared" si="72"/>
        <v>-44571.994805377137</v>
      </c>
      <c r="L179" s="31">
        <f t="shared" si="72"/>
        <v>-54560.82830806655</v>
      </c>
      <c r="M179" s="31">
        <f t="shared" si="72"/>
        <v>-66969.781016672583</v>
      </c>
      <c r="N179" s="31">
        <f t="shared" si="72"/>
        <v>-81428.460066312735</v>
      </c>
      <c r="O179" s="31">
        <f t="shared" si="72"/>
        <v>-89883.710161707495</v>
      </c>
      <c r="P179" s="31">
        <f t="shared" si="72"/>
        <v>-90984.989516214075</v>
      </c>
      <c r="Q179" s="31">
        <f t="shared" si="72"/>
        <v>-90984.989516214075</v>
      </c>
      <c r="R179" s="31">
        <f t="shared" si="72"/>
        <v>-90984.989516214075</v>
      </c>
      <c r="S179" s="31">
        <f t="shared" si="72"/>
        <v>-90984.989516214075</v>
      </c>
      <c r="T179" s="31">
        <f t="shared" si="72"/>
        <v>-90984.989516214075</v>
      </c>
      <c r="U179" s="31">
        <f t="shared" si="72"/>
        <v>-90984.989516214075</v>
      </c>
      <c r="V179" s="31">
        <f t="shared" si="72"/>
        <v>-90984.989516214075</v>
      </c>
      <c r="W179" s="31">
        <f t="shared" si="71"/>
        <v>-90984.989516214075</v>
      </c>
      <c r="X179" s="31">
        <f t="shared" si="71"/>
        <v>-90984.989516214075</v>
      </c>
      <c r="Y179" s="31">
        <f t="shared" si="71"/>
        <v>-90984.989516214075</v>
      </c>
      <c r="Z179" s="31">
        <f t="shared" si="71"/>
        <v>-90984.989516214075</v>
      </c>
      <c r="AA179" s="31">
        <f t="shared" si="71"/>
        <v>-90984.989516214075</v>
      </c>
      <c r="AB179" s="31">
        <f t="shared" si="71"/>
        <v>-90984.989516214075</v>
      </c>
      <c r="AC179" s="31">
        <f t="shared" si="71"/>
        <v>-90984.989516214075</v>
      </c>
      <c r="AD179" s="31">
        <f t="shared" si="71"/>
        <v>-90984.989516214075</v>
      </c>
      <c r="AE179" s="31">
        <f t="shared" si="71"/>
        <v>-90984.989516214075</v>
      </c>
      <c r="AF179" s="31">
        <f t="shared" si="71"/>
        <v>-90984.989516214075</v>
      </c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27"/>
      <c r="BC179" s="327"/>
      <c r="BD179" s="327"/>
      <c r="BE179" s="327"/>
      <c r="BF179" s="327"/>
      <c r="BG179" s="327"/>
      <c r="BH179" s="327"/>
      <c r="BI179" s="327"/>
    </row>
    <row r="180" spans="1:61" hidden="1" outlineLevel="1" x14ac:dyDescent="0.2">
      <c r="A180" s="327"/>
      <c r="B180" s="350"/>
      <c r="C180" s="347" t="s">
        <v>317</v>
      </c>
      <c r="D180" s="327"/>
      <c r="F180" s="337">
        <f>F174</f>
        <v>1683.3333333333333</v>
      </c>
      <c r="G180" s="327"/>
      <c r="H180" s="31">
        <f t="shared" si="72"/>
        <v>-573.47351637689019</v>
      </c>
      <c r="I180" s="31">
        <f t="shared" si="72"/>
        <v>-695.94921770325209</v>
      </c>
      <c r="J180" s="31">
        <f t="shared" si="72"/>
        <v>-847.08757923734674</v>
      </c>
      <c r="K180" s="31">
        <f t="shared" si="72"/>
        <v>-1034.025101507048</v>
      </c>
      <c r="L180" s="31">
        <f t="shared" si="72"/>
        <v>-1265.7559141317809</v>
      </c>
      <c r="M180" s="31">
        <f t="shared" si="72"/>
        <v>-1553.6310393116071</v>
      </c>
      <c r="N180" s="31">
        <f t="shared" si="72"/>
        <v>-1889.05773800983</v>
      </c>
      <c r="O180" s="31">
        <f t="shared" si="72"/>
        <v>-2085.2109700187166</v>
      </c>
      <c r="P180" s="31">
        <f t="shared" si="72"/>
        <v>-2110.7595347913643</v>
      </c>
      <c r="Q180" s="31">
        <f t="shared" si="72"/>
        <v>-2110.7595347913643</v>
      </c>
      <c r="R180" s="31">
        <f t="shared" si="72"/>
        <v>-2110.7595347913643</v>
      </c>
      <c r="S180" s="31">
        <f t="shared" si="72"/>
        <v>-2110.7595347913643</v>
      </c>
      <c r="T180" s="31">
        <f t="shared" si="72"/>
        <v>-2110.7595347913643</v>
      </c>
      <c r="U180" s="31">
        <f t="shared" si="72"/>
        <v>-2110.7595347913643</v>
      </c>
      <c r="V180" s="31">
        <f t="shared" si="72"/>
        <v>-2110.7595347913643</v>
      </c>
      <c r="W180" s="31">
        <f t="shared" si="71"/>
        <v>-2110.7595347913643</v>
      </c>
      <c r="X180" s="31">
        <f t="shared" si="71"/>
        <v>-2110.7595347913643</v>
      </c>
      <c r="Y180" s="31">
        <f t="shared" si="71"/>
        <v>-2110.7595347913643</v>
      </c>
      <c r="Z180" s="31">
        <f t="shared" si="71"/>
        <v>-2110.7595347913643</v>
      </c>
      <c r="AA180" s="31">
        <f t="shared" si="71"/>
        <v>-2110.7595347913643</v>
      </c>
      <c r="AB180" s="31">
        <f t="shared" si="71"/>
        <v>-2110.7595347913643</v>
      </c>
      <c r="AC180" s="31">
        <f t="shared" si="71"/>
        <v>-2110.7595347913643</v>
      </c>
      <c r="AD180" s="31">
        <f t="shared" si="71"/>
        <v>-2110.7595347913643</v>
      </c>
      <c r="AE180" s="31">
        <f t="shared" si="71"/>
        <v>-2110.7595347913643</v>
      </c>
      <c r="AF180" s="31">
        <f t="shared" si="71"/>
        <v>-2110.7595347913643</v>
      </c>
      <c r="AG180" s="327"/>
      <c r="AH180" s="327"/>
      <c r="AI180" s="327"/>
      <c r="AJ180" s="327"/>
      <c r="AK180" s="327"/>
      <c r="AL180" s="327"/>
      <c r="AM180" s="327"/>
      <c r="AN180" s="327"/>
      <c r="AO180" s="327"/>
      <c r="AP180" s="327"/>
      <c r="AQ180" s="327"/>
      <c r="AR180" s="327"/>
      <c r="AS180" s="327"/>
      <c r="AT180" s="327"/>
      <c r="AU180" s="327"/>
      <c r="AV180" s="327"/>
      <c r="AW180" s="327"/>
      <c r="AX180" s="327"/>
      <c r="AY180" s="327"/>
      <c r="AZ180" s="327"/>
      <c r="BA180" s="327"/>
      <c r="BB180" s="327"/>
      <c r="BC180" s="327"/>
      <c r="BD180" s="327"/>
      <c r="BE180" s="327"/>
      <c r="BF180" s="327"/>
      <c r="BG180" s="327"/>
      <c r="BH180" s="327"/>
      <c r="BI180" s="327"/>
    </row>
    <row r="181" spans="1:61" hidden="1" outlineLevel="1" x14ac:dyDescent="0.2">
      <c r="A181" s="327"/>
      <c r="B181" s="350"/>
      <c r="C181" s="347"/>
      <c r="D181" s="327"/>
      <c r="F181" s="327"/>
      <c r="G181" s="327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27"/>
      <c r="AH181" s="327"/>
      <c r="AI181" s="327"/>
      <c r="AJ181" s="327"/>
      <c r="AK181" s="327"/>
      <c r="AL181" s="327"/>
      <c r="AM181" s="327"/>
      <c r="AN181" s="327"/>
      <c r="AO181" s="327"/>
      <c r="AP181" s="327"/>
      <c r="AQ181" s="327"/>
      <c r="AR181" s="327"/>
      <c r="AS181" s="327"/>
      <c r="AT181" s="327"/>
      <c r="AU181" s="327"/>
      <c r="AV181" s="327"/>
      <c r="AW181" s="327"/>
      <c r="AX181" s="327"/>
      <c r="AY181" s="327"/>
      <c r="AZ181" s="327"/>
      <c r="BA181" s="327"/>
      <c r="BB181" s="327"/>
      <c r="BC181" s="327"/>
      <c r="BD181" s="327"/>
      <c r="BE181" s="327"/>
      <c r="BF181" s="327"/>
      <c r="BG181" s="327"/>
      <c r="BH181" s="327"/>
      <c r="BI181" s="327"/>
    </row>
    <row r="182" spans="1:61" hidden="1" outlineLevel="1" x14ac:dyDescent="0.2">
      <c r="A182" s="327"/>
      <c r="B182" s="350"/>
      <c r="C182" s="347"/>
      <c r="D182" s="327"/>
      <c r="F182" s="327"/>
      <c r="G182" s="327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27"/>
      <c r="AH182" s="327"/>
      <c r="AI182" s="327"/>
      <c r="AJ182" s="327"/>
      <c r="AK182" s="327"/>
      <c r="AL182" s="327"/>
      <c r="AM182" s="327"/>
      <c r="AN182" s="327"/>
      <c r="AO182" s="327"/>
      <c r="AP182" s="327"/>
      <c r="AQ182" s="327"/>
      <c r="AR182" s="327"/>
      <c r="AS182" s="327"/>
      <c r="AT182" s="327"/>
      <c r="AU182" s="327"/>
      <c r="AV182" s="327"/>
      <c r="AW182" s="327"/>
      <c r="AX182" s="327"/>
      <c r="AY182" s="327"/>
      <c r="AZ182" s="327"/>
      <c r="BA182" s="327"/>
      <c r="BB182" s="327"/>
      <c r="BC182" s="327"/>
      <c r="BD182" s="327"/>
      <c r="BE182" s="327"/>
      <c r="BF182" s="327"/>
      <c r="BG182" s="327"/>
      <c r="BH182" s="327"/>
      <c r="BI182" s="327"/>
    </row>
    <row r="183" spans="1:61" hidden="1" outlineLevel="1" x14ac:dyDescent="0.2">
      <c r="A183" s="327"/>
      <c r="B183" s="350"/>
      <c r="C183" s="347" t="s">
        <v>317</v>
      </c>
      <c r="D183" s="327"/>
      <c r="F183" s="327"/>
      <c r="G183" s="327"/>
      <c r="H183" s="31">
        <f t="shared" ref="H183:AF183" si="73">H87</f>
        <v>0</v>
      </c>
      <c r="I183" s="31">
        <f t="shared" si="73"/>
        <v>-1057.4833104926336</v>
      </c>
      <c r="J183" s="31">
        <f t="shared" si="73"/>
        <v>-2624.7667893757161</v>
      </c>
      <c r="K183" s="31">
        <f t="shared" si="73"/>
        <v>-4882.9800120859763</v>
      </c>
      <c r="L183" s="31">
        <f t="shared" si="73"/>
        <v>-8073.9281991838252</v>
      </c>
      <c r="M183" s="31">
        <f t="shared" si="73"/>
        <v>-12519.967121412039</v>
      </c>
      <c r="N183" s="31">
        <f t="shared" si="73"/>
        <v>-15348.510876672202</v>
      </c>
      <c r="O183" s="31">
        <f t="shared" si="73"/>
        <v>-17002.606992533278</v>
      </c>
      <c r="P183" s="31">
        <f t="shared" si="73"/>
        <v>-17218.049691710148</v>
      </c>
      <c r="Q183" s="31">
        <f t="shared" si="73"/>
        <v>-17218.049691710148</v>
      </c>
      <c r="R183" s="31">
        <f t="shared" si="73"/>
        <v>-17218.049691710148</v>
      </c>
      <c r="S183" s="31">
        <f t="shared" si="73"/>
        <v>-17218.049691710148</v>
      </c>
      <c r="T183" s="31">
        <f t="shared" si="73"/>
        <v>-17218.049691710148</v>
      </c>
      <c r="U183" s="31">
        <f t="shared" si="73"/>
        <v>-17218.049691710148</v>
      </c>
      <c r="V183" s="31">
        <f t="shared" si="73"/>
        <v>-17218.049691710148</v>
      </c>
      <c r="W183" s="31">
        <f t="shared" si="73"/>
        <v>-17218.049691710148</v>
      </c>
      <c r="X183" s="31">
        <f t="shared" si="73"/>
        <v>-17218.049691710148</v>
      </c>
      <c r="Y183" s="31">
        <f t="shared" si="73"/>
        <v>-17218.049691710148</v>
      </c>
      <c r="Z183" s="31">
        <f t="shared" si="73"/>
        <v>-17218.049691710148</v>
      </c>
      <c r="AA183" s="31">
        <f t="shared" si="73"/>
        <v>-17218.049691710148</v>
      </c>
      <c r="AB183" s="31">
        <f t="shared" si="73"/>
        <v>-17218.049691710148</v>
      </c>
      <c r="AC183" s="31">
        <f t="shared" si="73"/>
        <v>-17218.049691710148</v>
      </c>
      <c r="AD183" s="31">
        <f t="shared" si="73"/>
        <v>-17218.049691710148</v>
      </c>
      <c r="AE183" s="31">
        <f t="shared" si="73"/>
        <v>-17218.049691710148</v>
      </c>
      <c r="AF183" s="31">
        <f t="shared" si="73"/>
        <v>-17218.049691710148</v>
      </c>
      <c r="AG183" s="327"/>
      <c r="AH183" s="327"/>
      <c r="AI183" s="327"/>
      <c r="AJ183" s="327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27"/>
      <c r="AX183" s="327"/>
      <c r="AY183" s="327"/>
      <c r="AZ183" s="327"/>
      <c r="BA183" s="327"/>
      <c r="BB183" s="327"/>
      <c r="BC183" s="327"/>
      <c r="BD183" s="327"/>
      <c r="BE183" s="327"/>
      <c r="BF183" s="327"/>
      <c r="BG183" s="327"/>
      <c r="BH183" s="327"/>
      <c r="BI183" s="327"/>
    </row>
    <row r="184" spans="1:61" hidden="1" outlineLevel="1" x14ac:dyDescent="0.2">
      <c r="A184" s="327"/>
      <c r="B184" s="350"/>
      <c r="C184" s="347" t="s">
        <v>317</v>
      </c>
      <c r="D184" s="327"/>
      <c r="F184" s="327"/>
      <c r="G184" s="327"/>
      <c r="H184" s="31">
        <f t="shared" ref="H184:AF184" si="74">H88</f>
        <v>0</v>
      </c>
      <c r="I184" s="31">
        <f t="shared" si="74"/>
        <v>-7245.9397108183157</v>
      </c>
      <c r="J184" s="31">
        <f t="shared" si="74"/>
        <v>-17985.061061544842</v>
      </c>
      <c r="K184" s="31">
        <f t="shared" si="74"/>
        <v>-33458.474876755368</v>
      </c>
      <c r="L184" s="31">
        <f t="shared" si="74"/>
        <v>-55323.045177429718</v>
      </c>
      <c r="M184" s="31">
        <f t="shared" si="74"/>
        <v>-85787.573234529191</v>
      </c>
      <c r="N184" s="31">
        <f t="shared" si="74"/>
        <v>-105168.92641208325</v>
      </c>
      <c r="O184" s="31">
        <f t="shared" si="74"/>
        <v>-116502.89321090168</v>
      </c>
      <c r="P184" s="31">
        <f t="shared" si="74"/>
        <v>-117979.11963819567</v>
      </c>
      <c r="Q184" s="31">
        <f t="shared" si="74"/>
        <v>-117979.11963819567</v>
      </c>
      <c r="R184" s="31">
        <f t="shared" si="74"/>
        <v>-117979.11963819567</v>
      </c>
      <c r="S184" s="31">
        <f t="shared" si="74"/>
        <v>-117979.11963819567</v>
      </c>
      <c r="T184" s="31">
        <f t="shared" si="74"/>
        <v>-117979.11963819567</v>
      </c>
      <c r="U184" s="31">
        <f t="shared" si="74"/>
        <v>-117979.11963819567</v>
      </c>
      <c r="V184" s="31">
        <f t="shared" si="74"/>
        <v>-117979.11963819567</v>
      </c>
      <c r="W184" s="31">
        <f t="shared" si="74"/>
        <v>-117979.11963819567</v>
      </c>
      <c r="X184" s="31">
        <f t="shared" si="74"/>
        <v>-117979.11963819567</v>
      </c>
      <c r="Y184" s="31">
        <f t="shared" si="74"/>
        <v>-117979.11963819567</v>
      </c>
      <c r="Z184" s="31">
        <f t="shared" si="74"/>
        <v>-117979.11963819567</v>
      </c>
      <c r="AA184" s="31">
        <f t="shared" si="74"/>
        <v>-117979.11963819567</v>
      </c>
      <c r="AB184" s="31">
        <f t="shared" si="74"/>
        <v>-117979.11963819567</v>
      </c>
      <c r="AC184" s="31">
        <f t="shared" si="74"/>
        <v>-117979.11963819567</v>
      </c>
      <c r="AD184" s="31">
        <f t="shared" si="74"/>
        <v>-117979.11963819567</v>
      </c>
      <c r="AE184" s="31">
        <f t="shared" si="74"/>
        <v>-117979.11963819567</v>
      </c>
      <c r="AF184" s="31">
        <f t="shared" si="74"/>
        <v>-117979.11963819567</v>
      </c>
      <c r="AG184" s="327"/>
      <c r="AH184" s="327"/>
      <c r="AI184" s="327"/>
      <c r="AJ184" s="327"/>
      <c r="AK184" s="327"/>
      <c r="AL184" s="327"/>
      <c r="AM184" s="327"/>
      <c r="AN184" s="327"/>
      <c r="AO184" s="327"/>
      <c r="AP184" s="327"/>
      <c r="AQ184" s="327"/>
      <c r="AR184" s="327"/>
      <c r="AS184" s="327"/>
      <c r="AT184" s="327"/>
      <c r="AU184" s="327"/>
      <c r="AV184" s="327"/>
      <c r="AW184" s="327"/>
      <c r="AX184" s="327"/>
      <c r="AY184" s="327"/>
      <c r="AZ184" s="327"/>
      <c r="BA184" s="327"/>
      <c r="BB184" s="327"/>
      <c r="BC184" s="327"/>
      <c r="BD184" s="327"/>
      <c r="BE184" s="327"/>
      <c r="BF184" s="327"/>
      <c r="BG184" s="327"/>
      <c r="BH184" s="327"/>
      <c r="BI184" s="327"/>
    </row>
    <row r="185" spans="1:61" hidden="1" outlineLevel="1" x14ac:dyDescent="0.2">
      <c r="A185" s="327"/>
      <c r="B185" s="350"/>
      <c r="C185" s="347" t="s">
        <v>317</v>
      </c>
      <c r="D185" s="327"/>
      <c r="F185" s="327"/>
      <c r="G185" s="327"/>
      <c r="H185" s="31">
        <f t="shared" ref="H185:AF185" si="75">H89</f>
        <v>0</v>
      </c>
      <c r="I185" s="31">
        <f t="shared" si="75"/>
        <v>-4241.2713374006917</v>
      </c>
      <c r="J185" s="31">
        <f t="shared" si="75"/>
        <v>-10527.209309766229</v>
      </c>
      <c r="K185" s="31">
        <f t="shared" si="75"/>
        <v>-19584.274248936246</v>
      </c>
      <c r="L185" s="31">
        <f t="shared" si="75"/>
        <v>-32382.279617705681</v>
      </c>
      <c r="M185" s="31">
        <f t="shared" si="75"/>
        <v>-50214.104724269135</v>
      </c>
      <c r="N185" s="31">
        <f t="shared" si="75"/>
        <v>-61558.606747832957</v>
      </c>
      <c r="O185" s="31">
        <f t="shared" si="75"/>
        <v>-68192.726053450373</v>
      </c>
      <c r="P185" s="31">
        <f t="shared" si="75"/>
        <v>-69056.806777755541</v>
      </c>
      <c r="Q185" s="31">
        <f t="shared" si="75"/>
        <v>-69056.806777755541</v>
      </c>
      <c r="R185" s="31">
        <f t="shared" si="75"/>
        <v>-69056.806777755541</v>
      </c>
      <c r="S185" s="31">
        <f t="shared" si="75"/>
        <v>-69056.806777755541</v>
      </c>
      <c r="T185" s="31">
        <f t="shared" si="75"/>
        <v>-69056.806777755541</v>
      </c>
      <c r="U185" s="31">
        <f t="shared" si="75"/>
        <v>-69056.806777755541</v>
      </c>
      <c r="V185" s="31">
        <f t="shared" si="75"/>
        <v>-69056.806777755541</v>
      </c>
      <c r="W185" s="31">
        <f t="shared" si="75"/>
        <v>-69056.806777755541</v>
      </c>
      <c r="X185" s="31">
        <f t="shared" si="75"/>
        <v>-69056.806777755541</v>
      </c>
      <c r="Y185" s="31">
        <f t="shared" si="75"/>
        <v>-69056.806777755541</v>
      </c>
      <c r="Z185" s="31">
        <f t="shared" si="75"/>
        <v>-69056.806777755541</v>
      </c>
      <c r="AA185" s="31">
        <f t="shared" si="75"/>
        <v>-69056.806777755541</v>
      </c>
      <c r="AB185" s="31">
        <f t="shared" si="75"/>
        <v>-69056.806777755541</v>
      </c>
      <c r="AC185" s="31">
        <f t="shared" si="75"/>
        <v>-69056.806777755541</v>
      </c>
      <c r="AD185" s="31">
        <f t="shared" si="75"/>
        <v>-69056.806777755541</v>
      </c>
      <c r="AE185" s="31">
        <f t="shared" si="75"/>
        <v>-69056.806777755541</v>
      </c>
      <c r="AF185" s="31">
        <f t="shared" si="75"/>
        <v>-69056.806777755541</v>
      </c>
      <c r="AG185" s="327"/>
      <c r="AH185" s="327"/>
      <c r="AI185" s="327"/>
      <c r="AJ185" s="327"/>
      <c r="AK185" s="327"/>
      <c r="AL185" s="327"/>
      <c r="AM185" s="327"/>
      <c r="AN185" s="327"/>
      <c r="AO185" s="327"/>
      <c r="AP185" s="327"/>
      <c r="AQ185" s="327"/>
      <c r="AR185" s="327"/>
      <c r="AS185" s="327"/>
      <c r="AT185" s="327"/>
      <c r="AU185" s="327"/>
      <c r="AV185" s="327"/>
      <c r="AW185" s="327"/>
      <c r="AX185" s="327"/>
      <c r="AY185" s="327"/>
      <c r="AZ185" s="327"/>
      <c r="BA185" s="327"/>
      <c r="BB185" s="327"/>
      <c r="BC185" s="327"/>
      <c r="BD185" s="327"/>
      <c r="BE185" s="327"/>
      <c r="BF185" s="327"/>
      <c r="BG185" s="327"/>
      <c r="BH185" s="327"/>
      <c r="BI185" s="327"/>
    </row>
    <row r="186" spans="1:61" hidden="1" outlineLevel="1" x14ac:dyDescent="0.2">
      <c r="A186" s="327"/>
      <c r="B186" s="350"/>
      <c r="C186" s="347" t="s">
        <v>317</v>
      </c>
      <c r="D186" s="327"/>
      <c r="F186" s="327"/>
      <c r="G186" s="327"/>
      <c r="H186" s="31">
        <f t="shared" ref="H186:AF186" si="76">H90</f>
        <v>0</v>
      </c>
      <c r="I186" s="31">
        <f t="shared" si="76"/>
        <v>-40.973287831697668</v>
      </c>
      <c r="J186" s="31">
        <f t="shared" si="76"/>
        <v>-101.69931202230673</v>
      </c>
      <c r="K186" s="31">
        <f t="shared" si="76"/>
        <v>-189.19612586454997</v>
      </c>
      <c r="L186" s="31">
        <f t="shared" si="76"/>
        <v>-312.8327234625645</v>
      </c>
      <c r="M186" s="31">
        <f t="shared" si="76"/>
        <v>-485.09911354537655</v>
      </c>
      <c r="N186" s="31">
        <f t="shared" si="76"/>
        <v>-594.69397549628115</v>
      </c>
      <c r="O186" s="31">
        <f t="shared" si="76"/>
        <v>-658.78364536057086</v>
      </c>
      <c r="P186" s="31">
        <f t="shared" si="76"/>
        <v>-667.13119622688146</v>
      </c>
      <c r="Q186" s="31">
        <f t="shared" si="76"/>
        <v>-667.13119622688146</v>
      </c>
      <c r="R186" s="31">
        <f t="shared" si="76"/>
        <v>-667.13119622688146</v>
      </c>
      <c r="S186" s="31">
        <f t="shared" si="76"/>
        <v>-667.13119622688146</v>
      </c>
      <c r="T186" s="31">
        <f t="shared" si="76"/>
        <v>-667.13119622688146</v>
      </c>
      <c r="U186" s="31">
        <f t="shared" si="76"/>
        <v>-667.13119622688146</v>
      </c>
      <c r="V186" s="31">
        <f t="shared" si="76"/>
        <v>-667.13119622688146</v>
      </c>
      <c r="W186" s="31">
        <f t="shared" si="76"/>
        <v>-667.13119622688146</v>
      </c>
      <c r="X186" s="31">
        <f t="shared" si="76"/>
        <v>-667.13119622688146</v>
      </c>
      <c r="Y186" s="31">
        <f t="shared" si="76"/>
        <v>-667.13119622688146</v>
      </c>
      <c r="Z186" s="31">
        <f t="shared" si="76"/>
        <v>-667.13119622688146</v>
      </c>
      <c r="AA186" s="31">
        <f t="shared" si="76"/>
        <v>-667.13119622688146</v>
      </c>
      <c r="AB186" s="31">
        <f t="shared" si="76"/>
        <v>-667.13119622688146</v>
      </c>
      <c r="AC186" s="31">
        <f t="shared" si="76"/>
        <v>-667.13119622688146</v>
      </c>
      <c r="AD186" s="31">
        <f t="shared" si="76"/>
        <v>-667.13119622688146</v>
      </c>
      <c r="AE186" s="31">
        <f t="shared" si="76"/>
        <v>-667.13119622688146</v>
      </c>
      <c r="AF186" s="31">
        <f t="shared" si="76"/>
        <v>-667.13119622688146</v>
      </c>
      <c r="AG186" s="327"/>
      <c r="AH186" s="327"/>
      <c r="AI186" s="327"/>
      <c r="AJ186" s="327"/>
      <c r="AK186" s="327"/>
      <c r="AL186" s="327"/>
      <c r="AM186" s="327"/>
      <c r="AN186" s="327"/>
      <c r="AO186" s="327"/>
      <c r="AP186" s="327"/>
      <c r="AQ186" s="327"/>
      <c r="AR186" s="327"/>
      <c r="AS186" s="327"/>
      <c r="AT186" s="327"/>
      <c r="AU186" s="327"/>
      <c r="AV186" s="327"/>
      <c r="AW186" s="327"/>
      <c r="AX186" s="327"/>
      <c r="AY186" s="327"/>
      <c r="AZ186" s="327"/>
      <c r="BA186" s="327"/>
      <c r="BB186" s="327"/>
      <c r="BC186" s="327"/>
      <c r="BD186" s="327"/>
      <c r="BE186" s="327"/>
      <c r="BF186" s="327"/>
      <c r="BG186" s="327"/>
      <c r="BH186" s="327"/>
      <c r="BI186" s="327"/>
    </row>
    <row r="187" spans="1:61" hidden="1" outlineLevel="1" x14ac:dyDescent="0.2">
      <c r="A187" s="327"/>
      <c r="B187" s="350"/>
      <c r="C187" s="347"/>
      <c r="D187" s="327"/>
      <c r="F187" s="327"/>
      <c r="G187" s="327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327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</row>
    <row r="188" spans="1:61" hidden="1" outlineLevel="1" x14ac:dyDescent="0.2">
      <c r="A188" s="327"/>
      <c r="B188" s="350"/>
      <c r="C188" s="347"/>
      <c r="D188" s="327"/>
      <c r="F188" s="327"/>
      <c r="G188" s="327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27"/>
      <c r="AH188" s="327"/>
      <c r="AI188" s="327"/>
      <c r="AJ188" s="327"/>
      <c r="AK188" s="327"/>
      <c r="AL188" s="327"/>
      <c r="AM188" s="327"/>
      <c r="AN188" s="327"/>
      <c r="AO188" s="327"/>
      <c r="AP188" s="327"/>
      <c r="AQ188" s="327"/>
      <c r="AR188" s="327"/>
      <c r="AS188" s="327"/>
      <c r="AT188" s="327"/>
      <c r="AU188" s="327"/>
      <c r="AV188" s="327"/>
      <c r="AW188" s="327"/>
      <c r="AX188" s="327"/>
      <c r="AY188" s="327"/>
      <c r="AZ188" s="327"/>
      <c r="BA188" s="327"/>
      <c r="BB188" s="327"/>
      <c r="BC188" s="327"/>
      <c r="BD188" s="327"/>
      <c r="BE188" s="327"/>
      <c r="BF188" s="327"/>
      <c r="BG188" s="327"/>
      <c r="BH188" s="327"/>
      <c r="BI188" s="327"/>
    </row>
    <row r="189" spans="1:61" hidden="1" outlineLevel="1" x14ac:dyDescent="0.2">
      <c r="A189" s="327"/>
      <c r="B189" s="348" t="s">
        <v>327</v>
      </c>
      <c r="C189" s="347"/>
      <c r="D189" s="327"/>
      <c r="F189" s="337"/>
      <c r="G189" s="327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27"/>
      <c r="AH189" s="327"/>
      <c r="AI189" s="327"/>
      <c r="AJ189" s="327"/>
      <c r="AK189" s="327"/>
      <c r="AL189" s="327"/>
      <c r="AM189" s="327"/>
      <c r="AN189" s="327"/>
      <c r="AO189" s="327"/>
      <c r="AP189" s="327"/>
      <c r="AQ189" s="327"/>
      <c r="AR189" s="327"/>
      <c r="AS189" s="327"/>
      <c r="AT189" s="327"/>
      <c r="AU189" s="327"/>
      <c r="AV189" s="327"/>
      <c r="AW189" s="327"/>
      <c r="AX189" s="327"/>
      <c r="AY189" s="327"/>
      <c r="AZ189" s="327"/>
      <c r="BA189" s="327"/>
      <c r="BB189" s="327"/>
      <c r="BC189" s="327"/>
      <c r="BD189" s="327"/>
      <c r="BE189" s="327"/>
      <c r="BF189" s="327"/>
      <c r="BG189" s="327"/>
      <c r="BH189" s="327"/>
      <c r="BI189" s="327"/>
    </row>
    <row r="190" spans="1:61" hidden="1" outlineLevel="1" x14ac:dyDescent="0.2">
      <c r="A190" s="327"/>
      <c r="B190" s="350"/>
      <c r="C190" s="347" t="str">
        <f>$B$165</f>
        <v>Option 5</v>
      </c>
      <c r="D190" s="327"/>
      <c r="E190" s="346">
        <f>F81</f>
        <v>14195</v>
      </c>
      <c r="F190" s="337">
        <f>F177</f>
        <v>15586.666666666666</v>
      </c>
      <c r="G190" s="327"/>
      <c r="H190" s="31">
        <f>-((1-H$167)*H$44)*(H$24*$F190-H$21*$E190)</f>
        <v>0</v>
      </c>
      <c r="I190" s="31">
        <f t="shared" ref="I190:W190" si="77">-((I$167)*I$44)*(I$24*$F190-I$21*$E190)</f>
        <v>0</v>
      </c>
      <c r="J190" s="31">
        <f t="shared" si="77"/>
        <v>0</v>
      </c>
      <c r="K190" s="31">
        <f t="shared" si="77"/>
        <v>0</v>
      </c>
      <c r="L190" s="31">
        <f t="shared" si="77"/>
        <v>0</v>
      </c>
      <c r="M190" s="31">
        <f t="shared" si="77"/>
        <v>-2414.2373933436425</v>
      </c>
      <c r="N190" s="31">
        <f t="shared" si="77"/>
        <v>-2879.1691446656487</v>
      </c>
      <c r="O190" s="31">
        <f t="shared" si="77"/>
        <v>-3083.5101645304712</v>
      </c>
      <c r="P190" s="31">
        <f t="shared" si="77"/>
        <v>-3224.8061743178819</v>
      </c>
      <c r="Q190" s="31">
        <f t="shared" si="77"/>
        <v>-3261.9466344492944</v>
      </c>
      <c r="R190" s="31">
        <f t="shared" si="77"/>
        <v>-3301.4017684728956</v>
      </c>
      <c r="S190" s="31">
        <f t="shared" si="77"/>
        <v>-3344.139161729343</v>
      </c>
      <c r="T190" s="31">
        <f t="shared" si="77"/>
        <v>-3390.4395326011654</v>
      </c>
      <c r="U190" s="31">
        <f t="shared" si="77"/>
        <v>-3440.6080184929351</v>
      </c>
      <c r="V190" s="31">
        <f t="shared" si="77"/>
        <v>-3494.9763230686267</v>
      </c>
      <c r="W190" s="31">
        <f t="shared" si="77"/>
        <v>-3553.9050536387876</v>
      </c>
      <c r="X190" s="31">
        <f t="shared" ref="I190:AF193" si="78">-((X$167)*X$44)*(X$24*$F190-X$21*$E190)</f>
        <v>-3617.7862656148195</v>
      </c>
      <c r="Y190" s="31">
        <f t="shared" si="78"/>
        <v>-3687.0462324574287</v>
      </c>
      <c r="Z190" s="31">
        <f t="shared" si="78"/>
        <v>-3762.1484611910564</v>
      </c>
      <c r="AA190" s="31">
        <f t="shared" si="78"/>
        <v>-3843.5969753479312</v>
      </c>
      <c r="AB190" s="31">
        <f t="shared" si="78"/>
        <v>-3931.939889157517</v>
      </c>
      <c r="AC190" s="31">
        <f t="shared" si="78"/>
        <v>-4027.7732989238534</v>
      </c>
      <c r="AD190" s="31">
        <f t="shared" si="78"/>
        <v>-4131.7455198502648</v>
      </c>
      <c r="AE190" s="31">
        <f t="shared" si="78"/>
        <v>-4244.5616990952649</v>
      </c>
      <c r="AF190" s="31">
        <f t="shared" si="78"/>
        <v>-4366.9888385935947</v>
      </c>
      <c r="AG190" s="327"/>
      <c r="AH190" s="327"/>
      <c r="AI190" s="327"/>
      <c r="AJ190" s="327"/>
      <c r="AK190" s="327"/>
      <c r="AL190" s="327"/>
      <c r="AM190" s="327"/>
      <c r="AN190" s="327"/>
      <c r="AO190" s="327"/>
      <c r="AP190" s="327"/>
      <c r="AQ190" s="327"/>
      <c r="AR190" s="327"/>
      <c r="AS190" s="327"/>
      <c r="AT190" s="327"/>
      <c r="AU190" s="327"/>
      <c r="AV190" s="327"/>
      <c r="AW190" s="327"/>
      <c r="AX190" s="327"/>
      <c r="AY190" s="327"/>
      <c r="AZ190" s="327"/>
      <c r="BA190" s="327"/>
      <c r="BB190" s="327"/>
      <c r="BC190" s="327"/>
      <c r="BD190" s="327"/>
      <c r="BE190" s="327"/>
      <c r="BF190" s="327"/>
      <c r="BG190" s="327"/>
      <c r="BH190" s="327"/>
      <c r="BI190" s="327"/>
    </row>
    <row r="191" spans="1:61" hidden="1" outlineLevel="1" x14ac:dyDescent="0.2">
      <c r="A191" s="327"/>
      <c r="B191" s="350"/>
      <c r="C191" s="347" t="str">
        <f>C190</f>
        <v>Option 5</v>
      </c>
      <c r="D191" s="327"/>
      <c r="E191" s="346">
        <f>F82</f>
        <v>97265</v>
      </c>
      <c r="F191" s="337">
        <f>F178</f>
        <v>50096.666666666664</v>
      </c>
      <c r="G191" s="327"/>
      <c r="H191" s="31">
        <f t="shared" ref="H191:H193" si="79">-((1-H$167)*H$44)*(H$24*$F191-H$21*$E191)</f>
        <v>0</v>
      </c>
      <c r="I191" s="31">
        <f t="shared" si="78"/>
        <v>0</v>
      </c>
      <c r="J191" s="31">
        <f t="shared" si="78"/>
        <v>0</v>
      </c>
      <c r="K191" s="31">
        <f t="shared" si="78"/>
        <v>0</v>
      </c>
      <c r="L191" s="31">
        <f t="shared" si="78"/>
        <v>0</v>
      </c>
      <c r="M191" s="31">
        <f t="shared" si="78"/>
        <v>-2993.3077726880292</v>
      </c>
      <c r="N191" s="31">
        <f t="shared" si="78"/>
        <v>-3458.6107997570307</v>
      </c>
      <c r="O191" s="31">
        <f t="shared" si="78"/>
        <v>-3513.6192182661252</v>
      </c>
      <c r="P191" s="31">
        <f t="shared" si="78"/>
        <v>-3889.3769356068533</v>
      </c>
      <c r="Q191" s="31">
        <f t="shared" si="78"/>
        <v>-4008.7490432447917</v>
      </c>
      <c r="R191" s="31">
        <f t="shared" si="78"/>
        <v>-4135.5606790960983</v>
      </c>
      <c r="S191" s="31">
        <f t="shared" si="78"/>
        <v>-4272.9217319727313</v>
      </c>
      <c r="T191" s="31">
        <f t="shared" si="78"/>
        <v>-4421.7344509275272</v>
      </c>
      <c r="U191" s="31">
        <f t="shared" si="78"/>
        <v>-4582.9795695048188</v>
      </c>
      <c r="V191" s="31">
        <f t="shared" si="78"/>
        <v>-4757.7232071156104</v>
      </c>
      <c r="W191" s="31">
        <f t="shared" si="78"/>
        <v>-4947.124381567909</v>
      </c>
      <c r="X191" s="31">
        <f t="shared" si="78"/>
        <v>-5152.4431871256056</v>
      </c>
      <c r="Y191" s="31">
        <f t="shared" si="78"/>
        <v>-5375.049697321836</v>
      </c>
      <c r="Z191" s="31">
        <f t="shared" si="78"/>
        <v>-5616.4336570390487</v>
      </c>
      <c r="AA191" s="31">
        <f t="shared" si="78"/>
        <v>-5878.2150341270863</v>
      </c>
      <c r="AB191" s="31">
        <f t="shared" si="78"/>
        <v>-6162.1555071049042</v>
      </c>
      <c r="AC191" s="31">
        <f t="shared" si="78"/>
        <v>-6470.1709723269441</v>
      </c>
      <c r="AD191" s="31">
        <f t="shared" si="78"/>
        <v>-6804.345161442222</v>
      </c>
      <c r="AE191" s="31">
        <f t="shared" si="78"/>
        <v>-7166.9444680874549</v>
      </c>
      <c r="AF191" s="31">
        <f t="shared" si="78"/>
        <v>-7560.4340915948142</v>
      </c>
      <c r="AG191" s="327"/>
      <c r="AH191" s="327"/>
      <c r="AI191" s="327"/>
      <c r="AJ191" s="327"/>
      <c r="AK191" s="327"/>
      <c r="AL191" s="327"/>
      <c r="AM191" s="327"/>
      <c r="AN191" s="327"/>
      <c r="AO191" s="327"/>
      <c r="AP191" s="327"/>
      <c r="AQ191" s="327"/>
      <c r="AR191" s="327"/>
      <c r="AS191" s="327"/>
      <c r="AT191" s="327"/>
      <c r="AU191" s="327"/>
      <c r="AV191" s="327"/>
      <c r="AW191" s="327"/>
      <c r="AX191" s="327"/>
      <c r="AY191" s="327"/>
      <c r="AZ191" s="327"/>
      <c r="BA191" s="327"/>
      <c r="BB191" s="327"/>
      <c r="BC191" s="327"/>
      <c r="BD191" s="327"/>
      <c r="BE191" s="327"/>
      <c r="BF191" s="327"/>
      <c r="BG191" s="327"/>
      <c r="BH191" s="327"/>
      <c r="BI191" s="327"/>
    </row>
    <row r="192" spans="1:61" hidden="1" outlineLevel="1" x14ac:dyDescent="0.2">
      <c r="A192" s="327"/>
      <c r="B192" s="350"/>
      <c r="C192" s="347" t="str">
        <f t="shared" ref="C192:C193" si="80">C191</f>
        <v>Option 5</v>
      </c>
      <c r="D192" s="327"/>
      <c r="E192" s="346">
        <f>F83</f>
        <v>56932.19556</v>
      </c>
      <c r="F192" s="337">
        <f>F179</f>
        <v>72560.641400000008</v>
      </c>
      <c r="G192" s="327"/>
      <c r="H192" s="31">
        <f t="shared" si="79"/>
        <v>0</v>
      </c>
      <c r="I192" s="31">
        <f t="shared" si="78"/>
        <v>0</v>
      </c>
      <c r="J192" s="31">
        <f t="shared" si="78"/>
        <v>0</v>
      </c>
      <c r="K192" s="31">
        <f t="shared" si="78"/>
        <v>0</v>
      </c>
      <c r="L192" s="31">
        <f t="shared" si="78"/>
        <v>0</v>
      </c>
      <c r="M192" s="31">
        <f t="shared" si="78"/>
        <v>-12083.485883380561</v>
      </c>
      <c r="N192" s="31">
        <f t="shared" si="78"/>
        <v>-14430.205975770601</v>
      </c>
      <c r="O192" s="31">
        <f t="shared" si="78"/>
        <v>-15488.094920495505</v>
      </c>
      <c r="P192" s="31">
        <f t="shared" si="78"/>
        <v>-16159.757537189709</v>
      </c>
      <c r="Q192" s="31">
        <f t="shared" si="78"/>
        <v>-16332.657597649064</v>
      </c>
      <c r="R192" s="31">
        <f t="shared" si="78"/>
        <v>-16516.333164240728</v>
      </c>
      <c r="S192" s="31">
        <f t="shared" si="78"/>
        <v>-16715.2886389917</v>
      </c>
      <c r="T192" s="31">
        <f t="shared" si="78"/>
        <v>-16930.830850765698</v>
      </c>
      <c r="U192" s="31">
        <f t="shared" si="78"/>
        <v>-17164.38030634998</v>
      </c>
      <c r="V192" s="31">
        <f t="shared" si="78"/>
        <v>-17417.481186493871</v>
      </c>
      <c r="W192" s="31">
        <f t="shared" si="78"/>
        <v>-17691.812227152037</v>
      </c>
      <c r="X192" s="31">
        <f t="shared" si="78"/>
        <v>-17989.198564687769</v>
      </c>
      <c r="Y192" s="31">
        <f t="shared" si="78"/>
        <v>-18311.624630819664</v>
      </c>
      <c r="Z192" s="31">
        <f t="shared" si="78"/>
        <v>-18661.24819075218</v>
      </c>
      <c r="AA192" s="31">
        <f t="shared" si="78"/>
        <v>-19040.415626271839</v>
      </c>
      <c r="AB192" s="31">
        <f t="shared" si="78"/>
        <v>-19451.678574678717</v>
      </c>
      <c r="AC192" s="31">
        <f t="shared" si="78"/>
        <v>-19897.812044323349</v>
      </c>
      <c r="AD192" s="31">
        <f t="shared" si="78"/>
        <v>-20381.834138305574</v>
      </c>
      <c r="AE192" s="31">
        <f t="shared" si="78"/>
        <v>-20907.027529643121</v>
      </c>
      <c r="AF192" s="31">
        <f t="shared" si="78"/>
        <v>-21476.96284402076</v>
      </c>
      <c r="AG192" s="327"/>
      <c r="AH192" s="327"/>
      <c r="AI192" s="327"/>
      <c r="AJ192" s="327"/>
      <c r="AK192" s="327"/>
      <c r="AL192" s="327"/>
      <c r="AM192" s="327"/>
      <c r="AN192" s="327"/>
      <c r="AO192" s="327"/>
      <c r="AP192" s="327"/>
      <c r="AQ192" s="327"/>
      <c r="AR192" s="327"/>
      <c r="AS192" s="327"/>
      <c r="AT192" s="327"/>
      <c r="AU192" s="327"/>
      <c r="AV192" s="327"/>
      <c r="AW192" s="327"/>
      <c r="AX192" s="327"/>
      <c r="AY192" s="327"/>
      <c r="AZ192" s="327"/>
      <c r="BA192" s="327"/>
      <c r="BB192" s="327"/>
      <c r="BC192" s="327"/>
      <c r="BD192" s="327"/>
      <c r="BE192" s="327"/>
      <c r="BF192" s="327"/>
      <c r="BG192" s="327"/>
      <c r="BH192" s="327"/>
      <c r="BI192" s="327"/>
    </row>
    <row r="193" spans="1:61" hidden="1" outlineLevel="1" x14ac:dyDescent="0.2">
      <c r="A193" s="327"/>
      <c r="B193" s="350"/>
      <c r="C193" s="347" t="str">
        <f t="shared" si="80"/>
        <v>Option 5</v>
      </c>
      <c r="D193" s="327"/>
      <c r="E193" s="346">
        <f>F84</f>
        <v>550</v>
      </c>
      <c r="F193" s="337">
        <f>F180</f>
        <v>1683.3333333333333</v>
      </c>
      <c r="G193" s="327"/>
      <c r="H193" s="31">
        <f t="shared" si="79"/>
        <v>0</v>
      </c>
      <c r="I193" s="31">
        <f t="shared" si="78"/>
        <v>0</v>
      </c>
      <c r="J193" s="31">
        <f t="shared" si="78"/>
        <v>0</v>
      </c>
      <c r="K193" s="31">
        <f t="shared" si="78"/>
        <v>0</v>
      </c>
      <c r="L193" s="31">
        <f t="shared" si="78"/>
        <v>0</v>
      </c>
      <c r="M193" s="31">
        <f t="shared" si="78"/>
        <v>-351.46270399778643</v>
      </c>
      <c r="N193" s="31">
        <f t="shared" si="78"/>
        <v>-421.26284014192845</v>
      </c>
      <c r="O193" s="31">
        <f t="shared" si="78"/>
        <v>-454.7863087591607</v>
      </c>
      <c r="P193" s="31">
        <f t="shared" si="78"/>
        <v>-471.53802528311007</v>
      </c>
      <c r="Q193" s="31">
        <f t="shared" si="78"/>
        <v>-475.54913143502711</v>
      </c>
      <c r="R193" s="31">
        <f t="shared" si="78"/>
        <v>-479.81021840720808</v>
      </c>
      <c r="S193" s="31">
        <f t="shared" si="78"/>
        <v>-484.42578376103739</v>
      </c>
      <c r="T193" s="31">
        <f t="shared" si="78"/>
        <v>-489.4261446015571</v>
      </c>
      <c r="U193" s="31">
        <f t="shared" si="78"/>
        <v>-494.8442552464125</v>
      </c>
      <c r="V193" s="31">
        <f t="shared" si="78"/>
        <v>-500.71593912381309</v>
      </c>
      <c r="W193" s="31">
        <f t="shared" si="78"/>
        <v>-507.08014120634743</v>
      </c>
      <c r="X193" s="31">
        <f t="shared" si="78"/>
        <v>-513.97920280769392</v>
      </c>
      <c r="Y193" s="31">
        <f t="shared" si="78"/>
        <v>-521.45916073231274</v>
      </c>
      <c r="Z193" s="31">
        <f t="shared" si="78"/>
        <v>-529.57007294584605</v>
      </c>
      <c r="AA193" s="31">
        <f t="shared" si="78"/>
        <v>-538.36637312745881</v>
      </c>
      <c r="AB193" s="31">
        <f t="shared" si="78"/>
        <v>-547.90725667618449</v>
      </c>
      <c r="AC193" s="31">
        <f t="shared" si="78"/>
        <v>-558.25710097301942</v>
      </c>
      <c r="AD193" s="31">
        <f t="shared" si="78"/>
        <v>-569.48592295074343</v>
      </c>
      <c r="AE193" s="31">
        <f t="shared" si="78"/>
        <v>-581.66987729606535</v>
      </c>
      <c r="AF193" s="31">
        <f t="shared" si="78"/>
        <v>-594.89179890570108</v>
      </c>
      <c r="AG193" s="327"/>
      <c r="AH193" s="327"/>
      <c r="AI193" s="327"/>
      <c r="AJ193" s="327"/>
      <c r="AK193" s="327"/>
      <c r="AL193" s="327"/>
      <c r="AM193" s="327"/>
      <c r="AN193" s="327"/>
      <c r="AO193" s="327"/>
      <c r="AP193" s="327"/>
      <c r="AQ193" s="327"/>
      <c r="AR193" s="327"/>
      <c r="AS193" s="327"/>
      <c r="AT193" s="327"/>
      <c r="AU193" s="327"/>
      <c r="AV193" s="327"/>
      <c r="AW193" s="327"/>
      <c r="AX193" s="327"/>
      <c r="AY193" s="327"/>
      <c r="AZ193" s="327"/>
      <c r="BA193" s="327"/>
      <c r="BB193" s="327"/>
      <c r="BC193" s="327"/>
      <c r="BD193" s="327"/>
      <c r="BE193" s="327"/>
      <c r="BF193" s="327"/>
      <c r="BG193" s="327"/>
      <c r="BH193" s="327"/>
      <c r="BI193" s="327"/>
    </row>
    <row r="194" spans="1:61" hidden="1" outlineLevel="1" x14ac:dyDescent="0.2">
      <c r="A194" s="327"/>
      <c r="B194" s="350"/>
      <c r="C194" s="347"/>
      <c r="D194" s="327"/>
      <c r="F194" s="327"/>
      <c r="G194" s="327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27"/>
      <c r="AH194" s="327"/>
      <c r="AI194" s="327"/>
      <c r="AJ194" s="327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27"/>
      <c r="AX194" s="327"/>
      <c r="AY194" s="327"/>
      <c r="AZ194" s="327"/>
      <c r="BA194" s="327"/>
      <c r="BB194" s="327"/>
      <c r="BC194" s="327"/>
      <c r="BD194" s="327"/>
      <c r="BE194" s="327"/>
      <c r="BF194" s="327"/>
      <c r="BG194" s="327"/>
      <c r="BH194" s="327"/>
      <c r="BI194" s="327"/>
    </row>
    <row r="195" spans="1:61" hidden="1" outlineLevel="1" x14ac:dyDescent="0.2">
      <c r="A195" s="327"/>
      <c r="B195" s="350"/>
      <c r="C195" s="347"/>
      <c r="D195" s="327"/>
      <c r="F195" s="327"/>
      <c r="G195" s="327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27"/>
      <c r="AH195" s="327"/>
      <c r="AI195" s="327"/>
      <c r="AJ195" s="327"/>
      <c r="AK195" s="327"/>
      <c r="AL195" s="327"/>
      <c r="AM195" s="327"/>
      <c r="AN195" s="327"/>
      <c r="AO195" s="327"/>
      <c r="AP195" s="327"/>
      <c r="AQ195" s="327"/>
      <c r="AR195" s="327"/>
      <c r="AS195" s="327"/>
      <c r="AT195" s="327"/>
      <c r="AU195" s="327"/>
      <c r="AV195" s="327"/>
      <c r="AW195" s="327"/>
      <c r="AX195" s="327"/>
      <c r="AY195" s="327"/>
      <c r="AZ195" s="327"/>
      <c r="BA195" s="327"/>
      <c r="BB195" s="327"/>
      <c r="BC195" s="327"/>
      <c r="BD195" s="327"/>
      <c r="BE195" s="327"/>
      <c r="BF195" s="327"/>
      <c r="BG195" s="327"/>
      <c r="BH195" s="327"/>
      <c r="BI195" s="327"/>
    </row>
    <row r="196" spans="1:61" hidden="1" outlineLevel="1" x14ac:dyDescent="0.2">
      <c r="A196" s="327"/>
      <c r="B196" s="350"/>
      <c r="C196" s="347" t="str">
        <f>C190</f>
        <v>Option 5</v>
      </c>
      <c r="D196" s="327"/>
      <c r="E196" s="346">
        <f>E190</f>
        <v>14195</v>
      </c>
      <c r="F196" s="337">
        <f>F190</f>
        <v>15586.666666666666</v>
      </c>
      <c r="G196" s="327"/>
      <c r="H196" s="31">
        <f>-(1-H$167)*H$44*(H$34*$F196-H$31*$E196)</f>
        <v>0</v>
      </c>
      <c r="I196" s="31">
        <f>(I$167*I$44)*(I$34*$F196-I$31*$E196)</f>
        <v>0</v>
      </c>
      <c r="J196" s="31">
        <f>(J$167*J$44)*(J$34*$F196-J$31*$E196)</f>
        <v>0</v>
      </c>
      <c r="K196" s="31">
        <f>(K$167*K$44)*(K$34*$F196-K$31*$E196)</f>
        <v>0</v>
      </c>
      <c r="L196" s="31">
        <f>(L$167*L$44)*(L$34*$F196-L$31*$E196)</f>
        <v>0</v>
      </c>
      <c r="M196" s="31">
        <f>(M$167*M$44)*(M$34*$F196-M$31*$E196)</f>
        <v>172.77965646266668</v>
      </c>
      <c r="N196" s="31">
        <f t="shared" ref="N196:AF199" si="81">(N$167*N$44)*(N$34*$F196-N$31*$E196)</f>
        <v>172.77965646266668</v>
      </c>
      <c r="O196" s="31">
        <f t="shared" si="81"/>
        <v>172.77965646266668</v>
      </c>
      <c r="P196" s="31">
        <f t="shared" si="81"/>
        <v>172.77965646266668</v>
      </c>
      <c r="Q196" s="31">
        <f t="shared" si="81"/>
        <v>172.77965646266668</v>
      </c>
      <c r="R196" s="31">
        <f t="shared" si="81"/>
        <v>172.77965646266668</v>
      </c>
      <c r="S196" s="31">
        <f t="shared" si="81"/>
        <v>172.77965646266668</v>
      </c>
      <c r="T196" s="31">
        <f t="shared" si="81"/>
        <v>172.77965646266668</v>
      </c>
      <c r="U196" s="31">
        <f t="shared" si="81"/>
        <v>172.77965646266668</v>
      </c>
      <c r="V196" s="31">
        <f t="shared" si="81"/>
        <v>172.77965646266668</v>
      </c>
      <c r="W196" s="31">
        <f t="shared" si="81"/>
        <v>172.77965646266668</v>
      </c>
      <c r="X196" s="31">
        <f t="shared" si="81"/>
        <v>172.77965646266668</v>
      </c>
      <c r="Y196" s="31">
        <f t="shared" si="81"/>
        <v>172.77965646266668</v>
      </c>
      <c r="Z196" s="31">
        <f t="shared" si="81"/>
        <v>172.77965646266668</v>
      </c>
      <c r="AA196" s="31">
        <f t="shared" si="81"/>
        <v>172.77965646266668</v>
      </c>
      <c r="AB196" s="31">
        <f t="shared" si="81"/>
        <v>172.77965646266668</v>
      </c>
      <c r="AC196" s="31">
        <f t="shared" si="81"/>
        <v>172.77965646266668</v>
      </c>
      <c r="AD196" s="31">
        <f t="shared" si="81"/>
        <v>172.77965646266668</v>
      </c>
      <c r="AE196" s="31">
        <f t="shared" si="81"/>
        <v>172.77965646266668</v>
      </c>
      <c r="AF196" s="31">
        <f t="shared" si="81"/>
        <v>172.77965646266668</v>
      </c>
      <c r="AG196" s="327"/>
      <c r="AH196" s="327"/>
      <c r="AI196" s="327"/>
      <c r="AJ196" s="327"/>
      <c r="AK196" s="327"/>
      <c r="AL196" s="327"/>
      <c r="AM196" s="327"/>
      <c r="AN196" s="327"/>
      <c r="AO196" s="327"/>
      <c r="AP196" s="327"/>
      <c r="AQ196" s="327"/>
      <c r="AR196" s="327"/>
      <c r="AS196" s="327"/>
      <c r="AT196" s="327"/>
      <c r="AU196" s="327"/>
      <c r="AV196" s="327"/>
      <c r="AW196" s="327"/>
      <c r="AX196" s="327"/>
      <c r="AY196" s="327"/>
      <c r="AZ196" s="327"/>
      <c r="BA196" s="327"/>
      <c r="BB196" s="327"/>
      <c r="BC196" s="327"/>
      <c r="BD196" s="327"/>
      <c r="BE196" s="327"/>
      <c r="BF196" s="327"/>
      <c r="BG196" s="327"/>
      <c r="BH196" s="327"/>
      <c r="BI196" s="327"/>
    </row>
    <row r="197" spans="1:61" hidden="1" outlineLevel="1" x14ac:dyDescent="0.2">
      <c r="A197" s="327"/>
      <c r="B197" s="350"/>
      <c r="C197" s="347" t="str">
        <f t="shared" ref="C197:C199" si="82">C191</f>
        <v>Option 5</v>
      </c>
      <c r="D197" s="327"/>
      <c r="E197" s="346">
        <f t="shared" ref="E197:E199" si="83">E191</f>
        <v>97265</v>
      </c>
      <c r="F197" s="337">
        <f t="shared" ref="F197:F199" si="84">F191</f>
        <v>50096.666666666664</v>
      </c>
      <c r="G197" s="327"/>
      <c r="H197" s="31">
        <f t="shared" ref="H197:H199" si="85">-(1-H$167)*H$44*(H$34*$F197-H$31*$E197)</f>
        <v>0</v>
      </c>
      <c r="I197" s="31">
        <f t="shared" ref="I197:M199" si="86">(I$167*I$44)*(I$34*$F197-I$31*$E197)</f>
        <v>0</v>
      </c>
      <c r="J197" s="31">
        <f t="shared" si="86"/>
        <v>0</v>
      </c>
      <c r="K197" s="31">
        <f t="shared" si="86"/>
        <v>0</v>
      </c>
      <c r="L197" s="31">
        <f t="shared" si="86"/>
        <v>0</v>
      </c>
      <c r="M197" s="31">
        <f t="shared" si="86"/>
        <v>343.85147031666668</v>
      </c>
      <c r="N197" s="31">
        <f t="shared" si="81"/>
        <v>343.85147031666668</v>
      </c>
      <c r="O197" s="31">
        <f t="shared" si="81"/>
        <v>343.85147031666668</v>
      </c>
      <c r="P197" s="31">
        <f t="shared" si="81"/>
        <v>343.85147031666668</v>
      </c>
      <c r="Q197" s="31">
        <f t="shared" si="81"/>
        <v>343.85147031666668</v>
      </c>
      <c r="R197" s="31">
        <f t="shared" si="81"/>
        <v>343.85147031666668</v>
      </c>
      <c r="S197" s="31">
        <f t="shared" si="81"/>
        <v>343.85147031666668</v>
      </c>
      <c r="T197" s="31">
        <f t="shared" si="81"/>
        <v>343.85147031666668</v>
      </c>
      <c r="U197" s="31">
        <f t="shared" si="81"/>
        <v>343.85147031666668</v>
      </c>
      <c r="V197" s="31">
        <f t="shared" si="81"/>
        <v>343.85147031666668</v>
      </c>
      <c r="W197" s="31">
        <f t="shared" si="81"/>
        <v>343.85147031666668</v>
      </c>
      <c r="X197" s="31">
        <f t="shared" si="81"/>
        <v>343.85147031666668</v>
      </c>
      <c r="Y197" s="31">
        <f t="shared" si="81"/>
        <v>343.85147031666668</v>
      </c>
      <c r="Z197" s="31">
        <f t="shared" si="81"/>
        <v>343.85147031666668</v>
      </c>
      <c r="AA197" s="31">
        <f t="shared" si="81"/>
        <v>343.85147031666668</v>
      </c>
      <c r="AB197" s="31">
        <f t="shared" si="81"/>
        <v>343.85147031666668</v>
      </c>
      <c r="AC197" s="31">
        <f t="shared" si="81"/>
        <v>343.85147031666668</v>
      </c>
      <c r="AD197" s="31">
        <f t="shared" si="81"/>
        <v>343.85147031666668</v>
      </c>
      <c r="AE197" s="31">
        <f t="shared" si="81"/>
        <v>343.85147031666668</v>
      </c>
      <c r="AF197" s="31">
        <f t="shared" si="81"/>
        <v>343.85147031666668</v>
      </c>
      <c r="AG197" s="327"/>
      <c r="AH197" s="327"/>
      <c r="AI197" s="327"/>
      <c r="AJ197" s="327"/>
      <c r="AK197" s="327"/>
      <c r="AL197" s="327"/>
      <c r="AM197" s="327"/>
      <c r="AN197" s="327"/>
      <c r="AO197" s="327"/>
      <c r="AP197" s="327"/>
      <c r="AQ197" s="327"/>
      <c r="AR197" s="327"/>
      <c r="AS197" s="327"/>
      <c r="AT197" s="327"/>
      <c r="AU197" s="327"/>
      <c r="AV197" s="327"/>
      <c r="AW197" s="327"/>
      <c r="AX197" s="327"/>
      <c r="AY197" s="327"/>
      <c r="AZ197" s="327"/>
      <c r="BA197" s="327"/>
      <c r="BB197" s="327"/>
      <c r="BC197" s="327"/>
      <c r="BD197" s="327"/>
      <c r="BE197" s="327"/>
      <c r="BF197" s="327"/>
      <c r="BG197" s="327"/>
      <c r="BH197" s="327"/>
      <c r="BI197" s="327"/>
    </row>
    <row r="198" spans="1:61" hidden="1" outlineLevel="1" x14ac:dyDescent="0.2">
      <c r="A198" s="327"/>
      <c r="B198" s="348"/>
      <c r="C198" s="347" t="str">
        <f t="shared" si="82"/>
        <v>Option 5</v>
      </c>
      <c r="D198" s="327"/>
      <c r="E198" s="346">
        <f t="shared" si="83"/>
        <v>56932.19556</v>
      </c>
      <c r="F198" s="337">
        <f t="shared" si="84"/>
        <v>72560.641400000008</v>
      </c>
      <c r="G198" s="327"/>
      <c r="H198" s="31">
        <f t="shared" si="85"/>
        <v>0</v>
      </c>
      <c r="I198" s="31">
        <f t="shared" si="86"/>
        <v>0</v>
      </c>
      <c r="J198" s="31">
        <f t="shared" si="86"/>
        <v>0</v>
      </c>
      <c r="K198" s="31">
        <f t="shared" si="86"/>
        <v>0</v>
      </c>
      <c r="L198" s="31">
        <f t="shared" si="86"/>
        <v>0</v>
      </c>
      <c r="M198" s="31">
        <f t="shared" si="86"/>
        <v>841.81067214196923</v>
      </c>
      <c r="N198" s="31">
        <f t="shared" si="81"/>
        <v>841.81067214196923</v>
      </c>
      <c r="O198" s="31">
        <f t="shared" si="81"/>
        <v>841.81067214196923</v>
      </c>
      <c r="P198" s="31">
        <f t="shared" si="81"/>
        <v>841.81067214196923</v>
      </c>
      <c r="Q198" s="31">
        <f t="shared" si="81"/>
        <v>841.81067214196923</v>
      </c>
      <c r="R198" s="31">
        <f t="shared" si="81"/>
        <v>841.81067214196923</v>
      </c>
      <c r="S198" s="31">
        <f t="shared" si="81"/>
        <v>841.81067214196923</v>
      </c>
      <c r="T198" s="31">
        <f t="shared" si="81"/>
        <v>841.81067214196923</v>
      </c>
      <c r="U198" s="31">
        <f t="shared" si="81"/>
        <v>841.81067214196923</v>
      </c>
      <c r="V198" s="31">
        <f t="shared" si="81"/>
        <v>841.81067214196923</v>
      </c>
      <c r="W198" s="31">
        <f t="shared" si="81"/>
        <v>841.81067214196923</v>
      </c>
      <c r="X198" s="31">
        <f t="shared" si="81"/>
        <v>841.81067214196923</v>
      </c>
      <c r="Y198" s="31">
        <f t="shared" si="81"/>
        <v>841.81067214196923</v>
      </c>
      <c r="Z198" s="31">
        <f t="shared" si="81"/>
        <v>841.81067214196923</v>
      </c>
      <c r="AA198" s="31">
        <f t="shared" si="81"/>
        <v>841.81067214196923</v>
      </c>
      <c r="AB198" s="31">
        <f t="shared" si="81"/>
        <v>841.81067214196923</v>
      </c>
      <c r="AC198" s="31">
        <f t="shared" si="81"/>
        <v>841.81067214196923</v>
      </c>
      <c r="AD198" s="31">
        <f t="shared" si="81"/>
        <v>841.81067214196923</v>
      </c>
      <c r="AE198" s="31">
        <f t="shared" si="81"/>
        <v>841.81067214196923</v>
      </c>
      <c r="AF198" s="31">
        <f t="shared" si="81"/>
        <v>841.81067214196923</v>
      </c>
      <c r="AG198" s="327"/>
      <c r="AH198" s="327"/>
      <c r="AI198" s="327"/>
      <c r="AJ198" s="327"/>
      <c r="AK198" s="327"/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  <c r="AX198" s="327"/>
      <c r="AY198" s="327"/>
      <c r="AZ198" s="327"/>
      <c r="BA198" s="327"/>
      <c r="BB198" s="327"/>
      <c r="BC198" s="327"/>
      <c r="BD198" s="327"/>
      <c r="BE198" s="327"/>
      <c r="BF198" s="327"/>
      <c r="BG198" s="327"/>
      <c r="BH198" s="327"/>
      <c r="BI198" s="327"/>
    </row>
    <row r="199" spans="1:61" hidden="1" outlineLevel="1" x14ac:dyDescent="0.2">
      <c r="A199" s="327"/>
      <c r="B199" s="348"/>
      <c r="C199" s="347" t="str">
        <f t="shared" si="82"/>
        <v>Option 5</v>
      </c>
      <c r="D199" s="327"/>
      <c r="E199" s="346">
        <f t="shared" si="83"/>
        <v>550</v>
      </c>
      <c r="F199" s="337">
        <f t="shared" si="84"/>
        <v>1683.3333333333333</v>
      </c>
      <c r="G199" s="327"/>
      <c r="H199" s="31">
        <f t="shared" si="85"/>
        <v>0</v>
      </c>
      <c r="I199" s="31">
        <f t="shared" si="86"/>
        <v>0</v>
      </c>
      <c r="J199" s="31">
        <f t="shared" si="86"/>
        <v>0</v>
      </c>
      <c r="K199" s="31">
        <f t="shared" si="86"/>
        <v>0</v>
      </c>
      <c r="L199" s="31">
        <f t="shared" si="86"/>
        <v>0</v>
      </c>
      <c r="M199" s="31">
        <f t="shared" si="86"/>
        <v>22.685511683333335</v>
      </c>
      <c r="N199" s="31">
        <f t="shared" si="81"/>
        <v>22.685511683333335</v>
      </c>
      <c r="O199" s="31">
        <f t="shared" si="81"/>
        <v>22.685511683333335</v>
      </c>
      <c r="P199" s="31">
        <f t="shared" si="81"/>
        <v>22.685511683333335</v>
      </c>
      <c r="Q199" s="31">
        <f t="shared" si="81"/>
        <v>22.685511683333335</v>
      </c>
      <c r="R199" s="31">
        <f t="shared" si="81"/>
        <v>22.685511683333335</v>
      </c>
      <c r="S199" s="31">
        <f t="shared" si="81"/>
        <v>22.685511683333335</v>
      </c>
      <c r="T199" s="31">
        <f t="shared" si="81"/>
        <v>22.685511683333335</v>
      </c>
      <c r="U199" s="31">
        <f t="shared" si="81"/>
        <v>22.685511683333335</v>
      </c>
      <c r="V199" s="31">
        <f t="shared" si="81"/>
        <v>22.685511683333335</v>
      </c>
      <c r="W199" s="31">
        <f t="shared" si="81"/>
        <v>22.685511683333335</v>
      </c>
      <c r="X199" s="31">
        <f t="shared" si="81"/>
        <v>22.685511683333335</v>
      </c>
      <c r="Y199" s="31">
        <f t="shared" si="81"/>
        <v>22.685511683333335</v>
      </c>
      <c r="Z199" s="31">
        <f t="shared" si="81"/>
        <v>22.685511683333335</v>
      </c>
      <c r="AA199" s="31">
        <f t="shared" si="81"/>
        <v>22.685511683333335</v>
      </c>
      <c r="AB199" s="31">
        <f t="shared" si="81"/>
        <v>22.685511683333335</v>
      </c>
      <c r="AC199" s="31">
        <f t="shared" si="81"/>
        <v>22.685511683333335</v>
      </c>
      <c r="AD199" s="31">
        <f t="shared" si="81"/>
        <v>22.685511683333335</v>
      </c>
      <c r="AE199" s="31">
        <f t="shared" si="81"/>
        <v>22.685511683333335</v>
      </c>
      <c r="AF199" s="31">
        <f t="shared" si="81"/>
        <v>22.685511683333335</v>
      </c>
      <c r="AG199" s="327"/>
      <c r="AH199" s="327"/>
      <c r="AI199" s="327"/>
      <c r="AJ199" s="327"/>
      <c r="AK199" s="327"/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7"/>
      <c r="AY199" s="327"/>
      <c r="AZ199" s="327"/>
      <c r="BA199" s="327"/>
      <c r="BB199" s="327"/>
      <c r="BC199" s="327"/>
      <c r="BD199" s="327"/>
      <c r="BE199" s="327"/>
      <c r="BF199" s="327"/>
      <c r="BG199" s="327"/>
      <c r="BH199" s="327"/>
      <c r="BI199" s="327"/>
    </row>
    <row r="200" spans="1:61" hidden="1" outlineLevel="1" x14ac:dyDescent="0.2">
      <c r="A200" s="327"/>
      <c r="B200" s="348"/>
      <c r="C200" s="349"/>
      <c r="D200" s="327"/>
      <c r="F200" s="337"/>
      <c r="G200" s="327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27"/>
      <c r="AH200" s="327"/>
      <c r="AI200" s="327"/>
      <c r="AJ200" s="327"/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327"/>
      <c r="BB200" s="327"/>
      <c r="BC200" s="327"/>
      <c r="BD200" s="327"/>
      <c r="BE200" s="327"/>
      <c r="BF200" s="327"/>
      <c r="BG200" s="327"/>
      <c r="BH200" s="327"/>
      <c r="BI200" s="327"/>
    </row>
    <row r="201" spans="1:61" collapsed="1" x14ac:dyDescent="0.2">
      <c r="A201" s="327"/>
      <c r="B201" s="328"/>
      <c r="C201" s="340"/>
      <c r="D201" s="327"/>
      <c r="F201" s="327"/>
      <c r="G201" s="327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27"/>
      <c r="AH201" s="327"/>
      <c r="AI201" s="327"/>
      <c r="AJ201" s="327"/>
      <c r="AK201" s="327"/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327"/>
      <c r="BB201" s="327"/>
      <c r="BC201" s="327"/>
      <c r="BD201" s="327"/>
      <c r="BE201" s="327"/>
      <c r="BF201" s="327"/>
      <c r="BG201" s="327"/>
      <c r="BH201" s="327"/>
      <c r="BI201" s="327"/>
    </row>
    <row r="202" spans="1:61" x14ac:dyDescent="0.2">
      <c r="A202" s="327"/>
      <c r="B202" s="328" t="s">
        <v>318</v>
      </c>
      <c r="C202" s="340"/>
      <c r="D202" s="327"/>
      <c r="F202" s="327"/>
      <c r="G202" s="327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27"/>
      <c r="AH202" s="327"/>
      <c r="AI202" s="327"/>
      <c r="AJ202" s="327"/>
      <c r="AK202" s="327"/>
      <c r="AL202" s="327"/>
      <c r="AM202" s="327"/>
      <c r="AN202" s="327"/>
      <c r="AO202" s="327"/>
      <c r="AP202" s="327"/>
      <c r="AQ202" s="327"/>
      <c r="AR202" s="327"/>
      <c r="AS202" s="327"/>
      <c r="AT202" s="327"/>
      <c r="AU202" s="327"/>
      <c r="AV202" s="327"/>
      <c r="AW202" s="327"/>
      <c r="AX202" s="327"/>
      <c r="AY202" s="327"/>
      <c r="AZ202" s="327"/>
      <c r="BA202" s="327"/>
      <c r="BB202" s="327"/>
      <c r="BC202" s="327"/>
      <c r="BD202" s="327"/>
      <c r="BE202" s="327"/>
      <c r="BF202" s="327"/>
      <c r="BG202" s="327"/>
      <c r="BH202" s="327"/>
      <c r="BI202" s="327"/>
    </row>
    <row r="203" spans="1:61" x14ac:dyDescent="0.2">
      <c r="A203" s="327"/>
      <c r="B203" s="327"/>
      <c r="C203" s="347"/>
      <c r="D203" s="327" t="str">
        <f>D171</f>
        <v>Response cost</v>
      </c>
      <c r="F203" s="327"/>
      <c r="G203" s="327"/>
      <c r="H203" s="31">
        <f t="shared" ref="H203:AF203" si="87">H183+H190+H196-(1-H$167)*(H171+H177)</f>
        <v>0</v>
      </c>
      <c r="I203" s="31">
        <f t="shared" si="87"/>
        <v>-11445.058781246767</v>
      </c>
      <c r="J203" s="31">
        <f t="shared" si="87"/>
        <v>-15160.892168878236</v>
      </c>
      <c r="K203" s="31">
        <f t="shared" si="87"/>
        <v>-20108.125703336293</v>
      </c>
      <c r="L203" s="31">
        <f t="shared" si="87"/>
        <v>-26676.384978153303</v>
      </c>
      <c r="M203" s="31">
        <f t="shared" si="87"/>
        <v>-14761.424858293016</v>
      </c>
      <c r="N203" s="31">
        <f t="shared" si="87"/>
        <v>-18054.900364875186</v>
      </c>
      <c r="O203" s="31">
        <f t="shared" si="87"/>
        <v>-19913.337500601083</v>
      </c>
      <c r="P203" s="31">
        <f t="shared" si="87"/>
        <v>-20270.076209565363</v>
      </c>
      <c r="Q203" s="31">
        <f t="shared" si="87"/>
        <v>-20307.216669696776</v>
      </c>
      <c r="R203" s="31">
        <f t="shared" si="87"/>
        <v>-20346.671803720379</v>
      </c>
      <c r="S203" s="31">
        <f t="shared" si="87"/>
        <v>-20389.409196976823</v>
      </c>
      <c r="T203" s="31">
        <f t="shared" si="87"/>
        <v>-20435.709567848648</v>
      </c>
      <c r="U203" s="31">
        <f t="shared" si="87"/>
        <v>-20485.878053740416</v>
      </c>
      <c r="V203" s="31">
        <f t="shared" si="87"/>
        <v>-20540.246358316108</v>
      </c>
      <c r="W203" s="31">
        <f t="shared" si="87"/>
        <v>-20599.17508888627</v>
      </c>
      <c r="X203" s="31">
        <f t="shared" si="87"/>
        <v>-20663.056300862303</v>
      </c>
      <c r="Y203" s="31">
        <f t="shared" si="87"/>
        <v>-20732.316267704911</v>
      </c>
      <c r="Z203" s="31">
        <f t="shared" si="87"/>
        <v>-20807.418496438539</v>
      </c>
      <c r="AA203" s="31">
        <f t="shared" si="87"/>
        <v>-20888.867010595412</v>
      </c>
      <c r="AB203" s="31">
        <f t="shared" si="87"/>
        <v>-20977.209924405</v>
      </c>
      <c r="AC203" s="31">
        <f t="shared" si="87"/>
        <v>-21073.043334171336</v>
      </c>
      <c r="AD203" s="31">
        <f t="shared" si="87"/>
        <v>-21177.015555097747</v>
      </c>
      <c r="AE203" s="31">
        <f t="shared" si="87"/>
        <v>-21289.831734342748</v>
      </c>
      <c r="AF203" s="31">
        <f t="shared" si="87"/>
        <v>-21412.258873841078</v>
      </c>
      <c r="AG203" s="327"/>
      <c r="AH203" s="327"/>
      <c r="AI203" s="327"/>
      <c r="AJ203" s="327"/>
      <c r="AK203" s="327"/>
      <c r="AL203" s="327"/>
      <c r="AM203" s="327"/>
      <c r="AN203" s="327"/>
      <c r="AO203" s="327"/>
      <c r="AP203" s="327"/>
      <c r="AQ203" s="327"/>
      <c r="AR203" s="327"/>
      <c r="AS203" s="327"/>
      <c r="AT203" s="327"/>
      <c r="AU203" s="327"/>
      <c r="AV203" s="327"/>
      <c r="AW203" s="327"/>
      <c r="AX203" s="327"/>
      <c r="AY203" s="327"/>
      <c r="AZ203" s="327"/>
      <c r="BA203" s="327"/>
      <c r="BB203" s="327"/>
      <c r="BC203" s="327"/>
      <c r="BD203" s="327"/>
      <c r="BE203" s="327"/>
      <c r="BF203" s="327"/>
      <c r="BG203" s="327"/>
      <c r="BH203" s="327"/>
      <c r="BI203" s="327"/>
    </row>
    <row r="204" spans="1:61" x14ac:dyDescent="0.2">
      <c r="A204" s="327"/>
      <c r="B204" s="327"/>
      <c r="C204" s="347"/>
      <c r="D204" s="327" t="str">
        <f>D172</f>
        <v>Unplanned replacements</v>
      </c>
      <c r="F204" s="327"/>
      <c r="G204" s="327"/>
      <c r="H204" s="31">
        <f t="shared" ref="H204:AF204" si="88">H184+H191+H197-(1-H$167)*(H172+H178)</f>
        <v>0</v>
      </c>
      <c r="I204" s="31">
        <f t="shared" si="88"/>
        <v>-40632.353686430783</v>
      </c>
      <c r="J204" s="31">
        <f t="shared" si="88"/>
        <v>-58277.068830694407</v>
      </c>
      <c r="K204" s="31">
        <f t="shared" si="88"/>
        <v>-82393.187150878774</v>
      </c>
      <c r="L204" s="31">
        <f t="shared" si="88"/>
        <v>-115112.67796851875</v>
      </c>
      <c r="M204" s="31">
        <f t="shared" si="88"/>
        <v>-88437.029536900547</v>
      </c>
      <c r="N204" s="31">
        <f t="shared" si="88"/>
        <v>-108283.68574152362</v>
      </c>
      <c r="O204" s="31">
        <f t="shared" si="88"/>
        <v>-119672.66095885113</v>
      </c>
      <c r="P204" s="31">
        <f t="shared" si="88"/>
        <v>-121524.64510348585</v>
      </c>
      <c r="Q204" s="31">
        <f t="shared" si="88"/>
        <v>-121644.01721112379</v>
      </c>
      <c r="R204" s="31">
        <f t="shared" si="88"/>
        <v>-121770.8288469751</v>
      </c>
      <c r="S204" s="31">
        <f t="shared" si="88"/>
        <v>-121908.18989985173</v>
      </c>
      <c r="T204" s="31">
        <f t="shared" si="88"/>
        <v>-122057.00261880652</v>
      </c>
      <c r="U204" s="31">
        <f t="shared" si="88"/>
        <v>-122218.24773738382</v>
      </c>
      <c r="V204" s="31">
        <f t="shared" si="88"/>
        <v>-122392.9913749946</v>
      </c>
      <c r="W204" s="31">
        <f t="shared" si="88"/>
        <v>-122582.3925494469</v>
      </c>
      <c r="X204" s="31">
        <f t="shared" si="88"/>
        <v>-122787.71135500461</v>
      </c>
      <c r="Y204" s="31">
        <f t="shared" si="88"/>
        <v>-123010.31786520084</v>
      </c>
      <c r="Z204" s="31">
        <f t="shared" si="88"/>
        <v>-123251.70182491804</v>
      </c>
      <c r="AA204" s="31">
        <f t="shared" si="88"/>
        <v>-123513.48320200609</v>
      </c>
      <c r="AB204" s="31">
        <f t="shared" si="88"/>
        <v>-123797.4236749839</v>
      </c>
      <c r="AC204" s="31">
        <f t="shared" si="88"/>
        <v>-124105.43914020594</v>
      </c>
      <c r="AD204" s="31">
        <f t="shared" si="88"/>
        <v>-124439.61332932122</v>
      </c>
      <c r="AE204" s="31">
        <f t="shared" si="88"/>
        <v>-124802.21263596645</v>
      </c>
      <c r="AF204" s="31">
        <f t="shared" si="88"/>
        <v>-125195.70225947381</v>
      </c>
      <c r="AG204" s="327"/>
      <c r="AH204" s="327"/>
      <c r="AI204" s="327"/>
      <c r="AJ204" s="327"/>
      <c r="AK204" s="327"/>
      <c r="AL204" s="327"/>
      <c r="AM204" s="327"/>
      <c r="AN204" s="327"/>
      <c r="AO204" s="327"/>
      <c r="AP204" s="327"/>
      <c r="AQ204" s="327"/>
      <c r="AR204" s="327"/>
      <c r="AS204" s="327"/>
      <c r="AT204" s="327"/>
      <c r="AU204" s="327"/>
      <c r="AV204" s="327"/>
      <c r="AW204" s="327"/>
      <c r="AX204" s="327"/>
      <c r="AY204" s="327"/>
      <c r="AZ204" s="327"/>
      <c r="BA204" s="327"/>
      <c r="BB204" s="327"/>
      <c r="BC204" s="327"/>
      <c r="BD204" s="327"/>
      <c r="BE204" s="327"/>
      <c r="BF204" s="327"/>
      <c r="BG204" s="327"/>
      <c r="BH204" s="327"/>
      <c r="BI204" s="327"/>
    </row>
    <row r="205" spans="1:61" x14ac:dyDescent="0.2">
      <c r="A205" s="327"/>
      <c r="B205" s="327"/>
      <c r="C205" s="347"/>
      <c r="D205" s="327" t="str">
        <f>D173</f>
        <v>Safety Consequence</v>
      </c>
      <c r="F205" s="327"/>
      <c r="G205" s="327"/>
      <c r="H205" s="31">
        <f t="shared" ref="H205:AF205" si="89">H185+H192+H198-(1-H$167)*(H173+H179)</f>
        <v>0</v>
      </c>
      <c r="I205" s="31">
        <f t="shared" si="89"/>
        <v>-52598.572796906265</v>
      </c>
      <c r="J205" s="31">
        <f t="shared" si="89"/>
        <v>-68886.659579709856</v>
      </c>
      <c r="K205" s="31">
        <f t="shared" si="89"/>
        <v>-90461.926308318376</v>
      </c>
      <c r="L205" s="31">
        <f t="shared" si="89"/>
        <v>-118982.334931936</v>
      </c>
      <c r="M205" s="31">
        <f t="shared" si="89"/>
        <v>-61455.77993550773</v>
      </c>
      <c r="N205" s="31">
        <f t="shared" si="89"/>
        <v>-75147.00205146159</v>
      </c>
      <c r="O205" s="31">
        <f t="shared" si="89"/>
        <v>-82839.010301803908</v>
      </c>
      <c r="P205" s="31">
        <f t="shared" si="89"/>
        <v>-84374.753642803276</v>
      </c>
      <c r="Q205" s="31">
        <f t="shared" si="89"/>
        <v>-84547.653703262637</v>
      </c>
      <c r="R205" s="31">
        <f t="shared" si="89"/>
        <v>-84731.329269854294</v>
      </c>
      <c r="S205" s="31">
        <f t="shared" si="89"/>
        <v>-84930.284744605262</v>
      </c>
      <c r="T205" s="31">
        <f t="shared" si="89"/>
        <v>-85145.826956379271</v>
      </c>
      <c r="U205" s="31">
        <f t="shared" si="89"/>
        <v>-85379.376411963545</v>
      </c>
      <c r="V205" s="31">
        <f t="shared" si="89"/>
        <v>-85632.477292107433</v>
      </c>
      <c r="W205" s="31">
        <f t="shared" si="89"/>
        <v>-85906.808332765606</v>
      </c>
      <c r="X205" s="31">
        <f t="shared" si="89"/>
        <v>-86204.194670301338</v>
      </c>
      <c r="Y205" s="31">
        <f t="shared" si="89"/>
        <v>-86526.620736433237</v>
      </c>
      <c r="Z205" s="31">
        <f t="shared" si="89"/>
        <v>-86876.244296365752</v>
      </c>
      <c r="AA205" s="31">
        <f t="shared" si="89"/>
        <v>-87255.411731885411</v>
      </c>
      <c r="AB205" s="31">
        <f t="shared" si="89"/>
        <v>-87666.674680292286</v>
      </c>
      <c r="AC205" s="31">
        <f t="shared" si="89"/>
        <v>-88112.808149936915</v>
      </c>
      <c r="AD205" s="31">
        <f t="shared" si="89"/>
        <v>-88596.830243919147</v>
      </c>
      <c r="AE205" s="31">
        <f t="shared" si="89"/>
        <v>-89122.023635256686</v>
      </c>
      <c r="AF205" s="31">
        <f t="shared" si="89"/>
        <v>-89691.958949634325</v>
      </c>
      <c r="AG205" s="327"/>
      <c r="AH205" s="327"/>
      <c r="AI205" s="327"/>
      <c r="AJ205" s="327"/>
      <c r="AK205" s="327"/>
      <c r="AL205" s="327"/>
      <c r="AM205" s="327"/>
      <c r="AN205" s="327"/>
      <c r="AO205" s="327"/>
      <c r="AP205" s="327"/>
      <c r="AQ205" s="327"/>
      <c r="AR205" s="327"/>
      <c r="AS205" s="327"/>
      <c r="AT205" s="327"/>
      <c r="AU205" s="327"/>
      <c r="AV205" s="327"/>
      <c r="AW205" s="327"/>
      <c r="AX205" s="327"/>
      <c r="AY205" s="327"/>
      <c r="AZ205" s="327"/>
      <c r="BA205" s="327"/>
      <c r="BB205" s="327"/>
      <c r="BC205" s="327"/>
      <c r="BD205" s="327"/>
      <c r="BE205" s="327"/>
      <c r="BF205" s="327"/>
      <c r="BG205" s="327"/>
      <c r="BH205" s="327"/>
      <c r="BI205" s="327"/>
    </row>
    <row r="206" spans="1:61" x14ac:dyDescent="0.2">
      <c r="A206" s="327"/>
      <c r="B206" s="327"/>
      <c r="C206" s="347"/>
      <c r="D206" s="327" t="str">
        <f>D174</f>
        <v>Environmental Consequence</v>
      </c>
      <c r="F206" s="327"/>
      <c r="G206" s="327"/>
      <c r="H206" s="31">
        <f t="shared" ref="H206:AF206" si="90">H186+H193+H199-(1-H$167)*(H174+H180)</f>
        <v>0</v>
      </c>
      <c r="I206" s="31">
        <f t="shared" si="90"/>
        <v>-1162.8136669443659</v>
      </c>
      <c r="J206" s="31">
        <f t="shared" si="90"/>
        <v>-1455.5794054031392</v>
      </c>
      <c r="K206" s="31">
        <f t="shared" si="90"/>
        <v>-1833.4858123661345</v>
      </c>
      <c r="L206" s="31">
        <f t="shared" si="90"/>
        <v>-2321.8662293179082</v>
      </c>
      <c r="M206" s="31">
        <f t="shared" si="90"/>
        <v>-813.8763058598297</v>
      </c>
      <c r="N206" s="31">
        <f t="shared" si="90"/>
        <v>-993.27130395487632</v>
      </c>
      <c r="O206" s="31">
        <f t="shared" si="90"/>
        <v>-1090.8844424363983</v>
      </c>
      <c r="P206" s="31">
        <f t="shared" si="90"/>
        <v>-1115.9837098266582</v>
      </c>
      <c r="Q206" s="31">
        <f t="shared" si="90"/>
        <v>-1119.9948159785752</v>
      </c>
      <c r="R206" s="31">
        <f t="shared" si="90"/>
        <v>-1124.2559029507563</v>
      </c>
      <c r="S206" s="31">
        <f t="shared" si="90"/>
        <v>-1128.8714683045855</v>
      </c>
      <c r="T206" s="31">
        <f t="shared" si="90"/>
        <v>-1133.8718291451053</v>
      </c>
      <c r="U206" s="31">
        <f t="shared" si="90"/>
        <v>-1139.2899397899607</v>
      </c>
      <c r="V206" s="31">
        <f t="shared" si="90"/>
        <v>-1145.1616236673613</v>
      </c>
      <c r="W206" s="31">
        <f t="shared" si="90"/>
        <v>-1151.5258257498956</v>
      </c>
      <c r="X206" s="31">
        <f t="shared" si="90"/>
        <v>-1158.4248873512422</v>
      </c>
      <c r="Y206" s="31">
        <f t="shared" si="90"/>
        <v>-1165.9048452758609</v>
      </c>
      <c r="Z206" s="31">
        <f t="shared" si="90"/>
        <v>-1174.0157574893942</v>
      </c>
      <c r="AA206" s="31">
        <f t="shared" si="90"/>
        <v>-1182.8120576710069</v>
      </c>
      <c r="AB206" s="31">
        <f t="shared" si="90"/>
        <v>-1192.3529412197327</v>
      </c>
      <c r="AC206" s="31">
        <f t="shared" si="90"/>
        <v>-1202.7027855165677</v>
      </c>
      <c r="AD206" s="31">
        <f t="shared" si="90"/>
        <v>-1213.9316074942915</v>
      </c>
      <c r="AE206" s="31">
        <f t="shared" si="90"/>
        <v>-1226.1155618396135</v>
      </c>
      <c r="AF206" s="31">
        <f t="shared" si="90"/>
        <v>-1239.3374834492492</v>
      </c>
      <c r="AG206" s="327"/>
      <c r="AH206" s="327"/>
      <c r="AI206" s="327"/>
      <c r="AJ206" s="327"/>
      <c r="AK206" s="327"/>
      <c r="AL206" s="327"/>
      <c r="AM206" s="327"/>
      <c r="AN206" s="327"/>
      <c r="AO206" s="327"/>
      <c r="AP206" s="327"/>
      <c r="AQ206" s="327"/>
      <c r="AR206" s="327"/>
      <c r="AS206" s="327"/>
      <c r="AT206" s="327"/>
      <c r="AU206" s="327"/>
      <c r="AV206" s="327"/>
      <c r="AW206" s="327"/>
      <c r="AX206" s="327"/>
      <c r="AY206" s="327"/>
      <c r="AZ206" s="327"/>
      <c r="BA206" s="327"/>
      <c r="BB206" s="327"/>
      <c r="BC206" s="327"/>
      <c r="BD206" s="327"/>
      <c r="BE206" s="327"/>
      <c r="BF206" s="327"/>
      <c r="BG206" s="327"/>
      <c r="BH206" s="327"/>
      <c r="BI206" s="327"/>
    </row>
    <row r="207" spans="1:61" x14ac:dyDescent="0.2">
      <c r="A207" s="327"/>
      <c r="B207" s="327"/>
      <c r="C207" s="339"/>
      <c r="D207" s="327"/>
      <c r="F207" s="327"/>
      <c r="G207" s="327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27"/>
      <c r="AH207" s="327"/>
      <c r="AI207" s="327"/>
      <c r="AJ207" s="327"/>
      <c r="AK207" s="327"/>
      <c r="AL207" s="327"/>
      <c r="AM207" s="327"/>
      <c r="AN207" s="327"/>
      <c r="AO207" s="327"/>
      <c r="AP207" s="327"/>
      <c r="AQ207" s="327"/>
      <c r="AR207" s="327"/>
      <c r="AS207" s="327"/>
      <c r="AT207" s="327"/>
      <c r="AU207" s="327"/>
      <c r="AV207" s="327"/>
      <c r="AW207" s="327"/>
      <c r="AX207" s="327"/>
      <c r="AY207" s="327"/>
      <c r="AZ207" s="327"/>
      <c r="BA207" s="327"/>
      <c r="BB207" s="327"/>
      <c r="BC207" s="327"/>
      <c r="BD207" s="327"/>
      <c r="BE207" s="327"/>
      <c r="BF207" s="327"/>
      <c r="BG207" s="327"/>
      <c r="BH207" s="327"/>
      <c r="BI207" s="327"/>
    </row>
    <row r="208" spans="1:61" x14ac:dyDescent="0.2">
      <c r="A208" s="327"/>
      <c r="B208" s="328" t="s">
        <v>329</v>
      </c>
      <c r="C208" s="340"/>
      <c r="D208" s="327"/>
      <c r="F208" s="327"/>
      <c r="G208" s="327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27"/>
      <c r="AH208" s="327"/>
      <c r="AI208" s="327"/>
      <c r="AJ208" s="327"/>
      <c r="AK208" s="327"/>
      <c r="AL208" s="327"/>
      <c r="AM208" s="327"/>
      <c r="AN208" s="327"/>
      <c r="AO208" s="327"/>
      <c r="AP208" s="327"/>
      <c r="AQ208" s="327"/>
      <c r="AR208" s="327"/>
      <c r="AS208" s="327"/>
      <c r="AT208" s="327"/>
      <c r="AU208" s="327"/>
      <c r="AV208" s="327"/>
      <c r="AW208" s="327"/>
      <c r="AX208" s="327"/>
      <c r="AY208" s="327"/>
      <c r="AZ208" s="327"/>
      <c r="BA208" s="327"/>
      <c r="BB208" s="327"/>
      <c r="BC208" s="327"/>
      <c r="BD208" s="327"/>
      <c r="BE208" s="327"/>
      <c r="BF208" s="327"/>
      <c r="BG208" s="327"/>
      <c r="BH208" s="327"/>
      <c r="BI208" s="327"/>
    </row>
    <row r="209" spans="1:61" x14ac:dyDescent="0.2">
      <c r="A209" s="327"/>
      <c r="B209" s="327"/>
      <c r="C209" s="339" t="str">
        <f t="shared" ref="C209:D212" si="91">C171</f>
        <v>Option 5</v>
      </c>
      <c r="D209" s="327" t="str">
        <f t="shared" si="91"/>
        <v>Response cost</v>
      </c>
      <c r="E209" s="345" t="str">
        <f>C209&amp;D209</f>
        <v>Option 5Response cost</v>
      </c>
      <c r="F209" s="327"/>
      <c r="G209" s="327"/>
      <c r="H209" s="31" cm="1">
        <f t="array" ref="H209:H212">H$63:H$66+H203:H206</f>
        <v>1114904.0813809298</v>
      </c>
      <c r="I209" s="31" cm="1">
        <f t="array" ref="I209:I212">I$63:I$66+I203:I206</f>
        <v>1322231.6365141415</v>
      </c>
      <c r="J209" s="31" cm="1">
        <f t="array" ref="J209:J212">J$63:J$66+J203:J206</f>
        <v>1589814.4447434426</v>
      </c>
      <c r="K209" s="31" cm="1">
        <f t="array" ref="K209:K212">K$63:K$66+K203:K206</f>
        <v>1921312.5138687717</v>
      </c>
      <c r="L209" s="31" cm="1">
        <f t="array" ref="L209:L212">L$63:L$66+L203:L206</f>
        <v>2332896.3194425148</v>
      </c>
      <c r="M209" s="31" cm="1">
        <f t="array" ref="M209:M212">M$63:M$66+M203:M206</f>
        <v>2865377.960555362</v>
      </c>
      <c r="N209" s="31" cm="1">
        <f t="array" ref="N209:N212">N$63:N$66+N203:N206</f>
        <v>3502816.5170350657</v>
      </c>
      <c r="O209" s="31" cm="1">
        <f t="array" ref="O209:O212">O$63:O$66+O203:O206</f>
        <v>4148706.0682291547</v>
      </c>
      <c r="P209" s="31" cm="1">
        <f t="array" ref="P209:P212">P$63:P$66+P203:P206</f>
        <v>4801523.6693422217</v>
      </c>
      <c r="Q209" s="31" cm="1">
        <f t="array" ref="Q209:Q212">Q$63:Q$66+Q203:Q206</f>
        <v>5459799.2569627771</v>
      </c>
      <c r="R209" s="31" cm="1">
        <f t="array" ref="R209:R212">R$63:R$66+R203:R206</f>
        <v>6269260.3500794005</v>
      </c>
      <c r="S209" s="31" cm="1">
        <f t="array" ref="S209:S212">S$63:S$66+S203:S206</f>
        <v>7091956.0615678262</v>
      </c>
      <c r="T209" s="31" cm="1">
        <f t="array" ref="T209:T212">T$63:T$66+T203:T206</f>
        <v>7858989.3733985154</v>
      </c>
      <c r="U209" s="31" cm="1">
        <f t="array" ref="U209:U212">U$63:U$66+U203:U206</f>
        <v>8407568.9053322114</v>
      </c>
      <c r="V209" s="31" cm="1">
        <f t="array" ref="V209:V212">V$63:V$66+V203:V206</f>
        <v>8831335.379794335</v>
      </c>
      <c r="W209" s="31" cm="1">
        <f t="array" ref="W209:W212">W$63:W$66+W203:W206</f>
        <v>9206579.9179580677</v>
      </c>
      <c r="X209" s="31" cm="1">
        <f t="array" ref="X209:X212">X$63:X$66+X203:X206</f>
        <v>9431018.1222066488</v>
      </c>
      <c r="Y209" s="31" cm="1">
        <f t="array" ref="Y209:Y212">Y$63:Y$66+Y203:Y206</f>
        <v>9621673.0754109509</v>
      </c>
      <c r="Z209" s="31" cm="1">
        <f t="array" ref="Z209:Z212">Z$63:Z$66+Z203:Z206</f>
        <v>9781797.6332717407</v>
      </c>
      <c r="AA209" s="31" cm="1">
        <f t="array" ref="AA209:AA212">AA$63:AA$66+AA203:AA206</f>
        <v>9925488.1003258936</v>
      </c>
      <c r="AB209" s="31" cm="1">
        <f t="array" ref="AB209:AB212">AB$63:AB$66+AB203:AB206</f>
        <v>10058073.804107256</v>
      </c>
      <c r="AC209" s="31" cm="1">
        <f t="array" ref="AC209:AC212">AC$63:AC$66+AC203:AC206</f>
        <v>10152256.698233308</v>
      </c>
      <c r="AD209" s="31" cm="1">
        <f t="array" ref="AD209:AD212">AD$63:AD$66+AD203:AD206</f>
        <v>10225423.571887258</v>
      </c>
      <c r="AE209" s="31" cm="1">
        <f t="array" ref="AE209:AE212">AE$63:AE$66+AE203:AE206</f>
        <v>10289174.217923684</v>
      </c>
      <c r="AF209" s="31" cm="1">
        <f t="array" ref="AF209:AF212">AF$63:AF$66+AF203:AF206</f>
        <v>10349930.55596594</v>
      </c>
      <c r="AG209" s="327"/>
      <c r="AH209" s="327"/>
      <c r="AI209" s="327"/>
      <c r="AJ209" s="327"/>
      <c r="AK209" s="327"/>
      <c r="AL209" s="327"/>
      <c r="AM209" s="327"/>
      <c r="AN209" s="327"/>
      <c r="AO209" s="327"/>
      <c r="AP209" s="327"/>
      <c r="AQ209" s="327"/>
      <c r="AR209" s="327"/>
      <c r="AS209" s="327"/>
      <c r="AT209" s="327"/>
      <c r="AU209" s="327"/>
      <c r="AV209" s="327"/>
      <c r="AW209" s="327"/>
      <c r="AX209" s="327"/>
      <c r="AY209" s="327"/>
      <c r="AZ209" s="327"/>
      <c r="BA209" s="327"/>
      <c r="BB209" s="327"/>
      <c r="BC209" s="327"/>
      <c r="BD209" s="327"/>
      <c r="BE209" s="327"/>
      <c r="BF209" s="327"/>
      <c r="BG209" s="327"/>
      <c r="BH209" s="327"/>
      <c r="BI209" s="327"/>
    </row>
    <row r="210" spans="1:61" x14ac:dyDescent="0.2">
      <c r="A210" s="327"/>
      <c r="B210" s="327"/>
      <c r="C210" s="339" t="str">
        <f t="shared" si="91"/>
        <v>Option 5</v>
      </c>
      <c r="D210" s="327" t="str">
        <f t="shared" si="91"/>
        <v>Unplanned replacements</v>
      </c>
      <c r="E210" s="345" t="str">
        <f t="shared" ref="E210:E212" si="92">C210&amp;D210</f>
        <v>Option 5Unplanned replacements</v>
      </c>
      <c r="F210" s="327"/>
      <c r="G210" s="327"/>
      <c r="H210" s="31">
        <v>1900959.3721450921</v>
      </c>
      <c r="I210" s="31">
        <v>2233343.727011974</v>
      </c>
      <c r="J210" s="31">
        <v>2678274.8549780492</v>
      </c>
      <c r="K210" s="31">
        <v>3227812.4365466828</v>
      </c>
      <c r="L210" s="31">
        <v>3908060.186526238</v>
      </c>
      <c r="M210" s="31">
        <v>4822324.3975850428</v>
      </c>
      <c r="N210" s="31">
        <v>5894953.3915989278</v>
      </c>
      <c r="O210" s="31">
        <v>6988002.573678988</v>
      </c>
      <c r="P210" s="31">
        <v>8099840.9093253128</v>
      </c>
      <c r="Q210" s="31">
        <v>9222173.0298136622</v>
      </c>
      <c r="R210" s="31">
        <v>10602279.441512734</v>
      </c>
      <c r="S210" s="31">
        <v>12004946.493274072</v>
      </c>
      <c r="T210" s="31">
        <v>13312701.384871867</v>
      </c>
      <c r="U210" s="31">
        <v>14247977.356520848</v>
      </c>
      <c r="V210" s="31">
        <v>14970435.363648564</v>
      </c>
      <c r="W210" s="31">
        <v>15610154.502325898</v>
      </c>
      <c r="X210" s="31">
        <v>15992734.887285784</v>
      </c>
      <c r="Y210" s="31">
        <v>16317705.260671776</v>
      </c>
      <c r="Z210" s="31">
        <v>16590611.181800798</v>
      </c>
      <c r="AA210" s="31">
        <v>16835486.695115745</v>
      </c>
      <c r="AB210" s="31">
        <v>17061417.70597133</v>
      </c>
      <c r="AC210" s="31">
        <v>17221858.972615782</v>
      </c>
      <c r="AD210" s="31">
        <v>17346454.739483412</v>
      </c>
      <c r="AE210" s="31">
        <v>17454982.087808982</v>
      </c>
      <c r="AF210" s="31">
        <v>17558389.509106468</v>
      </c>
      <c r="AG210" s="327"/>
      <c r="AH210" s="327"/>
      <c r="AI210" s="327"/>
      <c r="AJ210" s="327"/>
      <c r="AK210" s="327"/>
      <c r="AL210" s="327"/>
      <c r="AM210" s="327"/>
      <c r="AN210" s="327"/>
      <c r="AO210" s="327"/>
      <c r="AP210" s="327"/>
      <c r="AQ210" s="327"/>
      <c r="AR210" s="327"/>
      <c r="AS210" s="327"/>
      <c r="AT210" s="327"/>
      <c r="AU210" s="327"/>
      <c r="AV210" s="327"/>
      <c r="AW210" s="327"/>
      <c r="AX210" s="327"/>
      <c r="AY210" s="327"/>
      <c r="AZ210" s="327"/>
      <c r="BA210" s="327"/>
      <c r="BB210" s="327"/>
      <c r="BC210" s="327"/>
      <c r="BD210" s="327"/>
      <c r="BE210" s="327"/>
      <c r="BF210" s="327"/>
      <c r="BG210" s="327"/>
      <c r="BH210" s="327"/>
      <c r="BI210" s="327"/>
    </row>
    <row r="211" spans="1:61" x14ac:dyDescent="0.2">
      <c r="A211" s="327"/>
      <c r="B211" s="327"/>
      <c r="C211" s="339" t="str">
        <f t="shared" si="91"/>
        <v>Option 5</v>
      </c>
      <c r="D211" s="327" t="str">
        <f t="shared" si="91"/>
        <v>Safety Consequence</v>
      </c>
      <c r="E211" s="345" t="str">
        <f t="shared" si="92"/>
        <v>Option 5Safety Consequence</v>
      </c>
      <c r="F211" s="327"/>
      <c r="G211" s="327"/>
      <c r="H211" s="31">
        <v>3423495.0151333283</v>
      </c>
      <c r="I211" s="31">
        <v>4042673.4729273939</v>
      </c>
      <c r="J211" s="31">
        <v>4859452.1608554749</v>
      </c>
      <c r="K211" s="31">
        <v>5870987.1282325238</v>
      </c>
      <c r="L211" s="31">
        <v>7126470.907488131</v>
      </c>
      <c r="M211" s="31">
        <v>8782482.4507326931</v>
      </c>
      <c r="N211" s="31">
        <v>10736263.54679532</v>
      </c>
      <c r="O211" s="31">
        <v>12717587.496189576</v>
      </c>
      <c r="P211" s="31">
        <v>14721730.208724376</v>
      </c>
      <c r="Q211" s="31">
        <v>16743014.024645759</v>
      </c>
      <c r="R211" s="31">
        <v>19228533.951716635</v>
      </c>
      <c r="S211" s="31">
        <v>21754687.734152976</v>
      </c>
      <c r="T211" s="31">
        <v>24109915.384264752</v>
      </c>
      <c r="U211" s="31">
        <v>25794338.906127941</v>
      </c>
      <c r="V211" s="31">
        <v>27095496.901280601</v>
      </c>
      <c r="W211" s="31">
        <v>28247653.142099969</v>
      </c>
      <c r="X211" s="31">
        <v>28936726.064201239</v>
      </c>
      <c r="Y211" s="31">
        <v>29522053.474709295</v>
      </c>
      <c r="Z211" s="31">
        <v>30013623.063664254</v>
      </c>
      <c r="AA211" s="31">
        <v>30454719.036991183</v>
      </c>
      <c r="AB211" s="31">
        <v>30861705.096452706</v>
      </c>
      <c r="AC211" s="31">
        <v>31150757.189011801</v>
      </c>
      <c r="AD211" s="31">
        <v>31375263.262295846</v>
      </c>
      <c r="AE211" s="31">
        <v>31570841.256789241</v>
      </c>
      <c r="AF211" s="31">
        <v>31757209.509797808</v>
      </c>
      <c r="AG211" s="327"/>
      <c r="AH211" s="327"/>
      <c r="AI211" s="327"/>
      <c r="AJ211" s="327"/>
      <c r="AK211" s="327"/>
      <c r="AL211" s="327"/>
      <c r="AM211" s="327"/>
      <c r="AN211" s="327"/>
      <c r="AO211" s="327"/>
      <c r="AP211" s="327"/>
      <c r="AQ211" s="327"/>
      <c r="AR211" s="327"/>
      <c r="AS211" s="327"/>
      <c r="AT211" s="327"/>
      <c r="AU211" s="327"/>
      <c r="AV211" s="327"/>
      <c r="AW211" s="327"/>
      <c r="AX211" s="327"/>
      <c r="AY211" s="327"/>
      <c r="AZ211" s="327"/>
      <c r="BA211" s="327"/>
      <c r="BB211" s="327"/>
      <c r="BC211" s="327"/>
      <c r="BD211" s="327"/>
      <c r="BE211" s="327"/>
      <c r="BF211" s="327"/>
      <c r="BG211" s="327"/>
      <c r="BH211" s="327"/>
      <c r="BI211" s="327"/>
    </row>
    <row r="212" spans="1:61" x14ac:dyDescent="0.2">
      <c r="A212" s="327"/>
      <c r="B212" s="327"/>
      <c r="C212" s="339" t="str">
        <f t="shared" si="91"/>
        <v>Option 5</v>
      </c>
      <c r="D212" s="327" t="str">
        <f t="shared" si="91"/>
        <v>Environmental Consequence</v>
      </c>
      <c r="E212" s="345" t="str">
        <f t="shared" si="92"/>
        <v>Option 5Environmental Consequence</v>
      </c>
      <c r="F212" s="327"/>
      <c r="G212" s="327"/>
      <c r="H212" s="31">
        <v>165853.38374076918</v>
      </c>
      <c r="I212" s="31">
        <v>197235.23368523066</v>
      </c>
      <c r="J212" s="31">
        <v>237300.91533958292</v>
      </c>
      <c r="K212" s="31">
        <v>286972.68838190299</v>
      </c>
      <c r="L212" s="31">
        <v>348688.70386905741</v>
      </c>
      <c r="M212" s="31">
        <v>427636.31119749416</v>
      </c>
      <c r="N212" s="31">
        <v>522772.35844300489</v>
      </c>
      <c r="O212" s="31">
        <v>619033.88280333928</v>
      </c>
      <c r="P212" s="31">
        <v>716175.14631215041</v>
      </c>
      <c r="Q212" s="31">
        <v>814101.88578371913</v>
      </c>
      <c r="R212" s="31">
        <v>934519.10965631774</v>
      </c>
      <c r="S212" s="31">
        <v>1056905.2521476082</v>
      </c>
      <c r="T212" s="31">
        <v>1171011.188688718</v>
      </c>
      <c r="U212" s="31">
        <v>1252620.0491109577</v>
      </c>
      <c r="V212" s="31">
        <v>1315661.8620186166</v>
      </c>
      <c r="W212" s="31">
        <v>1371485.726581115</v>
      </c>
      <c r="X212" s="31">
        <v>1404875.8086161956</v>
      </c>
      <c r="Y212" s="31">
        <v>1433240.5058204087</v>
      </c>
      <c r="Z212" s="31">
        <v>1457063.732638217</v>
      </c>
      <c r="AA212" s="31">
        <v>1478442.4790711838</v>
      </c>
      <c r="AB212" s="31">
        <v>1498169.5594328642</v>
      </c>
      <c r="AC212" s="31">
        <v>1512184.1344567423</v>
      </c>
      <c r="AD212" s="31">
        <v>1523072.6932674772</v>
      </c>
      <c r="AE212" s="31">
        <v>1532560.8524213482</v>
      </c>
      <c r="AF212" s="31">
        <v>1541603.9694009719</v>
      </c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327"/>
      <c r="AR212" s="327"/>
      <c r="AS212" s="327"/>
      <c r="AT212" s="327"/>
      <c r="AU212" s="327"/>
      <c r="AV212" s="327"/>
      <c r="AW212" s="327"/>
      <c r="AX212" s="327"/>
      <c r="AY212" s="327"/>
      <c r="AZ212" s="327"/>
      <c r="BA212" s="327"/>
      <c r="BB212" s="327"/>
      <c r="BC212" s="327"/>
      <c r="BD212" s="327"/>
      <c r="BE212" s="327"/>
      <c r="BF212" s="327"/>
      <c r="BG212" s="327"/>
      <c r="BH212" s="327"/>
      <c r="BI212" s="327"/>
    </row>
    <row r="213" spans="1:61" x14ac:dyDescent="0.2">
      <c r="A213" s="327"/>
      <c r="B213" s="327"/>
      <c r="C213" s="339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327"/>
      <c r="P213" s="327"/>
      <c r="Q213" s="327"/>
      <c r="R213" s="327"/>
      <c r="S213" s="327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327"/>
      <c r="AG213" s="327"/>
      <c r="AH213" s="327"/>
      <c r="AI213" s="327"/>
      <c r="AJ213" s="327"/>
      <c r="AK213" s="327"/>
      <c r="AL213" s="327"/>
      <c r="AM213" s="327"/>
      <c r="AN213" s="327"/>
      <c r="AO213" s="327"/>
      <c r="AP213" s="327"/>
      <c r="AQ213" s="327"/>
      <c r="AR213" s="327"/>
      <c r="AS213" s="327"/>
      <c r="AT213" s="327"/>
      <c r="AU213" s="327"/>
      <c r="AV213" s="327"/>
      <c r="AW213" s="327"/>
      <c r="AX213" s="327"/>
      <c r="AY213" s="327"/>
      <c r="AZ213" s="327"/>
      <c r="BA213" s="327"/>
      <c r="BB213" s="327"/>
      <c r="BC213" s="327"/>
      <c r="BD213" s="327"/>
      <c r="BE213" s="327"/>
      <c r="BF213" s="327"/>
      <c r="BG213" s="327"/>
      <c r="BH213" s="327"/>
      <c r="BI213" s="327"/>
    </row>
    <row r="214" spans="1:61" x14ac:dyDescent="0.2"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61" x14ac:dyDescent="0.2"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7" spans="1:61" x14ac:dyDescent="0.2">
      <c r="H217" s="336"/>
      <c r="I217" s="336"/>
      <c r="J217" s="336"/>
      <c r="K217" s="336"/>
      <c r="L217" s="336"/>
      <c r="M217" s="336"/>
      <c r="N217" s="336"/>
    </row>
    <row r="218" spans="1:61" x14ac:dyDescent="0.2"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</row>
    <row r="219" spans="1:61" x14ac:dyDescent="0.2"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6"/>
      <c r="AE219" s="336"/>
      <c r="AF219" s="336"/>
      <c r="AG219" s="336"/>
      <c r="AH219" s="336"/>
      <c r="AI219" s="336"/>
      <c r="AJ219" s="336"/>
      <c r="AK219" s="336"/>
    </row>
    <row r="220" spans="1:61" x14ac:dyDescent="0.2"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/>
      <c r="AE220" s="336"/>
      <c r="AF220" s="336"/>
      <c r="AG220" s="336"/>
      <c r="AH220" s="336"/>
      <c r="AI220" s="336"/>
      <c r="AJ220" s="336"/>
      <c r="AK220" s="336"/>
    </row>
    <row r="221" spans="1:61" x14ac:dyDescent="0.2"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  <c r="AA221" s="336"/>
      <c r="AB221" s="336"/>
      <c r="AC221" s="336"/>
      <c r="AD221" s="336"/>
      <c r="AE221" s="336"/>
      <c r="AF221" s="336"/>
      <c r="AG221" s="336"/>
      <c r="AH221" s="336"/>
      <c r="AI221" s="336"/>
      <c r="AJ221" s="336"/>
      <c r="AK221" s="336"/>
    </row>
    <row r="222" spans="1:61" x14ac:dyDescent="0.2"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336"/>
      <c r="AD222" s="336"/>
      <c r="AE222" s="336"/>
      <c r="AF222" s="336"/>
    </row>
    <row r="223" spans="1:61" x14ac:dyDescent="0.2"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</row>
    <row r="224" spans="1:61" x14ac:dyDescent="0.2"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336"/>
      <c r="AD224" s="336"/>
      <c r="AE224" s="336"/>
      <c r="AF224" s="336"/>
      <c r="AG224" s="336"/>
      <c r="AH224" s="336"/>
    </row>
    <row r="225" spans="8:34" x14ac:dyDescent="0.2"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336"/>
      <c r="AD225" s="336"/>
      <c r="AE225" s="336"/>
      <c r="AF225" s="336"/>
      <c r="AG225" s="336"/>
      <c r="AH225" s="336"/>
    </row>
    <row r="226" spans="8:34" x14ac:dyDescent="0.2"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336"/>
      <c r="AD226" s="336"/>
      <c r="AE226" s="336"/>
      <c r="AF226" s="336"/>
      <c r="AG226" s="336"/>
      <c r="AH226" s="336"/>
    </row>
    <row r="227" spans="8:34" x14ac:dyDescent="0.2"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  <c r="Y227" s="336"/>
      <c r="Z227" s="336"/>
      <c r="AA227" s="336"/>
      <c r="AB227" s="336"/>
      <c r="AC227" s="336"/>
      <c r="AD227" s="336"/>
      <c r="AE227" s="336"/>
      <c r="AF227" s="336"/>
      <c r="AG227" s="336"/>
      <c r="AH227" s="336"/>
    </row>
    <row r="228" spans="8:34" x14ac:dyDescent="0.2"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  <c r="AA228" s="336"/>
      <c r="AB228" s="336"/>
      <c r="AC228" s="336"/>
      <c r="AD228" s="336"/>
      <c r="AE228" s="336"/>
      <c r="AF228" s="336"/>
    </row>
    <row r="229" spans="8:34" x14ac:dyDescent="0.2">
      <c r="H229" s="336"/>
    </row>
    <row r="235" spans="8:34" x14ac:dyDescent="0.2"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</row>
    <row r="236" spans="8:34" x14ac:dyDescent="0.2"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</row>
    <row r="237" spans="8:34" x14ac:dyDescent="0.2"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</row>
    <row r="238" spans="8:34" x14ac:dyDescent="0.2"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  <c r="AA238" s="336"/>
      <c r="AB238" s="336"/>
      <c r="AC238" s="336"/>
      <c r="AD238" s="336"/>
      <c r="AE238" s="336"/>
      <c r="AF238" s="336"/>
    </row>
    <row r="239" spans="8:34" x14ac:dyDescent="0.2"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  <c r="AA239" s="336"/>
      <c r="AB239" s="336"/>
      <c r="AC239" s="336"/>
      <c r="AD239" s="336"/>
      <c r="AE239" s="336"/>
      <c r="AF239" s="336"/>
    </row>
    <row r="240" spans="8:34" x14ac:dyDescent="0.2"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  <c r="AA240" s="336"/>
      <c r="AB240" s="336"/>
      <c r="AC240" s="336"/>
      <c r="AD240" s="336"/>
      <c r="AE240" s="336"/>
      <c r="AF240" s="336"/>
    </row>
    <row r="241" spans="8:32" x14ac:dyDescent="0.2"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336"/>
      <c r="AD241" s="336"/>
      <c r="AE241" s="336"/>
      <c r="AF241" s="336"/>
    </row>
    <row r="242" spans="8:32" x14ac:dyDescent="0.2"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  <c r="AA242" s="336"/>
      <c r="AB242" s="336"/>
      <c r="AC242" s="336"/>
      <c r="AD242" s="336"/>
      <c r="AE242" s="336"/>
      <c r="AF242" s="336"/>
    </row>
    <row r="243" spans="8:32" x14ac:dyDescent="0.2"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/>
      <c r="AE243" s="336"/>
      <c r="AF243" s="336"/>
    </row>
    <row r="244" spans="8:32" x14ac:dyDescent="0.2"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</row>
  </sheetData>
  <phoneticPr fontId="76" type="noConversion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3" ht="18.75" x14ac:dyDescent="0.3">
      <c r="A2" s="56" t="str">
        <f>proj</f>
        <v>HV cable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7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</row>
    <row r="31" spans="1:34" x14ac:dyDescent="0.2">
      <c r="B31" s="196" t="s">
        <v>1</v>
      </c>
      <c r="C31" s="197" t="s">
        <v>193</v>
      </c>
      <c r="D31" s="198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8" t="s">
        <v>131</v>
      </c>
      <c r="C32" s="195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8" t="s">
        <v>132</v>
      </c>
      <c r="C33" s="195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8" t="s">
        <v>133</v>
      </c>
      <c r="C34" s="195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8" t="s">
        <v>155</v>
      </c>
      <c r="C35" s="195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9" t="s">
        <v>193</v>
      </c>
      <c r="C38" s="199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s="10"/>
      <c r="C41" s="84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2">
      <c r="B42" s="10"/>
      <c r="C42" s="8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x14ac:dyDescent="0.2">
      <c r="B43" s="10"/>
      <c r="C43" s="84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">
      <c r="A44" s="10"/>
      <c r="B44" s="10"/>
      <c r="C44" s="8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x14ac:dyDescent="0.2">
      <c r="D45"/>
    </row>
    <row r="46" spans="1:34" s="1" customFormat="1" ht="15" x14ac:dyDescent="0.2">
      <c r="A46" s="18" t="s">
        <v>330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43" t="s">
        <v>211</v>
      </c>
    </row>
    <row r="74" spans="1:4" x14ac:dyDescent="0.2">
      <c r="B74" s="24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9"/>
      <c r="V1"/>
      <c r="W1"/>
    </row>
    <row r="2" spans="1:27" ht="18.75" x14ac:dyDescent="0.3">
      <c r="A2" s="56" t="str">
        <f>proj</f>
        <v>HV cable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229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225</v>
      </c>
      <c r="D16" s="23" t="s">
        <v>227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223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E68"/>
      <c r="F68"/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E69"/>
      <c r="F69"/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6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8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8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8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8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8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8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8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8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8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8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8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8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8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226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2" t="s">
        <v>137</v>
      </c>
      <c r="D107" s="132" t="s">
        <v>232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228</v>
      </c>
      <c r="U107"/>
      <c r="V107" s="23" t="s">
        <v>19</v>
      </c>
      <c r="W107"/>
    </row>
    <row r="108" spans="1:25" x14ac:dyDescent="0.2">
      <c r="B108" s="25" t="s">
        <v>3</v>
      </c>
      <c r="C108" s="132" t="s">
        <v>138</v>
      </c>
      <c r="D108" s="132" t="s">
        <v>233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227</v>
      </c>
      <c r="U108"/>
      <c r="V108" s="23" t="s">
        <v>47</v>
      </c>
      <c r="W108"/>
    </row>
    <row r="109" spans="1:25" x14ac:dyDescent="0.2">
      <c r="B109" s="25" t="s">
        <v>43</v>
      </c>
      <c r="C109" s="132" t="s">
        <v>139</v>
      </c>
      <c r="D109" s="132" t="s">
        <v>234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5"/>
      <c r="W113"/>
      <c r="X113"/>
      <c r="Y113"/>
    </row>
    <row r="114" spans="18:25" x14ac:dyDescent="0.2">
      <c r="R114" s="23"/>
      <c r="U114"/>
      <c r="V114" s="255"/>
      <c r="W114"/>
      <c r="X114"/>
      <c r="Y114"/>
    </row>
    <row r="115" spans="18:25" x14ac:dyDescent="0.2">
      <c r="U115"/>
      <c r="V115" s="255"/>
      <c r="W115"/>
      <c r="X115"/>
      <c r="Y115"/>
    </row>
    <row r="116" spans="18:25" x14ac:dyDescent="0.2">
      <c r="U116"/>
      <c r="V116" s="25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23</vt:i4>
      </vt:variant>
    </vt:vector>
  </HeadingPairs>
  <TitlesOfParts>
    <vt:vector size="37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2025-01-27T22:32:34Z</dcterms:modified>
</cp:coreProperties>
</file>